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835" yWindow="390" windowWidth="9165" windowHeight="8235" tabRatio="658" firstSheet="5" activeTab="5"/>
  </bookViews>
  <sheets>
    <sheet name="CompSolo Wolf" sheetId="28" r:id="rId1"/>
    <sheet name="SpeseTecniche" sheetId="18" r:id="rId2"/>
    <sheet name="Wolf ridotto 2013" sheetId="29" r:id="rId3"/>
    <sheet name="SpeseTecn 2013" sheetId="30" r:id="rId4"/>
    <sheet name="SpeseTecn 2014 DM143_2013" sheetId="32" r:id="rId5"/>
    <sheet name="WolfPrEsec 01072016 App" sheetId="48" r:id="rId6"/>
  </sheets>
  <definedNames>
    <definedName name="_xlnm.Print_Area" localSheetId="0">'CompSolo Wolf'!$A$1964:$Z$2012</definedName>
    <definedName name="_xlnm.Print_Area" localSheetId="2">'Wolf ridotto 2013'!$A$15:$Z$2025</definedName>
    <definedName name="_xlnm.Print_Area" localSheetId="5">'WolfPrEsec 01072016 App'!$A$1883:$AC$1886</definedName>
    <definedName name="_xlnm.Print_Titles" localSheetId="0">'CompSolo Wolf'!$1:$8</definedName>
    <definedName name="_xlnm.Print_Titles" localSheetId="2">'Wolf ridotto 2013'!$1:$13</definedName>
  </definedNames>
  <calcPr calcId="145621"/>
</workbook>
</file>

<file path=xl/calcChain.xml><?xml version="1.0" encoding="utf-8"?>
<calcChain xmlns="http://schemas.openxmlformats.org/spreadsheetml/2006/main">
  <c r="W1878" i="48" l="1"/>
  <c r="H1883" i="48"/>
  <c r="U1883" i="48" l="1"/>
  <c r="O17" i="48" l="1"/>
  <c r="G45" i="48"/>
  <c r="G170" i="48"/>
  <c r="G173" i="48"/>
  <c r="G211" i="48"/>
  <c r="G300" i="48"/>
  <c r="G308" i="48"/>
  <c r="G312" i="48"/>
  <c r="G326" i="48"/>
  <c r="G340" i="48"/>
  <c r="G349" i="48"/>
  <c r="G350" i="48"/>
  <c r="G412" i="48"/>
  <c r="G413" i="48"/>
  <c r="G422" i="48"/>
  <c r="G434" i="48"/>
  <c r="G435" i="48"/>
  <c r="G445" i="48"/>
  <c r="G446" i="48"/>
  <c r="G487" i="48"/>
  <c r="G676" i="48"/>
  <c r="G677" i="48"/>
  <c r="G678" i="48"/>
  <c r="G679" i="48"/>
  <c r="G683" i="48"/>
  <c r="G684" i="48"/>
  <c r="G685" i="48"/>
  <c r="G686" i="48"/>
  <c r="G690" i="48"/>
  <c r="G691" i="48"/>
  <c r="G692" i="48"/>
  <c r="G693" i="48"/>
  <c r="G697" i="48"/>
  <c r="G698" i="48"/>
  <c r="G699" i="48"/>
  <c r="G700" i="48"/>
  <c r="G704" i="48"/>
  <c r="G705" i="48"/>
  <c r="G706" i="48"/>
  <c r="G707" i="48"/>
  <c r="G711" i="48"/>
  <c r="G712" i="48"/>
  <c r="G713" i="48"/>
  <c r="G714" i="48"/>
  <c r="G718" i="48"/>
  <c r="G719" i="48"/>
  <c r="G720" i="48"/>
  <c r="G721" i="48"/>
  <c r="G725" i="48"/>
  <c r="G726" i="48"/>
  <c r="G727" i="48"/>
  <c r="G728" i="48"/>
  <c r="G732" i="48"/>
  <c r="G733" i="48"/>
  <c r="G734" i="48"/>
  <c r="G735" i="48"/>
  <c r="G736" i="48"/>
  <c r="G737" i="48"/>
  <c r="G738" i="48"/>
  <c r="G739" i="48"/>
  <c r="G740" i="48"/>
  <c r="G741" i="48"/>
  <c r="G742" i="48"/>
  <c r="G743" i="48"/>
  <c r="G744" i="48"/>
  <c r="G745" i="48"/>
  <c r="G758" i="48"/>
  <c r="G774" i="48"/>
  <c r="G775" i="48"/>
  <c r="G788" i="48"/>
  <c r="G841" i="48"/>
  <c r="G934" i="48"/>
  <c r="G935" i="48"/>
  <c r="G949" i="48"/>
  <c r="G983" i="48"/>
  <c r="G773" i="48" l="1"/>
  <c r="N1881" i="48" l="1"/>
  <c r="P933" i="48" l="1"/>
  <c r="R932" i="48"/>
  <c r="P932" i="48"/>
  <c r="T931" i="48"/>
  <c r="R931" i="48"/>
  <c r="P931" i="48"/>
  <c r="R930" i="48"/>
  <c r="P930" i="48"/>
  <c r="N932" i="48"/>
  <c r="N931" i="48"/>
  <c r="N930" i="48"/>
  <c r="AA912" i="48" l="1"/>
  <c r="AA914" i="48"/>
  <c r="Y914" i="48"/>
  <c r="AC1872" i="48"/>
  <c r="AA1872" i="48"/>
  <c r="Y1872" i="48"/>
  <c r="W1872" i="48"/>
  <c r="S1872" i="48"/>
  <c r="Q1872" i="48"/>
  <c r="O1872" i="48"/>
  <c r="AC1869" i="48"/>
  <c r="AA1869" i="48"/>
  <c r="Y1869" i="48"/>
  <c r="W1869" i="48"/>
  <c r="S1869" i="48"/>
  <c r="Q1869" i="48"/>
  <c r="O1869" i="48"/>
  <c r="AC1866" i="48"/>
  <c r="AA1866" i="48"/>
  <c r="Y1866" i="48"/>
  <c r="W1866" i="48"/>
  <c r="S1866" i="48"/>
  <c r="Q1866" i="48"/>
  <c r="O1866" i="48"/>
  <c r="AC1863" i="48"/>
  <c r="AA1863" i="48"/>
  <c r="Y1863" i="48"/>
  <c r="W1863" i="48"/>
  <c r="S1863" i="48"/>
  <c r="Q1863" i="48"/>
  <c r="O1863" i="48"/>
  <c r="AC1860" i="48"/>
  <c r="AA1860" i="48"/>
  <c r="Y1860" i="48"/>
  <c r="W1860" i="48"/>
  <c r="S1860" i="48"/>
  <c r="Q1860" i="48"/>
  <c r="O1860" i="48"/>
  <c r="AC1857" i="48"/>
  <c r="AA1857" i="48"/>
  <c r="Y1857" i="48"/>
  <c r="W1857" i="48"/>
  <c r="S1857" i="48"/>
  <c r="Q1857" i="48"/>
  <c r="O1857" i="48"/>
  <c r="AC1854" i="48"/>
  <c r="AA1854" i="48"/>
  <c r="Y1854" i="48"/>
  <c r="W1854" i="48"/>
  <c r="S1854" i="48"/>
  <c r="Q1854" i="48"/>
  <c r="O1854" i="48"/>
  <c r="AC1851" i="48"/>
  <c r="AA1851" i="48"/>
  <c r="Y1851" i="48"/>
  <c r="W1851" i="48"/>
  <c r="S1851" i="48"/>
  <c r="Q1851" i="48"/>
  <c r="O1851" i="48"/>
  <c r="AC1848" i="48"/>
  <c r="AA1848" i="48"/>
  <c r="Y1848" i="48"/>
  <c r="W1848" i="48"/>
  <c r="S1848" i="48"/>
  <c r="Q1848" i="48"/>
  <c r="O1848" i="48"/>
  <c r="AC1845" i="48"/>
  <c r="AA1845" i="48"/>
  <c r="Y1845" i="48"/>
  <c r="W1845" i="48"/>
  <c r="S1845" i="48"/>
  <c r="Q1845" i="48"/>
  <c r="O1845" i="48"/>
  <c r="AC1842" i="48"/>
  <c r="AA1842" i="48"/>
  <c r="Y1842" i="48"/>
  <c r="W1842" i="48"/>
  <c r="S1842" i="48"/>
  <c r="Q1842" i="48"/>
  <c r="O1842" i="48"/>
  <c r="AC1839" i="48"/>
  <c r="AA1839" i="48"/>
  <c r="Y1839" i="48"/>
  <c r="W1839" i="48"/>
  <c r="S1839" i="48"/>
  <c r="Q1839" i="48"/>
  <c r="O1839" i="48"/>
  <c r="AC1834" i="48"/>
  <c r="AA1834" i="48"/>
  <c r="Y1834" i="48"/>
  <c r="W1834" i="48"/>
  <c r="S1834" i="48"/>
  <c r="Q1834" i="48"/>
  <c r="O1834" i="48"/>
  <c r="AC1831" i="48"/>
  <c r="AA1831" i="48"/>
  <c r="Y1831" i="48"/>
  <c r="W1831" i="48"/>
  <c r="S1831" i="48"/>
  <c r="Q1831" i="48"/>
  <c r="O1831" i="48"/>
  <c r="AC1828" i="48"/>
  <c r="AA1828" i="48"/>
  <c r="Y1828" i="48"/>
  <c r="W1828" i="48"/>
  <c r="S1828" i="48"/>
  <c r="Q1828" i="48"/>
  <c r="O1828" i="48"/>
  <c r="AC1825" i="48"/>
  <c r="AA1825" i="48"/>
  <c r="Y1825" i="48"/>
  <c r="W1825" i="48"/>
  <c r="S1825" i="48"/>
  <c r="Q1825" i="48"/>
  <c r="O1825" i="48"/>
  <c r="AC1822" i="48"/>
  <c r="AA1822" i="48"/>
  <c r="Y1822" i="48"/>
  <c r="W1822" i="48"/>
  <c r="S1822" i="48"/>
  <c r="Q1822" i="48"/>
  <c r="O1822" i="48"/>
  <c r="AC1819" i="48"/>
  <c r="AA1819" i="48"/>
  <c r="Y1819" i="48"/>
  <c r="W1819" i="48"/>
  <c r="S1819" i="48"/>
  <c r="Q1819" i="48"/>
  <c r="O1819" i="48"/>
  <c r="AC1816" i="48"/>
  <c r="AA1816" i="48"/>
  <c r="Y1816" i="48"/>
  <c r="W1816" i="48"/>
  <c r="S1816" i="48"/>
  <c r="Q1816" i="48"/>
  <c r="O1816" i="48"/>
  <c r="AC1811" i="48"/>
  <c r="AA1811" i="48"/>
  <c r="Y1811" i="48"/>
  <c r="W1811" i="48"/>
  <c r="S1811" i="48"/>
  <c r="Q1811" i="48"/>
  <c r="O1811" i="48"/>
  <c r="AC1808" i="48"/>
  <c r="AA1808" i="48"/>
  <c r="Y1808" i="48"/>
  <c r="W1808" i="48"/>
  <c r="S1808" i="48"/>
  <c r="Q1808" i="48"/>
  <c r="O1808" i="48"/>
  <c r="AC1805" i="48"/>
  <c r="AA1805" i="48"/>
  <c r="Y1805" i="48"/>
  <c r="W1805" i="48"/>
  <c r="S1805" i="48"/>
  <c r="Q1805" i="48"/>
  <c r="O1805" i="48"/>
  <c r="AC1802" i="48"/>
  <c r="AA1802" i="48"/>
  <c r="Y1802" i="48"/>
  <c r="W1802" i="48"/>
  <c r="S1802" i="48"/>
  <c r="Q1802" i="48"/>
  <c r="O1802" i="48"/>
  <c r="AC1799" i="48"/>
  <c r="AA1799" i="48"/>
  <c r="Y1799" i="48"/>
  <c r="W1799" i="48"/>
  <c r="S1799" i="48"/>
  <c r="Q1799" i="48"/>
  <c r="O1799" i="48"/>
  <c r="AC1796" i="48"/>
  <c r="AA1796" i="48"/>
  <c r="Y1796" i="48"/>
  <c r="W1796" i="48"/>
  <c r="S1796" i="48"/>
  <c r="Q1796" i="48"/>
  <c r="O1796" i="48"/>
  <c r="AC1793" i="48"/>
  <c r="AA1793" i="48"/>
  <c r="Y1793" i="48"/>
  <c r="W1793" i="48"/>
  <c r="S1793" i="48"/>
  <c r="Q1793" i="48"/>
  <c r="O1793" i="48"/>
  <c r="AC1790" i="48"/>
  <c r="AA1790" i="48"/>
  <c r="Y1790" i="48"/>
  <c r="W1790" i="48"/>
  <c r="S1790" i="48"/>
  <c r="Q1790" i="48"/>
  <c r="O1790" i="48"/>
  <c r="AC1787" i="48"/>
  <c r="AA1787" i="48"/>
  <c r="Y1787" i="48"/>
  <c r="W1787" i="48"/>
  <c r="S1787" i="48"/>
  <c r="Q1787" i="48"/>
  <c r="O1787" i="48"/>
  <c r="AC1784" i="48"/>
  <c r="AA1784" i="48"/>
  <c r="Y1784" i="48"/>
  <c r="W1784" i="48"/>
  <c r="S1784" i="48"/>
  <c r="Q1784" i="48"/>
  <c r="O1784" i="48"/>
  <c r="AC1781" i="48"/>
  <c r="AA1781" i="48"/>
  <c r="Y1781" i="48"/>
  <c r="W1781" i="48"/>
  <c r="S1781" i="48"/>
  <c r="Q1781" i="48"/>
  <c r="O1781" i="48"/>
  <c r="AC1778" i="48"/>
  <c r="AA1778" i="48"/>
  <c r="Y1778" i="48"/>
  <c r="W1778" i="48"/>
  <c r="S1778" i="48"/>
  <c r="Q1778" i="48"/>
  <c r="O1778" i="48"/>
  <c r="AC1774" i="48"/>
  <c r="AA1774" i="48"/>
  <c r="Y1774" i="48"/>
  <c r="W1774" i="48"/>
  <c r="S1774" i="48"/>
  <c r="Q1774" i="48"/>
  <c r="O1774" i="48"/>
  <c r="AC1773" i="48"/>
  <c r="AA1773" i="48"/>
  <c r="Y1773" i="48"/>
  <c r="W1773" i="48"/>
  <c r="S1773" i="48"/>
  <c r="Q1773" i="48"/>
  <c r="O1773" i="48"/>
  <c r="AC1772" i="48"/>
  <c r="AA1772" i="48"/>
  <c r="Y1772" i="48"/>
  <c r="W1772" i="48"/>
  <c r="S1772" i="48"/>
  <c r="Q1772" i="48"/>
  <c r="O1772" i="48"/>
  <c r="AC1771" i="48"/>
  <c r="AA1771" i="48"/>
  <c r="Y1771" i="48"/>
  <c r="W1771" i="48"/>
  <c r="S1771" i="48"/>
  <c r="Q1771" i="48"/>
  <c r="O1771" i="48"/>
  <c r="AC1770" i="48"/>
  <c r="AA1770" i="48"/>
  <c r="Y1770" i="48"/>
  <c r="W1770" i="48"/>
  <c r="S1770" i="48"/>
  <c r="Q1770" i="48"/>
  <c r="O1770" i="48"/>
  <c r="AC1765" i="48"/>
  <c r="AA1765" i="48"/>
  <c r="Y1765" i="48"/>
  <c r="W1765" i="48"/>
  <c r="S1765" i="48"/>
  <c r="Q1765" i="48"/>
  <c r="O1765" i="48"/>
  <c r="AC1763" i="48"/>
  <c r="AA1763" i="48"/>
  <c r="Y1763" i="48"/>
  <c r="W1763" i="48"/>
  <c r="S1763" i="48"/>
  <c r="Q1763" i="48"/>
  <c r="O1763" i="48"/>
  <c r="AC1762" i="48"/>
  <c r="AA1762" i="48"/>
  <c r="Y1762" i="48"/>
  <c r="W1762" i="48"/>
  <c r="S1762" i="48"/>
  <c r="Q1762" i="48"/>
  <c r="O1762" i="48"/>
  <c r="AC1761" i="48"/>
  <c r="AA1761" i="48"/>
  <c r="Y1761" i="48"/>
  <c r="W1761" i="48"/>
  <c r="S1761" i="48"/>
  <c r="Q1761" i="48"/>
  <c r="O1761" i="48"/>
  <c r="AC1760" i="48"/>
  <c r="AA1760" i="48"/>
  <c r="Y1760" i="48"/>
  <c r="W1760" i="48"/>
  <c r="S1760" i="48"/>
  <c r="Q1760" i="48"/>
  <c r="O1760" i="48"/>
  <c r="AC1755" i="48"/>
  <c r="AA1755" i="48"/>
  <c r="Y1755" i="48"/>
  <c r="W1755" i="48"/>
  <c r="S1755" i="48"/>
  <c r="Q1755" i="48"/>
  <c r="O1755" i="48"/>
  <c r="AC1752" i="48"/>
  <c r="AA1752" i="48"/>
  <c r="Y1752" i="48"/>
  <c r="W1752" i="48"/>
  <c r="S1752" i="48"/>
  <c r="Q1752" i="48"/>
  <c r="O1752" i="48"/>
  <c r="AC1749" i="48"/>
  <c r="AA1749" i="48"/>
  <c r="Y1749" i="48"/>
  <c r="W1749" i="48"/>
  <c r="S1749" i="48"/>
  <c r="Q1749" i="48"/>
  <c r="O1749" i="48"/>
  <c r="AC1746" i="48"/>
  <c r="AA1746" i="48"/>
  <c r="Y1746" i="48"/>
  <c r="W1746" i="48"/>
  <c r="S1746" i="48"/>
  <c r="Q1746" i="48"/>
  <c r="O1746" i="48"/>
  <c r="AC1743" i="48"/>
  <c r="AA1743" i="48"/>
  <c r="Y1743" i="48"/>
  <c r="W1743" i="48"/>
  <c r="S1743" i="48"/>
  <c r="Q1743" i="48"/>
  <c r="O1743" i="48"/>
  <c r="AC1740" i="48"/>
  <c r="AA1740" i="48"/>
  <c r="Y1740" i="48"/>
  <c r="W1740" i="48"/>
  <c r="S1740" i="48"/>
  <c r="Q1740" i="48"/>
  <c r="O1740" i="48"/>
  <c r="AC1738" i="48"/>
  <c r="AA1738" i="48"/>
  <c r="Y1738" i="48"/>
  <c r="W1738" i="48"/>
  <c r="S1738" i="48"/>
  <c r="Q1738" i="48"/>
  <c r="O1738" i="48"/>
  <c r="AC1737" i="48"/>
  <c r="AA1737" i="48"/>
  <c r="Y1737" i="48"/>
  <c r="W1737" i="48"/>
  <c r="S1737" i="48"/>
  <c r="Q1737" i="48"/>
  <c r="O1737" i="48"/>
  <c r="AC1736" i="48"/>
  <c r="AA1736" i="48"/>
  <c r="Y1736" i="48"/>
  <c r="W1736" i="48"/>
  <c r="S1736" i="48"/>
  <c r="Q1736" i="48"/>
  <c r="O1736" i="48"/>
  <c r="AC1735" i="48"/>
  <c r="AA1735" i="48"/>
  <c r="Y1735" i="48"/>
  <c r="W1735" i="48"/>
  <c r="S1735" i="48"/>
  <c r="Q1735" i="48"/>
  <c r="O1735" i="48"/>
  <c r="AC1734" i="48"/>
  <c r="AA1734" i="48"/>
  <c r="Y1734" i="48"/>
  <c r="W1734" i="48"/>
  <c r="S1734" i="48"/>
  <c r="Q1734" i="48"/>
  <c r="O1734" i="48"/>
  <c r="AC1733" i="48"/>
  <c r="AA1733" i="48"/>
  <c r="Y1733" i="48"/>
  <c r="W1733" i="48"/>
  <c r="S1733" i="48"/>
  <c r="Q1733" i="48"/>
  <c r="O1733" i="48"/>
  <c r="AC1732" i="48"/>
  <c r="AA1732" i="48"/>
  <c r="Y1732" i="48"/>
  <c r="W1732" i="48"/>
  <c r="S1732" i="48"/>
  <c r="Q1732" i="48"/>
  <c r="O1732" i="48"/>
  <c r="AC1728" i="48"/>
  <c r="AA1728" i="48"/>
  <c r="Y1728" i="48"/>
  <c r="W1728" i="48"/>
  <c r="S1728" i="48"/>
  <c r="Q1728" i="48"/>
  <c r="O1728" i="48"/>
  <c r="AC1727" i="48"/>
  <c r="AA1727" i="48"/>
  <c r="Y1727" i="48"/>
  <c r="W1727" i="48"/>
  <c r="S1727" i="48"/>
  <c r="Q1727" i="48"/>
  <c r="O1727" i="48"/>
  <c r="AC1726" i="48"/>
  <c r="AA1726" i="48"/>
  <c r="Y1726" i="48"/>
  <c r="W1726" i="48"/>
  <c r="S1726" i="48"/>
  <c r="Q1726" i="48"/>
  <c r="O1726" i="48"/>
  <c r="AC1725" i="48"/>
  <c r="AA1725" i="48"/>
  <c r="Y1725" i="48"/>
  <c r="W1725" i="48"/>
  <c r="S1725" i="48"/>
  <c r="Q1725" i="48"/>
  <c r="O1725" i="48"/>
  <c r="AC1719" i="48"/>
  <c r="AA1719" i="48"/>
  <c r="Y1719" i="48"/>
  <c r="W1719" i="48"/>
  <c r="S1719" i="48"/>
  <c r="Q1719" i="48"/>
  <c r="O1719" i="48"/>
  <c r="AC1717" i="48"/>
  <c r="AA1717" i="48"/>
  <c r="Y1717" i="48"/>
  <c r="W1717" i="48"/>
  <c r="S1717" i="48"/>
  <c r="Q1717" i="48"/>
  <c r="O1717" i="48"/>
  <c r="AC1716" i="48"/>
  <c r="AA1716" i="48"/>
  <c r="Y1716" i="48"/>
  <c r="W1716" i="48"/>
  <c r="S1716" i="48"/>
  <c r="Q1716" i="48"/>
  <c r="O1716" i="48"/>
  <c r="AC1715" i="48"/>
  <c r="AA1715" i="48"/>
  <c r="Y1715" i="48"/>
  <c r="W1715" i="48"/>
  <c r="S1715" i="48"/>
  <c r="Q1715" i="48"/>
  <c r="O1715" i="48"/>
  <c r="AC1711" i="48"/>
  <c r="AA1711" i="48"/>
  <c r="Y1711" i="48"/>
  <c r="W1711" i="48"/>
  <c r="S1711" i="48"/>
  <c r="Q1711" i="48"/>
  <c r="O1711" i="48"/>
  <c r="AC1710" i="48"/>
  <c r="AA1710" i="48"/>
  <c r="Y1710" i="48"/>
  <c r="W1710" i="48"/>
  <c r="S1710" i="48"/>
  <c r="Q1710" i="48"/>
  <c r="O1710" i="48"/>
  <c r="AC1709" i="48"/>
  <c r="AA1709" i="48"/>
  <c r="Y1709" i="48"/>
  <c r="W1709" i="48"/>
  <c r="S1709" i="48"/>
  <c r="Q1709" i="48"/>
  <c r="O1709" i="48"/>
  <c r="AC1708" i="48"/>
  <c r="AA1708" i="48"/>
  <c r="Y1708" i="48"/>
  <c r="W1708" i="48"/>
  <c r="S1708" i="48"/>
  <c r="Q1708" i="48"/>
  <c r="O1708" i="48"/>
  <c r="AC1704" i="48"/>
  <c r="AA1704" i="48"/>
  <c r="Y1704" i="48"/>
  <c r="W1704" i="48"/>
  <c r="S1704" i="48"/>
  <c r="Q1704" i="48"/>
  <c r="O1704" i="48"/>
  <c r="AC1700" i="48"/>
  <c r="AA1700" i="48"/>
  <c r="Y1700" i="48"/>
  <c r="W1700" i="48"/>
  <c r="S1700" i="48"/>
  <c r="Q1700" i="48"/>
  <c r="O1700" i="48"/>
  <c r="AC1695" i="48"/>
  <c r="AA1695" i="48"/>
  <c r="Y1695" i="48"/>
  <c r="W1695" i="48"/>
  <c r="S1695" i="48"/>
  <c r="Q1695" i="48"/>
  <c r="O1695" i="48"/>
  <c r="AC1692" i="48"/>
  <c r="AA1692" i="48"/>
  <c r="Y1692" i="48"/>
  <c r="W1692" i="48"/>
  <c r="S1692" i="48"/>
  <c r="Q1692" i="48"/>
  <c r="O1692" i="48"/>
  <c r="AC1690" i="48"/>
  <c r="AA1690" i="48"/>
  <c r="Y1690" i="48"/>
  <c r="W1690" i="48"/>
  <c r="S1690" i="48"/>
  <c r="Q1690" i="48"/>
  <c r="O1690" i="48"/>
  <c r="AC1689" i="48"/>
  <c r="AA1689" i="48"/>
  <c r="Y1689" i="48"/>
  <c r="W1689" i="48"/>
  <c r="S1689" i="48"/>
  <c r="Q1689" i="48"/>
  <c r="O1689" i="48"/>
  <c r="AC1688" i="48"/>
  <c r="AA1688" i="48"/>
  <c r="Y1688" i="48"/>
  <c r="W1688" i="48"/>
  <c r="S1688" i="48"/>
  <c r="Q1688" i="48"/>
  <c r="O1688" i="48"/>
  <c r="AC1687" i="48"/>
  <c r="AA1687" i="48"/>
  <c r="Y1687" i="48"/>
  <c r="W1687" i="48"/>
  <c r="S1687" i="48"/>
  <c r="Q1687" i="48"/>
  <c r="O1687" i="48"/>
  <c r="AC1683" i="48"/>
  <c r="AA1683" i="48"/>
  <c r="Y1683" i="48"/>
  <c r="W1683" i="48"/>
  <c r="S1683" i="48"/>
  <c r="Q1683" i="48"/>
  <c r="O1683" i="48"/>
  <c r="AC1682" i="48"/>
  <c r="AA1682" i="48"/>
  <c r="Y1682" i="48"/>
  <c r="W1682" i="48"/>
  <c r="S1682" i="48"/>
  <c r="Q1682" i="48"/>
  <c r="O1682" i="48"/>
  <c r="AC1681" i="48"/>
  <c r="AA1681" i="48"/>
  <c r="Y1681" i="48"/>
  <c r="W1681" i="48"/>
  <c r="S1681" i="48"/>
  <c r="Q1681" i="48"/>
  <c r="O1681" i="48"/>
  <c r="AC1680" i="48"/>
  <c r="AA1680" i="48"/>
  <c r="Y1680" i="48"/>
  <c r="W1680" i="48"/>
  <c r="S1680" i="48"/>
  <c r="Q1680" i="48"/>
  <c r="O1680" i="48"/>
  <c r="AC1679" i="48"/>
  <c r="AA1679" i="48"/>
  <c r="Y1679" i="48"/>
  <c r="W1679" i="48"/>
  <c r="S1679" i="48"/>
  <c r="Q1679" i="48"/>
  <c r="O1679" i="48"/>
  <c r="AC1674" i="48"/>
  <c r="AA1674" i="48"/>
  <c r="Y1674" i="48"/>
  <c r="W1674" i="48"/>
  <c r="S1674" i="48"/>
  <c r="Q1674" i="48"/>
  <c r="O1674" i="48"/>
  <c r="AC1671" i="48"/>
  <c r="AA1671" i="48"/>
  <c r="Y1671" i="48"/>
  <c r="W1671" i="48"/>
  <c r="S1671" i="48"/>
  <c r="Q1671" i="48"/>
  <c r="O1671" i="48"/>
  <c r="AC1668" i="48"/>
  <c r="AA1668" i="48"/>
  <c r="Y1668" i="48"/>
  <c r="W1668" i="48"/>
  <c r="S1668" i="48"/>
  <c r="Q1668" i="48"/>
  <c r="O1668" i="48"/>
  <c r="AC1665" i="48"/>
  <c r="AA1665" i="48"/>
  <c r="Y1665" i="48"/>
  <c r="W1665" i="48"/>
  <c r="S1665" i="48"/>
  <c r="Q1665" i="48"/>
  <c r="O1665" i="48"/>
  <c r="AC1663" i="48"/>
  <c r="AA1663" i="48"/>
  <c r="Y1663" i="48"/>
  <c r="W1663" i="48"/>
  <c r="S1663" i="48"/>
  <c r="Q1663" i="48"/>
  <c r="O1663" i="48"/>
  <c r="AC1659" i="48"/>
  <c r="AA1659" i="48"/>
  <c r="Y1659" i="48"/>
  <c r="W1659" i="48"/>
  <c r="S1659" i="48"/>
  <c r="Q1659" i="48"/>
  <c r="O1659" i="48"/>
  <c r="AC1655" i="48"/>
  <c r="AA1655" i="48"/>
  <c r="Y1655" i="48"/>
  <c r="W1655" i="48"/>
  <c r="S1655" i="48"/>
  <c r="Q1655" i="48"/>
  <c r="O1655" i="48"/>
  <c r="AC1651" i="48"/>
  <c r="AA1651" i="48"/>
  <c r="Y1651" i="48"/>
  <c r="W1651" i="48"/>
  <c r="S1651" i="48"/>
  <c r="Q1651" i="48"/>
  <c r="O1651" i="48"/>
  <c r="AC1646" i="48"/>
  <c r="AA1646" i="48"/>
  <c r="Y1646" i="48"/>
  <c r="W1646" i="48"/>
  <c r="S1646" i="48"/>
  <c r="Q1646" i="48"/>
  <c r="O1646" i="48"/>
  <c r="AC1640" i="48"/>
  <c r="AA1640" i="48"/>
  <c r="Y1640" i="48"/>
  <c r="W1640" i="48"/>
  <c r="S1640" i="48"/>
  <c r="Q1640" i="48"/>
  <c r="O1640" i="48"/>
  <c r="AC1637" i="48"/>
  <c r="AA1637" i="48"/>
  <c r="Y1637" i="48"/>
  <c r="W1637" i="48"/>
  <c r="S1637" i="48"/>
  <c r="Q1637" i="48"/>
  <c r="O1637" i="48"/>
  <c r="AC1634" i="48"/>
  <c r="AA1634" i="48"/>
  <c r="Y1634" i="48"/>
  <c r="W1634" i="48"/>
  <c r="S1634" i="48"/>
  <c r="Q1634" i="48"/>
  <c r="O1634" i="48"/>
  <c r="AC1631" i="48"/>
  <c r="AA1631" i="48"/>
  <c r="Y1631" i="48"/>
  <c r="W1631" i="48"/>
  <c r="S1631" i="48"/>
  <c r="Q1631" i="48"/>
  <c r="O1631" i="48"/>
  <c r="AC1629" i="48"/>
  <c r="AA1629" i="48"/>
  <c r="Y1629" i="48"/>
  <c r="W1629" i="48"/>
  <c r="S1629" i="48"/>
  <c r="Q1629" i="48"/>
  <c r="O1629" i="48"/>
  <c r="AC1624" i="48"/>
  <c r="AA1624" i="48"/>
  <c r="Y1624" i="48"/>
  <c r="W1624" i="48"/>
  <c r="S1624" i="48"/>
  <c r="Q1624" i="48"/>
  <c r="O1624" i="48"/>
  <c r="AC1621" i="48"/>
  <c r="AA1621" i="48"/>
  <c r="Y1621" i="48"/>
  <c r="W1621" i="48"/>
  <c r="S1621" i="48"/>
  <c r="Q1621" i="48"/>
  <c r="O1621" i="48"/>
  <c r="AC1618" i="48"/>
  <c r="AA1618" i="48"/>
  <c r="Y1618" i="48"/>
  <c r="W1618" i="48"/>
  <c r="S1618" i="48"/>
  <c r="Q1618" i="48"/>
  <c r="O1618" i="48"/>
  <c r="AC1614" i="48"/>
  <c r="AA1614" i="48"/>
  <c r="Y1614" i="48"/>
  <c r="W1614" i="48"/>
  <c r="S1614" i="48"/>
  <c r="Q1614" i="48"/>
  <c r="O1614" i="48"/>
  <c r="AC1611" i="48"/>
  <c r="AA1611" i="48"/>
  <c r="Y1611" i="48"/>
  <c r="W1611" i="48"/>
  <c r="S1611" i="48"/>
  <c r="Q1611" i="48"/>
  <c r="O1611" i="48"/>
  <c r="AC1609" i="48"/>
  <c r="AA1609" i="48"/>
  <c r="Y1609" i="48"/>
  <c r="W1609" i="48"/>
  <c r="S1609" i="48"/>
  <c r="Q1609" i="48"/>
  <c r="O1609" i="48"/>
  <c r="AC1605" i="48"/>
  <c r="AA1605" i="48"/>
  <c r="Y1605" i="48"/>
  <c r="W1605" i="48"/>
  <c r="S1605" i="48"/>
  <c r="Q1605" i="48"/>
  <c r="O1605" i="48"/>
  <c r="AC1599" i="48"/>
  <c r="AA1599" i="48"/>
  <c r="Y1599" i="48"/>
  <c r="W1599" i="48"/>
  <c r="S1599" i="48"/>
  <c r="Q1599" i="48"/>
  <c r="O1599" i="48"/>
  <c r="A1595" i="48"/>
  <c r="A1601" i="48" s="1"/>
  <c r="AC1593" i="48"/>
  <c r="AA1593" i="48"/>
  <c r="Y1593" i="48"/>
  <c r="W1593" i="48"/>
  <c r="S1593" i="48"/>
  <c r="Q1593" i="48"/>
  <c r="O1593" i="48"/>
  <c r="AC1584" i="48"/>
  <c r="AA1584" i="48"/>
  <c r="Y1584" i="48"/>
  <c r="W1584" i="48"/>
  <c r="S1582" i="48"/>
  <c r="S1579" i="48"/>
  <c r="H1579" i="48" s="1"/>
  <c r="F1579" i="48"/>
  <c r="R1576" i="48"/>
  <c r="S1576" i="48" s="1"/>
  <c r="H1576" i="48" s="1"/>
  <c r="R1573" i="48"/>
  <c r="S1570" i="48"/>
  <c r="H1570" i="48" s="1"/>
  <c r="S1567" i="48"/>
  <c r="H1567" i="48" s="1"/>
  <c r="S1564" i="48"/>
  <c r="H1564" i="48" s="1"/>
  <c r="S1561" i="48"/>
  <c r="H1561" i="48" s="1"/>
  <c r="F1561" i="48"/>
  <c r="S1558" i="48"/>
  <c r="H1558" i="48" s="1"/>
  <c r="S1555" i="48"/>
  <c r="H1555" i="48" s="1"/>
  <c r="S1552" i="48"/>
  <c r="H1552" i="48" s="1"/>
  <c r="S1546" i="48"/>
  <c r="H1546" i="48" s="1"/>
  <c r="F1546" i="48"/>
  <c r="S1543" i="48"/>
  <c r="H1543" i="48" s="1"/>
  <c r="F1543" i="48"/>
  <c r="S1540" i="48"/>
  <c r="H1540" i="48" s="1"/>
  <c r="F1540" i="48"/>
  <c r="R1524" i="48"/>
  <c r="S1521" i="48"/>
  <c r="H1521" i="48" s="1"/>
  <c r="F1521" i="48"/>
  <c r="S1518" i="48"/>
  <c r="H1518" i="48" s="1"/>
  <c r="F1518" i="48"/>
  <c r="S1515" i="48"/>
  <c r="H1515" i="48" s="1"/>
  <c r="F1515" i="48"/>
  <c r="S1512" i="48"/>
  <c r="H1512" i="48" s="1"/>
  <c r="F1512" i="48"/>
  <c r="S1507" i="48"/>
  <c r="H1507" i="48" s="1"/>
  <c r="F1507" i="48"/>
  <c r="S1504" i="48"/>
  <c r="H1504" i="48" s="1"/>
  <c r="F1504" i="48"/>
  <c r="R1499" i="48"/>
  <c r="S1496" i="48"/>
  <c r="H1496" i="48" s="1"/>
  <c r="F1496" i="48"/>
  <c r="S1493" i="48"/>
  <c r="H1493" i="48" s="1"/>
  <c r="F1493" i="48"/>
  <c r="S1488" i="48"/>
  <c r="H1488" i="48" s="1"/>
  <c r="F1488" i="48"/>
  <c r="R1485" i="48"/>
  <c r="F1485" i="48" s="1"/>
  <c r="R1482" i="48"/>
  <c r="S1482" i="48" s="1"/>
  <c r="H1482" i="48" s="1"/>
  <c r="S1479" i="48"/>
  <c r="H1479" i="48" s="1"/>
  <c r="F1479" i="48"/>
  <c r="S1476" i="48"/>
  <c r="H1476" i="48" s="1"/>
  <c r="F1476" i="48"/>
  <c r="R1473" i="48"/>
  <c r="S1473" i="48" s="1"/>
  <c r="H1473" i="48" s="1"/>
  <c r="R1470" i="48"/>
  <c r="R1467" i="48"/>
  <c r="S1467" i="48" s="1"/>
  <c r="H1467" i="48" s="1"/>
  <c r="R1464" i="48"/>
  <c r="R1461" i="48"/>
  <c r="S1461" i="48" s="1"/>
  <c r="H1461" i="48" s="1"/>
  <c r="S1458" i="48"/>
  <c r="H1458" i="48" s="1"/>
  <c r="F1458" i="48"/>
  <c r="R1453" i="48"/>
  <c r="F1453" i="48" s="1"/>
  <c r="R1450" i="48"/>
  <c r="F1450" i="48" s="1"/>
  <c r="R1447" i="48"/>
  <c r="F1447" i="48" s="1"/>
  <c r="R1444" i="48"/>
  <c r="S1444" i="48" s="1"/>
  <c r="H1444" i="48" s="1"/>
  <c r="R1441" i="48"/>
  <c r="F1441" i="48" s="1"/>
  <c r="R1438" i="48"/>
  <c r="F1438" i="48" s="1"/>
  <c r="R1435" i="48"/>
  <c r="F1435" i="48" s="1"/>
  <c r="R1432" i="48"/>
  <c r="S1432" i="48" s="1"/>
  <c r="H1432" i="48" s="1"/>
  <c r="R1429" i="48"/>
  <c r="R1426" i="48"/>
  <c r="R1421" i="48"/>
  <c r="F1421" i="48" s="1"/>
  <c r="R1418" i="48"/>
  <c r="F1418" i="48" s="1"/>
  <c r="R1413" i="48"/>
  <c r="F1413" i="48" s="1"/>
  <c r="R1410" i="48"/>
  <c r="F1410" i="48" s="1"/>
  <c r="R1407" i="48"/>
  <c r="F1407" i="48" s="1"/>
  <c r="R1404" i="48"/>
  <c r="S1404" i="48" s="1"/>
  <c r="H1404" i="48" s="1"/>
  <c r="R1401" i="48"/>
  <c r="F1401" i="48" s="1"/>
  <c r="R1398" i="48"/>
  <c r="F1398" i="48" s="1"/>
  <c r="R1395" i="48"/>
  <c r="F1395" i="48" s="1"/>
  <c r="R1392" i="48"/>
  <c r="S1392" i="48" s="1"/>
  <c r="H1392" i="48" s="1"/>
  <c r="R1389" i="48"/>
  <c r="F1389" i="48" s="1"/>
  <c r="R1386" i="48"/>
  <c r="F1386" i="48" s="1"/>
  <c r="S1381" i="48"/>
  <c r="H1381" i="48" s="1"/>
  <c r="F1381" i="48"/>
  <c r="R1378" i="48"/>
  <c r="S1378" i="48" s="1"/>
  <c r="H1378" i="48" s="1"/>
  <c r="S1375" i="48"/>
  <c r="H1375" i="48" s="1"/>
  <c r="F1375" i="48"/>
  <c r="R1372" i="48"/>
  <c r="R1369" i="48"/>
  <c r="S1366" i="48"/>
  <c r="H1366" i="48" s="1"/>
  <c r="F1366" i="48"/>
  <c r="S1363" i="48"/>
  <c r="H1363" i="48" s="1"/>
  <c r="F1363" i="48"/>
  <c r="S1360" i="48"/>
  <c r="H1360" i="48" s="1"/>
  <c r="F1360" i="48"/>
  <c r="S1357" i="48"/>
  <c r="H1357" i="48" s="1"/>
  <c r="F1357" i="48"/>
  <c r="R1352" i="48"/>
  <c r="F1352" i="48" s="1"/>
  <c r="R1349" i="48"/>
  <c r="S1349" i="48" s="1"/>
  <c r="H1349" i="48" s="1"/>
  <c r="R1346" i="48"/>
  <c r="S1346" i="48" s="1"/>
  <c r="H1346" i="48" s="1"/>
  <c r="R1343" i="48"/>
  <c r="R1340" i="48"/>
  <c r="R1337" i="48"/>
  <c r="S1332" i="48"/>
  <c r="H1332" i="48" s="1"/>
  <c r="F1332" i="48"/>
  <c r="S1329" i="48"/>
  <c r="H1329" i="48" s="1"/>
  <c r="F1329" i="48"/>
  <c r="S1326" i="48"/>
  <c r="H1326" i="48" s="1"/>
  <c r="F1326" i="48"/>
  <c r="S1323" i="48"/>
  <c r="H1323" i="48" s="1"/>
  <c r="F1323" i="48"/>
  <c r="S1320" i="48"/>
  <c r="H1320" i="48" s="1"/>
  <c r="F1320" i="48"/>
  <c r="S1317" i="48"/>
  <c r="H1317" i="48" s="1"/>
  <c r="F1317" i="48"/>
  <c r="S1314" i="48"/>
  <c r="H1314" i="48" s="1"/>
  <c r="F1314" i="48"/>
  <c r="S1310" i="48"/>
  <c r="H1310" i="48" s="1"/>
  <c r="F1310" i="48"/>
  <c r="R1307" i="48"/>
  <c r="S1304" i="48"/>
  <c r="H1304" i="48" s="1"/>
  <c r="F1304" i="48"/>
  <c r="S1301" i="48"/>
  <c r="H1301" i="48" s="1"/>
  <c r="F1301" i="48"/>
  <c r="S1298" i="48"/>
  <c r="H1298" i="48" s="1"/>
  <c r="F1298" i="48"/>
  <c r="R1293" i="48"/>
  <c r="R1292" i="48"/>
  <c r="R1287" i="48"/>
  <c r="R1286" i="48"/>
  <c r="R1285" i="48"/>
  <c r="R1284" i="48"/>
  <c r="R1279" i="48"/>
  <c r="R1274" i="48"/>
  <c r="R1273" i="48"/>
  <c r="R1269" i="48"/>
  <c r="S1269" i="48" s="1"/>
  <c r="H1269" i="48" s="1"/>
  <c r="S1264" i="48"/>
  <c r="H1264" i="48" s="1"/>
  <c r="F1264" i="48"/>
  <c r="R1261" i="48"/>
  <c r="R1260" i="48"/>
  <c r="R1256" i="48"/>
  <c r="F1256" i="48" s="1"/>
  <c r="R1252" i="48"/>
  <c r="F1252" i="48" s="1"/>
  <c r="R1251" i="48"/>
  <c r="R1250" i="48"/>
  <c r="S1250" i="48" s="1"/>
  <c r="H1250" i="48" s="1"/>
  <c r="R1249" i="48"/>
  <c r="S1249" i="48" s="1"/>
  <c r="H1249" i="48" s="1"/>
  <c r="R1245" i="48"/>
  <c r="F1245" i="48" s="1"/>
  <c r="R1244" i="48"/>
  <c r="S1244" i="48" s="1"/>
  <c r="U1234" i="48"/>
  <c r="H1234" i="48" s="1"/>
  <c r="F1234" i="48"/>
  <c r="U1229" i="48"/>
  <c r="H1229" i="48" s="1"/>
  <c r="F1229" i="48"/>
  <c r="U1224" i="48"/>
  <c r="H1224" i="48" s="1"/>
  <c r="F1224" i="48"/>
  <c r="U1220" i="48"/>
  <c r="H1220" i="48" s="1"/>
  <c r="F1220" i="48"/>
  <c r="U1219" i="48"/>
  <c r="H1219" i="48" s="1"/>
  <c r="F1219" i="48"/>
  <c r="U1215" i="48"/>
  <c r="H1215" i="48" s="1"/>
  <c r="F1215" i="48"/>
  <c r="U1208" i="48"/>
  <c r="H1208" i="48" s="1"/>
  <c r="F1208" i="48"/>
  <c r="U1206" i="48"/>
  <c r="H1206" i="48" s="1"/>
  <c r="F1206" i="48"/>
  <c r="T1201" i="48"/>
  <c r="U1201" i="48" s="1"/>
  <c r="H1201" i="48" s="1"/>
  <c r="T1197" i="48"/>
  <c r="U1191" i="48"/>
  <c r="H1191" i="48" s="1"/>
  <c r="F1191" i="48"/>
  <c r="U1190" i="48"/>
  <c r="H1190" i="48" s="1"/>
  <c r="F1190" i="48"/>
  <c r="U1186" i="48"/>
  <c r="H1186" i="48" s="1"/>
  <c r="F1186" i="48"/>
  <c r="T1181" i="48"/>
  <c r="T1182" i="48" s="1"/>
  <c r="U1182" i="48" s="1"/>
  <c r="H1182" i="48" s="1"/>
  <c r="F1180" i="48"/>
  <c r="U1175" i="48"/>
  <c r="H1175" i="48" s="1"/>
  <c r="F1175" i="48"/>
  <c r="U1170" i="48"/>
  <c r="H1170" i="48" s="1"/>
  <c r="F1170" i="48"/>
  <c r="U1165" i="48"/>
  <c r="H1165" i="48" s="1"/>
  <c r="F1165" i="48"/>
  <c r="U1160" i="48"/>
  <c r="F1160" i="48"/>
  <c r="U1151" i="48"/>
  <c r="AC1149" i="48"/>
  <c r="AC1151" i="48" s="1"/>
  <c r="AA1149" i="48"/>
  <c r="AA1151" i="48" s="1"/>
  <c r="Y1149" i="48"/>
  <c r="Y1151" i="48" s="1"/>
  <c r="W1149" i="48"/>
  <c r="W1151" i="48" s="1"/>
  <c r="S1149" i="48"/>
  <c r="S1151" i="48" s="1"/>
  <c r="Q1149" i="48"/>
  <c r="Q1151" i="48" s="1"/>
  <c r="O1149" i="48"/>
  <c r="O1151" i="48" s="1"/>
  <c r="F1149" i="48"/>
  <c r="AC1144" i="48"/>
  <c r="AA1144" i="48"/>
  <c r="Y1144" i="48"/>
  <c r="U1144" i="48"/>
  <c r="S1144" i="48"/>
  <c r="Q1144" i="48"/>
  <c r="O1144" i="48"/>
  <c r="W1141" i="48"/>
  <c r="H1141" i="48" s="1"/>
  <c r="F1141" i="48"/>
  <c r="W1132" i="48"/>
  <c r="H1132" i="48" s="1"/>
  <c r="F1132" i="48"/>
  <c r="W1129" i="48"/>
  <c r="H1129" i="48" s="1"/>
  <c r="F1129" i="48"/>
  <c r="W1120" i="48"/>
  <c r="H1120" i="48" s="1"/>
  <c r="F1120" i="48"/>
  <c r="W1113" i="48"/>
  <c r="H1113" i="48" s="1"/>
  <c r="F1113" i="48"/>
  <c r="W1104" i="48"/>
  <c r="H1104" i="48" s="1"/>
  <c r="F1104" i="48"/>
  <c r="W1097" i="48"/>
  <c r="H1097" i="48" s="1"/>
  <c r="F1097" i="48"/>
  <c r="W1094" i="48"/>
  <c r="H1094" i="48" s="1"/>
  <c r="F1094" i="48"/>
  <c r="W1087" i="48"/>
  <c r="H1087" i="48" s="1"/>
  <c r="F1087" i="48"/>
  <c r="W1082" i="48"/>
  <c r="H1082" i="48" s="1"/>
  <c r="F1082" i="48"/>
  <c r="W1073" i="48"/>
  <c r="H1073" i="48" s="1"/>
  <c r="F1073" i="48"/>
  <c r="W1064" i="48"/>
  <c r="H1064" i="48" s="1"/>
  <c r="F1064" i="48"/>
  <c r="W1061" i="48"/>
  <c r="H1061" i="48" s="1"/>
  <c r="F1061" i="48"/>
  <c r="V1053" i="48"/>
  <c r="F1053" i="48" s="1"/>
  <c r="W1046" i="48"/>
  <c r="H1046" i="48" s="1"/>
  <c r="F1046" i="48"/>
  <c r="W1041" i="48"/>
  <c r="H1041" i="48" s="1"/>
  <c r="F1041" i="48"/>
  <c r="W1034" i="48"/>
  <c r="H1034" i="48" s="1"/>
  <c r="F1034" i="48"/>
  <c r="W1025" i="48"/>
  <c r="H1025" i="48" s="1"/>
  <c r="F1025" i="48"/>
  <c r="W1020" i="48"/>
  <c r="H1020" i="48" s="1"/>
  <c r="F1020" i="48"/>
  <c r="W1013" i="48"/>
  <c r="H1013" i="48" s="1"/>
  <c r="F1013" i="48"/>
  <c r="W1008" i="48"/>
  <c r="H1008" i="48" s="1"/>
  <c r="F1008" i="48"/>
  <c r="U995" i="48"/>
  <c r="AC992" i="48"/>
  <c r="AA992" i="48"/>
  <c r="Y992" i="48"/>
  <c r="W992" i="48"/>
  <c r="S992" i="48"/>
  <c r="Q992" i="48"/>
  <c r="O992" i="48"/>
  <c r="F992" i="48"/>
  <c r="AC989" i="48"/>
  <c r="AA989" i="48"/>
  <c r="Y989" i="48"/>
  <c r="W989" i="48"/>
  <c r="S989" i="48"/>
  <c r="Q989" i="48"/>
  <c r="O989" i="48"/>
  <c r="F989" i="48"/>
  <c r="AC986" i="48"/>
  <c r="AA986" i="48"/>
  <c r="Y986" i="48"/>
  <c r="W986" i="48"/>
  <c r="S986" i="48"/>
  <c r="Q986" i="48"/>
  <c r="O986" i="48"/>
  <c r="F986" i="48"/>
  <c r="AB983" i="48"/>
  <c r="F983" i="48" s="1"/>
  <c r="AB981" i="48"/>
  <c r="AC981" i="48" s="1"/>
  <c r="Z981" i="48"/>
  <c r="AA981" i="48" s="1"/>
  <c r="V981" i="48"/>
  <c r="W981" i="48" s="1"/>
  <c r="R981" i="48"/>
  <c r="S981" i="48" s="1"/>
  <c r="P981" i="48"/>
  <c r="Q981" i="48" s="1"/>
  <c r="N981" i="48"/>
  <c r="O981" i="48" s="1"/>
  <c r="X980" i="48"/>
  <c r="X977" i="48"/>
  <c r="X976" i="48"/>
  <c r="AC967" i="48"/>
  <c r="AA967" i="48"/>
  <c r="Y967" i="48"/>
  <c r="V967" i="48"/>
  <c r="W967" i="48" s="1"/>
  <c r="S967" i="48"/>
  <c r="Q967" i="48"/>
  <c r="O967" i="48"/>
  <c r="AB965" i="48"/>
  <c r="AC965" i="48" s="1"/>
  <c r="X965" i="48"/>
  <c r="Y965" i="48" s="1"/>
  <c r="V965" i="48"/>
  <c r="W965" i="48" s="1"/>
  <c r="R965" i="48"/>
  <c r="S965" i="48" s="1"/>
  <c r="P965" i="48"/>
  <c r="Q965" i="48" s="1"/>
  <c r="N965" i="48"/>
  <c r="O965" i="48" s="1"/>
  <c r="Z961" i="48"/>
  <c r="Z965" i="48" s="1"/>
  <c r="AA965" i="48" s="1"/>
  <c r="AC954" i="48"/>
  <c r="AA954" i="48"/>
  <c r="Y954" i="48"/>
  <c r="W954" i="48"/>
  <c r="S954" i="48"/>
  <c r="Q954" i="48"/>
  <c r="N954" i="48"/>
  <c r="F954" i="48" s="1"/>
  <c r="Z952" i="48"/>
  <c r="AA952" i="48" s="1"/>
  <c r="X952" i="48"/>
  <c r="Y952" i="48" s="1"/>
  <c r="V952" i="48"/>
  <c r="W952" i="48" s="1"/>
  <c r="P948" i="48"/>
  <c r="N948" i="48"/>
  <c r="R947" i="48"/>
  <c r="P947" i="48"/>
  <c r="N947" i="48"/>
  <c r="R946" i="48"/>
  <c r="P946" i="48"/>
  <c r="N946" i="48"/>
  <c r="R945" i="48"/>
  <c r="P945" i="48"/>
  <c r="N945" i="48"/>
  <c r="AA939" i="48"/>
  <c r="Z937" i="48"/>
  <c r="AA937" i="48" s="1"/>
  <c r="V937" i="48"/>
  <c r="W937" i="48" s="1"/>
  <c r="R933" i="48"/>
  <c r="R948" i="48" s="1"/>
  <c r="P937" i="48"/>
  <c r="Q937" i="48" s="1"/>
  <c r="N933" i="48"/>
  <c r="T937" i="48"/>
  <c r="U937" i="48" s="1"/>
  <c r="Z923" i="48"/>
  <c r="AA923" i="48" s="1"/>
  <c r="X923" i="48"/>
  <c r="Y923" i="48" s="1"/>
  <c r="AC920" i="48"/>
  <c r="V920" i="48"/>
  <c r="W920" i="48" s="1"/>
  <c r="T920" i="48"/>
  <c r="U920" i="48" s="1"/>
  <c r="S920" i="48"/>
  <c r="O920" i="48"/>
  <c r="Z917" i="48"/>
  <c r="AA917" i="48" s="1"/>
  <c r="U907" i="48"/>
  <c r="AC904" i="48"/>
  <c r="AA904" i="48"/>
  <c r="Y904" i="48"/>
  <c r="W904" i="48"/>
  <c r="S904" i="48"/>
  <c r="Q904" i="48"/>
  <c r="O904" i="48"/>
  <c r="F904" i="48"/>
  <c r="AC901" i="48"/>
  <c r="AA901" i="48"/>
  <c r="Y901" i="48"/>
  <c r="W901" i="48"/>
  <c r="S901" i="48"/>
  <c r="Q901" i="48"/>
  <c r="O901" i="48"/>
  <c r="F901" i="48"/>
  <c r="AC898" i="48"/>
  <c r="AA898" i="48"/>
  <c r="Y898" i="48"/>
  <c r="W898" i="48"/>
  <c r="S898" i="48"/>
  <c r="Q898" i="48"/>
  <c r="O898" i="48"/>
  <c r="F898" i="48"/>
  <c r="AC895" i="48"/>
  <c r="AA895" i="48"/>
  <c r="Y895" i="48"/>
  <c r="W895" i="48"/>
  <c r="S895" i="48"/>
  <c r="Q895" i="48"/>
  <c r="O895" i="48"/>
  <c r="F895" i="48"/>
  <c r="AC892" i="48"/>
  <c r="AA892" i="48"/>
  <c r="Y892" i="48"/>
  <c r="W892" i="48"/>
  <c r="S892" i="48"/>
  <c r="Q892" i="48"/>
  <c r="O892" i="48"/>
  <c r="F892" i="48"/>
  <c r="AC889" i="48"/>
  <c r="AA889" i="48"/>
  <c r="Y889" i="48"/>
  <c r="W889" i="48"/>
  <c r="S889" i="48"/>
  <c r="Q889" i="48"/>
  <c r="O889" i="48"/>
  <c r="F889" i="48"/>
  <c r="AC886" i="48"/>
  <c r="AA886" i="48"/>
  <c r="Y886" i="48"/>
  <c r="W886" i="48"/>
  <c r="S886" i="48"/>
  <c r="Q886" i="48"/>
  <c r="O886" i="48"/>
  <c r="F886" i="48"/>
  <c r="AC883" i="48"/>
  <c r="AA883" i="48"/>
  <c r="Y883" i="48"/>
  <c r="W883" i="48"/>
  <c r="S883" i="48"/>
  <c r="Q883" i="48"/>
  <c r="O883" i="48"/>
  <c r="F883" i="48"/>
  <c r="U880" i="48"/>
  <c r="AC877" i="48"/>
  <c r="AA877" i="48"/>
  <c r="Y877" i="48"/>
  <c r="W877" i="48"/>
  <c r="S877" i="48"/>
  <c r="P877" i="48"/>
  <c r="O877" i="48"/>
  <c r="AC874" i="48"/>
  <c r="AA874" i="48"/>
  <c r="Y874" i="48"/>
  <c r="W874" i="48"/>
  <c r="S874" i="48"/>
  <c r="Q874" i="48"/>
  <c r="O874" i="48"/>
  <c r="F874" i="48"/>
  <c r="AC871" i="48"/>
  <c r="AA871" i="48"/>
  <c r="Y871" i="48"/>
  <c r="W871" i="48"/>
  <c r="S871" i="48"/>
  <c r="Q871" i="48"/>
  <c r="O871" i="48"/>
  <c r="F871" i="48"/>
  <c r="AC868" i="48"/>
  <c r="AA868" i="48"/>
  <c r="Y868" i="48"/>
  <c r="W868" i="48"/>
  <c r="S868" i="48"/>
  <c r="Q868" i="48"/>
  <c r="O868" i="48"/>
  <c r="F868" i="48"/>
  <c r="AC865" i="48"/>
  <c r="AA865" i="48"/>
  <c r="Y865" i="48"/>
  <c r="W865" i="48"/>
  <c r="S865" i="48"/>
  <c r="Q865" i="48"/>
  <c r="O865" i="48"/>
  <c r="F865" i="48"/>
  <c r="AC862" i="48"/>
  <c r="AA862" i="48"/>
  <c r="Y862" i="48"/>
  <c r="W862" i="48"/>
  <c r="S862" i="48"/>
  <c r="Q862" i="48"/>
  <c r="N862" i="48"/>
  <c r="O862" i="48" s="1"/>
  <c r="AC859" i="48"/>
  <c r="AA859" i="48"/>
  <c r="Y859" i="48"/>
  <c r="W859" i="48"/>
  <c r="S859" i="48"/>
  <c r="P859" i="48"/>
  <c r="Q859" i="48" s="1"/>
  <c r="N859" i="48"/>
  <c r="O859" i="48" s="1"/>
  <c r="AC856" i="48"/>
  <c r="AA856" i="48"/>
  <c r="Y856" i="48"/>
  <c r="W856" i="48"/>
  <c r="S856" i="48"/>
  <c r="Q856" i="48"/>
  <c r="O856" i="48"/>
  <c r="F856" i="48"/>
  <c r="AC853" i="48"/>
  <c r="AA853" i="48"/>
  <c r="Y853" i="48"/>
  <c r="W853" i="48"/>
  <c r="S853" i="48"/>
  <c r="Q853" i="48"/>
  <c r="O853" i="48"/>
  <c r="F853" i="48"/>
  <c r="AC850" i="48"/>
  <c r="AA850" i="48"/>
  <c r="Y850" i="48"/>
  <c r="W850" i="48"/>
  <c r="S850" i="48"/>
  <c r="Q850" i="48"/>
  <c r="O850" i="48"/>
  <c r="F850" i="48"/>
  <c r="AC844" i="48"/>
  <c r="AA844" i="48"/>
  <c r="Y844" i="48"/>
  <c r="W844" i="48"/>
  <c r="S844" i="48"/>
  <c r="Q844" i="48"/>
  <c r="Q841" i="48"/>
  <c r="N841" i="48"/>
  <c r="N844" i="48" s="1"/>
  <c r="W841" i="48"/>
  <c r="AC839" i="48"/>
  <c r="AA839" i="48"/>
  <c r="Y839" i="48"/>
  <c r="W839" i="48"/>
  <c r="S839" i="48"/>
  <c r="P839" i="48"/>
  <c r="Q839" i="48" s="1"/>
  <c r="O839" i="48"/>
  <c r="AC838" i="48"/>
  <c r="AA838" i="48"/>
  <c r="Y838" i="48"/>
  <c r="W838" i="48"/>
  <c r="S838" i="48"/>
  <c r="P838" i="48"/>
  <c r="F838" i="48" s="1"/>
  <c r="O838" i="48"/>
  <c r="AC833" i="48"/>
  <c r="AA833" i="48"/>
  <c r="Y833" i="48"/>
  <c r="W833" i="48"/>
  <c r="S833" i="48"/>
  <c r="Q833" i="48"/>
  <c r="O833" i="48"/>
  <c r="F833" i="48"/>
  <c r="AC830" i="48"/>
  <c r="AA830" i="48"/>
  <c r="Y830" i="48"/>
  <c r="W830" i="48"/>
  <c r="S830" i="48"/>
  <c r="Q830" i="48"/>
  <c r="O830" i="48"/>
  <c r="F830" i="48"/>
  <c r="AC827" i="48"/>
  <c r="AA827" i="48"/>
  <c r="Y827" i="48"/>
  <c r="W827" i="48"/>
  <c r="R827" i="48"/>
  <c r="S827" i="48" s="1"/>
  <c r="N827" i="48"/>
  <c r="O827" i="48" s="1"/>
  <c r="AC825" i="48"/>
  <c r="AA825" i="48"/>
  <c r="Y825" i="48"/>
  <c r="W825" i="48"/>
  <c r="S825" i="48"/>
  <c r="P825" i="48"/>
  <c r="O825" i="48"/>
  <c r="AC824" i="48"/>
  <c r="AA824" i="48"/>
  <c r="Y824" i="48"/>
  <c r="W824" i="48"/>
  <c r="S824" i="48"/>
  <c r="Q824" i="48"/>
  <c r="O824" i="48"/>
  <c r="F824" i="48"/>
  <c r="AC820" i="48"/>
  <c r="AA820" i="48"/>
  <c r="Y820" i="48"/>
  <c r="W820" i="48"/>
  <c r="S820" i="48"/>
  <c r="Q820" i="48"/>
  <c r="O820" i="48"/>
  <c r="F820" i="48"/>
  <c r="AC819" i="48"/>
  <c r="AA819" i="48"/>
  <c r="Y819" i="48"/>
  <c r="W819" i="48"/>
  <c r="S819" i="48"/>
  <c r="Q819" i="48"/>
  <c r="O819" i="48"/>
  <c r="F819" i="48"/>
  <c r="AC818" i="48"/>
  <c r="AA818" i="48"/>
  <c r="Y818" i="48"/>
  <c r="W818" i="48"/>
  <c r="S818" i="48"/>
  <c r="Q818" i="48"/>
  <c r="O818" i="48"/>
  <c r="F818" i="48"/>
  <c r="AC817" i="48"/>
  <c r="AA817" i="48"/>
  <c r="Y817" i="48"/>
  <c r="W817" i="48"/>
  <c r="S817" i="48"/>
  <c r="Q817" i="48"/>
  <c r="O817" i="48"/>
  <c r="F817" i="48"/>
  <c r="AC813" i="48"/>
  <c r="AA813" i="48"/>
  <c r="Y813" i="48"/>
  <c r="W813" i="48"/>
  <c r="S813" i="48"/>
  <c r="Q813" i="48"/>
  <c r="O813" i="48"/>
  <c r="F813" i="48"/>
  <c r="AC812" i="48"/>
  <c r="AA812" i="48"/>
  <c r="Y812" i="48"/>
  <c r="W812" i="48"/>
  <c r="S812" i="48"/>
  <c r="P812" i="48"/>
  <c r="P827" i="48" s="1"/>
  <c r="O812" i="48"/>
  <c r="AC808" i="48"/>
  <c r="AA808" i="48"/>
  <c r="Y808" i="48"/>
  <c r="W808" i="48"/>
  <c r="S808" i="48"/>
  <c r="Q808" i="48"/>
  <c r="O808" i="48"/>
  <c r="F808" i="48"/>
  <c r="AC804" i="48"/>
  <c r="AA804" i="48"/>
  <c r="Y804" i="48"/>
  <c r="W804" i="48"/>
  <c r="S804" i="48"/>
  <c r="Q804" i="48"/>
  <c r="O804" i="48"/>
  <c r="F804" i="48"/>
  <c r="AC803" i="48"/>
  <c r="AA803" i="48"/>
  <c r="Y803" i="48"/>
  <c r="W803" i="48"/>
  <c r="S803" i="48"/>
  <c r="Q803" i="48"/>
  <c r="O803" i="48"/>
  <c r="F803" i="48"/>
  <c r="AC799" i="48"/>
  <c r="AA799" i="48"/>
  <c r="Y799" i="48"/>
  <c r="W799" i="48"/>
  <c r="R799" i="48"/>
  <c r="S799" i="48" s="1"/>
  <c r="Q799" i="48"/>
  <c r="N799" i="48"/>
  <c r="O799" i="48" s="1"/>
  <c r="AC795" i="48"/>
  <c r="AA795" i="48"/>
  <c r="Y795" i="48"/>
  <c r="V795" i="48"/>
  <c r="F795" i="48" s="1"/>
  <c r="S795" i="48"/>
  <c r="Q795" i="48"/>
  <c r="O795" i="48"/>
  <c r="AC794" i="48"/>
  <c r="AA794" i="48"/>
  <c r="Y794" i="48"/>
  <c r="W794" i="48"/>
  <c r="R794" i="48"/>
  <c r="S794" i="48" s="1"/>
  <c r="Q794" i="48"/>
  <c r="O794" i="48"/>
  <c r="AC790" i="48"/>
  <c r="AA790" i="48"/>
  <c r="Y790" i="48"/>
  <c r="W790" i="48"/>
  <c r="U790" i="48"/>
  <c r="S790" i="48"/>
  <c r="Q790" i="48"/>
  <c r="O790" i="48"/>
  <c r="F790" i="48"/>
  <c r="AC789" i="48"/>
  <c r="AA789" i="48"/>
  <c r="Y789" i="48"/>
  <c r="W789" i="48"/>
  <c r="U789" i="48"/>
  <c r="S789" i="48"/>
  <c r="Q789" i="48"/>
  <c r="O789" i="48"/>
  <c r="F789" i="48"/>
  <c r="W788" i="48"/>
  <c r="Q788" i="48"/>
  <c r="O788" i="48"/>
  <c r="AA788" i="48"/>
  <c r="F788" i="48"/>
  <c r="AC787" i="48"/>
  <c r="AA787" i="48"/>
  <c r="Y787" i="48"/>
  <c r="W787" i="48"/>
  <c r="U787" i="48"/>
  <c r="S787" i="48"/>
  <c r="Q787" i="48"/>
  <c r="O787" i="48"/>
  <c r="F787" i="48"/>
  <c r="AC786" i="48"/>
  <c r="AA786" i="48"/>
  <c r="Y786" i="48"/>
  <c r="W786" i="48"/>
  <c r="U786" i="48"/>
  <c r="S786" i="48"/>
  <c r="Q786" i="48"/>
  <c r="O786" i="48"/>
  <c r="F786" i="48"/>
  <c r="AC785" i="48"/>
  <c r="AA785" i="48"/>
  <c r="Y785" i="48"/>
  <c r="W785" i="48"/>
  <c r="U785" i="48"/>
  <c r="S785" i="48"/>
  <c r="Q785" i="48"/>
  <c r="O785" i="48"/>
  <c r="F785" i="48"/>
  <c r="AC784" i="48"/>
  <c r="AA784" i="48"/>
  <c r="Y784" i="48"/>
  <c r="W784" i="48"/>
  <c r="U784" i="48"/>
  <c r="S784" i="48"/>
  <c r="Q784" i="48"/>
  <c r="O784" i="48"/>
  <c r="F784" i="48"/>
  <c r="AC783" i="48"/>
  <c r="AA783" i="48"/>
  <c r="Y783" i="48"/>
  <c r="W783" i="48"/>
  <c r="U783" i="48"/>
  <c r="S783" i="48"/>
  <c r="Q783" i="48"/>
  <c r="O783" i="48"/>
  <c r="F783" i="48"/>
  <c r="AC782" i="48"/>
  <c r="AA782" i="48"/>
  <c r="Y782" i="48"/>
  <c r="W782" i="48"/>
  <c r="U782" i="48"/>
  <c r="S782" i="48"/>
  <c r="Q782" i="48"/>
  <c r="O782" i="48"/>
  <c r="F782" i="48"/>
  <c r="AC781" i="48"/>
  <c r="AA781" i="48"/>
  <c r="Y781" i="48"/>
  <c r="W781" i="48"/>
  <c r="U781" i="48"/>
  <c r="S781" i="48"/>
  <c r="Q781" i="48"/>
  <c r="O781" i="48"/>
  <c r="F781" i="48"/>
  <c r="AC780" i="48"/>
  <c r="AA780" i="48"/>
  <c r="Y780" i="48"/>
  <c r="W780" i="48"/>
  <c r="U780" i="48"/>
  <c r="S780" i="48"/>
  <c r="Q780" i="48"/>
  <c r="O780" i="48"/>
  <c r="F780" i="48"/>
  <c r="O779" i="48"/>
  <c r="H779" i="48" s="1"/>
  <c r="F779" i="48"/>
  <c r="Q775" i="48"/>
  <c r="AC775" i="48"/>
  <c r="F775" i="48"/>
  <c r="AA774" i="48"/>
  <c r="F774" i="48"/>
  <c r="F773" i="48"/>
  <c r="AC772" i="48"/>
  <c r="AA772" i="48"/>
  <c r="Y772" i="48"/>
  <c r="W772" i="48"/>
  <c r="U772" i="48"/>
  <c r="S772" i="48"/>
  <c r="Q772" i="48"/>
  <c r="O772" i="48"/>
  <c r="F772" i="48"/>
  <c r="AC771" i="48"/>
  <c r="AA771" i="48"/>
  <c r="Y771" i="48"/>
  <c r="W771" i="48"/>
  <c r="U771" i="48"/>
  <c r="S771" i="48"/>
  <c r="Q771" i="48"/>
  <c r="O771" i="48"/>
  <c r="F771" i="48"/>
  <c r="AC770" i="48"/>
  <c r="AA770" i="48"/>
  <c r="Y770" i="48"/>
  <c r="W770" i="48"/>
  <c r="U770" i="48"/>
  <c r="S770" i="48"/>
  <c r="Q770" i="48"/>
  <c r="O770" i="48"/>
  <c r="F770" i="48"/>
  <c r="AC769" i="48"/>
  <c r="AA769" i="48"/>
  <c r="Y769" i="48"/>
  <c r="W769" i="48"/>
  <c r="U769" i="48"/>
  <c r="S769" i="48"/>
  <c r="Q769" i="48"/>
  <c r="O769" i="48"/>
  <c r="F769" i="48"/>
  <c r="AC768" i="48"/>
  <c r="AA768" i="48"/>
  <c r="Y768" i="48"/>
  <c r="W768" i="48"/>
  <c r="U768" i="48"/>
  <c r="S768" i="48"/>
  <c r="Q768" i="48"/>
  <c r="O768" i="48"/>
  <c r="F768" i="48"/>
  <c r="AC767" i="48"/>
  <c r="AA767" i="48"/>
  <c r="Y767" i="48"/>
  <c r="W767" i="48"/>
  <c r="U767" i="48"/>
  <c r="S767" i="48"/>
  <c r="Q767" i="48"/>
  <c r="O767" i="48"/>
  <c r="F767" i="48"/>
  <c r="AC766" i="48"/>
  <c r="AA766" i="48"/>
  <c r="Y766" i="48"/>
  <c r="W766" i="48"/>
  <c r="U766" i="48"/>
  <c r="S766" i="48"/>
  <c r="Q766" i="48"/>
  <c r="O766" i="48"/>
  <c r="F766" i="48"/>
  <c r="AC765" i="48"/>
  <c r="AA765" i="48"/>
  <c r="Y765" i="48"/>
  <c r="W765" i="48"/>
  <c r="U765" i="48"/>
  <c r="S765" i="48"/>
  <c r="Q765" i="48"/>
  <c r="O765" i="48"/>
  <c r="F765" i="48"/>
  <c r="AC764" i="48"/>
  <c r="AA764" i="48"/>
  <c r="Y764" i="48"/>
  <c r="W764" i="48"/>
  <c r="U764" i="48"/>
  <c r="S764" i="48"/>
  <c r="Q764" i="48"/>
  <c r="O764" i="48"/>
  <c r="F764" i="48"/>
  <c r="A762" i="48"/>
  <c r="A777" i="48" s="1"/>
  <c r="AC760" i="48"/>
  <c r="AA760" i="48"/>
  <c r="Y760" i="48"/>
  <c r="W760" i="48"/>
  <c r="S760" i="48"/>
  <c r="Q760" i="48"/>
  <c r="O760" i="48"/>
  <c r="F760" i="48"/>
  <c r="AC759" i="48"/>
  <c r="AA759" i="48"/>
  <c r="Y759" i="48"/>
  <c r="W759" i="48"/>
  <c r="S759" i="48"/>
  <c r="Q759" i="48"/>
  <c r="O759" i="48"/>
  <c r="F759" i="48"/>
  <c r="O758" i="48"/>
  <c r="F758" i="48"/>
  <c r="AC757" i="48"/>
  <c r="AA757" i="48"/>
  <c r="Y757" i="48"/>
  <c r="W757" i="48"/>
  <c r="S757" i="48"/>
  <c r="Q757" i="48"/>
  <c r="O757" i="48"/>
  <c r="F757" i="48"/>
  <c r="AC756" i="48"/>
  <c r="AA756" i="48"/>
  <c r="Y756" i="48"/>
  <c r="W756" i="48"/>
  <c r="S756" i="48"/>
  <c r="Q756" i="48"/>
  <c r="O756" i="48"/>
  <c r="F756" i="48"/>
  <c r="AC755" i="48"/>
  <c r="AA755" i="48"/>
  <c r="Y755" i="48"/>
  <c r="W755" i="48"/>
  <c r="S755" i="48"/>
  <c r="Q755" i="48"/>
  <c r="O755" i="48"/>
  <c r="F755" i="48"/>
  <c r="AC754" i="48"/>
  <c r="AA754" i="48"/>
  <c r="Y754" i="48"/>
  <c r="W754" i="48"/>
  <c r="S754" i="48"/>
  <c r="Q754" i="48"/>
  <c r="O754" i="48"/>
  <c r="F754" i="48"/>
  <c r="AC753" i="48"/>
  <c r="AA753" i="48"/>
  <c r="Y753" i="48"/>
  <c r="W753" i="48"/>
  <c r="S753" i="48"/>
  <c r="Q753" i="48"/>
  <c r="O753" i="48"/>
  <c r="F753" i="48"/>
  <c r="AC752" i="48"/>
  <c r="AA752" i="48"/>
  <c r="Y752" i="48"/>
  <c r="W752" i="48"/>
  <c r="S752" i="48"/>
  <c r="Q752" i="48"/>
  <c r="O752" i="48"/>
  <c r="F752" i="48"/>
  <c r="AC751" i="48"/>
  <c r="AA751" i="48"/>
  <c r="Y751" i="48"/>
  <c r="W751" i="48"/>
  <c r="S751" i="48"/>
  <c r="Q751" i="48"/>
  <c r="O751" i="48"/>
  <c r="F751" i="48"/>
  <c r="AC750" i="48"/>
  <c r="AA750" i="48"/>
  <c r="Y750" i="48"/>
  <c r="W750" i="48"/>
  <c r="S750" i="48"/>
  <c r="Q750" i="48"/>
  <c r="O750" i="48"/>
  <c r="F750" i="48"/>
  <c r="AC749" i="48"/>
  <c r="AA749" i="48"/>
  <c r="Y749" i="48"/>
  <c r="W749" i="48"/>
  <c r="S749" i="48"/>
  <c r="Q749" i="48"/>
  <c r="O749" i="48"/>
  <c r="F749" i="48"/>
  <c r="O745" i="48"/>
  <c r="H745" i="48" s="1"/>
  <c r="F745" i="48"/>
  <c r="N744" i="48"/>
  <c r="O744" i="48" s="1"/>
  <c r="H744" i="48" s="1"/>
  <c r="F743" i="48"/>
  <c r="F742" i="48"/>
  <c r="O741" i="48"/>
  <c r="H741" i="48" s="1"/>
  <c r="F741" i="48"/>
  <c r="O740" i="48"/>
  <c r="H740" i="48" s="1"/>
  <c r="F740" i="48"/>
  <c r="F739" i="48"/>
  <c r="F738" i="48"/>
  <c r="O737" i="48"/>
  <c r="H737" i="48" s="1"/>
  <c r="F737" i="48"/>
  <c r="O736" i="48"/>
  <c r="H736" i="48" s="1"/>
  <c r="F736" i="48"/>
  <c r="F735" i="48"/>
  <c r="AD734" i="48"/>
  <c r="O734" i="48"/>
  <c r="H734" i="48" s="1"/>
  <c r="F734" i="48"/>
  <c r="AD733" i="48"/>
  <c r="F733" i="48"/>
  <c r="AD732" i="48"/>
  <c r="O732" i="48"/>
  <c r="H732" i="48" s="1"/>
  <c r="F732" i="48"/>
  <c r="AD728" i="48"/>
  <c r="AA728" i="48"/>
  <c r="Y728" i="48"/>
  <c r="O728" i="48"/>
  <c r="F728" i="48"/>
  <c r="AD727" i="48"/>
  <c r="AC727" i="48"/>
  <c r="AA727" i="48"/>
  <c r="S727" i="48"/>
  <c r="Q727" i="48"/>
  <c r="O727" i="48"/>
  <c r="W727" i="48"/>
  <c r="F727" i="48"/>
  <c r="AD726" i="48"/>
  <c r="Y726" i="48"/>
  <c r="O726" i="48"/>
  <c r="AA726" i="48"/>
  <c r="F726" i="48"/>
  <c r="AD725" i="48"/>
  <c r="AC725" i="48"/>
  <c r="AA725" i="48"/>
  <c r="S725" i="48"/>
  <c r="Q725" i="48"/>
  <c r="O725" i="48"/>
  <c r="W725" i="48"/>
  <c r="F725" i="48"/>
  <c r="AD721" i="48"/>
  <c r="Y721" i="48"/>
  <c r="N721" i="48"/>
  <c r="F721" i="48" s="1"/>
  <c r="AC721" i="48"/>
  <c r="AD720" i="48"/>
  <c r="Q720" i="48"/>
  <c r="F720" i="48"/>
  <c r="AD719" i="48"/>
  <c r="AA719" i="48"/>
  <c r="Q719" i="48"/>
  <c r="W719" i="48"/>
  <c r="F719" i="48"/>
  <c r="AD718" i="48"/>
  <c r="Y718" i="48"/>
  <c r="Q718" i="48"/>
  <c r="O718" i="48"/>
  <c r="W718" i="48"/>
  <c r="F718" i="48"/>
  <c r="AD714" i="48"/>
  <c r="Y714" i="48"/>
  <c r="O714" i="48"/>
  <c r="AA714" i="48"/>
  <c r="F714" i="48"/>
  <c r="AD713" i="48"/>
  <c r="AC713" i="48"/>
  <c r="AA713" i="48"/>
  <c r="S713" i="48"/>
  <c r="Q713" i="48"/>
  <c r="O713" i="48"/>
  <c r="W713" i="48"/>
  <c r="F713" i="48"/>
  <c r="AD712" i="48"/>
  <c r="O712" i="48"/>
  <c r="AA712" i="48"/>
  <c r="F712" i="48"/>
  <c r="AD711" i="48"/>
  <c r="AC711" i="48"/>
  <c r="AA711" i="48"/>
  <c r="S711" i="48"/>
  <c r="Q711" i="48"/>
  <c r="O711" i="48"/>
  <c r="W711" i="48"/>
  <c r="F711" i="48"/>
  <c r="AD707" i="48"/>
  <c r="AA707" i="48"/>
  <c r="F707" i="48"/>
  <c r="AD706" i="48"/>
  <c r="AA706" i="48"/>
  <c r="F706" i="48"/>
  <c r="AD705" i="48"/>
  <c r="AA705" i="48"/>
  <c r="F705" i="48"/>
  <c r="AD704" i="48"/>
  <c r="AA704" i="48"/>
  <c r="F704" i="48"/>
  <c r="AD700" i="48"/>
  <c r="Y700" i="48"/>
  <c r="S700" i="48"/>
  <c r="O700" i="48"/>
  <c r="AA700" i="48"/>
  <c r="F700" i="48"/>
  <c r="AD699" i="48"/>
  <c r="S699" i="48"/>
  <c r="O699" i="48"/>
  <c r="AA699" i="48"/>
  <c r="F699" i="48"/>
  <c r="AD698" i="48"/>
  <c r="AC698" i="48"/>
  <c r="O698" i="48"/>
  <c r="F698" i="48"/>
  <c r="AD697" i="48"/>
  <c r="AC697" i="48"/>
  <c r="Y697" i="48"/>
  <c r="F697" i="48"/>
  <c r="AD693" i="48"/>
  <c r="Q693" i="48"/>
  <c r="F693" i="48"/>
  <c r="AD692" i="48"/>
  <c r="AA692" i="48"/>
  <c r="Q692" i="48"/>
  <c r="W692" i="48"/>
  <c r="F692" i="48"/>
  <c r="AD691" i="48"/>
  <c r="W691" i="48"/>
  <c r="Q691" i="48"/>
  <c r="F691" i="48"/>
  <c r="AD690" i="48"/>
  <c r="AA690" i="48"/>
  <c r="F690" i="48"/>
  <c r="AD686" i="48"/>
  <c r="AC686" i="48"/>
  <c r="AA686" i="48"/>
  <c r="S686" i="48"/>
  <c r="Q686" i="48"/>
  <c r="O686" i="48"/>
  <c r="W686" i="48"/>
  <c r="F686" i="48"/>
  <c r="W685" i="48"/>
  <c r="F685" i="48"/>
  <c r="W684" i="48"/>
  <c r="F684" i="48"/>
  <c r="W683" i="48"/>
  <c r="F683" i="48"/>
  <c r="AA679" i="48"/>
  <c r="S679" i="48"/>
  <c r="N679" i="48"/>
  <c r="F679" i="48" s="1"/>
  <c r="AC679" i="48"/>
  <c r="AC678" i="48"/>
  <c r="W678" i="48"/>
  <c r="Q678" i="48"/>
  <c r="S678" i="48"/>
  <c r="F678" i="48"/>
  <c r="N677" i="48"/>
  <c r="F677" i="48" s="1"/>
  <c r="W677" i="48"/>
  <c r="N676" i="48"/>
  <c r="F676" i="48" s="1"/>
  <c r="Y676" i="48"/>
  <c r="U671" i="48"/>
  <c r="AC668" i="48"/>
  <c r="AA668" i="48"/>
  <c r="Y668" i="48"/>
  <c r="W668" i="48"/>
  <c r="S668" i="48"/>
  <c r="Q668" i="48"/>
  <c r="O668" i="48"/>
  <c r="F668" i="48"/>
  <c r="AC666" i="48"/>
  <c r="AA666" i="48"/>
  <c r="Y666" i="48"/>
  <c r="W666" i="48"/>
  <c r="S666" i="48"/>
  <c r="Q666" i="48"/>
  <c r="O666" i="48"/>
  <c r="F666" i="48"/>
  <c r="AC662" i="48"/>
  <c r="AA662" i="48"/>
  <c r="Y662" i="48"/>
  <c r="W662" i="48"/>
  <c r="S662" i="48"/>
  <c r="Q662" i="48"/>
  <c r="O662" i="48"/>
  <c r="F662" i="48"/>
  <c r="U657" i="48"/>
  <c r="AC654" i="48"/>
  <c r="AA654" i="48"/>
  <c r="Y654" i="48"/>
  <c r="W654" i="48"/>
  <c r="S654" i="48"/>
  <c r="Q654" i="48"/>
  <c r="O654" i="48"/>
  <c r="F654" i="48"/>
  <c r="AC651" i="48"/>
  <c r="AA651" i="48"/>
  <c r="Y651" i="48"/>
  <c r="W651" i="48"/>
  <c r="S651" i="48"/>
  <c r="Q651" i="48"/>
  <c r="O651" i="48"/>
  <c r="F651" i="48"/>
  <c r="AC648" i="48"/>
  <c r="AA648" i="48"/>
  <c r="Y648" i="48"/>
  <c r="W648" i="48"/>
  <c r="S648" i="48"/>
  <c r="Q648" i="48"/>
  <c r="O648" i="48"/>
  <c r="F648" i="48"/>
  <c r="AC645" i="48"/>
  <c r="AA645" i="48"/>
  <c r="Y645" i="48"/>
  <c r="W645" i="48"/>
  <c r="S645" i="48"/>
  <c r="Q645" i="48"/>
  <c r="O645" i="48"/>
  <c r="F645" i="48"/>
  <c r="AC642" i="48"/>
  <c r="AA642" i="48"/>
  <c r="Y642" i="48"/>
  <c r="W642" i="48"/>
  <c r="S642" i="48"/>
  <c r="Q642" i="48"/>
  <c r="O642" i="48"/>
  <c r="F642" i="48"/>
  <c r="AC639" i="48"/>
  <c r="AA639" i="48"/>
  <c r="Y639" i="48"/>
  <c r="W639" i="48"/>
  <c r="S639" i="48"/>
  <c r="Q639" i="48"/>
  <c r="O639" i="48"/>
  <c r="F639" i="48"/>
  <c r="A639" i="48"/>
  <c r="A642" i="48" s="1"/>
  <c r="A645" i="48" s="1"/>
  <c r="A648" i="48" s="1"/>
  <c r="AB637" i="48"/>
  <c r="AC637" i="48" s="1"/>
  <c r="Z637" i="48"/>
  <c r="AA637" i="48" s="1"/>
  <c r="X637" i="48"/>
  <c r="Y637" i="48" s="1"/>
  <c r="V637" i="48"/>
  <c r="W637" i="48" s="1"/>
  <c r="R637" i="48"/>
  <c r="S637" i="48" s="1"/>
  <c r="P637" i="48"/>
  <c r="Q637" i="48" s="1"/>
  <c r="N637" i="48"/>
  <c r="O637" i="48" s="1"/>
  <c r="AC630" i="48"/>
  <c r="AA630" i="48"/>
  <c r="Y630" i="48"/>
  <c r="W630" i="48"/>
  <c r="S630" i="48"/>
  <c r="Q630" i="48"/>
  <c r="O630" i="48"/>
  <c r="F630" i="48"/>
  <c r="U627" i="48"/>
  <c r="AC625" i="48"/>
  <c r="AA625" i="48"/>
  <c r="W625" i="48"/>
  <c r="S625" i="48"/>
  <c r="O625" i="48"/>
  <c r="P623" i="48"/>
  <c r="P622" i="48"/>
  <c r="P621" i="48"/>
  <c r="P620" i="48"/>
  <c r="P619" i="48"/>
  <c r="P618" i="48"/>
  <c r="AC614" i="48"/>
  <c r="AA614" i="48"/>
  <c r="Y614" i="48"/>
  <c r="W614" i="48"/>
  <c r="S614" i="48"/>
  <c r="Q614" i="48"/>
  <c r="O614" i="48"/>
  <c r="F614" i="48"/>
  <c r="AC609" i="48"/>
  <c r="AA609" i="48"/>
  <c r="Y609" i="48"/>
  <c r="W609" i="48"/>
  <c r="S609" i="48"/>
  <c r="Q609" i="48"/>
  <c r="O609" i="48"/>
  <c r="F609" i="48"/>
  <c r="A609" i="48"/>
  <c r="AC606" i="48"/>
  <c r="AA606" i="48"/>
  <c r="Y606" i="48"/>
  <c r="W606" i="48"/>
  <c r="S606" i="48"/>
  <c r="Q606" i="48"/>
  <c r="O606" i="48"/>
  <c r="F606" i="48"/>
  <c r="AB604" i="48"/>
  <c r="AC604" i="48" s="1"/>
  <c r="Z604" i="48"/>
  <c r="AA604" i="48" s="1"/>
  <c r="X604" i="48"/>
  <c r="X625" i="48" s="1"/>
  <c r="Y625" i="48" s="1"/>
  <c r="V604" i="48"/>
  <c r="W604" i="48" s="1"/>
  <c r="R604" i="48"/>
  <c r="S604" i="48" s="1"/>
  <c r="P604" i="48"/>
  <c r="Q604" i="48" s="1"/>
  <c r="N604" i="48"/>
  <c r="O604" i="48" s="1"/>
  <c r="AB599" i="48"/>
  <c r="AC599" i="48" s="1"/>
  <c r="Z599" i="48"/>
  <c r="AA599" i="48" s="1"/>
  <c r="X599" i="48"/>
  <c r="Y599" i="48" s="1"/>
  <c r="V599" i="48"/>
  <c r="W599" i="48" s="1"/>
  <c r="R599" i="48"/>
  <c r="S599" i="48" s="1"/>
  <c r="N599" i="48"/>
  <c r="O599" i="48" s="1"/>
  <c r="P597" i="48"/>
  <c r="P596" i="48"/>
  <c r="P595" i="48"/>
  <c r="P594" i="48"/>
  <c r="P593" i="48"/>
  <c r="P592" i="48"/>
  <c r="AC587" i="48"/>
  <c r="AA587" i="48"/>
  <c r="Y587" i="48"/>
  <c r="W587" i="48"/>
  <c r="S587" i="48"/>
  <c r="Q587" i="48"/>
  <c r="O587" i="48"/>
  <c r="F587" i="48"/>
  <c r="AC584" i="48"/>
  <c r="AA584" i="48"/>
  <c r="X584" i="48"/>
  <c r="Y584" i="48" s="1"/>
  <c r="W584" i="48"/>
  <c r="S584" i="48"/>
  <c r="Q584" i="48"/>
  <c r="O584" i="48"/>
  <c r="U581" i="48"/>
  <c r="AC578" i="48"/>
  <c r="AA578" i="48"/>
  <c r="Y578" i="48"/>
  <c r="W578" i="48"/>
  <c r="S578" i="48"/>
  <c r="Q578" i="48"/>
  <c r="O578" i="48"/>
  <c r="F578" i="48"/>
  <c r="AC575" i="48"/>
  <c r="AA575" i="48"/>
  <c r="Y575" i="48"/>
  <c r="W575" i="48"/>
  <c r="S575" i="48"/>
  <c r="Q575" i="48"/>
  <c r="O575" i="48"/>
  <c r="F575" i="48"/>
  <c r="AC572" i="48"/>
  <c r="AA572" i="48"/>
  <c r="Y572" i="48"/>
  <c r="W572" i="48"/>
  <c r="S572" i="48"/>
  <c r="Q572" i="48"/>
  <c r="O572" i="48"/>
  <c r="F572" i="48"/>
  <c r="AC569" i="48"/>
  <c r="AA569" i="48"/>
  <c r="Y569" i="48"/>
  <c r="Y581" i="48" s="1"/>
  <c r="W569" i="48"/>
  <c r="S569" i="48"/>
  <c r="Q569" i="48"/>
  <c r="O569" i="48"/>
  <c r="F569" i="48"/>
  <c r="A569" i="48"/>
  <c r="A572" i="48" s="1"/>
  <c r="A575" i="48" s="1"/>
  <c r="A578" i="48" s="1"/>
  <c r="AC566" i="48"/>
  <c r="AA566" i="48"/>
  <c r="Y566" i="48"/>
  <c r="W566" i="48"/>
  <c r="S566" i="48"/>
  <c r="Q566" i="48"/>
  <c r="O566" i="48"/>
  <c r="F566" i="48"/>
  <c r="U563" i="48"/>
  <c r="AC560" i="48"/>
  <c r="AA560" i="48"/>
  <c r="Y560" i="48"/>
  <c r="W560" i="48"/>
  <c r="S560" i="48"/>
  <c r="Q560" i="48"/>
  <c r="O560" i="48"/>
  <c r="F560" i="48"/>
  <c r="AC557" i="48"/>
  <c r="AA557" i="48"/>
  <c r="Y557" i="48"/>
  <c r="W557" i="48"/>
  <c r="S557" i="48"/>
  <c r="Q557" i="48"/>
  <c r="N557" i="48"/>
  <c r="O557" i="48" s="1"/>
  <c r="AC554" i="48"/>
  <c r="AA554" i="48"/>
  <c r="Y554" i="48"/>
  <c r="W554" i="48"/>
  <c r="S554" i="48"/>
  <c r="Q554" i="48"/>
  <c r="N554" i="48"/>
  <c r="O554" i="48" s="1"/>
  <c r="AC552" i="48"/>
  <c r="AA552" i="48"/>
  <c r="Y552" i="48"/>
  <c r="W552" i="48"/>
  <c r="S552" i="48"/>
  <c r="Q552" i="48"/>
  <c r="O552" i="48"/>
  <c r="F552" i="48"/>
  <c r="AC544" i="48"/>
  <c r="AA544" i="48"/>
  <c r="Y544" i="48"/>
  <c r="W544" i="48"/>
  <c r="U544" i="48"/>
  <c r="S544" i="48"/>
  <c r="Q544" i="48"/>
  <c r="O544" i="48"/>
  <c r="F544" i="48"/>
  <c r="AC541" i="48"/>
  <c r="AA541" i="48"/>
  <c r="Y541" i="48"/>
  <c r="W541" i="48"/>
  <c r="T541" i="48"/>
  <c r="F541" i="48" s="1"/>
  <c r="S541" i="48"/>
  <c r="Q541" i="48"/>
  <c r="O541" i="48"/>
  <c r="AC538" i="48"/>
  <c r="AA538" i="48"/>
  <c r="Y538" i="48"/>
  <c r="W538" i="48"/>
  <c r="T538" i="48"/>
  <c r="U538" i="48" s="1"/>
  <c r="S538" i="48"/>
  <c r="Q538" i="48"/>
  <c r="O538" i="48"/>
  <c r="AC535" i="48"/>
  <c r="AA535" i="48"/>
  <c r="Y535" i="48"/>
  <c r="W535" i="48"/>
  <c r="T535" i="48"/>
  <c r="F535" i="48" s="1"/>
  <c r="S535" i="48"/>
  <c r="Q535" i="48"/>
  <c r="O535" i="48"/>
  <c r="AC532" i="48"/>
  <c r="AA532" i="48"/>
  <c r="Y532" i="48"/>
  <c r="W532" i="48"/>
  <c r="T532" i="48"/>
  <c r="U532" i="48" s="1"/>
  <c r="S532" i="48"/>
  <c r="Q532" i="48"/>
  <c r="O532" i="48"/>
  <c r="AC529" i="48"/>
  <c r="AA529" i="48"/>
  <c r="Y529" i="48"/>
  <c r="W529" i="48"/>
  <c r="T529" i="48"/>
  <c r="F529" i="48" s="1"/>
  <c r="S529" i="48"/>
  <c r="Q529" i="48"/>
  <c r="O529" i="48"/>
  <c r="AC523" i="48"/>
  <c r="AA523" i="48"/>
  <c r="Y523" i="48"/>
  <c r="W523" i="48"/>
  <c r="T523" i="48"/>
  <c r="U523" i="48" s="1"/>
  <c r="S523" i="48"/>
  <c r="Q523" i="48"/>
  <c r="O523" i="48"/>
  <c r="AC514" i="48"/>
  <c r="AA514" i="48"/>
  <c r="Y514" i="48"/>
  <c r="W514" i="48"/>
  <c r="T514" i="48"/>
  <c r="F514" i="48" s="1"/>
  <c r="S514" i="48"/>
  <c r="Q514" i="48"/>
  <c r="O514" i="48"/>
  <c r="AB511" i="48"/>
  <c r="AC511" i="48" s="1"/>
  <c r="Z511" i="48"/>
  <c r="AA511" i="48" s="1"/>
  <c r="X511" i="48"/>
  <c r="Y511" i="48" s="1"/>
  <c r="V511" i="48"/>
  <c r="W511" i="48" s="1"/>
  <c r="T511" i="48"/>
  <c r="U511" i="48" s="1"/>
  <c r="S511" i="48"/>
  <c r="P511" i="48"/>
  <c r="Q511" i="48" s="1"/>
  <c r="N511" i="48"/>
  <c r="O511" i="48" s="1"/>
  <c r="AC508" i="48"/>
  <c r="AA508" i="48"/>
  <c r="Y508" i="48"/>
  <c r="W508" i="48"/>
  <c r="T508" i="48"/>
  <c r="U508" i="48" s="1"/>
  <c r="S508" i="48"/>
  <c r="Q508" i="48"/>
  <c r="O508" i="48"/>
  <c r="F508" i="48"/>
  <c r="AB506" i="48"/>
  <c r="AC506" i="48" s="1"/>
  <c r="Z506" i="48"/>
  <c r="AA506" i="48" s="1"/>
  <c r="X506" i="48"/>
  <c r="Y506" i="48" s="1"/>
  <c r="V506" i="48"/>
  <c r="W506" i="48" s="1"/>
  <c r="U506" i="48"/>
  <c r="S506" i="48"/>
  <c r="Q506" i="48"/>
  <c r="O506" i="48"/>
  <c r="AC500" i="48"/>
  <c r="AA500" i="48"/>
  <c r="Y500" i="48"/>
  <c r="V500" i="48"/>
  <c r="W500" i="48" s="1"/>
  <c r="S500" i="48"/>
  <c r="Q500" i="48"/>
  <c r="O500" i="48"/>
  <c r="Z498" i="48"/>
  <c r="AA498" i="48" s="1"/>
  <c r="V498" i="48"/>
  <c r="W498" i="48" s="1"/>
  <c r="P496" i="48"/>
  <c r="N496" i="48"/>
  <c r="X495" i="48"/>
  <c r="R495" i="48"/>
  <c r="P495" i="48"/>
  <c r="N495" i="48"/>
  <c r="X494" i="48"/>
  <c r="T494" i="48"/>
  <c r="T498" i="48" s="1"/>
  <c r="R494" i="48"/>
  <c r="P494" i="48"/>
  <c r="N494" i="48"/>
  <c r="X493" i="48"/>
  <c r="R493" i="48"/>
  <c r="P493" i="48"/>
  <c r="N493" i="48"/>
  <c r="X491" i="48"/>
  <c r="Z489" i="48"/>
  <c r="AA489" i="48" s="1"/>
  <c r="X489" i="48"/>
  <c r="Y489" i="48" s="1"/>
  <c r="V489" i="48"/>
  <c r="W489" i="48" s="1"/>
  <c r="T485" i="48"/>
  <c r="T489" i="48" s="1"/>
  <c r="U489" i="48" s="1"/>
  <c r="R485" i="48"/>
  <c r="P485" i="48"/>
  <c r="N485" i="48"/>
  <c r="R484" i="48"/>
  <c r="P484" i="48"/>
  <c r="N484" i="48"/>
  <c r="AA480" i="48"/>
  <c r="Y480" i="48"/>
  <c r="W480" i="48"/>
  <c r="T480" i="48"/>
  <c r="U480" i="48" s="1"/>
  <c r="R480" i="48"/>
  <c r="S480" i="48" s="1"/>
  <c r="P480" i="48"/>
  <c r="N480" i="48"/>
  <c r="O480" i="48" s="1"/>
  <c r="AC476" i="48"/>
  <c r="AA476" i="48"/>
  <c r="V476" i="48"/>
  <c r="W476" i="48" s="1"/>
  <c r="T476" i="48"/>
  <c r="U476" i="48" s="1"/>
  <c r="S476" i="48"/>
  <c r="Q476" i="48"/>
  <c r="O476" i="48"/>
  <c r="AB472" i="48"/>
  <c r="AC472" i="48" s="1"/>
  <c r="Z472" i="48"/>
  <c r="AA920" i="48" s="1"/>
  <c r="X472" i="48"/>
  <c r="Y920" i="48" s="1"/>
  <c r="V472" i="48"/>
  <c r="W472" i="48" s="1"/>
  <c r="T472" i="48"/>
  <c r="U472" i="48" s="1"/>
  <c r="P472" i="48"/>
  <c r="Q472" i="48" s="1"/>
  <c r="N472" i="48"/>
  <c r="O472" i="48" s="1"/>
  <c r="R470" i="48"/>
  <c r="R469" i="48"/>
  <c r="AB464" i="48"/>
  <c r="AC464" i="48" s="1"/>
  <c r="Z464" i="48"/>
  <c r="AA464" i="48" s="1"/>
  <c r="X464" i="48"/>
  <c r="Y464" i="48" s="1"/>
  <c r="V464" i="48"/>
  <c r="W464" i="48" s="1"/>
  <c r="T464" i="48"/>
  <c r="U464" i="48" s="1"/>
  <c r="R464" i="48"/>
  <c r="S464" i="48" s="1"/>
  <c r="P464" i="48"/>
  <c r="Q464" i="48" s="1"/>
  <c r="N464" i="48"/>
  <c r="O464" i="48" s="1"/>
  <c r="AB456" i="48"/>
  <c r="AC456" i="48" s="1"/>
  <c r="Z456" i="48"/>
  <c r="AA456" i="48" s="1"/>
  <c r="X456" i="48"/>
  <c r="Y456" i="48" s="1"/>
  <c r="V456" i="48"/>
  <c r="W456" i="48" s="1"/>
  <c r="T456" i="48"/>
  <c r="U456" i="48" s="1"/>
  <c r="P456" i="48"/>
  <c r="Q456" i="48" s="1"/>
  <c r="N456" i="48"/>
  <c r="O456" i="48" s="1"/>
  <c r="R454" i="48"/>
  <c r="R453" i="48"/>
  <c r="R452" i="48"/>
  <c r="AB448" i="48"/>
  <c r="AC448" i="48" s="1"/>
  <c r="Z448" i="48"/>
  <c r="AA448" i="48" s="1"/>
  <c r="X448" i="48"/>
  <c r="Y448" i="48" s="1"/>
  <c r="R448" i="48"/>
  <c r="S448" i="48" s="1"/>
  <c r="P448" i="48"/>
  <c r="Q448" i="48" s="1"/>
  <c r="N448" i="48"/>
  <c r="O448" i="48" s="1"/>
  <c r="V444" i="48"/>
  <c r="V443" i="48"/>
  <c r="T443" i="48"/>
  <c r="T448" i="48" s="1"/>
  <c r="U448" i="48" s="1"/>
  <c r="V442" i="48"/>
  <c r="AB437" i="48"/>
  <c r="AC437" i="48" s="1"/>
  <c r="X437" i="48"/>
  <c r="Y437" i="48" s="1"/>
  <c r="R432" i="48"/>
  <c r="P432" i="48"/>
  <c r="N432" i="48"/>
  <c r="R431" i="48"/>
  <c r="P431" i="48"/>
  <c r="N431" i="48"/>
  <c r="R430" i="48"/>
  <c r="P430" i="48"/>
  <c r="N430" i="48"/>
  <c r="AC425" i="48"/>
  <c r="AA425" i="48"/>
  <c r="Y425" i="48"/>
  <c r="W425" i="48"/>
  <c r="T425" i="48"/>
  <c r="F425" i="48" s="1"/>
  <c r="S425" i="48"/>
  <c r="Q425" i="48"/>
  <c r="O425" i="48"/>
  <c r="Z423" i="48"/>
  <c r="AA423" i="48" s="1"/>
  <c r="X423" i="48"/>
  <c r="Y423" i="48" s="1"/>
  <c r="V423" i="48"/>
  <c r="W423" i="48" s="1"/>
  <c r="T423" i="48"/>
  <c r="U423" i="48" s="1"/>
  <c r="R421" i="48"/>
  <c r="P421" i="48"/>
  <c r="N421" i="48"/>
  <c r="R420" i="48"/>
  <c r="P420" i="48"/>
  <c r="N420" i="48"/>
  <c r="R419" i="48"/>
  <c r="P419" i="48"/>
  <c r="N419" i="48"/>
  <c r="Z415" i="48"/>
  <c r="AA415" i="48" s="1"/>
  <c r="X415" i="48"/>
  <c r="X928" i="48" s="1"/>
  <c r="R410" i="48"/>
  <c r="P410" i="48"/>
  <c r="N410" i="48"/>
  <c r="R409" i="48"/>
  <c r="R496" i="48" s="1"/>
  <c r="P409" i="48"/>
  <c r="P486" i="48" s="1"/>
  <c r="N409" i="48"/>
  <c r="N486" i="48" s="1"/>
  <c r="P408" i="48"/>
  <c r="AB408" i="48" s="1"/>
  <c r="V407" i="48"/>
  <c r="T407" i="48"/>
  <c r="T415" i="48" s="1"/>
  <c r="T923" i="48" s="1"/>
  <c r="U923" i="48" s="1"/>
  <c r="R407" i="48"/>
  <c r="P407" i="48"/>
  <c r="N407" i="48"/>
  <c r="V406" i="48"/>
  <c r="R406" i="48"/>
  <c r="P406" i="48"/>
  <c r="N406" i="48"/>
  <c r="AB405" i="48"/>
  <c r="AB930" i="48" s="1"/>
  <c r="V405" i="48"/>
  <c r="R405" i="48"/>
  <c r="P405" i="48"/>
  <c r="N405" i="48"/>
  <c r="AB401" i="48"/>
  <c r="AC401" i="48" s="1"/>
  <c r="Z401" i="48"/>
  <c r="AA401" i="48" s="1"/>
  <c r="P401" i="48"/>
  <c r="Q401" i="48" s="1"/>
  <c r="V397" i="48"/>
  <c r="R397" i="48"/>
  <c r="N397" i="48"/>
  <c r="V396" i="48"/>
  <c r="X396" i="48" s="1"/>
  <c r="X932" i="48" s="1"/>
  <c r="T396" i="48"/>
  <c r="T401" i="48" s="1"/>
  <c r="V395" i="48"/>
  <c r="X395" i="48" s="1"/>
  <c r="X931" i="48" s="1"/>
  <c r="R394" i="48"/>
  <c r="N394" i="48"/>
  <c r="AC389" i="48"/>
  <c r="AA389" i="48"/>
  <c r="Y389" i="48"/>
  <c r="W389" i="48"/>
  <c r="U389" i="48"/>
  <c r="S389" i="48"/>
  <c r="Q389" i="48"/>
  <c r="O389" i="48"/>
  <c r="F389" i="48"/>
  <c r="AC386" i="48"/>
  <c r="AA386" i="48"/>
  <c r="Y386" i="48"/>
  <c r="W386" i="48"/>
  <c r="U386" i="48"/>
  <c r="S386" i="48"/>
  <c r="Q386" i="48"/>
  <c r="O386" i="48"/>
  <c r="F386" i="48"/>
  <c r="AC383" i="48"/>
  <c r="AA383" i="48"/>
  <c r="Y383" i="48"/>
  <c r="W383" i="48"/>
  <c r="U383" i="48"/>
  <c r="R383" i="48"/>
  <c r="S383" i="48" s="1"/>
  <c r="P383" i="48"/>
  <c r="Q383" i="48" s="1"/>
  <c r="O383" i="48"/>
  <c r="AC380" i="48"/>
  <c r="AA380" i="48"/>
  <c r="Y380" i="48"/>
  <c r="W380" i="48"/>
  <c r="U380" i="48"/>
  <c r="R380" i="48"/>
  <c r="S380" i="48" s="1"/>
  <c r="Q380" i="48"/>
  <c r="O380" i="48"/>
  <c r="AC377" i="48"/>
  <c r="AA377" i="48"/>
  <c r="Y377" i="48"/>
  <c r="W377" i="48"/>
  <c r="T377" i="48"/>
  <c r="U377" i="48" s="1"/>
  <c r="R377" i="48"/>
  <c r="S377" i="48" s="1"/>
  <c r="Q377" i="48"/>
  <c r="N377" i="48"/>
  <c r="O377" i="48" s="1"/>
  <c r="AC374" i="48"/>
  <c r="AA374" i="48"/>
  <c r="Y374" i="48"/>
  <c r="W374" i="48"/>
  <c r="U374" i="48"/>
  <c r="R374" i="48"/>
  <c r="S374" i="48" s="1"/>
  <c r="Q374" i="48"/>
  <c r="O374" i="48"/>
  <c r="AC371" i="48"/>
  <c r="AA371" i="48"/>
  <c r="Y371" i="48"/>
  <c r="W371" i="48"/>
  <c r="U371" i="48"/>
  <c r="S371" i="48"/>
  <c r="Q371" i="48"/>
  <c r="O371" i="48"/>
  <c r="F371" i="48"/>
  <c r="AC368" i="48"/>
  <c r="AA368" i="48"/>
  <c r="Y368" i="48"/>
  <c r="W368" i="48"/>
  <c r="U368" i="48"/>
  <c r="S368" i="48"/>
  <c r="Q368" i="48"/>
  <c r="O368" i="48"/>
  <c r="F368" i="48"/>
  <c r="AC365" i="48"/>
  <c r="AA365" i="48"/>
  <c r="Y365" i="48"/>
  <c r="W365" i="48"/>
  <c r="U365" i="48"/>
  <c r="S365" i="48"/>
  <c r="Q365" i="48"/>
  <c r="O365" i="48"/>
  <c r="F365" i="48"/>
  <c r="AC362" i="48"/>
  <c r="AA362" i="48"/>
  <c r="Y362" i="48"/>
  <c r="W362" i="48"/>
  <c r="R362" i="48"/>
  <c r="S362" i="48" s="1"/>
  <c r="P362" i="48"/>
  <c r="Q362" i="48" s="1"/>
  <c r="N362" i="48"/>
  <c r="O362" i="48" s="1"/>
  <c r="AC359" i="48"/>
  <c r="AA359" i="48"/>
  <c r="Y359" i="48"/>
  <c r="V359" i="48"/>
  <c r="W359" i="48" s="1"/>
  <c r="T359" i="48"/>
  <c r="U359" i="48" s="1"/>
  <c r="R359" i="48"/>
  <c r="S359" i="48" s="1"/>
  <c r="P359" i="48"/>
  <c r="Q359" i="48" s="1"/>
  <c r="N359" i="48"/>
  <c r="O359" i="48" s="1"/>
  <c r="AC356" i="48"/>
  <c r="AA356" i="48"/>
  <c r="Y356" i="48"/>
  <c r="W356" i="48"/>
  <c r="S356" i="48"/>
  <c r="Q356" i="48"/>
  <c r="O356" i="48"/>
  <c r="F356" i="48"/>
  <c r="AC353" i="48"/>
  <c r="AA353" i="48"/>
  <c r="Y353" i="48"/>
  <c r="W353" i="48"/>
  <c r="S353" i="48"/>
  <c r="Q353" i="48"/>
  <c r="O353" i="48"/>
  <c r="F353" i="48"/>
  <c r="AB351" i="48"/>
  <c r="AC351" i="48" s="1"/>
  <c r="Z351" i="48"/>
  <c r="AA351" i="48" s="1"/>
  <c r="X351" i="48"/>
  <c r="Y351" i="48" s="1"/>
  <c r="V351" i="48"/>
  <c r="W351" i="48" s="1"/>
  <c r="U351" i="48"/>
  <c r="S351" i="48"/>
  <c r="Q351" i="48"/>
  <c r="O351" i="48"/>
  <c r="N348" i="48"/>
  <c r="N347" i="48"/>
  <c r="N346" i="48"/>
  <c r="AB342" i="48"/>
  <c r="AC342" i="48" s="1"/>
  <c r="Z342" i="48"/>
  <c r="AA342" i="48" s="1"/>
  <c r="X342" i="48"/>
  <c r="Y342" i="48" s="1"/>
  <c r="V342" i="48"/>
  <c r="W342" i="48" s="1"/>
  <c r="U342" i="48"/>
  <c r="R342" i="48"/>
  <c r="S342" i="48" s="1"/>
  <c r="P342" i="48"/>
  <c r="Q342" i="48" s="1"/>
  <c r="O342" i="48"/>
  <c r="N338" i="48"/>
  <c r="N337" i="48"/>
  <c r="N336" i="48"/>
  <c r="AC331" i="48"/>
  <c r="AA331" i="48"/>
  <c r="Y331" i="48"/>
  <c r="W331" i="48"/>
  <c r="S331" i="48"/>
  <c r="Q331" i="48"/>
  <c r="O331" i="48"/>
  <c r="F331" i="48"/>
  <c r="AC328" i="48"/>
  <c r="AA328" i="48"/>
  <c r="Y328" i="48"/>
  <c r="W328" i="48"/>
  <c r="S328" i="48"/>
  <c r="Q328" i="48"/>
  <c r="O328" i="48"/>
  <c r="F328" i="48"/>
  <c r="AB324" i="48"/>
  <c r="Z324" i="48"/>
  <c r="X324" i="48"/>
  <c r="AB322" i="48"/>
  <c r="Z322" i="48"/>
  <c r="X322" i="48"/>
  <c r="T322" i="48"/>
  <c r="T321" i="48"/>
  <c r="AB320" i="48"/>
  <c r="Z320" i="48"/>
  <c r="X320" i="48"/>
  <c r="V320" i="48"/>
  <c r="T320" i="48"/>
  <c r="Z319" i="48"/>
  <c r="V319" i="48"/>
  <c r="T319" i="48"/>
  <c r="AB296" i="48"/>
  <c r="AC296" i="48" s="1"/>
  <c r="Z296" i="48"/>
  <c r="AA296" i="48" s="1"/>
  <c r="X296" i="48"/>
  <c r="Y296" i="48" s="1"/>
  <c r="V296" i="48"/>
  <c r="W296" i="48" s="1"/>
  <c r="U296" i="48"/>
  <c r="R296" i="48"/>
  <c r="R436" i="48" s="1"/>
  <c r="P296" i="48"/>
  <c r="Q296" i="48" s="1"/>
  <c r="N296" i="48"/>
  <c r="N436" i="48" s="1"/>
  <c r="N286" i="48"/>
  <c r="AB285" i="48"/>
  <c r="AB486" i="48" s="1"/>
  <c r="V284" i="48"/>
  <c r="R283" i="48"/>
  <c r="P283" i="48"/>
  <c r="N283" i="48"/>
  <c r="V282" i="48"/>
  <c r="V324" i="48" s="1"/>
  <c r="T282" i="48"/>
  <c r="T324" i="48" s="1"/>
  <c r="R282" i="48"/>
  <c r="R324" i="48" s="1"/>
  <c r="P282" i="48"/>
  <c r="P324" i="48" s="1"/>
  <c r="N282" i="48"/>
  <c r="N324" i="48" s="1"/>
  <c r="AB281" i="48"/>
  <c r="AB323" i="48" s="1"/>
  <c r="Z281" i="48"/>
  <c r="Z323" i="48" s="1"/>
  <c r="V281" i="48"/>
  <c r="X281" i="48" s="1"/>
  <c r="X323" i="48" s="1"/>
  <c r="T281" i="48"/>
  <c r="T323" i="48" s="1"/>
  <c r="R281" i="48"/>
  <c r="R323" i="48" s="1"/>
  <c r="P281" i="48"/>
  <c r="P323" i="48" s="1"/>
  <c r="N281" i="48"/>
  <c r="N323" i="48" s="1"/>
  <c r="V280" i="48"/>
  <c r="V322" i="48" s="1"/>
  <c r="R280" i="48"/>
  <c r="R322" i="48" s="1"/>
  <c r="P280" i="48"/>
  <c r="P322" i="48" s="1"/>
  <c r="N280" i="48"/>
  <c r="N322" i="48" s="1"/>
  <c r="AB279" i="48"/>
  <c r="AB321" i="48" s="1"/>
  <c r="Z279" i="48"/>
  <c r="Z321" i="48" s="1"/>
  <c r="V279" i="48"/>
  <c r="X279" i="48" s="1"/>
  <c r="X321" i="48" s="1"/>
  <c r="R279" i="48"/>
  <c r="R321" i="48" s="1"/>
  <c r="P279" i="48"/>
  <c r="P321" i="48" s="1"/>
  <c r="N279" i="48"/>
  <c r="N321" i="48" s="1"/>
  <c r="R278" i="48"/>
  <c r="R320" i="48" s="1"/>
  <c r="P278" i="48"/>
  <c r="N278" i="48"/>
  <c r="AB277" i="48"/>
  <c r="AB319" i="48" s="1"/>
  <c r="X277" i="48"/>
  <c r="R277" i="48"/>
  <c r="R319" i="48" s="1"/>
  <c r="P277" i="48"/>
  <c r="P319" i="48" s="1"/>
  <c r="N277" i="48"/>
  <c r="N319" i="48" s="1"/>
  <c r="AB270" i="48"/>
  <c r="AC270" i="48" s="1"/>
  <c r="Z270" i="48"/>
  <c r="AA270" i="48" s="1"/>
  <c r="X270" i="48"/>
  <c r="Y270" i="48" s="1"/>
  <c r="V270" i="48"/>
  <c r="W270" i="48" s="1"/>
  <c r="R270" i="48"/>
  <c r="S270" i="48" s="1"/>
  <c r="P270" i="48"/>
  <c r="Q270" i="48" s="1"/>
  <c r="N270" i="48"/>
  <c r="O270" i="48" s="1"/>
  <c r="AC262" i="48"/>
  <c r="AA262" i="48"/>
  <c r="Y262" i="48"/>
  <c r="W262" i="48"/>
  <c r="S262" i="48"/>
  <c r="Q262" i="48"/>
  <c r="N261" i="48"/>
  <c r="N260" i="48"/>
  <c r="N258" i="48"/>
  <c r="N257" i="48"/>
  <c r="AC252" i="48"/>
  <c r="AA252" i="48"/>
  <c r="Y252" i="48"/>
  <c r="W252" i="48"/>
  <c r="S252" i="48"/>
  <c r="Q252" i="48"/>
  <c r="O252" i="48"/>
  <c r="F252" i="48"/>
  <c r="AC249" i="48"/>
  <c r="AA249" i="48"/>
  <c r="Y249" i="48"/>
  <c r="W249" i="48"/>
  <c r="S249" i="48"/>
  <c r="Q249" i="48"/>
  <c r="O249" i="48"/>
  <c r="F249" i="48"/>
  <c r="AC246" i="48"/>
  <c r="AA246" i="48"/>
  <c r="Y246" i="48"/>
  <c r="W246" i="48"/>
  <c r="S246" i="48"/>
  <c r="Q246" i="48"/>
  <c r="O246" i="48"/>
  <c r="F246" i="48"/>
  <c r="AC243" i="48"/>
  <c r="AA243" i="48"/>
  <c r="X243" i="48"/>
  <c r="Y243" i="48" s="1"/>
  <c r="V243" i="48"/>
  <c r="W243" i="48" s="1"/>
  <c r="R243" i="48"/>
  <c r="S243" i="48" s="1"/>
  <c r="P243" i="48"/>
  <c r="Q243" i="48" s="1"/>
  <c r="N243" i="48"/>
  <c r="O243" i="48" s="1"/>
  <c r="AC240" i="48"/>
  <c r="AA240" i="48"/>
  <c r="W240" i="48"/>
  <c r="S240" i="48"/>
  <c r="Q240" i="48"/>
  <c r="N240" i="48"/>
  <c r="O240" i="48" s="1"/>
  <c r="AC237" i="48"/>
  <c r="AA237" i="48"/>
  <c r="Y237" i="48"/>
  <c r="W237" i="48"/>
  <c r="S237" i="48"/>
  <c r="Q237" i="48"/>
  <c r="O237" i="48"/>
  <c r="F237" i="48"/>
  <c r="AC235" i="48"/>
  <c r="AA235" i="48"/>
  <c r="W235" i="48"/>
  <c r="S235" i="48"/>
  <c r="Q235" i="48"/>
  <c r="O235" i="48"/>
  <c r="X233" i="48"/>
  <c r="X232" i="48"/>
  <c r="AC226" i="48"/>
  <c r="AA226" i="48"/>
  <c r="Y226" i="48"/>
  <c r="W226" i="48"/>
  <c r="S226" i="48"/>
  <c r="Q226" i="48"/>
  <c r="O226" i="48"/>
  <c r="F226" i="48"/>
  <c r="AC223" i="48"/>
  <c r="AA223" i="48"/>
  <c r="Y223" i="48"/>
  <c r="W223" i="48"/>
  <c r="S223" i="48"/>
  <c r="Q223" i="48"/>
  <c r="O223" i="48"/>
  <c r="F223" i="48"/>
  <c r="AC220" i="48"/>
  <c r="AA220" i="48"/>
  <c r="Y220" i="48"/>
  <c r="W220" i="48"/>
  <c r="S220" i="48"/>
  <c r="Q220" i="48"/>
  <c r="O220" i="48"/>
  <c r="F220" i="48"/>
  <c r="AC217" i="48"/>
  <c r="AA217" i="48"/>
  <c r="Y217" i="48"/>
  <c r="W217" i="48"/>
  <c r="S217" i="48"/>
  <c r="Q217" i="48"/>
  <c r="O217" i="48"/>
  <c r="F217" i="48"/>
  <c r="AC214" i="48"/>
  <c r="AA214" i="48"/>
  <c r="X214" i="48"/>
  <c r="X240" i="48" s="1"/>
  <c r="Y240" i="48" s="1"/>
  <c r="W214" i="48"/>
  <c r="S214" i="48"/>
  <c r="Q214" i="48"/>
  <c r="O214" i="48"/>
  <c r="AC211" i="48"/>
  <c r="S211" i="48"/>
  <c r="Y211" i="48"/>
  <c r="F211" i="48"/>
  <c r="AC209" i="48"/>
  <c r="AA209" i="48"/>
  <c r="Y209" i="48"/>
  <c r="W209" i="48"/>
  <c r="T209" i="48"/>
  <c r="U209" i="48" s="1"/>
  <c r="R205" i="48"/>
  <c r="P205" i="48"/>
  <c r="N205" i="48"/>
  <c r="R204" i="48"/>
  <c r="P204" i="48"/>
  <c r="N204" i="48"/>
  <c r="R203" i="48"/>
  <c r="P203" i="48"/>
  <c r="N203" i="48"/>
  <c r="AC199" i="48"/>
  <c r="AA199" i="48"/>
  <c r="Y199" i="48"/>
  <c r="W199" i="48"/>
  <c r="U199" i="48"/>
  <c r="R199" i="48"/>
  <c r="S199" i="48" s="1"/>
  <c r="Q199" i="48"/>
  <c r="N199" i="48"/>
  <c r="O199" i="48" s="1"/>
  <c r="AC194" i="48"/>
  <c r="AA194" i="48"/>
  <c r="Y194" i="48"/>
  <c r="W194" i="48"/>
  <c r="S194" i="48"/>
  <c r="Q194" i="48"/>
  <c r="O194" i="48"/>
  <c r="F194" i="48"/>
  <c r="AC191" i="48"/>
  <c r="AA191" i="48"/>
  <c r="Y191" i="48"/>
  <c r="W191" i="48"/>
  <c r="S191" i="48"/>
  <c r="Q191" i="48"/>
  <c r="O191" i="48"/>
  <c r="F191" i="48"/>
  <c r="AC188" i="48"/>
  <c r="AA188" i="48"/>
  <c r="Y188" i="48"/>
  <c r="W188" i="48"/>
  <c r="S188" i="48"/>
  <c r="Q188" i="48"/>
  <c r="O188" i="48"/>
  <c r="F188" i="48"/>
  <c r="AC185" i="48"/>
  <c r="AA185" i="48"/>
  <c r="Y185" i="48"/>
  <c r="W185" i="48"/>
  <c r="S185" i="48"/>
  <c r="Q185" i="48"/>
  <c r="O185" i="48"/>
  <c r="F185" i="48"/>
  <c r="AC182" i="48"/>
  <c r="AA182" i="48"/>
  <c r="Y182" i="48"/>
  <c r="W182" i="48"/>
  <c r="S182" i="48"/>
  <c r="Q182" i="48"/>
  <c r="O182" i="48"/>
  <c r="F182" i="48"/>
  <c r="A182" i="48"/>
  <c r="A185" i="48" s="1"/>
  <c r="A188" i="48" s="1"/>
  <c r="A191" i="48" s="1"/>
  <c r="A194" i="48" s="1"/>
  <c r="AC179" i="48"/>
  <c r="AA179" i="48"/>
  <c r="Y179" i="48"/>
  <c r="W179" i="48"/>
  <c r="S179" i="48"/>
  <c r="Q179" i="48"/>
  <c r="O179" i="48"/>
  <c r="F179" i="48"/>
  <c r="X173" i="48"/>
  <c r="F173" i="48" s="1"/>
  <c r="S173" i="48"/>
  <c r="O173" i="48"/>
  <c r="X170" i="48"/>
  <c r="Y170" i="48" s="1"/>
  <c r="AC167" i="48"/>
  <c r="AA167" i="48"/>
  <c r="Y167" i="48"/>
  <c r="W167" i="48"/>
  <c r="U167" i="48"/>
  <c r="U176" i="48" s="1"/>
  <c r="S167" i="48"/>
  <c r="Q167" i="48"/>
  <c r="O167" i="48"/>
  <c r="F167" i="48"/>
  <c r="AC161" i="48"/>
  <c r="AA161" i="48"/>
  <c r="Y161" i="48"/>
  <c r="W161" i="48"/>
  <c r="U161" i="48"/>
  <c r="S161" i="48"/>
  <c r="Q161" i="48"/>
  <c r="O161" i="48"/>
  <c r="F161" i="48"/>
  <c r="AC159" i="48"/>
  <c r="AA159" i="48"/>
  <c r="Y159" i="48"/>
  <c r="W159" i="48"/>
  <c r="U159" i="48"/>
  <c r="S159" i="48"/>
  <c r="Q159" i="48"/>
  <c r="O159" i="48"/>
  <c r="F159" i="48"/>
  <c r="AC157" i="48"/>
  <c r="AA157" i="48"/>
  <c r="Y157" i="48"/>
  <c r="W157" i="48"/>
  <c r="U157" i="48"/>
  <c r="S157" i="48"/>
  <c r="Q157" i="48"/>
  <c r="O157" i="48"/>
  <c r="F157" i="48"/>
  <c r="AC155" i="48"/>
  <c r="AA155" i="48"/>
  <c r="Y155" i="48"/>
  <c r="W155" i="48"/>
  <c r="U155" i="48"/>
  <c r="S155" i="48"/>
  <c r="Q155" i="48"/>
  <c r="O155" i="48"/>
  <c r="F155" i="48"/>
  <c r="AC153" i="48"/>
  <c r="AA153" i="48"/>
  <c r="Y153" i="48"/>
  <c r="W153" i="48"/>
  <c r="U153" i="48"/>
  <c r="S153" i="48"/>
  <c r="Q153" i="48"/>
  <c r="O153" i="48"/>
  <c r="F153" i="48"/>
  <c r="AC151" i="48"/>
  <c r="AA151" i="48"/>
  <c r="Y151" i="48"/>
  <c r="W151" i="48"/>
  <c r="U151" i="48"/>
  <c r="S151" i="48"/>
  <c r="Q151" i="48"/>
  <c r="O151" i="48"/>
  <c r="F151" i="48"/>
  <c r="AC149" i="48"/>
  <c r="AA149" i="48"/>
  <c r="Y149" i="48"/>
  <c r="W149" i="48"/>
  <c r="U149" i="48"/>
  <c r="S149" i="48"/>
  <c r="Q149" i="48"/>
  <c r="O149" i="48"/>
  <c r="F149" i="48"/>
  <c r="AC147" i="48"/>
  <c r="AA147" i="48"/>
  <c r="Y147" i="48"/>
  <c r="W147" i="48"/>
  <c r="U147" i="48"/>
  <c r="S147" i="48"/>
  <c r="Q147" i="48"/>
  <c r="O147" i="48"/>
  <c r="F147" i="48"/>
  <c r="AC145" i="48"/>
  <c r="AA145" i="48"/>
  <c r="Y145" i="48"/>
  <c r="W145" i="48"/>
  <c r="U145" i="48"/>
  <c r="S145" i="48"/>
  <c r="Q145" i="48"/>
  <c r="O145" i="48"/>
  <c r="F145" i="48"/>
  <c r="AC143" i="48"/>
  <c r="AA143" i="48"/>
  <c r="Y143" i="48"/>
  <c r="W143" i="48"/>
  <c r="U143" i="48"/>
  <c r="S143" i="48"/>
  <c r="Q143" i="48"/>
  <c r="O143" i="48"/>
  <c r="F143" i="48"/>
  <c r="AC141" i="48"/>
  <c r="AA141" i="48"/>
  <c r="Y141" i="48"/>
  <c r="W141" i="48"/>
  <c r="U141" i="48"/>
  <c r="S141" i="48"/>
  <c r="Q141" i="48"/>
  <c r="O141" i="48"/>
  <c r="F141" i="48"/>
  <c r="AC139" i="48"/>
  <c r="AA139" i="48"/>
  <c r="Y139" i="48"/>
  <c r="W139" i="48"/>
  <c r="U139" i="48"/>
  <c r="S139" i="48"/>
  <c r="Q139" i="48"/>
  <c r="O139" i="48"/>
  <c r="F139" i="48"/>
  <c r="AC137" i="48"/>
  <c r="AA137" i="48"/>
  <c r="Y137" i="48"/>
  <c r="W137" i="48"/>
  <c r="U137" i="48"/>
  <c r="S137" i="48"/>
  <c r="Q137" i="48"/>
  <c r="O137" i="48"/>
  <c r="F137" i="48"/>
  <c r="AC135" i="48"/>
  <c r="AA135" i="48"/>
  <c r="Y135" i="48"/>
  <c r="W135" i="48"/>
  <c r="U135" i="48"/>
  <c r="S135" i="48"/>
  <c r="Q135" i="48"/>
  <c r="O135" i="48"/>
  <c r="F135" i="48"/>
  <c r="AC133" i="48"/>
  <c r="AA133" i="48"/>
  <c r="Y133" i="48"/>
  <c r="W133" i="48"/>
  <c r="U133" i="48"/>
  <c r="S133" i="48"/>
  <c r="Q133" i="48"/>
  <c r="O133" i="48"/>
  <c r="F133" i="48"/>
  <c r="AC131" i="48"/>
  <c r="AA131" i="48"/>
  <c r="Y131" i="48"/>
  <c r="W131" i="48"/>
  <c r="U131" i="48"/>
  <c r="S131" i="48"/>
  <c r="Q131" i="48"/>
  <c r="O131" i="48"/>
  <c r="F131" i="48"/>
  <c r="AC129" i="48"/>
  <c r="AA129" i="48"/>
  <c r="Y129" i="48"/>
  <c r="W129" i="48"/>
  <c r="U129" i="48"/>
  <c r="S129" i="48"/>
  <c r="Q129" i="48"/>
  <c r="O129" i="48"/>
  <c r="F129" i="48"/>
  <c r="AC127" i="48"/>
  <c r="AA127" i="48"/>
  <c r="Y127" i="48"/>
  <c r="W127" i="48"/>
  <c r="U127" i="48"/>
  <c r="S127" i="48"/>
  <c r="Q127" i="48"/>
  <c r="O127" i="48"/>
  <c r="F127" i="48"/>
  <c r="AC125" i="48"/>
  <c r="AA125" i="48"/>
  <c r="Y125" i="48"/>
  <c r="W125" i="48"/>
  <c r="U125" i="48"/>
  <c r="S125" i="48"/>
  <c r="Q125" i="48"/>
  <c r="O125" i="48"/>
  <c r="F125" i="48"/>
  <c r="AC123" i="48"/>
  <c r="AA123" i="48"/>
  <c r="Y123" i="48"/>
  <c r="W123" i="48"/>
  <c r="U123" i="48"/>
  <c r="S123" i="48"/>
  <c r="Q123" i="48"/>
  <c r="O123" i="48"/>
  <c r="F123" i="48"/>
  <c r="AC121" i="48"/>
  <c r="AA121" i="48"/>
  <c r="Y121" i="48"/>
  <c r="W121" i="48"/>
  <c r="U121" i="48"/>
  <c r="S121" i="48"/>
  <c r="Q121" i="48"/>
  <c r="O121" i="48"/>
  <c r="F121" i="48"/>
  <c r="AC119" i="48"/>
  <c r="AA119" i="48"/>
  <c r="Y119" i="48"/>
  <c r="W119" i="48"/>
  <c r="U119" i="48"/>
  <c r="S119" i="48"/>
  <c r="Q119" i="48"/>
  <c r="O119" i="48"/>
  <c r="F119" i="48"/>
  <c r="AC117" i="48"/>
  <c r="AA117" i="48"/>
  <c r="Y117" i="48"/>
  <c r="W117" i="48"/>
  <c r="U117" i="48"/>
  <c r="S117" i="48"/>
  <c r="Q117" i="48"/>
  <c r="O117" i="48"/>
  <c r="F117" i="48"/>
  <c r="AC115" i="48"/>
  <c r="AA115" i="48"/>
  <c r="Y115" i="48"/>
  <c r="W115" i="48"/>
  <c r="U115" i="48"/>
  <c r="S115" i="48"/>
  <c r="Q115" i="48"/>
  <c r="O115" i="48"/>
  <c r="F115" i="48"/>
  <c r="AC113" i="48"/>
  <c r="AA113" i="48"/>
  <c r="Y113" i="48"/>
  <c r="W113" i="48"/>
  <c r="U113" i="48"/>
  <c r="S113" i="48"/>
  <c r="Q113" i="48"/>
  <c r="O113" i="48"/>
  <c r="F113" i="48"/>
  <c r="AC111" i="48"/>
  <c r="AA111" i="48"/>
  <c r="Y111" i="48"/>
  <c r="W111" i="48"/>
  <c r="U111" i="48"/>
  <c r="S111" i="48"/>
  <c r="Q111" i="48"/>
  <c r="O111" i="48"/>
  <c r="F111" i="48"/>
  <c r="AC109" i="48"/>
  <c r="AA109" i="48"/>
  <c r="Y109" i="48"/>
  <c r="W109" i="48"/>
  <c r="U109" i="48"/>
  <c r="S109" i="48"/>
  <c r="Q109" i="48"/>
  <c r="O109" i="48"/>
  <c r="F109" i="48"/>
  <c r="AC107" i="48"/>
  <c r="AA107" i="48"/>
  <c r="Y107" i="48"/>
  <c r="W107" i="48"/>
  <c r="U107" i="48"/>
  <c r="S107" i="48"/>
  <c r="Q107" i="48"/>
  <c r="O107" i="48"/>
  <c r="F107" i="48"/>
  <c r="AC103" i="48"/>
  <c r="AA103" i="48"/>
  <c r="Y103" i="48"/>
  <c r="W103" i="48"/>
  <c r="U103" i="48"/>
  <c r="S103" i="48"/>
  <c r="Q103" i="48"/>
  <c r="O103" i="48"/>
  <c r="F103" i="48"/>
  <c r="AC101" i="48"/>
  <c r="AA101" i="48"/>
  <c r="Y101" i="48"/>
  <c r="W101" i="48"/>
  <c r="U101" i="48"/>
  <c r="S101" i="48"/>
  <c r="Q101" i="48"/>
  <c r="O101" i="48"/>
  <c r="F101" i="48"/>
  <c r="AC99" i="48"/>
  <c r="AA99" i="48"/>
  <c r="Y99" i="48"/>
  <c r="W99" i="48"/>
  <c r="U99" i="48"/>
  <c r="S99" i="48"/>
  <c r="Q99" i="48"/>
  <c r="O99" i="48"/>
  <c r="F99" i="48"/>
  <c r="AC97" i="48"/>
  <c r="AA97" i="48"/>
  <c r="Y97" i="48"/>
  <c r="W97" i="48"/>
  <c r="U97" i="48"/>
  <c r="S97" i="48"/>
  <c r="Q97" i="48"/>
  <c r="O97" i="48"/>
  <c r="F97" i="48"/>
  <c r="AC95" i="48"/>
  <c r="AA95" i="48"/>
  <c r="Y95" i="48"/>
  <c r="W95" i="48"/>
  <c r="U95" i="48"/>
  <c r="S95" i="48"/>
  <c r="Q95" i="48"/>
  <c r="O95" i="48"/>
  <c r="F95" i="48"/>
  <c r="AC91" i="48"/>
  <c r="AA91" i="48"/>
  <c r="Y91" i="48"/>
  <c r="W91" i="48"/>
  <c r="U91" i="48"/>
  <c r="S91" i="48"/>
  <c r="Q91" i="48"/>
  <c r="O91" i="48"/>
  <c r="F91" i="48"/>
  <c r="AC87" i="48"/>
  <c r="AA87" i="48"/>
  <c r="Y87" i="48"/>
  <c r="W87" i="48"/>
  <c r="U87" i="48"/>
  <c r="S87" i="48"/>
  <c r="Q87" i="48"/>
  <c r="O87" i="48"/>
  <c r="F87" i="48"/>
  <c r="AC85" i="48"/>
  <c r="AA85" i="48"/>
  <c r="Y85" i="48"/>
  <c r="W85" i="48"/>
  <c r="U85" i="48"/>
  <c r="S85" i="48"/>
  <c r="Q85" i="48"/>
  <c r="O85" i="48"/>
  <c r="F85" i="48"/>
  <c r="AC81" i="48"/>
  <c r="AA81" i="48"/>
  <c r="Y81" i="48"/>
  <c r="W81" i="48"/>
  <c r="U81" i="48"/>
  <c r="S81" i="48"/>
  <c r="Q81" i="48"/>
  <c r="O81" i="48"/>
  <c r="F81" i="48"/>
  <c r="AC79" i="48"/>
  <c r="AA79" i="48"/>
  <c r="Y79" i="48"/>
  <c r="W79" i="48"/>
  <c r="U79" i="48"/>
  <c r="S79" i="48"/>
  <c r="Q79" i="48"/>
  <c r="O79" i="48"/>
  <c r="F79" i="48"/>
  <c r="AC75" i="48"/>
  <c r="AA75" i="48"/>
  <c r="Y75" i="48"/>
  <c r="W75" i="48"/>
  <c r="U75" i="48"/>
  <c r="S75" i="48"/>
  <c r="Q75" i="48"/>
  <c r="O75" i="48"/>
  <c r="F75" i="48"/>
  <c r="AC73" i="48"/>
  <c r="AA73" i="48"/>
  <c r="Y73" i="48"/>
  <c r="W73" i="48"/>
  <c r="U73" i="48"/>
  <c r="S73" i="48"/>
  <c r="Q73" i="48"/>
  <c r="O73" i="48"/>
  <c r="F73" i="48"/>
  <c r="AC71" i="48"/>
  <c r="AA71" i="48"/>
  <c r="Y71" i="48"/>
  <c r="W71" i="48"/>
  <c r="U71" i="48"/>
  <c r="S71" i="48"/>
  <c r="Q71" i="48"/>
  <c r="O71" i="48"/>
  <c r="F71" i="48"/>
  <c r="AC69" i="48"/>
  <c r="AA69" i="48"/>
  <c r="Y69" i="48"/>
  <c r="W69" i="48"/>
  <c r="U69" i="48"/>
  <c r="S69" i="48"/>
  <c r="Q69" i="48"/>
  <c r="O69" i="48"/>
  <c r="F69" i="48"/>
  <c r="AC67" i="48"/>
  <c r="AA67" i="48"/>
  <c r="Y67" i="48"/>
  <c r="W67" i="48"/>
  <c r="U67" i="48"/>
  <c r="S67" i="48"/>
  <c r="Q67" i="48"/>
  <c r="O67" i="48"/>
  <c r="F67" i="48"/>
  <c r="AC63" i="48"/>
  <c r="AA63" i="48"/>
  <c r="Y63" i="48"/>
  <c r="W63" i="48"/>
  <c r="U63" i="48"/>
  <c r="S63" i="48"/>
  <c r="Q63" i="48"/>
  <c r="O63" i="48"/>
  <c r="F63" i="48"/>
  <c r="AC61" i="48"/>
  <c r="AA61" i="48"/>
  <c r="Y61" i="48"/>
  <c r="W61" i="48"/>
  <c r="U61" i="48"/>
  <c r="S61" i="48"/>
  <c r="Q61" i="48"/>
  <c r="O61" i="48"/>
  <c r="F61" i="48"/>
  <c r="AC57" i="48"/>
  <c r="AA57" i="48"/>
  <c r="Y57" i="48"/>
  <c r="W57" i="48"/>
  <c r="U57" i="48"/>
  <c r="S57" i="48"/>
  <c r="Q57" i="48"/>
  <c r="O57" i="48"/>
  <c r="F57" i="48"/>
  <c r="AC55" i="48"/>
  <c r="AA55" i="48"/>
  <c r="Y55" i="48"/>
  <c r="W55" i="48"/>
  <c r="U55" i="48"/>
  <c r="S55" i="48"/>
  <c r="Q55" i="48"/>
  <c r="O55" i="48"/>
  <c r="F55" i="48"/>
  <c r="AC53" i="48"/>
  <c r="AA53" i="48"/>
  <c r="Y53" i="48"/>
  <c r="W53" i="48"/>
  <c r="U53" i="48"/>
  <c r="S53" i="48"/>
  <c r="Q53" i="48"/>
  <c r="O53" i="48"/>
  <c r="F53" i="48"/>
  <c r="AC50" i="48"/>
  <c r="AA50" i="48"/>
  <c r="Y50" i="48"/>
  <c r="W50" i="48"/>
  <c r="U50" i="48"/>
  <c r="S50" i="48"/>
  <c r="Q50" i="48"/>
  <c r="O50" i="48"/>
  <c r="F50" i="48"/>
  <c r="AC48" i="48"/>
  <c r="AA48" i="48"/>
  <c r="Y48" i="48"/>
  <c r="W48" i="48"/>
  <c r="U48" i="48"/>
  <c r="S48" i="48"/>
  <c r="Q48" i="48"/>
  <c r="O48" i="48"/>
  <c r="F48" i="48"/>
  <c r="F45" i="48"/>
  <c r="AC43" i="48"/>
  <c r="AA43" i="48"/>
  <c r="Y43" i="48"/>
  <c r="W43" i="48"/>
  <c r="U43" i="48"/>
  <c r="S43" i="48"/>
  <c r="Q43" i="48"/>
  <c r="O43" i="48"/>
  <c r="F43" i="48"/>
  <c r="AC41" i="48"/>
  <c r="AA41" i="48"/>
  <c r="Y41" i="48"/>
  <c r="W41" i="48"/>
  <c r="U41" i="48"/>
  <c r="S41" i="48"/>
  <c r="Q41" i="48"/>
  <c r="O41" i="48"/>
  <c r="F41" i="48"/>
  <c r="AC39" i="48"/>
  <c r="AA39" i="48"/>
  <c r="Y39" i="48"/>
  <c r="W39" i="48"/>
  <c r="U39" i="48"/>
  <c r="S39" i="48"/>
  <c r="Q39" i="48"/>
  <c r="O39" i="48"/>
  <c r="F39" i="48"/>
  <c r="AC37" i="48"/>
  <c r="AA37" i="48"/>
  <c r="Y37" i="48"/>
  <c r="W37" i="48"/>
  <c r="U37" i="48"/>
  <c r="S37" i="48"/>
  <c r="Q37" i="48"/>
  <c r="O37" i="48"/>
  <c r="F37" i="48"/>
  <c r="AC33" i="48"/>
  <c r="AA33" i="48"/>
  <c r="Y33" i="48"/>
  <c r="W33" i="48"/>
  <c r="U33" i="48"/>
  <c r="S33" i="48"/>
  <c r="Q33" i="48"/>
  <c r="O33" i="48"/>
  <c r="F33" i="48"/>
  <c r="AC31" i="48"/>
  <c r="AA31" i="48"/>
  <c r="Y31" i="48"/>
  <c r="W31" i="48"/>
  <c r="U31" i="48"/>
  <c r="S31" i="48"/>
  <c r="Q31" i="48"/>
  <c r="O31" i="48"/>
  <c r="F31" i="48"/>
  <c r="AC29" i="48"/>
  <c r="AA29" i="48"/>
  <c r="Y29" i="48"/>
  <c r="W29" i="48"/>
  <c r="U29" i="48"/>
  <c r="S29" i="48"/>
  <c r="Q29" i="48"/>
  <c r="O29" i="48"/>
  <c r="F29" i="48"/>
  <c r="AC27" i="48"/>
  <c r="AA27" i="48"/>
  <c r="Y27" i="48"/>
  <c r="W27" i="48"/>
  <c r="U27" i="48"/>
  <c r="S27" i="48"/>
  <c r="Q27" i="48"/>
  <c r="O27" i="48"/>
  <c r="F27" i="48"/>
  <c r="AC23" i="48"/>
  <c r="AA23" i="48"/>
  <c r="Y23" i="48"/>
  <c r="W23" i="48"/>
  <c r="U23" i="48"/>
  <c r="S23" i="48"/>
  <c r="Q23" i="48"/>
  <c r="O23" i="48"/>
  <c r="F23" i="48"/>
  <c r="AC21" i="48"/>
  <c r="AA21" i="48"/>
  <c r="Y21" i="48"/>
  <c r="W21" i="48"/>
  <c r="U21" i="48"/>
  <c r="S21" i="48"/>
  <c r="Q21" i="48"/>
  <c r="O21" i="48"/>
  <c r="F21" i="48"/>
  <c r="AC19" i="48"/>
  <c r="AA19" i="48"/>
  <c r="Y19" i="48"/>
  <c r="W19" i="48"/>
  <c r="U19" i="48"/>
  <c r="S19" i="48"/>
  <c r="Q19" i="48"/>
  <c r="O19" i="48"/>
  <c r="F19" i="48"/>
  <c r="A19" i="48"/>
  <c r="A21" i="48" s="1"/>
  <c r="A23" i="48" s="1"/>
  <c r="A27" i="48" s="1"/>
  <c r="A29" i="48" s="1"/>
  <c r="A31" i="48" s="1"/>
  <c r="A33" i="48" s="1"/>
  <c r="A37" i="48" s="1"/>
  <c r="A39" i="48" s="1"/>
  <c r="A41" i="48" s="1"/>
  <c r="A43" i="48" s="1"/>
  <c r="A45" i="48" s="1"/>
  <c r="A48" i="48" s="1"/>
  <c r="A50" i="48" s="1"/>
  <c r="A53" i="48" s="1"/>
  <c r="A55" i="48" s="1"/>
  <c r="A57" i="48" s="1"/>
  <c r="A61" i="48" s="1"/>
  <c r="A63" i="48" s="1"/>
  <c r="A67" i="48" s="1"/>
  <c r="A69" i="48" s="1"/>
  <c r="A71" i="48" s="1"/>
  <c r="A73" i="48" s="1"/>
  <c r="A75" i="48" s="1"/>
  <c r="A79" i="48" s="1"/>
  <c r="A81" i="48" s="1"/>
  <c r="A85" i="48" s="1"/>
  <c r="A87" i="48" s="1"/>
  <c r="A91" i="48" s="1"/>
  <c r="A95" i="48" s="1"/>
  <c r="A97" i="48" s="1"/>
  <c r="A99" i="48" s="1"/>
  <c r="A101" i="48" s="1"/>
  <c r="A103" i="48" s="1"/>
  <c r="A107" i="48" s="1"/>
  <c r="A109" i="48" s="1"/>
  <c r="A111" i="48" s="1"/>
  <c r="A113" i="48" s="1"/>
  <c r="A115" i="48" s="1"/>
  <c r="A117" i="48" s="1"/>
  <c r="A119" i="48" s="1"/>
  <c r="A121" i="48" s="1"/>
  <c r="A123" i="48" s="1"/>
  <c r="A125" i="48" s="1"/>
  <c r="A127" i="48" s="1"/>
  <c r="A129" i="48" s="1"/>
  <c r="A131" i="48" s="1"/>
  <c r="A133" i="48" s="1"/>
  <c r="A135" i="48" s="1"/>
  <c r="A137" i="48" s="1"/>
  <c r="A139" i="48" s="1"/>
  <c r="A141" i="48" s="1"/>
  <c r="A143" i="48" s="1"/>
  <c r="A145" i="48" s="1"/>
  <c r="A147" i="48" s="1"/>
  <c r="A149" i="48" s="1"/>
  <c r="A151" i="48" s="1"/>
  <c r="A153" i="48" s="1"/>
  <c r="A155" i="48" s="1"/>
  <c r="A157" i="48" s="1"/>
  <c r="A159" i="48" s="1"/>
  <c r="A161" i="48" s="1"/>
  <c r="A167" i="48" s="1"/>
  <c r="A170" i="48" s="1"/>
  <c r="A173" i="48" s="1"/>
  <c r="A197" i="48" s="1"/>
  <c r="A201" i="48" s="1"/>
  <c r="A211" i="48" s="1"/>
  <c r="A214" i="48" s="1"/>
  <c r="A217" i="48" s="1"/>
  <c r="A223" i="48" s="1"/>
  <c r="A226" i="48" s="1"/>
  <c r="A229" i="48" s="1"/>
  <c r="A237" i="48" s="1"/>
  <c r="A240" i="48" s="1"/>
  <c r="A243" i="48" s="1"/>
  <c r="A255" i="48" s="1"/>
  <c r="A264" i="48" s="1"/>
  <c r="A275" i="48" s="1"/>
  <c r="A290" i="48" s="1"/>
  <c r="A298" i="48" s="1"/>
  <c r="A302" i="48" s="1"/>
  <c r="A306" i="48" s="1"/>
  <c r="A310" i="48" s="1"/>
  <c r="A314" i="48" s="1"/>
  <c r="A317" i="48" s="1"/>
  <c r="A359" i="48" s="1"/>
  <c r="A362" i="48" s="1"/>
  <c r="A365" i="48" s="1"/>
  <c r="A368" i="48" s="1"/>
  <c r="A371" i="48" s="1"/>
  <c r="A374" i="48" s="1"/>
  <c r="A377" i="48" s="1"/>
  <c r="A380" i="48" s="1"/>
  <c r="A383" i="48" s="1"/>
  <c r="A386" i="48" s="1"/>
  <c r="A389" i="48" s="1"/>
  <c r="A392" i="48" s="1"/>
  <c r="A403" i="48" s="1"/>
  <c r="A417" i="48" s="1"/>
  <c r="A425" i="48" s="1"/>
  <c r="A428" i="48" s="1"/>
  <c r="A439" i="48" s="1"/>
  <c r="A450" i="48" s="1"/>
  <c r="A458" i="48" s="1"/>
  <c r="A466" i="48" s="1"/>
  <c r="A474" i="48" s="1"/>
  <c r="A478" i="48" s="1"/>
  <c r="A482" i="48" s="1"/>
  <c r="A491" i="48" s="1"/>
  <c r="A500" i="48" s="1"/>
  <c r="A503" i="48" s="1"/>
  <c r="A508" i="48" s="1"/>
  <c r="A511" i="48" s="1"/>
  <c r="A514" i="48" s="1"/>
  <c r="A517" i="48" s="1"/>
  <c r="A520" i="48" s="1"/>
  <c r="A523" i="48" s="1"/>
  <c r="A526" i="48" s="1"/>
  <c r="A529" i="48" s="1"/>
  <c r="A532" i="48" s="1"/>
  <c r="A535" i="48" s="1"/>
  <c r="A538" i="48" s="1"/>
  <c r="A541" i="48" s="1"/>
  <c r="A544" i="48" s="1"/>
  <c r="A550" i="48" s="1"/>
  <c r="A554" i="48" s="1"/>
  <c r="A557" i="48" s="1"/>
  <c r="A560" i="48" s="1"/>
  <c r="A584" i="48" s="1"/>
  <c r="A587" i="48" s="1"/>
  <c r="A590" i="48" s="1"/>
  <c r="A601" i="48" s="1"/>
  <c r="A612" i="48" s="1"/>
  <c r="A616" i="48" s="1"/>
  <c r="A651" i="48" s="1"/>
  <c r="A654" i="48" s="1"/>
  <c r="A660" i="48" s="1"/>
  <c r="A664" i="48" s="1"/>
  <c r="A668" i="48" s="1"/>
  <c r="A674" i="48" s="1"/>
  <c r="A681" i="48" s="1"/>
  <c r="A688" i="48" s="1"/>
  <c r="A695" i="48" s="1"/>
  <c r="A702" i="48" s="1"/>
  <c r="A709" i="48" s="1"/>
  <c r="A716" i="48" s="1"/>
  <c r="A723" i="48" s="1"/>
  <c r="A730" i="48" s="1"/>
  <c r="A792" i="48" s="1"/>
  <c r="A797" i="48" s="1"/>
  <c r="A801" i="48" s="1"/>
  <c r="A806" i="48" s="1"/>
  <c r="A810" i="48" s="1"/>
  <c r="A815" i="48" s="1"/>
  <c r="A822" i="48" s="1"/>
  <c r="A827" i="48" s="1"/>
  <c r="A830" i="48" s="1"/>
  <c r="A836" i="48" s="1"/>
  <c r="A841" i="48" s="1"/>
  <c r="A844" i="48" s="1"/>
  <c r="A850" i="48" s="1"/>
  <c r="A853" i="48" s="1"/>
  <c r="A856" i="48" s="1"/>
  <c r="A859" i="48" s="1"/>
  <c r="A862" i="48" s="1"/>
  <c r="A865" i="48" s="1"/>
  <c r="A868" i="48" s="1"/>
  <c r="A871" i="48" s="1"/>
  <c r="A874" i="48" s="1"/>
  <c r="A877" i="48" s="1"/>
  <c r="A883" i="48" s="1"/>
  <c r="A886" i="48" s="1"/>
  <c r="A889" i="48" s="1"/>
  <c r="A892" i="48" s="1"/>
  <c r="A895" i="48" s="1"/>
  <c r="AC17" i="48"/>
  <c r="AA17" i="48"/>
  <c r="Y17" i="48"/>
  <c r="W17" i="48"/>
  <c r="U17" i="48"/>
  <c r="S17" i="48"/>
  <c r="Q17" i="48"/>
  <c r="F17" i="48"/>
  <c r="S1485" i="48" l="1"/>
  <c r="H1485" i="48" s="1"/>
  <c r="F744" i="48"/>
  <c r="S1252" i="48"/>
  <c r="H1252" i="48" s="1"/>
  <c r="AB484" i="48"/>
  <c r="S1395" i="48"/>
  <c r="H1395" i="48" s="1"/>
  <c r="S1401" i="48"/>
  <c r="H1401" i="48" s="1"/>
  <c r="P498" i="48"/>
  <c r="Q498" i="48" s="1"/>
  <c r="Q838" i="48"/>
  <c r="S1389" i="48"/>
  <c r="H1389" i="48" s="1"/>
  <c r="U514" i="48"/>
  <c r="S1256" i="48"/>
  <c r="H1256" i="48" s="1"/>
  <c r="H63" i="48"/>
  <c r="H73" i="48"/>
  <c r="H113" i="48"/>
  <c r="H121" i="48"/>
  <c r="H127" i="48"/>
  <c r="F170" i="48"/>
  <c r="F374" i="48"/>
  <c r="AB480" i="48"/>
  <c r="Q812" i="48"/>
  <c r="F1181" i="48"/>
  <c r="F1182" i="48" s="1"/>
  <c r="P952" i="48"/>
  <c r="Q952" i="48" s="1"/>
  <c r="AB946" i="48"/>
  <c r="F1349" i="48"/>
  <c r="F1432" i="48"/>
  <c r="S1435" i="48"/>
  <c r="H1435" i="48" s="1"/>
  <c r="S1441" i="48"/>
  <c r="H1441" i="48" s="1"/>
  <c r="S1447" i="48"/>
  <c r="H1447" i="48" s="1"/>
  <c r="S1453" i="48"/>
  <c r="H1453" i="48" s="1"/>
  <c r="H48" i="48"/>
  <c r="U272" i="48"/>
  <c r="U425" i="48"/>
  <c r="H425" i="48" s="1"/>
  <c r="U535" i="48"/>
  <c r="Q563" i="48"/>
  <c r="AA563" i="48"/>
  <c r="H606" i="48"/>
  <c r="AA657" i="48"/>
  <c r="X981" i="48"/>
  <c r="Y981" i="48" s="1"/>
  <c r="R1294" i="48"/>
  <c r="F1346" i="48"/>
  <c r="H149" i="48"/>
  <c r="N209" i="48"/>
  <c r="O209" i="48" s="1"/>
  <c r="H209" i="48" s="1"/>
  <c r="P209" i="48"/>
  <c r="Q209" i="48" s="1"/>
  <c r="R209" i="48"/>
  <c r="S209" i="48" s="1"/>
  <c r="AB947" i="48"/>
  <c r="O954" i="48"/>
  <c r="H954" i="48" s="1"/>
  <c r="AA970" i="48"/>
  <c r="H39" i="48"/>
  <c r="H87" i="48"/>
  <c r="H109" i="48"/>
  <c r="H117" i="48"/>
  <c r="H252" i="48"/>
  <c r="H331" i="48"/>
  <c r="F380" i="48"/>
  <c r="N401" i="48"/>
  <c r="X498" i="48"/>
  <c r="Y498" i="48" s="1"/>
  <c r="U541" i="48"/>
  <c r="F584" i="48"/>
  <c r="O677" i="48"/>
  <c r="O721" i="48"/>
  <c r="F812" i="48"/>
  <c r="H874" i="48"/>
  <c r="S1245" i="48"/>
  <c r="H1245" i="48" s="1"/>
  <c r="F1269" i="48"/>
  <c r="R1275" i="48"/>
  <c r="S1352" i="48"/>
  <c r="H1352" i="48" s="1"/>
  <c r="S1386" i="48"/>
  <c r="H1386" i="48" s="1"/>
  <c r="F1392" i="48"/>
  <c r="S1398" i="48"/>
  <c r="H1398" i="48" s="1"/>
  <c r="F1404" i="48"/>
  <c r="S1407" i="48"/>
  <c r="H1407" i="48" s="1"/>
  <c r="S1413" i="48"/>
  <c r="H1413" i="48" s="1"/>
  <c r="S1421" i="48"/>
  <c r="H1421" i="48" s="1"/>
  <c r="S1438" i="48"/>
  <c r="H1438" i="48" s="1"/>
  <c r="F1444" i="48"/>
  <c r="S1450" i="48"/>
  <c r="H1450" i="48" s="1"/>
  <c r="H139" i="48"/>
  <c r="H153" i="48"/>
  <c r="H356" i="48"/>
  <c r="H386" i="48"/>
  <c r="R423" i="48"/>
  <c r="H523" i="48"/>
  <c r="H560" i="48"/>
  <c r="F839" i="48"/>
  <c r="H85" i="48"/>
  <c r="H91" i="48"/>
  <c r="H123" i="48"/>
  <c r="H131" i="48"/>
  <c r="H147" i="48"/>
  <c r="H155" i="48"/>
  <c r="H217" i="48"/>
  <c r="H226" i="48"/>
  <c r="N433" i="48"/>
  <c r="T326" i="48"/>
  <c r="U326" i="48" s="1"/>
  <c r="V415" i="48"/>
  <c r="AB421" i="48"/>
  <c r="N489" i="48"/>
  <c r="U529" i="48"/>
  <c r="H529" i="48" s="1"/>
  <c r="S581" i="48"/>
  <c r="H587" i="48"/>
  <c r="H609" i="48"/>
  <c r="H824" i="48"/>
  <c r="H868" i="48"/>
  <c r="W1053" i="48"/>
  <c r="H1053" i="48" s="1"/>
  <c r="R1288" i="48"/>
  <c r="S1410" i="48"/>
  <c r="H1410" i="48" s="1"/>
  <c r="S1418" i="48"/>
  <c r="H1418" i="48" s="1"/>
  <c r="H53" i="48"/>
  <c r="H57" i="48"/>
  <c r="H97" i="48"/>
  <c r="H107" i="48"/>
  <c r="H115" i="48"/>
  <c r="H125" i="48"/>
  <c r="H129" i="48"/>
  <c r="H157" i="48"/>
  <c r="H161" i="48"/>
  <c r="P287" i="48"/>
  <c r="S296" i="48"/>
  <c r="Z314" i="48"/>
  <c r="AA314" i="48" s="1"/>
  <c r="F383" i="48"/>
  <c r="R401" i="48"/>
  <c r="AB410" i="48"/>
  <c r="N423" i="48"/>
  <c r="AB420" i="48"/>
  <c r="V448" i="48"/>
  <c r="R472" i="48"/>
  <c r="S472" i="48" s="1"/>
  <c r="Y472" i="48"/>
  <c r="N498" i="48"/>
  <c r="O498" i="48" s="1"/>
  <c r="H544" i="48"/>
  <c r="AC563" i="48"/>
  <c r="AA627" i="48"/>
  <c r="P625" i="48"/>
  <c r="F625" i="48" s="1"/>
  <c r="H666" i="48"/>
  <c r="Q676" i="48"/>
  <c r="AA677" i="48"/>
  <c r="W693" i="48"/>
  <c r="AA693" i="48"/>
  <c r="AA697" i="48"/>
  <c r="S697" i="48"/>
  <c r="O697" i="48"/>
  <c r="Y712" i="48"/>
  <c r="W720" i="48"/>
  <c r="AA720" i="48"/>
  <c r="W728" i="48"/>
  <c r="S728" i="48"/>
  <c r="AC728" i="48"/>
  <c r="Q728" i="48"/>
  <c r="O738" i="48"/>
  <c r="H738" i="48" s="1"/>
  <c r="O742" i="48"/>
  <c r="H742" i="48" s="1"/>
  <c r="Q825" i="48"/>
  <c r="F825" i="48"/>
  <c r="Q877" i="48"/>
  <c r="Q880" i="48" s="1"/>
  <c r="F877" i="48"/>
  <c r="F1307" i="48"/>
  <c r="S1307" i="48"/>
  <c r="H1307" i="48" s="1"/>
  <c r="F1340" i="48"/>
  <c r="S1340" i="48"/>
  <c r="H1340" i="48" s="1"/>
  <c r="F1372" i="48"/>
  <c r="S1372" i="48"/>
  <c r="H1372" i="48" s="1"/>
  <c r="F1429" i="48"/>
  <c r="S1429" i="48"/>
  <c r="H1429" i="48" s="1"/>
  <c r="H55" i="48"/>
  <c r="H79" i="48"/>
  <c r="H111" i="48"/>
  <c r="H143" i="48"/>
  <c r="H151" i="48"/>
  <c r="AA173" i="48"/>
  <c r="H188" i="48"/>
  <c r="H191" i="48"/>
  <c r="H199" i="48"/>
  <c r="X235" i="48"/>
  <c r="N262" i="48"/>
  <c r="O262" i="48" s="1"/>
  <c r="H262" i="48" s="1"/>
  <c r="P489" i="48"/>
  <c r="Q489" i="48" s="1"/>
  <c r="AB419" i="48"/>
  <c r="R456" i="48"/>
  <c r="AB494" i="48"/>
  <c r="H541" i="48"/>
  <c r="P599" i="48"/>
  <c r="Q599" i="48" s="1"/>
  <c r="H599" i="48" s="1"/>
  <c r="H642" i="48"/>
  <c r="H654" i="48"/>
  <c r="AA691" i="48"/>
  <c r="AA698" i="48"/>
  <c r="Y698" i="48"/>
  <c r="S698" i="48"/>
  <c r="W714" i="48"/>
  <c r="S714" i="48"/>
  <c r="AC714" i="48"/>
  <c r="Q714" i="48"/>
  <c r="W726" i="48"/>
  <c r="S726" i="48"/>
  <c r="AC726" i="48"/>
  <c r="Q726" i="48"/>
  <c r="H786" i="48"/>
  <c r="H787" i="48"/>
  <c r="H830" i="48"/>
  <c r="F296" i="48"/>
  <c r="H81" i="48"/>
  <c r="H119" i="48"/>
  <c r="H141" i="48"/>
  <c r="H145" i="48"/>
  <c r="H159" i="48"/>
  <c r="S272" i="48"/>
  <c r="AC272" i="48"/>
  <c r="H182" i="48"/>
  <c r="H246" i="48"/>
  <c r="H249" i="48"/>
  <c r="AB485" i="48"/>
  <c r="F538" i="48"/>
  <c r="H575" i="48"/>
  <c r="H645" i="48"/>
  <c r="W676" i="48"/>
  <c r="AC676" i="48"/>
  <c r="O676" i="48"/>
  <c r="AA676" i="48"/>
  <c r="W712" i="48"/>
  <c r="S712" i="48"/>
  <c r="AC712" i="48"/>
  <c r="Q712" i="48"/>
  <c r="W983" i="48"/>
  <c r="S983" i="48"/>
  <c r="S995" i="48" s="1"/>
  <c r="F1197" i="48"/>
  <c r="U1197" i="48"/>
  <c r="H1197" i="48" s="1"/>
  <c r="F1337" i="48"/>
  <c r="S1337" i="48"/>
  <c r="H1337" i="48" s="1"/>
  <c r="F1343" i="48"/>
  <c r="S1343" i="48"/>
  <c r="H1343" i="48" s="1"/>
  <c r="S1369" i="48"/>
  <c r="H1369" i="48" s="1"/>
  <c r="F1369" i="48"/>
  <c r="S1426" i="48"/>
  <c r="H1426" i="48" s="1"/>
  <c r="F1426" i="48"/>
  <c r="A912" i="48"/>
  <c r="A914" i="48" s="1"/>
  <c r="A917" i="48" s="1"/>
  <c r="A920" i="48" s="1"/>
  <c r="A923" i="48" s="1"/>
  <c r="A926" i="48" s="1"/>
  <c r="A939" i="48" s="1"/>
  <c r="A942" i="48" s="1"/>
  <c r="A954" i="48" s="1"/>
  <c r="A957" i="48" s="1"/>
  <c r="A967" i="48" s="1"/>
  <c r="A973" i="48" s="1"/>
  <c r="A983" i="48" s="1"/>
  <c r="A986" i="48" s="1"/>
  <c r="A989" i="48" s="1"/>
  <c r="A992" i="48" s="1"/>
  <c r="A1008" i="48" s="1"/>
  <c r="A1013" i="48" s="1"/>
  <c r="A1020" i="48" s="1"/>
  <c r="A1025" i="48" s="1"/>
  <c r="A1034" i="48" s="1"/>
  <c r="A1041" i="48" s="1"/>
  <c r="A1046" i="48" s="1"/>
  <c r="A1053" i="48" s="1"/>
  <c r="A1061" i="48" s="1"/>
  <c r="A1064" i="48" s="1"/>
  <c r="A1073" i="48" s="1"/>
  <c r="A1082" i="48" s="1"/>
  <c r="A1087" i="48" s="1"/>
  <c r="A1094" i="48" s="1"/>
  <c r="A1097" i="48" s="1"/>
  <c r="A1104" i="48" s="1"/>
  <c r="A1113" i="48" s="1"/>
  <c r="A1120" i="48" s="1"/>
  <c r="A1129" i="48" s="1"/>
  <c r="A1132" i="48" s="1"/>
  <c r="A1141" i="48" s="1"/>
  <c r="A1147" i="48" s="1"/>
  <c r="A1160" i="48" s="1"/>
  <c r="A1165" i="48" s="1"/>
  <c r="A1170" i="48" s="1"/>
  <c r="A1175" i="48" s="1"/>
  <c r="A1182" i="48" s="1"/>
  <c r="A1186" i="48" s="1"/>
  <c r="A1190" i="48" s="1"/>
  <c r="A1191" i="48" s="1"/>
  <c r="A1197" i="48" s="1"/>
  <c r="A1201" i="48" s="1"/>
  <c r="A1206" i="48" s="1"/>
  <c r="A1208" i="48" s="1"/>
  <c r="A1215" i="48" s="1"/>
  <c r="A1219" i="48" s="1"/>
  <c r="A1220" i="48" s="1"/>
  <c r="A1224" i="48" s="1"/>
  <c r="A1229" i="48" s="1"/>
  <c r="A1234" i="48" s="1"/>
  <c r="A1242" i="48" s="1"/>
  <c r="A1247" i="48" s="1"/>
  <c r="A1254" i="48" s="1"/>
  <c r="A1258" i="48" s="1"/>
  <c r="A1264" i="48" s="1"/>
  <c r="A1267" i="48" s="1"/>
  <c r="A1271" i="48" s="1"/>
  <c r="A1277" i="48" s="1"/>
  <c r="A1282" i="48" s="1"/>
  <c r="A1290" i="48" s="1"/>
  <c r="A1304" i="48" s="1"/>
  <c r="A1307" i="48" s="1"/>
  <c r="A1310" i="48" s="1"/>
  <c r="A1332" i="48" s="1"/>
  <c r="A1337" i="48" s="1"/>
  <c r="A1340" i="48" s="1"/>
  <c r="A1343" i="48" s="1"/>
  <c r="A1346" i="48" s="1"/>
  <c r="A1349" i="48" s="1"/>
  <c r="A1352" i="48" s="1"/>
  <c r="A1357" i="48" s="1"/>
  <c r="A1360" i="48" s="1"/>
  <c r="A1363" i="48" s="1"/>
  <c r="A1366" i="48" s="1"/>
  <c r="A1369" i="48" s="1"/>
  <c r="A1372" i="48" s="1"/>
  <c r="A1375" i="48" s="1"/>
  <c r="A1378" i="48" s="1"/>
  <c r="A1381" i="48" s="1"/>
  <c r="A1386" i="48" s="1"/>
  <c r="A1389" i="48" s="1"/>
  <c r="A1392" i="48" s="1"/>
  <c r="A1395" i="48" s="1"/>
  <c r="A1398" i="48" s="1"/>
  <c r="A1401" i="48" s="1"/>
  <c r="A1404" i="48" s="1"/>
  <c r="A1407" i="48" s="1"/>
  <c r="A1410" i="48" s="1"/>
  <c r="A1413" i="48" s="1"/>
  <c r="A1418" i="48" s="1"/>
  <c r="A1421" i="48" s="1"/>
  <c r="A1426" i="48" s="1"/>
  <c r="A1429" i="48" s="1"/>
  <c r="A1432" i="48" s="1"/>
  <c r="A1435" i="48" s="1"/>
  <c r="A1438" i="48" s="1"/>
  <c r="A1441" i="48" s="1"/>
  <c r="A1444" i="48" s="1"/>
  <c r="A1447" i="48" s="1"/>
  <c r="A1450" i="48" s="1"/>
  <c r="A1453" i="48" s="1"/>
  <c r="A1458" i="48" s="1"/>
  <c r="A1461" i="48" s="1"/>
  <c r="A1464" i="48" s="1"/>
  <c r="A1467" i="48" s="1"/>
  <c r="A1470" i="48" s="1"/>
  <c r="A1473" i="48" s="1"/>
  <c r="A1476" i="48" s="1"/>
  <c r="A1479" i="48" s="1"/>
  <c r="A1482" i="48" s="1"/>
  <c r="A1485" i="48" s="1"/>
  <c r="A1488" i="48" s="1"/>
  <c r="A1493" i="48" s="1"/>
  <c r="A1496" i="48" s="1"/>
  <c r="A1499" i="48" s="1"/>
  <c r="A1504" i="48" s="1"/>
  <c r="A1507" i="48" s="1"/>
  <c r="A1512" i="48" s="1"/>
  <c r="A1515" i="48" s="1"/>
  <c r="A1518" i="48" s="1"/>
  <c r="A1521" i="48" s="1"/>
  <c r="A1524" i="48" s="1"/>
  <c r="A1529" i="48" s="1"/>
  <c r="A1532" i="48" s="1"/>
  <c r="A1535" i="48" s="1"/>
  <c r="A1540" i="48" s="1"/>
  <c r="A1543" i="48" s="1"/>
  <c r="A1546" i="48" s="1"/>
  <c r="A1561" i="48" s="1"/>
  <c r="A1567" i="48" s="1"/>
  <c r="A1570" i="48" s="1"/>
  <c r="A1573" i="48" s="1"/>
  <c r="A1576" i="48" s="1"/>
  <c r="A1579" i="48" s="1"/>
  <c r="S671" i="48"/>
  <c r="AC671" i="48"/>
  <c r="Y686" i="48"/>
  <c r="H686" i="48" s="1"/>
  <c r="Y699" i="48"/>
  <c r="AC700" i="48"/>
  <c r="Y711" i="48"/>
  <c r="Y713" i="48"/>
  <c r="H713" i="48" s="1"/>
  <c r="AA718" i="48"/>
  <c r="Y725" i="48"/>
  <c r="H725" i="48" s="1"/>
  <c r="Y727" i="48"/>
  <c r="H817" i="48"/>
  <c r="H833" i="48"/>
  <c r="F841" i="48"/>
  <c r="AA841" i="48"/>
  <c r="S880" i="48"/>
  <c r="AC880" i="48"/>
  <c r="H859" i="48"/>
  <c r="H865" i="48"/>
  <c r="N937" i="48"/>
  <c r="O937" i="48" s="1"/>
  <c r="R1262" i="48"/>
  <c r="O1643" i="48"/>
  <c r="Y1643" i="48"/>
  <c r="Q1874" i="48"/>
  <c r="AA1874" i="48"/>
  <c r="AC699" i="48"/>
  <c r="H799" i="48"/>
  <c r="AB945" i="48"/>
  <c r="H986" i="48"/>
  <c r="H892" i="48"/>
  <c r="H904" i="48"/>
  <c r="H989" i="48"/>
  <c r="H753" i="48"/>
  <c r="H770" i="48"/>
  <c r="H23" i="48"/>
  <c r="H75" i="48"/>
  <c r="H749" i="48"/>
  <c r="H751" i="48"/>
  <c r="H766" i="48"/>
  <c r="H769" i="48"/>
  <c r="H19" i="48"/>
  <c r="H29" i="48"/>
  <c r="H33" i="48"/>
  <c r="H99" i="48"/>
  <c r="H782" i="48"/>
  <c r="H755" i="48"/>
  <c r="H69" i="48"/>
  <c r="H135" i="48"/>
  <c r="H750" i="48"/>
  <c r="H759" i="48"/>
  <c r="H764" i="48"/>
  <c r="H781" i="48"/>
  <c r="H67" i="48"/>
  <c r="H71" i="48"/>
  <c r="H95" i="48"/>
  <c r="H101" i="48"/>
  <c r="H103" i="48"/>
  <c r="H133" i="48"/>
  <c r="H137" i="48"/>
  <c r="H243" i="48"/>
  <c r="Q657" i="48"/>
  <c r="H61" i="48"/>
  <c r="H194" i="48"/>
  <c r="H223" i="48"/>
  <c r="H237" i="48"/>
  <c r="H270" i="48"/>
  <c r="R326" i="48"/>
  <c r="S326" i="48" s="1"/>
  <c r="Z326" i="48"/>
  <c r="AA326" i="48" s="1"/>
  <c r="H328" i="48"/>
  <c r="H353" i="48"/>
  <c r="H757" i="48"/>
  <c r="H813" i="48"/>
  <c r="AC907" i="48"/>
  <c r="AA907" i="48"/>
  <c r="H17" i="48"/>
  <c r="H21" i="48"/>
  <c r="H27" i="48"/>
  <c r="H31" i="48"/>
  <c r="H37" i="48"/>
  <c r="H50" i="48"/>
  <c r="H220" i="48"/>
  <c r="O627" i="48"/>
  <c r="H584" i="48"/>
  <c r="H185" i="48"/>
  <c r="O296" i="48"/>
  <c r="H351" i="48"/>
  <c r="H365" i="48"/>
  <c r="H371" i="48"/>
  <c r="H511" i="48"/>
  <c r="H532" i="48"/>
  <c r="H552" i="48"/>
  <c r="AC774" i="48"/>
  <c r="Q774" i="48"/>
  <c r="Y774" i="48"/>
  <c r="S774" i="48"/>
  <c r="Q920" i="48"/>
  <c r="H377" i="48"/>
  <c r="H389" i="48"/>
  <c r="H506" i="48"/>
  <c r="H508" i="48"/>
  <c r="W563" i="48"/>
  <c r="S563" i="48"/>
  <c r="H566" i="48"/>
  <c r="AC581" i="48"/>
  <c r="H572" i="48"/>
  <c r="S627" i="48"/>
  <c r="H614" i="48"/>
  <c r="W657" i="48"/>
  <c r="H648" i="48"/>
  <c r="H651" i="48"/>
  <c r="H662" i="48"/>
  <c r="Y671" i="48"/>
  <c r="H711" i="48"/>
  <c r="H727" i="48"/>
  <c r="H754" i="48"/>
  <c r="H767" i="48"/>
  <c r="H768" i="48"/>
  <c r="Y775" i="48"/>
  <c r="H780" i="48"/>
  <c r="Y788" i="48"/>
  <c r="H794" i="48"/>
  <c r="H804" i="48"/>
  <c r="H812" i="48"/>
  <c r="H819" i="48"/>
  <c r="H839" i="48"/>
  <c r="Y880" i="48"/>
  <c r="H856" i="48"/>
  <c r="O907" i="48"/>
  <c r="Y907" i="48"/>
  <c r="H889" i="48"/>
  <c r="H898" i="48"/>
  <c r="S1643" i="48"/>
  <c r="AC1643" i="48"/>
  <c r="W1874" i="48"/>
  <c r="Y563" i="48"/>
  <c r="H557" i="48"/>
  <c r="W581" i="48"/>
  <c r="W627" i="48"/>
  <c r="AC627" i="48"/>
  <c r="O657" i="48"/>
  <c r="Y657" i="48"/>
  <c r="H637" i="48"/>
  <c r="H752" i="48"/>
  <c r="H771" i="48"/>
  <c r="H783" i="48"/>
  <c r="H803" i="48"/>
  <c r="H818" i="48"/>
  <c r="H825" i="48"/>
  <c r="AA880" i="48"/>
  <c r="H853" i="48"/>
  <c r="Q907" i="48"/>
  <c r="H886" i="48"/>
  <c r="H895" i="48"/>
  <c r="H1151" i="48"/>
  <c r="W1643" i="48"/>
  <c r="O1874" i="48"/>
  <c r="Y1874" i="48"/>
  <c r="H368" i="48"/>
  <c r="Q581" i="48"/>
  <c r="AA581" i="48"/>
  <c r="O581" i="48"/>
  <c r="S657" i="48"/>
  <c r="AC657" i="48"/>
  <c r="H639" i="48"/>
  <c r="W671" i="48"/>
  <c r="Q671" i="48"/>
  <c r="H668" i="48"/>
  <c r="AD747" i="48"/>
  <c r="H756" i="48"/>
  <c r="Y758" i="48"/>
  <c r="H760" i="48"/>
  <c r="H765" i="48"/>
  <c r="H772" i="48"/>
  <c r="S775" i="48"/>
  <c r="H784" i="48"/>
  <c r="H785" i="48"/>
  <c r="H789" i="48"/>
  <c r="H790" i="48"/>
  <c r="H808" i="48"/>
  <c r="H820" i="48"/>
  <c r="H838" i="48"/>
  <c r="W880" i="48"/>
  <c r="H862" i="48"/>
  <c r="H871" i="48"/>
  <c r="W907" i="48"/>
  <c r="H901" i="48"/>
  <c r="H967" i="48"/>
  <c r="H992" i="48"/>
  <c r="Q1643" i="48"/>
  <c r="AA1643" i="48"/>
  <c r="S1874" i="48"/>
  <c r="AC1874" i="48"/>
  <c r="H41" i="48"/>
  <c r="AC45" i="48"/>
  <c r="AC164" i="48" s="1"/>
  <c r="H240" i="48"/>
  <c r="AB326" i="48"/>
  <c r="AC326" i="48" s="1"/>
  <c r="H342" i="48"/>
  <c r="H359" i="48"/>
  <c r="O423" i="48"/>
  <c r="N411" i="48"/>
  <c r="N415" i="48" s="1"/>
  <c r="N437" i="48"/>
  <c r="AB489" i="48"/>
  <c r="AC489" i="48" s="1"/>
  <c r="T500" i="48"/>
  <c r="U498" i="48"/>
  <c r="Y235" i="48"/>
  <c r="H235" i="48" s="1"/>
  <c r="F235" i="48"/>
  <c r="H383" i="48"/>
  <c r="S456" i="48"/>
  <c r="H456" i="48" s="1"/>
  <c r="F456" i="48"/>
  <c r="O489" i="48"/>
  <c r="P520" i="48"/>
  <c r="Q520" i="48" s="1"/>
  <c r="P517" i="48"/>
  <c r="Q517" i="48" s="1"/>
  <c r="P300" i="48"/>
  <c r="P304" i="48" s="1"/>
  <c r="Q304" i="48" s="1"/>
  <c r="Q287" i="48"/>
  <c r="P312" i="48"/>
  <c r="Q312" i="48" s="1"/>
  <c r="P308" i="48"/>
  <c r="Q308" i="48" s="1"/>
  <c r="T939" i="48"/>
  <c r="U939" i="48" s="1"/>
  <c r="U970" i="48" s="1"/>
  <c r="T526" i="48"/>
  <c r="U526" i="48" s="1"/>
  <c r="U401" i="48"/>
  <c r="U314" i="48"/>
  <c r="V928" i="48"/>
  <c r="V923" i="48"/>
  <c r="W923" i="48" s="1"/>
  <c r="W415" i="48"/>
  <c r="R411" i="48"/>
  <c r="R415" i="48" s="1"/>
  <c r="S423" i="48"/>
  <c r="W448" i="48"/>
  <c r="H448" i="48" s="1"/>
  <c r="F448" i="48"/>
  <c r="H464" i="48"/>
  <c r="F480" i="48"/>
  <c r="AC480" i="48"/>
  <c r="Y45" i="48"/>
  <c r="Y164" i="48" s="1"/>
  <c r="Q45" i="48"/>
  <c r="Q164" i="48" s="1"/>
  <c r="W45" i="48"/>
  <c r="W164" i="48" s="1"/>
  <c r="O45" i="48"/>
  <c r="O164" i="48" s="1"/>
  <c r="AA45" i="48"/>
  <c r="AA164" i="48" s="1"/>
  <c r="S45" i="48"/>
  <c r="S164" i="48" s="1"/>
  <c r="H43" i="48"/>
  <c r="U45" i="48"/>
  <c r="U164" i="48" s="1"/>
  <c r="X287" i="48"/>
  <c r="H362" i="48"/>
  <c r="H374" i="48"/>
  <c r="H380" i="48"/>
  <c r="R939" i="48"/>
  <c r="S939" i="48" s="1"/>
  <c r="R929" i="48"/>
  <c r="S401" i="48"/>
  <c r="R498" i="48"/>
  <c r="S498" i="48" s="1"/>
  <c r="H167" i="48"/>
  <c r="S170" i="48"/>
  <c r="S176" i="48" s="1"/>
  <c r="AA170" i="48"/>
  <c r="AA176" i="48" s="1"/>
  <c r="Q173" i="48"/>
  <c r="Y173" i="48"/>
  <c r="Y176" i="48" s="1"/>
  <c r="H179" i="48"/>
  <c r="F199" i="48"/>
  <c r="Q211" i="48"/>
  <c r="Q272" i="48" s="1"/>
  <c r="AA211" i="48"/>
  <c r="AA272" i="48" s="1"/>
  <c r="F243" i="48"/>
  <c r="N287" i="48"/>
  <c r="R287" i="48"/>
  <c r="V287" i="48"/>
  <c r="Z287" i="48"/>
  <c r="N320" i="48"/>
  <c r="N326" i="48" s="1"/>
  <c r="V321" i="48"/>
  <c r="V323" i="48"/>
  <c r="F342" i="48"/>
  <c r="P939" i="48"/>
  <c r="Q939" i="48" s="1"/>
  <c r="P929" i="48"/>
  <c r="AB939" i="48"/>
  <c r="AC939" i="48" s="1"/>
  <c r="AB929" i="48"/>
  <c r="P433" i="48"/>
  <c r="F464" i="48"/>
  <c r="X476" i="48"/>
  <c r="AB495" i="48"/>
  <c r="H514" i="48"/>
  <c r="F532" i="48"/>
  <c r="H535" i="48"/>
  <c r="H538" i="48"/>
  <c r="W170" i="48"/>
  <c r="AC170" i="48"/>
  <c r="X319" i="48"/>
  <c r="X326" i="48" s="1"/>
  <c r="Y326" i="48" s="1"/>
  <c r="P320" i="48"/>
  <c r="P326" i="48" s="1"/>
  <c r="Q326" i="48" s="1"/>
  <c r="AB407" i="48"/>
  <c r="AB932" i="48" s="1"/>
  <c r="R433" i="48"/>
  <c r="R437" i="48" s="1"/>
  <c r="S437" i="48" s="1"/>
  <c r="P436" i="48"/>
  <c r="R486" i="48"/>
  <c r="R489" i="48" s="1"/>
  <c r="AB493" i="48"/>
  <c r="O563" i="48"/>
  <c r="H554" i="48"/>
  <c r="O170" i="48"/>
  <c r="W173" i="48"/>
  <c r="AC173" i="48"/>
  <c r="W211" i="48"/>
  <c r="W272" i="48" s="1"/>
  <c r="F270" i="48"/>
  <c r="T287" i="48"/>
  <c r="AB287" i="48"/>
  <c r="F351" i="48"/>
  <c r="F359" i="48"/>
  <c r="F377" i="48"/>
  <c r="X394" i="48"/>
  <c r="N939" i="48"/>
  <c r="N929" i="48"/>
  <c r="V401" i="48"/>
  <c r="AB406" i="48"/>
  <c r="AB409" i="48"/>
  <c r="P423" i="48"/>
  <c r="AA472" i="48"/>
  <c r="F506" i="48"/>
  <c r="Z526" i="48"/>
  <c r="AA526" i="48" s="1"/>
  <c r="Q170" i="48"/>
  <c r="O211" i="48"/>
  <c r="F214" i="48"/>
  <c r="Y214" i="48"/>
  <c r="H214" i="48" s="1"/>
  <c r="F240" i="48"/>
  <c r="F362" i="48"/>
  <c r="O401" i="48"/>
  <c r="U415" i="48"/>
  <c r="Y415" i="48"/>
  <c r="Q480" i="48"/>
  <c r="F511" i="48"/>
  <c r="F523" i="48"/>
  <c r="Q625" i="48"/>
  <c r="H569" i="48"/>
  <c r="S677" i="48"/>
  <c r="S683" i="48"/>
  <c r="S684" i="48"/>
  <c r="Q685" i="48"/>
  <c r="W690" i="48"/>
  <c r="O844" i="48"/>
  <c r="H844" i="48" s="1"/>
  <c r="F844" i="48"/>
  <c r="O880" i="48"/>
  <c r="H578" i="48"/>
  <c r="AA671" i="48"/>
  <c r="S676" i="48"/>
  <c r="Y677" i="48"/>
  <c r="Q679" i="48"/>
  <c r="AC691" i="48"/>
  <c r="S691" i="48"/>
  <c r="Y691" i="48"/>
  <c r="O691" i="48"/>
  <c r="AC773" i="48"/>
  <c r="U773" i="48"/>
  <c r="AA773" i="48"/>
  <c r="S773" i="48"/>
  <c r="Y773" i="48"/>
  <c r="Q773" i="48"/>
  <c r="W773" i="48"/>
  <c r="O773" i="48"/>
  <c r="H920" i="48"/>
  <c r="AB952" i="48"/>
  <c r="AC952" i="48" s="1"/>
  <c r="O671" i="48"/>
  <c r="Y683" i="48"/>
  <c r="O683" i="48"/>
  <c r="AA683" i="48"/>
  <c r="AA684" i="48"/>
  <c r="Q684" i="48"/>
  <c r="Y684" i="48"/>
  <c r="AC685" i="48"/>
  <c r="S685" i="48"/>
  <c r="Y685" i="48"/>
  <c r="AC690" i="48"/>
  <c r="S690" i="48"/>
  <c r="Y690" i="48"/>
  <c r="O690" i="48"/>
  <c r="H965" i="48"/>
  <c r="F554" i="48"/>
  <c r="F557" i="48"/>
  <c r="F604" i="48"/>
  <c r="Y604" i="48"/>
  <c r="H604" i="48" s="1"/>
  <c r="H630" i="48"/>
  <c r="F637" i="48"/>
  <c r="Q677" i="48"/>
  <c r="AC677" i="48"/>
  <c r="Y678" i="48"/>
  <c r="O678" i="48"/>
  <c r="AA678" i="48"/>
  <c r="Y679" i="48"/>
  <c r="O679" i="48"/>
  <c r="W679" i="48"/>
  <c r="Q683" i="48"/>
  <c r="AC683" i="48"/>
  <c r="O684" i="48"/>
  <c r="AC684" i="48"/>
  <c r="O685" i="48"/>
  <c r="AA685" i="48"/>
  <c r="Q690" i="48"/>
  <c r="Q827" i="48"/>
  <c r="H827" i="48" s="1"/>
  <c r="F827" i="48"/>
  <c r="O692" i="48"/>
  <c r="Y692" i="48"/>
  <c r="O693" i="48"/>
  <c r="Y693" i="48"/>
  <c r="W697" i="48"/>
  <c r="W698" i="48"/>
  <c r="W699" i="48"/>
  <c r="W700" i="48"/>
  <c r="S704" i="48"/>
  <c r="AC704" i="48"/>
  <c r="S705" i="48"/>
  <c r="AC705" i="48"/>
  <c r="S706" i="48"/>
  <c r="AC706" i="48"/>
  <c r="S707" i="48"/>
  <c r="AC707" i="48"/>
  <c r="O719" i="48"/>
  <c r="Y719" i="48"/>
  <c r="O720" i="48"/>
  <c r="Y720" i="48"/>
  <c r="W721" i="48"/>
  <c r="W758" i="48"/>
  <c r="O774" i="48"/>
  <c r="W774" i="48"/>
  <c r="O775" i="48"/>
  <c r="W775" i="48"/>
  <c r="U788" i="48"/>
  <c r="AC788" i="48"/>
  <c r="F794" i="48"/>
  <c r="O841" i="48"/>
  <c r="Y841" i="48"/>
  <c r="H850" i="48"/>
  <c r="F862" i="48"/>
  <c r="H883" i="48"/>
  <c r="R937" i="48"/>
  <c r="S937" i="48" s="1"/>
  <c r="F965" i="48"/>
  <c r="F967" i="48"/>
  <c r="H981" i="48"/>
  <c r="W995" i="48"/>
  <c r="AA983" i="48"/>
  <c r="AA995" i="48" s="1"/>
  <c r="Q983" i="48"/>
  <c r="Q995" i="48" s="1"/>
  <c r="Y983" i="48"/>
  <c r="Y995" i="48" s="1"/>
  <c r="O983" i="48"/>
  <c r="O995" i="48" s="1"/>
  <c r="AC983" i="48"/>
  <c r="AC995" i="48" s="1"/>
  <c r="W704" i="48"/>
  <c r="W705" i="48"/>
  <c r="W706" i="48"/>
  <c r="W707" i="48"/>
  <c r="S907" i="48"/>
  <c r="R952" i="48"/>
  <c r="S952" i="48" s="1"/>
  <c r="H1244" i="48"/>
  <c r="S692" i="48"/>
  <c r="AC692" i="48"/>
  <c r="S693" i="48"/>
  <c r="AC693" i="48"/>
  <c r="Q697" i="48"/>
  <c r="Q698" i="48"/>
  <c r="Q699" i="48"/>
  <c r="Q700" i="48"/>
  <c r="O704" i="48"/>
  <c r="Y704" i="48"/>
  <c r="O705" i="48"/>
  <c r="Y705" i="48"/>
  <c r="O706" i="48"/>
  <c r="Y706" i="48"/>
  <c r="O707" i="48"/>
  <c r="Y707" i="48"/>
  <c r="S718" i="48"/>
  <c r="AC718" i="48"/>
  <c r="S719" i="48"/>
  <c r="AC719" i="48"/>
  <c r="S720" i="48"/>
  <c r="AC720" i="48"/>
  <c r="Q721" i="48"/>
  <c r="AA721" i="48"/>
  <c r="O733" i="48"/>
  <c r="H733" i="48" s="1"/>
  <c r="O735" i="48"/>
  <c r="H735" i="48" s="1"/>
  <c r="O739" i="48"/>
  <c r="H739" i="48" s="1"/>
  <c r="O743" i="48"/>
  <c r="H743" i="48" s="1"/>
  <c r="Q758" i="48"/>
  <c r="AA758" i="48"/>
  <c r="AA775" i="48"/>
  <c r="W795" i="48"/>
  <c r="H795" i="48" s="1"/>
  <c r="S841" i="48"/>
  <c r="AC841" i="48"/>
  <c r="N952" i="48"/>
  <c r="R1532" i="48"/>
  <c r="S1262" i="48"/>
  <c r="H1262" i="48" s="1"/>
  <c r="F1262" i="48"/>
  <c r="R1535" i="48"/>
  <c r="F1275" i="48"/>
  <c r="S1275" i="48"/>
  <c r="H1275" i="48" s="1"/>
  <c r="F1288" i="48"/>
  <c r="S1288" i="48"/>
  <c r="H1288" i="48" s="1"/>
  <c r="Q704" i="48"/>
  <c r="Q705" i="48"/>
  <c r="Q706" i="48"/>
  <c r="Q707" i="48"/>
  <c r="S721" i="48"/>
  <c r="S758" i="48"/>
  <c r="AC758" i="48"/>
  <c r="U774" i="48"/>
  <c r="U775" i="48"/>
  <c r="S788" i="48"/>
  <c r="F799" i="48"/>
  <c r="F859" i="48"/>
  <c r="F920" i="48"/>
  <c r="W1144" i="48"/>
  <c r="H1144" i="48" s="1"/>
  <c r="H1149" i="48"/>
  <c r="H1160" i="48"/>
  <c r="F1201" i="48"/>
  <c r="F1244" i="48"/>
  <c r="F1250" i="48"/>
  <c r="S1279" i="48"/>
  <c r="H1279" i="48" s="1"/>
  <c r="F1279" i="48"/>
  <c r="S1464" i="48"/>
  <c r="H1464" i="48" s="1"/>
  <c r="F1464" i="48"/>
  <c r="S1573" i="48"/>
  <c r="H1573" i="48" s="1"/>
  <c r="F1573" i="48"/>
  <c r="A1614" i="48"/>
  <c r="A1618" i="48" s="1"/>
  <c r="A1621" i="48" s="1"/>
  <c r="A1624" i="48" s="1"/>
  <c r="A1629" i="48" s="1"/>
  <c r="A1631" i="48" s="1"/>
  <c r="A1634" i="48" s="1"/>
  <c r="A1637" i="48" s="1"/>
  <c r="A1640" i="48" s="1"/>
  <c r="A1646" i="48" s="1"/>
  <c r="A1649" i="48" s="1"/>
  <c r="A1653" i="48" s="1"/>
  <c r="A1657" i="48" s="1"/>
  <c r="A1661" i="48" s="1"/>
  <c r="A1665" i="48" s="1"/>
  <c r="A1668" i="48" s="1"/>
  <c r="A1671" i="48" s="1"/>
  <c r="A1674" i="48" s="1"/>
  <c r="A1677" i="48" s="1"/>
  <c r="A1685" i="48" s="1"/>
  <c r="A1692" i="48" s="1"/>
  <c r="A1695" i="48" s="1"/>
  <c r="A1700" i="48" s="1"/>
  <c r="A1704" i="48" s="1"/>
  <c r="A1706" i="48" s="1"/>
  <c r="A1713" i="48" s="1"/>
  <c r="A1719" i="48" s="1"/>
  <c r="A1723" i="48" s="1"/>
  <c r="A1730" i="48" s="1"/>
  <c r="A1740" i="48" s="1"/>
  <c r="A1743" i="48" s="1"/>
  <c r="A1746" i="48" s="1"/>
  <c r="A1749" i="48" s="1"/>
  <c r="A1752" i="48" s="1"/>
  <c r="A1755" i="48" s="1"/>
  <c r="A1758" i="48" s="1"/>
  <c r="A1765" i="48" s="1"/>
  <c r="A1768" i="48" s="1"/>
  <c r="A1778" i="48" s="1"/>
  <c r="A1781" i="48" s="1"/>
  <c r="A1784" i="48" s="1"/>
  <c r="A1787" i="48" s="1"/>
  <c r="A1790" i="48" s="1"/>
  <c r="A1793" i="48" s="1"/>
  <c r="A1796" i="48" s="1"/>
  <c r="A1799" i="48" s="1"/>
  <c r="A1802" i="48" s="1"/>
  <c r="A1805" i="48" s="1"/>
  <c r="A1808" i="48" s="1"/>
  <c r="A1811" i="48" s="1"/>
  <c r="A1816" i="48" s="1"/>
  <c r="A1819" i="48" s="1"/>
  <c r="A1822" i="48" s="1"/>
  <c r="A1825" i="48" s="1"/>
  <c r="A1828" i="48" s="1"/>
  <c r="A1831" i="48" s="1"/>
  <c r="A1834" i="48" s="1"/>
  <c r="A1839" i="48" s="1"/>
  <c r="A1842" i="48" s="1"/>
  <c r="A1845" i="48" s="1"/>
  <c r="A1848" i="48" s="1"/>
  <c r="A1851" i="48" s="1"/>
  <c r="A1854" i="48" s="1"/>
  <c r="A1857" i="48" s="1"/>
  <c r="A1860" i="48" s="1"/>
  <c r="A1863" i="48" s="1"/>
  <c r="A1866" i="48" s="1"/>
  <c r="A1869" i="48" s="1"/>
  <c r="A1872" i="48" s="1"/>
  <c r="A1607" i="48"/>
  <c r="A1611" i="48" s="1"/>
  <c r="S1470" i="48"/>
  <c r="H1470" i="48" s="1"/>
  <c r="F1470" i="48"/>
  <c r="S1499" i="48"/>
  <c r="H1499" i="48" s="1"/>
  <c r="F1499" i="48"/>
  <c r="R1529" i="48"/>
  <c r="F1249" i="48"/>
  <c r="S1251" i="48"/>
  <c r="H1251" i="48" s="1"/>
  <c r="F1251" i="48"/>
  <c r="S1294" i="48"/>
  <c r="H1294" i="48" s="1"/>
  <c r="F1294" i="48"/>
  <c r="S1524" i="48"/>
  <c r="H1524" i="48" s="1"/>
  <c r="F1524" i="48"/>
  <c r="F1378" i="48"/>
  <c r="F1461" i="48"/>
  <c r="F1467" i="48"/>
  <c r="F1473" i="48"/>
  <c r="F1576" i="48"/>
  <c r="F262" i="48" l="1"/>
  <c r="H698" i="48"/>
  <c r="F981" i="48"/>
  <c r="AB423" i="48"/>
  <c r="AB956" i="48" s="1"/>
  <c r="H480" i="48"/>
  <c r="H296" i="48"/>
  <c r="H1874" i="48"/>
  <c r="AB411" i="48"/>
  <c r="U1237" i="48"/>
  <c r="H1237" i="48" s="1"/>
  <c r="Q627" i="48"/>
  <c r="F472" i="48"/>
  <c r="H563" i="48"/>
  <c r="F599" i="48"/>
  <c r="F209" i="48"/>
  <c r="H700" i="48"/>
  <c r="H581" i="48"/>
  <c r="W176" i="48"/>
  <c r="P437" i="48"/>
  <c r="Q437" i="48" s="1"/>
  <c r="H995" i="48"/>
  <c r="R912" i="48"/>
  <c r="S912" i="48" s="1"/>
  <c r="R917" i="48"/>
  <c r="S917" i="48" s="1"/>
  <c r="R914" i="48"/>
  <c r="S914" i="48" s="1"/>
  <c r="AB931" i="48"/>
  <c r="Q300" i="48"/>
  <c r="N914" i="48"/>
  <c r="N917" i="48"/>
  <c r="V912" i="48"/>
  <c r="W912" i="48" s="1"/>
  <c r="V917" i="48"/>
  <c r="W917" i="48" s="1"/>
  <c r="V914" i="48"/>
  <c r="W914" i="48" s="1"/>
  <c r="H788" i="48"/>
  <c r="H690" i="48"/>
  <c r="AB498" i="48"/>
  <c r="AC498" i="48" s="1"/>
  <c r="H498" i="48" s="1"/>
  <c r="AC176" i="48"/>
  <c r="AC423" i="48"/>
  <c r="H697" i="48"/>
  <c r="H880" i="48"/>
  <c r="H877" i="48"/>
  <c r="H712" i="48"/>
  <c r="H726" i="48"/>
  <c r="N526" i="48"/>
  <c r="N912" i="48"/>
  <c r="H907" i="48"/>
  <c r="Q176" i="48"/>
  <c r="H472" i="48"/>
  <c r="H714" i="48"/>
  <c r="H728" i="48"/>
  <c r="H758" i="48"/>
  <c r="V326" i="48"/>
  <c r="W326" i="48" s="1"/>
  <c r="U847" i="48"/>
  <c r="H718" i="48"/>
  <c r="H679" i="48"/>
  <c r="H677" i="48"/>
  <c r="H173" i="48"/>
  <c r="Q847" i="48"/>
  <c r="AC847" i="48"/>
  <c r="W847" i="48"/>
  <c r="AA847" i="48"/>
  <c r="Y847" i="48"/>
  <c r="H625" i="48"/>
  <c r="H721" i="48"/>
  <c r="H699" i="48"/>
  <c r="H657" i="48"/>
  <c r="H164" i="48"/>
  <c r="S489" i="48"/>
  <c r="H489" i="48" s="1"/>
  <c r="F489" i="48"/>
  <c r="O326" i="48"/>
  <c r="R923" i="48"/>
  <c r="S923" i="48" s="1"/>
  <c r="R928" i="48"/>
  <c r="S314" i="48"/>
  <c r="S415" i="48"/>
  <c r="R526" i="48"/>
  <c r="S526" i="48" s="1"/>
  <c r="H775" i="48"/>
  <c r="H719" i="48"/>
  <c r="H692" i="48"/>
  <c r="H684" i="48"/>
  <c r="H678" i="48"/>
  <c r="H671" i="48"/>
  <c r="H211" i="48"/>
  <c r="V939" i="48"/>
  <c r="W939" i="48" s="1"/>
  <c r="V929" i="48"/>
  <c r="W401" i="48"/>
  <c r="V526" i="48"/>
  <c r="W526" i="48" s="1"/>
  <c r="H170" i="48"/>
  <c r="N520" i="48"/>
  <c r="N517" i="48"/>
  <c r="N312" i="48"/>
  <c r="N308" i="48"/>
  <c r="N300" i="48"/>
  <c r="O287" i="48"/>
  <c r="F287" i="48"/>
  <c r="X520" i="48"/>
  <c r="Y520" i="48" s="1"/>
  <c r="X517" i="48"/>
  <c r="Y517" i="48" s="1"/>
  <c r="X300" i="48"/>
  <c r="Y287" i="48"/>
  <c r="X312" i="48"/>
  <c r="Y312" i="48" s="1"/>
  <c r="X308" i="48"/>
  <c r="Y308" i="48" s="1"/>
  <c r="O272" i="48"/>
  <c r="H706" i="48"/>
  <c r="H704" i="48"/>
  <c r="O847" i="48"/>
  <c r="H683" i="48"/>
  <c r="Q423" i="48"/>
  <c r="P411" i="48"/>
  <c r="P415" i="48" s="1"/>
  <c r="F476" i="48"/>
  <c r="Y476" i="48"/>
  <c r="H476" i="48" s="1"/>
  <c r="Z520" i="48"/>
  <c r="AA520" i="48" s="1"/>
  <c r="Z517" i="48"/>
  <c r="AA517" i="48" s="1"/>
  <c r="Z312" i="48"/>
  <c r="AA312" i="48" s="1"/>
  <c r="Z437" i="48"/>
  <c r="AA437" i="48" s="1"/>
  <c r="Z308" i="48"/>
  <c r="AA308" i="48" s="1"/>
  <c r="Z300" i="48"/>
  <c r="AA287" i="48"/>
  <c r="F423" i="48"/>
  <c r="O526" i="48"/>
  <c r="S1529" i="48"/>
  <c r="H1529" i="48" s="1"/>
  <c r="F1529" i="48"/>
  <c r="S1532" i="48"/>
  <c r="H1532" i="48" s="1"/>
  <c r="F1532" i="48"/>
  <c r="H841" i="48"/>
  <c r="H774" i="48"/>
  <c r="H720" i="48"/>
  <c r="H693" i="48"/>
  <c r="H685" i="48"/>
  <c r="H691" i="48"/>
  <c r="O939" i="48"/>
  <c r="AB520" i="48"/>
  <c r="AC520" i="48" s="1"/>
  <c r="AB517" i="48"/>
  <c r="AC517" i="48" s="1"/>
  <c r="AB300" i="48"/>
  <c r="AC287" i="48"/>
  <c r="AB312" i="48"/>
  <c r="AC312" i="48" s="1"/>
  <c r="AB308" i="48"/>
  <c r="AC308" i="48" s="1"/>
  <c r="V520" i="48"/>
  <c r="W520" i="48" s="1"/>
  <c r="V517" i="48"/>
  <c r="W517" i="48" s="1"/>
  <c r="V312" i="48"/>
  <c r="W312" i="48" s="1"/>
  <c r="V437" i="48"/>
  <c r="W437" i="48" s="1"/>
  <c r="V308" i="48"/>
  <c r="W308" i="48" s="1"/>
  <c r="V300" i="48"/>
  <c r="W287" i="48"/>
  <c r="H45" i="48"/>
  <c r="O176" i="48"/>
  <c r="U500" i="48"/>
  <c r="H500" i="48" s="1"/>
  <c r="F500" i="48"/>
  <c r="S1535" i="48"/>
  <c r="H1535" i="48" s="1"/>
  <c r="F1535" i="48"/>
  <c r="O952" i="48"/>
  <c r="H952" i="48" s="1"/>
  <c r="F952" i="48"/>
  <c r="H707" i="48"/>
  <c r="H705" i="48"/>
  <c r="H983" i="48"/>
  <c r="H773" i="48"/>
  <c r="S847" i="48"/>
  <c r="H676" i="48"/>
  <c r="Y627" i="48"/>
  <c r="AB937" i="48"/>
  <c r="AC937" i="48" s="1"/>
  <c r="AB415" i="48"/>
  <c r="X930" i="48"/>
  <c r="X937" i="48" s="1"/>
  <c r="X401" i="48"/>
  <c r="Y912" i="48" s="1"/>
  <c r="T520" i="48"/>
  <c r="U520" i="48" s="1"/>
  <c r="T517" i="48"/>
  <c r="U517" i="48" s="1"/>
  <c r="T300" i="48"/>
  <c r="U287" i="48"/>
  <c r="T312" i="48"/>
  <c r="U312" i="48" s="1"/>
  <c r="T437" i="48"/>
  <c r="U437" i="48" s="1"/>
  <c r="T308" i="48"/>
  <c r="U308" i="48" s="1"/>
  <c r="R520" i="48"/>
  <c r="S520" i="48" s="1"/>
  <c r="R517" i="48"/>
  <c r="S517" i="48" s="1"/>
  <c r="R312" i="48"/>
  <c r="S312" i="48" s="1"/>
  <c r="R308" i="48"/>
  <c r="S308" i="48" s="1"/>
  <c r="R300" i="48"/>
  <c r="S287" i="48"/>
  <c r="Y272" i="48"/>
  <c r="W314" i="48"/>
  <c r="N944" i="48"/>
  <c r="N928" i="48"/>
  <c r="N923" i="48"/>
  <c r="O415" i="48"/>
  <c r="O437" i="48"/>
  <c r="H627" i="48" l="1"/>
  <c r="H423" i="48"/>
  <c r="F498" i="48"/>
  <c r="F326" i="48"/>
  <c r="S970" i="48"/>
  <c r="H326" i="48"/>
  <c r="W970" i="48"/>
  <c r="P912" i="48"/>
  <c r="Q912" i="48" s="1"/>
  <c r="P917" i="48"/>
  <c r="Q917" i="48" s="1"/>
  <c r="P914" i="48"/>
  <c r="Q914" i="48" s="1"/>
  <c r="O914" i="48"/>
  <c r="F415" i="48"/>
  <c r="AB917" i="48"/>
  <c r="AC917" i="48" s="1"/>
  <c r="AB914" i="48"/>
  <c r="AC914" i="48" s="1"/>
  <c r="AB912" i="48"/>
  <c r="AC912" i="48" s="1"/>
  <c r="O912" i="48"/>
  <c r="H437" i="48"/>
  <c r="S1584" i="48"/>
  <c r="H1584" i="48" s="1"/>
  <c r="F437" i="48"/>
  <c r="O923" i="48"/>
  <c r="T304" i="48"/>
  <c r="U304" i="48" s="1"/>
  <c r="U300" i="48"/>
  <c r="Y937" i="48"/>
  <c r="H937" i="48" s="1"/>
  <c r="F937" i="48"/>
  <c r="W300" i="48"/>
  <c r="V304" i="48"/>
  <c r="W304" i="48" s="1"/>
  <c r="F312" i="48"/>
  <c r="O312" i="48"/>
  <c r="H312" i="48" s="1"/>
  <c r="AB923" i="48"/>
  <c r="AC923" i="48" s="1"/>
  <c r="AB928" i="48"/>
  <c r="AC415" i="48"/>
  <c r="AC314" i="48"/>
  <c r="AB526" i="48"/>
  <c r="AC526" i="48" s="1"/>
  <c r="H272" i="48"/>
  <c r="X304" i="48"/>
  <c r="Y304" i="48" s="1"/>
  <c r="Y300" i="48"/>
  <c r="H287" i="48"/>
  <c r="F517" i="48"/>
  <c r="O517" i="48"/>
  <c r="H517" i="48" s="1"/>
  <c r="O314" i="48"/>
  <c r="AB304" i="48"/>
  <c r="AC304" i="48" s="1"/>
  <c r="AC300" i="48"/>
  <c r="AA300" i="48"/>
  <c r="Z304" i="48"/>
  <c r="AA304" i="48" s="1"/>
  <c r="O300" i="48"/>
  <c r="N304" i="48"/>
  <c r="F300" i="48"/>
  <c r="O520" i="48"/>
  <c r="H520" i="48" s="1"/>
  <c r="F520" i="48"/>
  <c r="O917" i="48"/>
  <c r="S300" i="48"/>
  <c r="R304" i="48"/>
  <c r="S304" i="48" s="1"/>
  <c r="X929" i="48"/>
  <c r="X939" i="48"/>
  <c r="X917" i="48"/>
  <c r="Y917" i="48" s="1"/>
  <c r="X526" i="48"/>
  <c r="Y526" i="48" s="1"/>
  <c r="Y401" i="48"/>
  <c r="H401" i="48" s="1"/>
  <c r="Y314" i="48"/>
  <c r="F401" i="48"/>
  <c r="H176" i="48"/>
  <c r="P928" i="48"/>
  <c r="P923" i="48"/>
  <c r="Q923" i="48" s="1"/>
  <c r="Q415" i="48"/>
  <c r="H415" i="48" s="1"/>
  <c r="Q314" i="48"/>
  <c r="P526" i="48"/>
  <c r="H847" i="48"/>
  <c r="F308" i="48"/>
  <c r="O308" i="48"/>
  <c r="H308" i="48" s="1"/>
  <c r="U547" i="48" l="1"/>
  <c r="U1876" i="48" s="1"/>
  <c r="O1876" i="48" s="1"/>
  <c r="O970" i="48"/>
  <c r="F912" i="48"/>
  <c r="W547" i="48"/>
  <c r="Q970" i="48"/>
  <c r="AC970" i="48"/>
  <c r="H912" i="48"/>
  <c r="H914" i="48"/>
  <c r="F914" i="48"/>
  <c r="AA547" i="48"/>
  <c r="AA1878" i="48" s="1"/>
  <c r="AC547" i="48"/>
  <c r="Y547" i="48"/>
  <c r="S547" i="48"/>
  <c r="F917" i="48"/>
  <c r="Q526" i="48"/>
  <c r="H526" i="48" s="1"/>
  <c r="F526" i="48"/>
  <c r="F314" i="48"/>
  <c r="H923" i="48"/>
  <c r="Y939" i="48"/>
  <c r="H939" i="48" s="1"/>
  <c r="F939" i="48"/>
  <c r="H314" i="48"/>
  <c r="O304" i="48"/>
  <c r="F304" i="48"/>
  <c r="H917" i="48"/>
  <c r="H300" i="48"/>
  <c r="F923" i="48"/>
  <c r="S1876" i="48" l="1"/>
  <c r="Q1876" i="48"/>
  <c r="AC1878" i="48"/>
  <c r="Q547" i="48"/>
  <c r="Q1878" i="48" s="1"/>
  <c r="Y970" i="48"/>
  <c r="H970" i="48" s="1"/>
  <c r="S1878" i="48"/>
  <c r="H304" i="48"/>
  <c r="O547" i="48"/>
  <c r="Y1878" i="48" l="1"/>
  <c r="H547" i="48"/>
  <c r="O1878" i="48"/>
  <c r="H1878" i="48" l="1"/>
  <c r="H1877" i="48"/>
  <c r="O582" i="48"/>
  <c r="U177" i="48"/>
  <c r="AC165" i="48"/>
  <c r="Y165" i="48"/>
  <c r="Y177" i="48"/>
  <c r="AC177" i="48"/>
  <c r="S165" i="48"/>
  <c r="AA177" i="48"/>
  <c r="S177" i="48"/>
  <c r="O165" i="48"/>
  <c r="W177" i="48"/>
  <c r="W165" i="48"/>
  <c r="Q165" i="48"/>
  <c r="AA165" i="48"/>
  <c r="Q177" i="48"/>
  <c r="U165" i="48"/>
  <c r="O177" i="48"/>
  <c r="O548" i="48"/>
  <c r="H548" i="48"/>
  <c r="G165" i="48" l="1"/>
  <c r="G177" i="48"/>
  <c r="O1879" i="48"/>
  <c r="O1880" i="48" s="1"/>
  <c r="O1883" i="48" s="1"/>
  <c r="U1879" i="48"/>
  <c r="W1879" i="48"/>
  <c r="W1880" i="48" s="1"/>
  <c r="W1883" i="48" s="1"/>
  <c r="AA1879" i="48"/>
  <c r="AA1880" i="48" s="1"/>
  <c r="AA1883" i="48" s="1"/>
  <c r="AC1879" i="48"/>
  <c r="AC1880" i="48" s="1"/>
  <c r="AC1883" i="48" s="1"/>
  <c r="Y1879" i="48"/>
  <c r="Y1880" i="48" s="1"/>
  <c r="Y1883" i="48" s="1"/>
  <c r="S1879" i="48"/>
  <c r="S1880" i="48" s="1"/>
  <c r="S1883" i="48" s="1"/>
  <c r="Q1879" i="48"/>
  <c r="Q1880" i="48" s="1"/>
  <c r="Q1883" i="48" s="1"/>
  <c r="H1880" i="48" l="1"/>
  <c r="H1879" i="48"/>
  <c r="S1881" i="48"/>
  <c r="AC1881" i="48"/>
  <c r="W1881" i="48"/>
  <c r="Q1881" i="48"/>
  <c r="Y1881" i="48"/>
  <c r="AA1881" i="48"/>
  <c r="O1881" i="48" l="1"/>
  <c r="O1884" i="48" l="1"/>
  <c r="S1884" i="48" l="1"/>
  <c r="Y1884" i="48"/>
  <c r="Q1884" i="48"/>
  <c r="AC1884" i="48"/>
  <c r="AA1884" i="48"/>
  <c r="W1884" i="48"/>
  <c r="H1884" i="48" l="1"/>
  <c r="N1967" i="29" l="1"/>
  <c r="M1943" i="29"/>
  <c r="N1943" i="29"/>
  <c r="M1080" i="29"/>
  <c r="L275" i="29" l="1"/>
  <c r="Z52" i="32" l="1"/>
  <c r="X52" i="32"/>
  <c r="V52" i="32"/>
  <c r="V51" i="32"/>
  <c r="T51" i="32"/>
  <c r="R51" i="32"/>
  <c r="P51" i="32"/>
  <c r="N51" i="32"/>
  <c r="I49" i="32"/>
  <c r="V49" i="32"/>
  <c r="T49" i="32"/>
  <c r="R49" i="32"/>
  <c r="P49" i="32"/>
  <c r="N49" i="32"/>
  <c r="N1998" i="29" l="1"/>
  <c r="N1997" i="29"/>
  <c r="N1987" i="29"/>
  <c r="Q1574" i="29"/>
  <c r="O1574" i="29"/>
  <c r="M1574" i="29"/>
  <c r="U1574" i="29"/>
  <c r="Q1554" i="29"/>
  <c r="O1554" i="29"/>
  <c r="M1554" i="29"/>
  <c r="M1193" i="29"/>
  <c r="S1186" i="29"/>
  <c r="U469" i="29"/>
  <c r="Q469" i="29"/>
  <c r="Y469" i="29" s="1"/>
  <c r="O469" i="29"/>
  <c r="M469" i="29"/>
  <c r="Q458" i="29"/>
  <c r="Y458" i="29" s="1"/>
  <c r="O458" i="29"/>
  <c r="M458" i="29"/>
  <c r="U376" i="29"/>
  <c r="Q434" i="29"/>
  <c r="O423" i="29"/>
  <c r="Q412" i="29"/>
  <c r="O412" i="29"/>
  <c r="M412" i="29"/>
  <c r="Y387" i="29"/>
  <c r="Y1554" i="29" s="1"/>
  <c r="Q387" i="29"/>
  <c r="O387" i="29"/>
  <c r="M387" i="29"/>
  <c r="M321" i="29"/>
  <c r="Y239" i="29"/>
  <c r="U239" i="29"/>
  <c r="Q239" i="29"/>
  <c r="O239" i="29"/>
  <c r="M239" i="29"/>
  <c r="M195" i="29"/>
  <c r="M150" i="29"/>
  <c r="N687" i="29"/>
  <c r="N716" i="29" s="1"/>
  <c r="N690" i="29"/>
  <c r="N695" i="29"/>
  <c r="N698" i="29"/>
  <c r="N701" i="29"/>
  <c r="N706" i="29"/>
  <c r="N707" i="29"/>
  <c r="N708" i="29"/>
  <c r="N712" i="29"/>
  <c r="N713" i="29"/>
  <c r="N714" i="29"/>
  <c r="N1074" i="29"/>
  <c r="N1139" i="29"/>
  <c r="N1140" i="29"/>
  <c r="N1141" i="29"/>
  <c r="N1142" i="29"/>
  <c r="N1143" i="29"/>
  <c r="N1144" i="29"/>
  <c r="N1145" i="29"/>
  <c r="N1146" i="29"/>
  <c r="N1147" i="29"/>
  <c r="L1148" i="29"/>
  <c r="N1148" i="29" s="1"/>
  <c r="N1149" i="29"/>
  <c r="N1150" i="29"/>
  <c r="N1155" i="29"/>
  <c r="N1156" i="29"/>
  <c r="N1157" i="29"/>
  <c r="N1158" i="29"/>
  <c r="N1159" i="29"/>
  <c r="N1160" i="29"/>
  <c r="N1161" i="29"/>
  <c r="N1162" i="29"/>
  <c r="L1178" i="29"/>
  <c r="N1178" i="29" s="1"/>
  <c r="L1164" i="29"/>
  <c r="N1164" i="29" s="1"/>
  <c r="L1165" i="29"/>
  <c r="N1165" i="29" s="1"/>
  <c r="N1170" i="29"/>
  <c r="N1171" i="29"/>
  <c r="N1172" i="29"/>
  <c r="N1173" i="29"/>
  <c r="N1174" i="29"/>
  <c r="N1175" i="29"/>
  <c r="N1176" i="29"/>
  <c r="N1177" i="29"/>
  <c r="N1179" i="29"/>
  <c r="N1180" i="29"/>
  <c r="N1329" i="29"/>
  <c r="L1330" i="29"/>
  <c r="N1330" i="29" s="1"/>
  <c r="N1331" i="29"/>
  <c r="N1332" i="29"/>
  <c r="N1333" i="29"/>
  <c r="N1334" i="29"/>
  <c r="N1335" i="29"/>
  <c r="N1339" i="29"/>
  <c r="N1340" i="29"/>
  <c r="N1341" i="29"/>
  <c r="N1342" i="29"/>
  <c r="N1343" i="29"/>
  <c r="L1344" i="29"/>
  <c r="N1344" i="29" s="1"/>
  <c r="N1345" i="29"/>
  <c r="N1346" i="29"/>
  <c r="N1347" i="29"/>
  <c r="N1348" i="29"/>
  <c r="N1349" i="29"/>
  <c r="L1350" i="29"/>
  <c r="N1350" i="29"/>
  <c r="N1351" i="29"/>
  <c r="N1352" i="29"/>
  <c r="L1353" i="29"/>
  <c r="N1353" i="29"/>
  <c r="N1354" i="29"/>
  <c r="N1355" i="29"/>
  <c r="N1359" i="29"/>
  <c r="N1360" i="29"/>
  <c r="N1361" i="29"/>
  <c r="N1362" i="29"/>
  <c r="N1363" i="29"/>
  <c r="L1364" i="29"/>
  <c r="N1364" i="29" s="1"/>
  <c r="N1365" i="29"/>
  <c r="N1366" i="29"/>
  <c r="N1367" i="29"/>
  <c r="N1368" i="29"/>
  <c r="N1369" i="29"/>
  <c r="L1370" i="29"/>
  <c r="N1370" i="29"/>
  <c r="N1371" i="29"/>
  <c r="N1372" i="29"/>
  <c r="L1373" i="29"/>
  <c r="N1373" i="29"/>
  <c r="N1374" i="29"/>
  <c r="N1375" i="29"/>
  <c r="N1379" i="29"/>
  <c r="N1380" i="29"/>
  <c r="N1381" i="29"/>
  <c r="N1382" i="29"/>
  <c r="N1413" i="29"/>
  <c r="N1414" i="29"/>
  <c r="N1415" i="29"/>
  <c r="N1416" i="29"/>
  <c r="N1417" i="29"/>
  <c r="N1421" i="29"/>
  <c r="N1422" i="29"/>
  <c r="N1429" i="29"/>
  <c r="N1430" i="29"/>
  <c r="N1436" i="29"/>
  <c r="N1437" i="29"/>
  <c r="N1441" i="29"/>
  <c r="N1442" i="29"/>
  <c r="N1443" i="29"/>
  <c r="N1444" i="29"/>
  <c r="N1448" i="29"/>
  <c r="N1449" i="29"/>
  <c r="N1450" i="29"/>
  <c r="N1451" i="29"/>
  <c r="N1453" i="29"/>
  <c r="N1456" i="29"/>
  <c r="N1459" i="29"/>
  <c r="N1464" i="29"/>
  <c r="N1468" i="29"/>
  <c r="N1469" i="29"/>
  <c r="N1470" i="29"/>
  <c r="N1471" i="29"/>
  <c r="N1472" i="29"/>
  <c r="N1476" i="29"/>
  <c r="N1477" i="29"/>
  <c r="N1478" i="29"/>
  <c r="N1479" i="29"/>
  <c r="N1481" i="29"/>
  <c r="N1484" i="29"/>
  <c r="N1487" i="29"/>
  <c r="N1490" i="29"/>
  <c r="N1493" i="29"/>
  <c r="N1498" i="29"/>
  <c r="N1499" i="29"/>
  <c r="N1500" i="29"/>
  <c r="N1501" i="29"/>
  <c r="N1502" i="29"/>
  <c r="N1503" i="29"/>
  <c r="N1504" i="29"/>
  <c r="N1505" i="29"/>
  <c r="N1506" i="29"/>
  <c r="N1507" i="29"/>
  <c r="N1508" i="29"/>
  <c r="N1512" i="29"/>
  <c r="N1513" i="29"/>
  <c r="N1514" i="29"/>
  <c r="N1515" i="29"/>
  <c r="N1516" i="29"/>
  <c r="N1517" i="29"/>
  <c r="N1518" i="29"/>
  <c r="N1519" i="29"/>
  <c r="N1520" i="29"/>
  <c r="N1521" i="29"/>
  <c r="N1522" i="29"/>
  <c r="N1526" i="29"/>
  <c r="N1527" i="29"/>
  <c r="N1528" i="29"/>
  <c r="N1529" i="29"/>
  <c r="N1530" i="29"/>
  <c r="N1531" i="29"/>
  <c r="N1532" i="29"/>
  <c r="N1534" i="29"/>
  <c r="N1648" i="29"/>
  <c r="N1650" i="29" s="1"/>
  <c r="N553" i="29"/>
  <c r="N556" i="29"/>
  <c r="N559" i="29"/>
  <c r="N562" i="29"/>
  <c r="N665" i="29"/>
  <c r="N667" i="29"/>
  <c r="N674" i="29"/>
  <c r="M680" i="29"/>
  <c r="N680" i="29"/>
  <c r="P687" i="29"/>
  <c r="P690" i="29"/>
  <c r="P716" i="29" s="1"/>
  <c r="P695" i="29"/>
  <c r="P698" i="29"/>
  <c r="P701" i="29"/>
  <c r="P706" i="29"/>
  <c r="P707" i="29"/>
  <c r="P708" i="29"/>
  <c r="P712" i="29"/>
  <c r="P713" i="29"/>
  <c r="P714" i="29"/>
  <c r="P1139" i="29"/>
  <c r="P1140" i="29"/>
  <c r="P1141" i="29"/>
  <c r="P1142" i="29"/>
  <c r="P1143" i="29"/>
  <c r="P1144" i="29"/>
  <c r="P1145" i="29"/>
  <c r="P1146" i="29"/>
  <c r="P1147" i="29"/>
  <c r="P1148" i="29"/>
  <c r="P1149" i="29"/>
  <c r="P1150" i="29"/>
  <c r="P1155" i="29"/>
  <c r="P1156" i="29"/>
  <c r="P1157" i="29"/>
  <c r="P1158" i="29"/>
  <c r="P1159" i="29"/>
  <c r="P1160" i="29"/>
  <c r="P1161" i="29"/>
  <c r="P1162" i="29"/>
  <c r="P1164" i="29"/>
  <c r="P1165" i="29"/>
  <c r="P1170" i="29"/>
  <c r="P1171" i="29"/>
  <c r="P1172" i="29"/>
  <c r="P1173" i="29"/>
  <c r="P1174" i="29"/>
  <c r="P1175" i="29"/>
  <c r="P1176" i="29"/>
  <c r="P1177" i="29"/>
  <c r="P1178" i="29"/>
  <c r="P1179" i="29"/>
  <c r="P1180" i="29"/>
  <c r="P1329" i="29"/>
  <c r="P1330" i="29"/>
  <c r="P1331" i="29"/>
  <c r="P1332" i="29"/>
  <c r="P1333" i="29"/>
  <c r="P1334" i="29"/>
  <c r="P1335" i="29"/>
  <c r="P1339" i="29"/>
  <c r="P1340" i="29"/>
  <c r="P1341" i="29"/>
  <c r="P1342" i="29"/>
  <c r="P1343" i="29"/>
  <c r="P1344" i="29"/>
  <c r="P1345" i="29"/>
  <c r="P1346" i="29"/>
  <c r="P1347" i="29"/>
  <c r="P1348" i="29"/>
  <c r="P1349" i="29"/>
  <c r="P1350" i="29"/>
  <c r="P1351" i="29"/>
  <c r="P1352" i="29"/>
  <c r="P1353" i="29"/>
  <c r="P1354" i="29"/>
  <c r="P1355" i="29"/>
  <c r="P1359" i="29"/>
  <c r="P1360" i="29"/>
  <c r="P1361" i="29"/>
  <c r="P1362" i="29"/>
  <c r="P1363" i="29"/>
  <c r="P1364" i="29"/>
  <c r="P1365" i="29"/>
  <c r="P1366" i="29"/>
  <c r="P1367" i="29"/>
  <c r="P1368" i="29"/>
  <c r="P1369" i="29"/>
  <c r="P1370" i="29"/>
  <c r="P1371" i="29"/>
  <c r="P1372" i="29"/>
  <c r="P1373" i="29"/>
  <c r="P1374" i="29"/>
  <c r="P1375" i="29"/>
  <c r="P1379" i="29"/>
  <c r="P1380" i="29"/>
  <c r="P1381" i="29"/>
  <c r="P1382" i="29"/>
  <c r="P1413" i="29"/>
  <c r="P1414" i="29"/>
  <c r="P1415" i="29"/>
  <c r="P1416" i="29"/>
  <c r="P1417" i="29"/>
  <c r="P1421" i="29"/>
  <c r="P1422" i="29"/>
  <c r="P1429" i="29"/>
  <c r="P1430" i="29"/>
  <c r="P1436" i="29"/>
  <c r="P1437" i="29"/>
  <c r="P1441" i="29"/>
  <c r="P1442" i="29"/>
  <c r="P1443" i="29"/>
  <c r="P1444" i="29"/>
  <c r="P1448" i="29"/>
  <c r="P1449" i="29"/>
  <c r="P1450" i="29"/>
  <c r="P1451" i="29"/>
  <c r="P1453" i="29"/>
  <c r="P1456" i="29"/>
  <c r="P1459" i="29"/>
  <c r="P1464" i="29"/>
  <c r="P1468" i="29"/>
  <c r="P1469" i="29"/>
  <c r="P1470" i="29"/>
  <c r="P1471" i="29"/>
  <c r="P1472" i="29"/>
  <c r="P1476" i="29"/>
  <c r="P1477" i="29"/>
  <c r="P1478" i="29"/>
  <c r="P1479" i="29"/>
  <c r="P1481" i="29"/>
  <c r="P1484" i="29"/>
  <c r="P1487" i="29"/>
  <c r="P1490" i="29"/>
  <c r="P1493" i="29"/>
  <c r="P1498" i="29"/>
  <c r="P1499" i="29"/>
  <c r="P1500" i="29"/>
  <c r="P1501" i="29"/>
  <c r="P1502" i="29"/>
  <c r="P1503" i="29"/>
  <c r="P1504" i="29"/>
  <c r="P1505" i="29"/>
  <c r="P1506" i="29"/>
  <c r="P1507" i="29"/>
  <c r="P1508" i="29"/>
  <c r="P1512" i="29"/>
  <c r="P1513" i="29"/>
  <c r="P1514" i="29"/>
  <c r="P1515" i="29"/>
  <c r="P1516" i="29"/>
  <c r="P1517" i="29"/>
  <c r="P1518" i="29"/>
  <c r="P1519" i="29"/>
  <c r="P1520" i="29"/>
  <c r="P1521" i="29"/>
  <c r="P1522" i="29"/>
  <c r="P1526" i="29"/>
  <c r="P1527" i="29"/>
  <c r="P1528" i="29"/>
  <c r="P1529" i="29"/>
  <c r="P1530" i="29"/>
  <c r="P1531" i="29"/>
  <c r="P1532" i="29"/>
  <c r="P1534" i="29"/>
  <c r="P1648" i="29"/>
  <c r="P1650" i="29" s="1"/>
  <c r="P553" i="29"/>
  <c r="P556" i="29"/>
  <c r="P559" i="29"/>
  <c r="P562" i="29"/>
  <c r="P665" i="29"/>
  <c r="P667" i="29"/>
  <c r="P674" i="29"/>
  <c r="O680" i="29"/>
  <c r="P680" i="29"/>
  <c r="P1946" i="29"/>
  <c r="P1947" i="29"/>
  <c r="P1948" i="29"/>
  <c r="P1949" i="29"/>
  <c r="P1950" i="29"/>
  <c r="P1951" i="29"/>
  <c r="P1952" i="29"/>
  <c r="P1953" i="29"/>
  <c r="P1955" i="29"/>
  <c r="P1956" i="29"/>
  <c r="P1957" i="29"/>
  <c r="P1959" i="29"/>
  <c r="P1960" i="29"/>
  <c r="P1961" i="29"/>
  <c r="P1962" i="29"/>
  <c r="P1963" i="29"/>
  <c r="P1964" i="29"/>
  <c r="P1965" i="29"/>
  <c r="P1966" i="29"/>
  <c r="P719" i="29"/>
  <c r="P722" i="29"/>
  <c r="P723" i="29"/>
  <c r="P724" i="29"/>
  <c r="P725" i="29"/>
  <c r="P726" i="29"/>
  <c r="P727" i="29"/>
  <c r="P728" i="29"/>
  <c r="P729" i="29"/>
  <c r="P730" i="29"/>
  <c r="P731" i="29"/>
  <c r="P734" i="29"/>
  <c r="P735" i="29"/>
  <c r="P736" i="29"/>
  <c r="P737" i="29"/>
  <c r="P738" i="29"/>
  <c r="P739" i="29"/>
  <c r="P740" i="29"/>
  <c r="P741" i="29"/>
  <c r="P742" i="29"/>
  <c r="P743" i="29"/>
  <c r="P744" i="29"/>
  <c r="P745" i="29"/>
  <c r="P746" i="29"/>
  <c r="P749" i="29"/>
  <c r="P750" i="29"/>
  <c r="P751" i="29"/>
  <c r="P754" i="29"/>
  <c r="P755" i="29"/>
  <c r="P756" i="29"/>
  <c r="P757" i="29"/>
  <c r="P758" i="29"/>
  <c r="P759" i="29"/>
  <c r="P760" i="29"/>
  <c r="P761" i="29"/>
  <c r="P762" i="29"/>
  <c r="P763" i="29"/>
  <c r="P764" i="29"/>
  <c r="P765" i="29"/>
  <c r="P766" i="29"/>
  <c r="P777" i="29"/>
  <c r="P778" i="29"/>
  <c r="P779" i="29"/>
  <c r="P780" i="29"/>
  <c r="P781" i="29"/>
  <c r="P782" i="29"/>
  <c r="P783" i="29"/>
  <c r="P784" i="29"/>
  <c r="P785" i="29"/>
  <c r="P786" i="29"/>
  <c r="P787" i="29"/>
  <c r="P788" i="29"/>
  <c r="P789" i="29"/>
  <c r="P790" i="29"/>
  <c r="P791" i="29"/>
  <c r="P792" i="29"/>
  <c r="P793" i="29"/>
  <c r="P794" i="29"/>
  <c r="P795" i="29"/>
  <c r="P796" i="29"/>
  <c r="P797" i="29"/>
  <c r="P798" i="29"/>
  <c r="P799" i="29"/>
  <c r="P800" i="29"/>
  <c r="P801" i="29"/>
  <c r="P802" i="29"/>
  <c r="P803" i="29"/>
  <c r="P804" i="29"/>
  <c r="P805" i="29"/>
  <c r="P806" i="29"/>
  <c r="P807" i="29"/>
  <c r="P808" i="29"/>
  <c r="P809" i="29"/>
  <c r="P810" i="29"/>
  <c r="P811" i="29"/>
  <c r="P812" i="29"/>
  <c r="P813" i="29"/>
  <c r="P814" i="29"/>
  <c r="P815" i="29"/>
  <c r="P816" i="29"/>
  <c r="P817" i="29"/>
  <c r="P818" i="29"/>
  <c r="P819" i="29"/>
  <c r="P820" i="29"/>
  <c r="P821" i="29"/>
  <c r="P822" i="29"/>
  <c r="P823" i="29"/>
  <c r="P824" i="29"/>
  <c r="P825" i="29"/>
  <c r="P826" i="29"/>
  <c r="P827" i="29"/>
  <c r="P828" i="29"/>
  <c r="P829" i="29"/>
  <c r="P830" i="29"/>
  <c r="P831" i="29"/>
  <c r="P832" i="29"/>
  <c r="P833" i="29"/>
  <c r="P834" i="29"/>
  <c r="P835" i="29"/>
  <c r="P836" i="29"/>
  <c r="P837" i="29"/>
  <c r="P838" i="29"/>
  <c r="P839" i="29"/>
  <c r="P840" i="29"/>
  <c r="P841" i="29"/>
  <c r="P842" i="29"/>
  <c r="P843" i="29"/>
  <c r="P844" i="29"/>
  <c r="P845" i="29"/>
  <c r="P846" i="29"/>
  <c r="P847" i="29"/>
  <c r="P848" i="29"/>
  <c r="P849" i="29"/>
  <c r="P852" i="29"/>
  <c r="P853" i="29"/>
  <c r="P854" i="29"/>
  <c r="P855" i="29"/>
  <c r="P856" i="29"/>
  <c r="P857" i="29"/>
  <c r="P858" i="29"/>
  <c r="P859" i="29"/>
  <c r="P860" i="29"/>
  <c r="P863" i="29"/>
  <c r="P864" i="29"/>
  <c r="P865" i="29"/>
  <c r="P866" i="29"/>
  <c r="P867" i="29"/>
  <c r="P868" i="29"/>
  <c r="P869" i="29"/>
  <c r="P872" i="29"/>
  <c r="P873" i="29"/>
  <c r="P874" i="29"/>
  <c r="P875" i="29"/>
  <c r="P876" i="29"/>
  <c r="P877" i="29"/>
  <c r="P878" i="29"/>
  <c r="P879" i="29"/>
  <c r="P880" i="29"/>
  <c r="P883" i="29"/>
  <c r="P884" i="29"/>
  <c r="P885" i="29"/>
  <c r="P886" i="29"/>
  <c r="P887" i="29"/>
  <c r="P888" i="29"/>
  <c r="P891" i="29"/>
  <c r="P892" i="29"/>
  <c r="P893" i="29"/>
  <c r="P894" i="29"/>
  <c r="P895" i="29"/>
  <c r="P896" i="29"/>
  <c r="P897" i="29"/>
  <c r="P898" i="29"/>
  <c r="P901" i="29"/>
  <c r="P902" i="29"/>
  <c r="P903" i="29"/>
  <c r="P904" i="29"/>
  <c r="P905" i="29"/>
  <c r="P906" i="29"/>
  <c r="P907" i="29"/>
  <c r="P908" i="29"/>
  <c r="P911" i="29"/>
  <c r="P912" i="29"/>
  <c r="P913" i="29"/>
  <c r="P914" i="29"/>
  <c r="P915" i="29"/>
  <c r="P916" i="29"/>
  <c r="P917" i="29"/>
  <c r="P918" i="29"/>
  <c r="P919" i="29"/>
  <c r="P920" i="29"/>
  <c r="P921" i="29"/>
  <c r="P924" i="29"/>
  <c r="P925" i="29"/>
  <c r="P926" i="29"/>
  <c r="P927" i="29"/>
  <c r="P930" i="29"/>
  <c r="P931" i="29"/>
  <c r="P932" i="29"/>
  <c r="P933" i="29"/>
  <c r="P934" i="29"/>
  <c r="P935" i="29"/>
  <c r="P936" i="29"/>
  <c r="P937" i="29"/>
  <c r="P938" i="29"/>
  <c r="P939" i="29"/>
  <c r="P942" i="29"/>
  <c r="P943" i="29"/>
  <c r="P944" i="29"/>
  <c r="P945" i="29"/>
  <c r="P946" i="29"/>
  <c r="P947" i="29"/>
  <c r="P948" i="29"/>
  <c r="P949" i="29"/>
  <c r="P950" i="29"/>
  <c r="P951" i="29"/>
  <c r="P952" i="29"/>
  <c r="P953" i="29"/>
  <c r="P956" i="29"/>
  <c r="P957" i="29"/>
  <c r="P960" i="29"/>
  <c r="P963" i="29"/>
  <c r="P964" i="29"/>
  <c r="P965" i="29"/>
  <c r="P966" i="29"/>
  <c r="P967" i="29"/>
  <c r="P968" i="29"/>
  <c r="P969" i="29"/>
  <c r="P970" i="29"/>
  <c r="P971" i="29"/>
  <c r="P972" i="29"/>
  <c r="P973" i="29"/>
  <c r="P974" i="29"/>
  <c r="P978" i="29"/>
  <c r="P979" i="29"/>
  <c r="P980" i="29"/>
  <c r="P981" i="29"/>
  <c r="P982" i="29"/>
  <c r="P983" i="29"/>
  <c r="P984" i="29"/>
  <c r="P985" i="29"/>
  <c r="P986" i="29"/>
  <c r="P987" i="29"/>
  <c r="P991" i="29"/>
  <c r="P992" i="29"/>
  <c r="P993" i="29"/>
  <c r="P994" i="29"/>
  <c r="P995" i="29"/>
  <c r="P996" i="29"/>
  <c r="P997" i="29"/>
  <c r="P998" i="29"/>
  <c r="P999" i="29"/>
  <c r="P1003" i="29"/>
  <c r="P1004" i="29"/>
  <c r="P1005" i="29"/>
  <c r="P1006" i="29"/>
  <c r="P1007" i="29"/>
  <c r="P1008" i="29"/>
  <c r="P1009" i="29"/>
  <c r="P1010" i="29"/>
  <c r="P1011" i="29"/>
  <c r="P1014" i="29"/>
  <c r="P1015" i="29"/>
  <c r="P1016" i="29"/>
  <c r="P1017" i="29"/>
  <c r="P1018" i="29"/>
  <c r="P1019" i="29"/>
  <c r="P1020" i="29"/>
  <c r="P1023" i="29"/>
  <c r="P1024" i="29"/>
  <c r="P1025" i="29"/>
  <c r="P1026" i="29"/>
  <c r="P1027" i="29"/>
  <c r="P1028" i="29"/>
  <c r="P1029" i="29"/>
  <c r="P1030" i="29"/>
  <c r="P1033" i="29"/>
  <c r="P1034" i="29"/>
  <c r="P1035" i="29"/>
  <c r="P1036" i="29"/>
  <c r="P1039" i="29"/>
  <c r="P1040" i="29"/>
  <c r="P1041" i="29"/>
  <c r="P1042" i="29"/>
  <c r="P1046" i="29"/>
  <c r="P1047" i="29"/>
  <c r="P1048" i="29"/>
  <c r="P1049" i="29"/>
  <c r="P1050" i="29"/>
  <c r="P1051" i="29"/>
  <c r="P1054" i="29"/>
  <c r="P1055" i="29"/>
  <c r="P1056" i="29"/>
  <c r="P1057" i="29"/>
  <c r="P1058" i="29"/>
  <c r="P1059" i="29"/>
  <c r="P1062" i="29"/>
  <c r="P1063" i="29"/>
  <c r="P1064" i="29"/>
  <c r="P1065" i="29"/>
  <c r="P1066" i="29"/>
  <c r="P1067" i="29"/>
  <c r="P1068" i="29"/>
  <c r="P1069" i="29"/>
  <c r="P1070" i="29"/>
  <c r="R687" i="29"/>
  <c r="R716" i="29" s="1"/>
  <c r="R690" i="29"/>
  <c r="R695" i="29"/>
  <c r="R698" i="29"/>
  <c r="R701" i="29"/>
  <c r="R706" i="29"/>
  <c r="R707" i="29"/>
  <c r="R708" i="29"/>
  <c r="R712" i="29"/>
  <c r="R713" i="29"/>
  <c r="R714" i="29"/>
  <c r="R1074" i="29"/>
  <c r="R1139" i="29"/>
  <c r="R1140" i="29"/>
  <c r="R1141" i="29"/>
  <c r="R1142" i="29"/>
  <c r="R1143" i="29"/>
  <c r="R1144" i="29"/>
  <c r="R1145" i="29"/>
  <c r="R1146" i="29"/>
  <c r="R1147" i="29"/>
  <c r="R1148" i="29"/>
  <c r="R1149" i="29"/>
  <c r="R1150" i="29"/>
  <c r="R1155" i="29"/>
  <c r="R1156" i="29"/>
  <c r="R1157" i="29"/>
  <c r="R1158" i="29"/>
  <c r="R1159" i="29"/>
  <c r="R1160" i="29"/>
  <c r="R1161" i="29"/>
  <c r="R1162" i="29"/>
  <c r="R1164" i="29"/>
  <c r="R1165" i="29"/>
  <c r="R1170" i="29"/>
  <c r="R1171" i="29"/>
  <c r="R1172" i="29"/>
  <c r="R1173" i="29"/>
  <c r="R1174" i="29"/>
  <c r="R1175" i="29"/>
  <c r="R1176" i="29"/>
  <c r="R1177" i="29"/>
  <c r="R1178" i="29"/>
  <c r="R1179" i="29"/>
  <c r="R1180" i="29"/>
  <c r="R1329" i="29"/>
  <c r="R1330" i="29"/>
  <c r="R1331" i="29"/>
  <c r="R1332" i="29"/>
  <c r="R1333" i="29"/>
  <c r="R1334" i="29"/>
  <c r="R1335" i="29"/>
  <c r="R1339" i="29"/>
  <c r="R1340" i="29"/>
  <c r="R1341" i="29"/>
  <c r="R1342" i="29"/>
  <c r="R1343" i="29"/>
  <c r="R1344" i="29"/>
  <c r="R1345" i="29"/>
  <c r="R1346" i="29"/>
  <c r="R1347" i="29"/>
  <c r="R1348" i="29"/>
  <c r="R1349" i="29"/>
  <c r="R1350" i="29"/>
  <c r="R1351" i="29"/>
  <c r="R1352" i="29"/>
  <c r="R1353" i="29"/>
  <c r="R1354" i="29"/>
  <c r="R1355" i="29"/>
  <c r="R1359" i="29"/>
  <c r="R1360" i="29"/>
  <c r="R1361" i="29"/>
  <c r="R1362" i="29"/>
  <c r="R1363" i="29"/>
  <c r="R1364" i="29"/>
  <c r="R1365" i="29"/>
  <c r="R1366" i="29"/>
  <c r="R1367" i="29"/>
  <c r="R1368" i="29"/>
  <c r="R1369" i="29"/>
  <c r="R1370" i="29"/>
  <c r="R1371" i="29"/>
  <c r="R1372" i="29"/>
  <c r="R1373" i="29"/>
  <c r="R1374" i="29"/>
  <c r="R1375" i="29"/>
  <c r="R1379" i="29"/>
  <c r="R1380" i="29"/>
  <c r="R1381" i="29"/>
  <c r="R1382" i="29"/>
  <c r="R1413" i="29"/>
  <c r="R1414" i="29"/>
  <c r="R1415" i="29"/>
  <c r="R1416" i="29"/>
  <c r="R1417" i="29"/>
  <c r="R1421" i="29"/>
  <c r="R1422" i="29"/>
  <c r="R1429" i="29"/>
  <c r="R1430" i="29"/>
  <c r="R1436" i="29"/>
  <c r="R1437" i="29"/>
  <c r="R1441" i="29"/>
  <c r="R1442" i="29"/>
  <c r="R1443" i="29"/>
  <c r="R1444" i="29"/>
  <c r="R1448" i="29"/>
  <c r="R1449" i="29"/>
  <c r="R1450" i="29"/>
  <c r="R1451" i="29"/>
  <c r="R1453" i="29"/>
  <c r="R1456" i="29"/>
  <c r="R1459" i="29"/>
  <c r="R1464" i="29"/>
  <c r="R1468" i="29"/>
  <c r="R1469" i="29"/>
  <c r="R1470" i="29"/>
  <c r="R1471" i="29"/>
  <c r="R1472" i="29"/>
  <c r="R1476" i="29"/>
  <c r="R1477" i="29"/>
  <c r="R1478" i="29"/>
  <c r="R1479" i="29"/>
  <c r="R1481" i="29"/>
  <c r="R1484" i="29"/>
  <c r="R1487" i="29"/>
  <c r="R1490" i="29"/>
  <c r="R1493" i="29"/>
  <c r="R1498" i="29"/>
  <c r="R1499" i="29"/>
  <c r="R1500" i="29"/>
  <c r="R1501" i="29"/>
  <c r="R1502" i="29"/>
  <c r="R1503" i="29"/>
  <c r="R1504" i="29"/>
  <c r="R1505" i="29"/>
  <c r="R1506" i="29"/>
  <c r="R1507" i="29"/>
  <c r="R1508" i="29"/>
  <c r="R1512" i="29"/>
  <c r="R1513" i="29"/>
  <c r="R1514" i="29"/>
  <c r="R1515" i="29"/>
  <c r="R1516" i="29"/>
  <c r="R1517" i="29"/>
  <c r="R1518" i="29"/>
  <c r="R1519" i="29"/>
  <c r="R1520" i="29"/>
  <c r="R1521" i="29"/>
  <c r="R1522" i="29"/>
  <c r="R1526" i="29"/>
  <c r="R1527" i="29"/>
  <c r="R1528" i="29"/>
  <c r="R1529" i="29"/>
  <c r="R1530" i="29"/>
  <c r="R1531" i="29"/>
  <c r="R1532" i="29"/>
  <c r="R1534" i="29"/>
  <c r="R1648" i="29"/>
  <c r="R1650" i="29" s="1"/>
  <c r="R553" i="29"/>
  <c r="R556" i="29"/>
  <c r="R565" i="29" s="1"/>
  <c r="R559" i="29"/>
  <c r="R562" i="29"/>
  <c r="R665" i="29"/>
  <c r="R667" i="29"/>
  <c r="R674" i="29"/>
  <c r="Q680" i="29"/>
  <c r="R680" i="29" s="1"/>
  <c r="T687" i="29"/>
  <c r="T690" i="29"/>
  <c r="T695" i="29"/>
  <c r="T698" i="29"/>
  <c r="T701" i="29"/>
  <c r="T706" i="29"/>
  <c r="T707" i="29"/>
  <c r="T708" i="29"/>
  <c r="T712" i="29"/>
  <c r="T713" i="29"/>
  <c r="T714" i="29"/>
  <c r="T1074" i="29"/>
  <c r="T1139" i="29"/>
  <c r="T1140" i="29"/>
  <c r="T1141" i="29"/>
  <c r="T1142" i="29"/>
  <c r="T1143" i="29"/>
  <c r="T1144" i="29"/>
  <c r="T1145" i="29"/>
  <c r="T1146" i="29"/>
  <c r="T1147" i="29"/>
  <c r="T1148" i="29"/>
  <c r="T1149" i="29"/>
  <c r="T1150" i="29"/>
  <c r="T1155" i="29"/>
  <c r="T1156" i="29"/>
  <c r="T1157" i="29"/>
  <c r="T1158" i="29"/>
  <c r="T1159" i="29"/>
  <c r="T1160" i="29"/>
  <c r="T1161" i="29"/>
  <c r="T1162" i="29"/>
  <c r="T1164" i="29"/>
  <c r="T1165" i="29"/>
  <c r="T1170" i="29"/>
  <c r="T1171" i="29"/>
  <c r="T1172" i="29"/>
  <c r="T1173" i="29"/>
  <c r="T1174" i="29"/>
  <c r="T1175" i="29"/>
  <c r="T1176" i="29"/>
  <c r="T1177" i="29"/>
  <c r="T1178" i="29"/>
  <c r="T1179" i="29"/>
  <c r="T1180" i="29"/>
  <c r="T1329" i="29"/>
  <c r="T1330" i="29"/>
  <c r="T1331" i="29"/>
  <c r="T1332" i="29"/>
  <c r="T1333" i="29"/>
  <c r="T1334" i="29"/>
  <c r="T1335" i="29"/>
  <c r="T1339" i="29"/>
  <c r="T1340" i="29"/>
  <c r="T1341" i="29"/>
  <c r="T1342" i="29"/>
  <c r="T1343" i="29"/>
  <c r="T1344" i="29"/>
  <c r="T1345" i="29"/>
  <c r="T1346" i="29"/>
  <c r="T1347" i="29"/>
  <c r="T1348" i="29"/>
  <c r="T1349" i="29"/>
  <c r="T1350" i="29"/>
  <c r="T1351" i="29"/>
  <c r="T1352" i="29"/>
  <c r="T1353" i="29"/>
  <c r="T1354" i="29"/>
  <c r="T1355" i="29"/>
  <c r="T1359" i="29"/>
  <c r="T1360" i="29"/>
  <c r="T1361" i="29"/>
  <c r="T1362" i="29"/>
  <c r="T1363" i="29"/>
  <c r="T1364" i="29"/>
  <c r="T1365" i="29"/>
  <c r="T1366" i="29"/>
  <c r="T1367" i="29"/>
  <c r="T1368" i="29"/>
  <c r="T1369" i="29"/>
  <c r="T1370" i="29"/>
  <c r="T1371" i="29"/>
  <c r="T1372" i="29"/>
  <c r="T1373" i="29"/>
  <c r="T1374" i="29"/>
  <c r="T1375" i="29"/>
  <c r="T1379" i="29"/>
  <c r="T1380" i="29"/>
  <c r="T1381" i="29"/>
  <c r="T1382" i="29"/>
  <c r="T1413" i="29"/>
  <c r="T1414" i="29"/>
  <c r="T1415" i="29"/>
  <c r="T1416" i="29"/>
  <c r="T1417" i="29"/>
  <c r="T1421" i="29"/>
  <c r="T1422" i="29"/>
  <c r="T1429" i="29"/>
  <c r="T1430" i="29"/>
  <c r="T1436" i="29"/>
  <c r="T1437" i="29"/>
  <c r="T1441" i="29"/>
  <c r="T1442" i="29"/>
  <c r="T1443" i="29"/>
  <c r="T1444" i="29"/>
  <c r="T1448" i="29"/>
  <c r="T1449" i="29"/>
  <c r="T1450" i="29"/>
  <c r="T1451" i="29"/>
  <c r="T1453" i="29"/>
  <c r="T1456" i="29"/>
  <c r="T1459" i="29"/>
  <c r="T1464" i="29"/>
  <c r="T1468" i="29"/>
  <c r="T1469" i="29"/>
  <c r="T1470" i="29"/>
  <c r="T1471" i="29"/>
  <c r="T1472" i="29"/>
  <c r="T1476" i="29"/>
  <c r="T1477" i="29"/>
  <c r="T1478" i="29"/>
  <c r="T1479" i="29"/>
  <c r="T1481" i="29"/>
  <c r="T1484" i="29"/>
  <c r="T1487" i="29"/>
  <c r="T1490" i="29"/>
  <c r="T1493" i="29"/>
  <c r="T1498" i="29"/>
  <c r="T1499" i="29"/>
  <c r="T1500" i="29"/>
  <c r="T1501" i="29"/>
  <c r="T1502" i="29"/>
  <c r="T1503" i="29"/>
  <c r="T1504" i="29"/>
  <c r="T1505" i="29"/>
  <c r="T1506" i="29"/>
  <c r="T1507" i="29"/>
  <c r="T1508" i="29"/>
  <c r="T1512" i="29"/>
  <c r="T1513" i="29"/>
  <c r="T1514" i="29"/>
  <c r="T1515" i="29"/>
  <c r="T1516" i="29"/>
  <c r="T1517" i="29"/>
  <c r="T1518" i="29"/>
  <c r="T1519" i="29"/>
  <c r="T1520" i="29"/>
  <c r="T1521" i="29"/>
  <c r="T1522" i="29"/>
  <c r="T1526" i="29"/>
  <c r="T1527" i="29"/>
  <c r="T1528" i="29"/>
  <c r="T1529" i="29"/>
  <c r="T1530" i="29"/>
  <c r="T1531" i="29"/>
  <c r="T1532" i="29"/>
  <c r="T1534" i="29"/>
  <c r="T1648" i="29"/>
  <c r="T1650" i="29"/>
  <c r="T553" i="29"/>
  <c r="T556" i="29"/>
  <c r="T559" i="29"/>
  <c r="T562" i="29"/>
  <c r="T665" i="29"/>
  <c r="T667" i="29"/>
  <c r="T674" i="29"/>
  <c r="S680" i="29"/>
  <c r="T680" i="29" s="1"/>
  <c r="V687" i="29"/>
  <c r="V690" i="29"/>
  <c r="V695" i="29"/>
  <c r="V698" i="29"/>
  <c r="V701" i="29"/>
  <c r="V706" i="29"/>
  <c r="V707" i="29"/>
  <c r="V708" i="29"/>
  <c r="V712" i="29"/>
  <c r="V713" i="29"/>
  <c r="V714" i="29"/>
  <c r="V716" i="29"/>
  <c r="V1074" i="29"/>
  <c r="V1139" i="29"/>
  <c r="V1140" i="29"/>
  <c r="V1141" i="29"/>
  <c r="V1142" i="29"/>
  <c r="V1143" i="29"/>
  <c r="V1144" i="29"/>
  <c r="V1145" i="29"/>
  <c r="V1146" i="29"/>
  <c r="V1147" i="29"/>
  <c r="V1148" i="29"/>
  <c r="V1149" i="29"/>
  <c r="V1150" i="29"/>
  <c r="V1155" i="29"/>
  <c r="V1156" i="29"/>
  <c r="V1157" i="29"/>
  <c r="V1158" i="29"/>
  <c r="V1159" i="29"/>
  <c r="V1160" i="29"/>
  <c r="V1161" i="29"/>
  <c r="V1162" i="29"/>
  <c r="V1164" i="29"/>
  <c r="V1165" i="29"/>
  <c r="V1170" i="29"/>
  <c r="V1171" i="29"/>
  <c r="V1172" i="29"/>
  <c r="V1173" i="29"/>
  <c r="V1174" i="29"/>
  <c r="V1175" i="29"/>
  <c r="V1176" i="29"/>
  <c r="V1177" i="29"/>
  <c r="V1178" i="29"/>
  <c r="V1179" i="29"/>
  <c r="V1180" i="29"/>
  <c r="V1329" i="29"/>
  <c r="V1330" i="29"/>
  <c r="V1331" i="29"/>
  <c r="V1332" i="29"/>
  <c r="V1333" i="29"/>
  <c r="V1334" i="29"/>
  <c r="V1335" i="29"/>
  <c r="V1339" i="29"/>
  <c r="V1340" i="29"/>
  <c r="V1341" i="29"/>
  <c r="V1342" i="29"/>
  <c r="V1343" i="29"/>
  <c r="V1344" i="29"/>
  <c r="V1345" i="29"/>
  <c r="V1346" i="29"/>
  <c r="V1347" i="29"/>
  <c r="V1348" i="29"/>
  <c r="V1349" i="29"/>
  <c r="V1350" i="29"/>
  <c r="V1351" i="29"/>
  <c r="V1352" i="29"/>
  <c r="V1353" i="29"/>
  <c r="V1354" i="29"/>
  <c r="V1355" i="29"/>
  <c r="V1359" i="29"/>
  <c r="V1360" i="29"/>
  <c r="V1361" i="29"/>
  <c r="V1362" i="29"/>
  <c r="V1363" i="29"/>
  <c r="V1364" i="29"/>
  <c r="V1365" i="29"/>
  <c r="V1366" i="29"/>
  <c r="V1367" i="29"/>
  <c r="V1368" i="29"/>
  <c r="V1369" i="29"/>
  <c r="V1370" i="29"/>
  <c r="V1371" i="29"/>
  <c r="V1372" i="29"/>
  <c r="V1373" i="29"/>
  <c r="V1374" i="29"/>
  <c r="V1375" i="29"/>
  <c r="V1379" i="29"/>
  <c r="V1380" i="29"/>
  <c r="V1381" i="29"/>
  <c r="V1382" i="29"/>
  <c r="V1413" i="29"/>
  <c r="V1414" i="29"/>
  <c r="V1415" i="29"/>
  <c r="V1416" i="29"/>
  <c r="V1417" i="29"/>
  <c r="V1421" i="29"/>
  <c r="V1422" i="29"/>
  <c r="V1429" i="29"/>
  <c r="V1430" i="29"/>
  <c r="V1436" i="29"/>
  <c r="V1437" i="29"/>
  <c r="V1441" i="29"/>
  <c r="V1442" i="29"/>
  <c r="V1443" i="29"/>
  <c r="V1444" i="29"/>
  <c r="V1448" i="29"/>
  <c r="V1449" i="29"/>
  <c r="V1450" i="29"/>
  <c r="V1451" i="29"/>
  <c r="V1453" i="29"/>
  <c r="V1456" i="29"/>
  <c r="V1459" i="29"/>
  <c r="V1464" i="29"/>
  <c r="V1468" i="29"/>
  <c r="V1469" i="29"/>
  <c r="V1470" i="29"/>
  <c r="V1471" i="29"/>
  <c r="V1472" i="29"/>
  <c r="V1476" i="29"/>
  <c r="V1477" i="29"/>
  <c r="V1478" i="29"/>
  <c r="V1479" i="29"/>
  <c r="V1481" i="29"/>
  <c r="V1484" i="29"/>
  <c r="V1487" i="29"/>
  <c r="V1490" i="29"/>
  <c r="V1493" i="29"/>
  <c r="V1498" i="29"/>
  <c r="V1499" i="29"/>
  <c r="V1500" i="29"/>
  <c r="V1501" i="29"/>
  <c r="V1502" i="29"/>
  <c r="V1503" i="29"/>
  <c r="V1504" i="29"/>
  <c r="V1505" i="29"/>
  <c r="V1506" i="29"/>
  <c r="V1507" i="29"/>
  <c r="V1508" i="29"/>
  <c r="V1512" i="29"/>
  <c r="V1513" i="29"/>
  <c r="V1514" i="29"/>
  <c r="V1515" i="29"/>
  <c r="V1516" i="29"/>
  <c r="V1517" i="29"/>
  <c r="V1518" i="29"/>
  <c r="V1519" i="29"/>
  <c r="V1520" i="29"/>
  <c r="V1521" i="29"/>
  <c r="V1522" i="29"/>
  <c r="V1526" i="29"/>
  <c r="V1527" i="29"/>
  <c r="V1528" i="29"/>
  <c r="V1529" i="29"/>
  <c r="V1530" i="29"/>
  <c r="V1531" i="29"/>
  <c r="V1532" i="29"/>
  <c r="V1534" i="29"/>
  <c r="V1648" i="29"/>
  <c r="V1650" i="29" s="1"/>
  <c r="V553" i="29"/>
  <c r="V556" i="29"/>
  <c r="V559" i="29"/>
  <c r="V562" i="29"/>
  <c r="V565" i="29"/>
  <c r="V665" i="29"/>
  <c r="V667" i="29"/>
  <c r="V674" i="29"/>
  <c r="U680" i="29"/>
  <c r="V680" i="29" s="1"/>
  <c r="X687" i="29"/>
  <c r="X690" i="29"/>
  <c r="X695" i="29"/>
  <c r="X698" i="29"/>
  <c r="X701" i="29"/>
  <c r="X706" i="29"/>
  <c r="X707" i="29"/>
  <c r="X708" i="29"/>
  <c r="X712" i="29"/>
  <c r="X713" i="29"/>
  <c r="X714" i="29"/>
  <c r="X1074" i="29"/>
  <c r="X1139" i="29"/>
  <c r="X1140" i="29"/>
  <c r="X1141" i="29"/>
  <c r="X1142" i="29"/>
  <c r="X1143" i="29"/>
  <c r="X1144" i="29"/>
  <c r="X1145" i="29"/>
  <c r="X1146" i="29"/>
  <c r="X1147" i="29"/>
  <c r="X1148" i="29"/>
  <c r="X1149" i="29"/>
  <c r="X1150" i="29"/>
  <c r="X1155" i="29"/>
  <c r="X1156" i="29"/>
  <c r="X1157" i="29"/>
  <c r="X1158" i="29"/>
  <c r="X1159" i="29"/>
  <c r="X1160" i="29"/>
  <c r="X1161" i="29"/>
  <c r="X1162" i="29"/>
  <c r="X1164" i="29"/>
  <c r="X1165" i="29"/>
  <c r="X1170" i="29"/>
  <c r="X1171" i="29"/>
  <c r="X1172" i="29"/>
  <c r="X1173" i="29"/>
  <c r="X1174" i="29"/>
  <c r="X1175" i="29"/>
  <c r="X1176" i="29"/>
  <c r="X1177" i="29"/>
  <c r="X1178" i="29"/>
  <c r="X1179" i="29"/>
  <c r="X1180" i="29"/>
  <c r="X1329" i="29"/>
  <c r="X1330" i="29"/>
  <c r="X1331" i="29"/>
  <c r="X1332" i="29"/>
  <c r="X1333" i="29"/>
  <c r="X1334" i="29"/>
  <c r="X1335" i="29"/>
  <c r="X1339" i="29"/>
  <c r="X1340" i="29"/>
  <c r="X1341" i="29"/>
  <c r="X1342" i="29"/>
  <c r="X1343" i="29"/>
  <c r="X1344" i="29"/>
  <c r="X1345" i="29"/>
  <c r="X1346" i="29"/>
  <c r="X1347" i="29"/>
  <c r="X1348" i="29"/>
  <c r="X1349" i="29"/>
  <c r="X1350" i="29"/>
  <c r="X1351" i="29"/>
  <c r="X1352" i="29"/>
  <c r="X1353" i="29"/>
  <c r="X1354" i="29"/>
  <c r="X1355" i="29"/>
  <c r="X1359" i="29"/>
  <c r="X1360" i="29"/>
  <c r="X1361" i="29"/>
  <c r="X1362" i="29"/>
  <c r="X1363" i="29"/>
  <c r="X1364" i="29"/>
  <c r="X1365" i="29"/>
  <c r="X1366" i="29"/>
  <c r="X1367" i="29"/>
  <c r="X1368" i="29"/>
  <c r="X1369" i="29"/>
  <c r="X1370" i="29"/>
  <c r="X1371" i="29"/>
  <c r="X1372" i="29"/>
  <c r="X1373" i="29"/>
  <c r="X1374" i="29"/>
  <c r="X1375" i="29"/>
  <c r="X1379" i="29"/>
  <c r="X1380" i="29"/>
  <c r="X1381" i="29"/>
  <c r="X1382" i="29"/>
  <c r="X1413" i="29"/>
  <c r="X1414" i="29"/>
  <c r="X1415" i="29"/>
  <c r="X1416" i="29"/>
  <c r="X1417" i="29"/>
  <c r="X1421" i="29"/>
  <c r="X1422" i="29"/>
  <c r="X1429" i="29"/>
  <c r="X1430" i="29"/>
  <c r="X1436" i="29"/>
  <c r="X1437" i="29"/>
  <c r="X1441" i="29"/>
  <c r="X1442" i="29"/>
  <c r="X1443" i="29"/>
  <c r="X1444" i="29"/>
  <c r="X1448" i="29"/>
  <c r="X1449" i="29"/>
  <c r="X1450" i="29"/>
  <c r="X1451" i="29"/>
  <c r="X1453" i="29"/>
  <c r="X1456" i="29"/>
  <c r="X1459" i="29"/>
  <c r="X1464" i="29"/>
  <c r="X1468" i="29"/>
  <c r="X1469" i="29"/>
  <c r="X1470" i="29"/>
  <c r="X1471" i="29"/>
  <c r="X1472" i="29"/>
  <c r="X1476" i="29"/>
  <c r="X1477" i="29"/>
  <c r="X1478" i="29"/>
  <c r="X1479" i="29"/>
  <c r="X1481" i="29"/>
  <c r="X1484" i="29"/>
  <c r="X1487" i="29"/>
  <c r="X1490" i="29"/>
  <c r="X1493" i="29"/>
  <c r="X1498" i="29"/>
  <c r="X1499" i="29"/>
  <c r="X1500" i="29"/>
  <c r="X1501" i="29"/>
  <c r="X1502" i="29"/>
  <c r="X1503" i="29"/>
  <c r="X1504" i="29"/>
  <c r="X1505" i="29"/>
  <c r="X1506" i="29"/>
  <c r="X1507" i="29"/>
  <c r="X1508" i="29"/>
  <c r="X1512" i="29"/>
  <c r="X1513" i="29"/>
  <c r="X1514" i="29"/>
  <c r="X1515" i="29"/>
  <c r="X1516" i="29"/>
  <c r="X1517" i="29"/>
  <c r="X1518" i="29"/>
  <c r="X1519" i="29"/>
  <c r="X1520" i="29"/>
  <c r="X1521" i="29"/>
  <c r="X1522" i="29"/>
  <c r="X1526" i="29"/>
  <c r="X1527" i="29"/>
  <c r="X1528" i="29"/>
  <c r="X1529" i="29"/>
  <c r="X1530" i="29"/>
  <c r="X1531" i="29"/>
  <c r="X1532" i="29"/>
  <c r="X1534" i="29"/>
  <c r="X1648" i="29"/>
  <c r="X1650" i="29" s="1"/>
  <c r="X553" i="29"/>
  <c r="X556" i="29"/>
  <c r="X559" i="29"/>
  <c r="X562" i="29"/>
  <c r="X665" i="29"/>
  <c r="X667" i="29"/>
  <c r="X674" i="29"/>
  <c r="W680" i="29"/>
  <c r="X680" i="29" s="1"/>
  <c r="Z687" i="29"/>
  <c r="Z716" i="29" s="1"/>
  <c r="Z690" i="29"/>
  <c r="Z695" i="29"/>
  <c r="Z698" i="29"/>
  <c r="Z701" i="29"/>
  <c r="Z706" i="29"/>
  <c r="Z707" i="29"/>
  <c r="Z708" i="29"/>
  <c r="Z712" i="29"/>
  <c r="Z713" i="29"/>
  <c r="Z714" i="29"/>
  <c r="Z1074" i="29"/>
  <c r="Z1139" i="29"/>
  <c r="Z1140" i="29"/>
  <c r="Z1141" i="29"/>
  <c r="Z1142" i="29"/>
  <c r="Z1143" i="29"/>
  <c r="Z1144" i="29"/>
  <c r="Z1145" i="29"/>
  <c r="Z1146" i="29"/>
  <c r="Z1147" i="29"/>
  <c r="Z1148" i="29"/>
  <c r="Z1149" i="29"/>
  <c r="Z1150" i="29"/>
  <c r="Z1155" i="29"/>
  <c r="Z1156" i="29"/>
  <c r="Z1157" i="29"/>
  <c r="Z1158" i="29"/>
  <c r="Z1159" i="29"/>
  <c r="Z1160" i="29"/>
  <c r="Z1161" i="29"/>
  <c r="Z1162" i="29"/>
  <c r="Z1164" i="29"/>
  <c r="Z1165" i="29"/>
  <c r="Z1170" i="29"/>
  <c r="Z1171" i="29"/>
  <c r="Z1172" i="29"/>
  <c r="Z1173" i="29"/>
  <c r="Z1174" i="29"/>
  <c r="Z1175" i="29"/>
  <c r="Z1176" i="29"/>
  <c r="Z1177" i="29"/>
  <c r="Z1178" i="29"/>
  <c r="Z1179" i="29"/>
  <c r="Z1180" i="29"/>
  <c r="Z1329" i="29"/>
  <c r="Z1330" i="29"/>
  <c r="Z1331" i="29"/>
  <c r="Z1332" i="29"/>
  <c r="Z1333" i="29"/>
  <c r="Z1334" i="29"/>
  <c r="Z1335" i="29"/>
  <c r="Z1339" i="29"/>
  <c r="Z1340" i="29"/>
  <c r="Z1341" i="29"/>
  <c r="Z1342" i="29"/>
  <c r="Z1343" i="29"/>
  <c r="Z1344" i="29"/>
  <c r="Z1345" i="29"/>
  <c r="Z1346" i="29"/>
  <c r="Z1347" i="29"/>
  <c r="Z1348" i="29"/>
  <c r="Z1349" i="29"/>
  <c r="Z1350" i="29"/>
  <c r="Z1351" i="29"/>
  <c r="Z1352" i="29"/>
  <c r="Z1353" i="29"/>
  <c r="Z1354" i="29"/>
  <c r="Z1355" i="29"/>
  <c r="Z1359" i="29"/>
  <c r="Z1360" i="29"/>
  <c r="Z1361" i="29"/>
  <c r="Z1362" i="29"/>
  <c r="Z1363" i="29"/>
  <c r="Z1364" i="29"/>
  <c r="Z1365" i="29"/>
  <c r="Z1366" i="29"/>
  <c r="Z1367" i="29"/>
  <c r="Z1368" i="29"/>
  <c r="Z1369" i="29"/>
  <c r="Z1370" i="29"/>
  <c r="Z1371" i="29"/>
  <c r="Z1372" i="29"/>
  <c r="Z1373" i="29"/>
  <c r="Z1374" i="29"/>
  <c r="Z1375" i="29"/>
  <c r="Z1379" i="29"/>
  <c r="Z1380" i="29"/>
  <c r="Z1381" i="29"/>
  <c r="Z1382" i="29"/>
  <c r="Z1413" i="29"/>
  <c r="Z1414" i="29"/>
  <c r="Z1415" i="29"/>
  <c r="Z1416" i="29"/>
  <c r="Z1417" i="29"/>
  <c r="Z1421" i="29"/>
  <c r="Z1422" i="29"/>
  <c r="Z1429" i="29"/>
  <c r="Z1430" i="29"/>
  <c r="Z1436" i="29"/>
  <c r="Z1437" i="29"/>
  <c r="Z1441" i="29"/>
  <c r="Z1442" i="29"/>
  <c r="Z1443" i="29"/>
  <c r="Z1444" i="29"/>
  <c r="Z1448" i="29"/>
  <c r="Z1449" i="29"/>
  <c r="Z1450" i="29"/>
  <c r="Z1451" i="29"/>
  <c r="Z1453" i="29"/>
  <c r="Z1456" i="29"/>
  <c r="Z1459" i="29"/>
  <c r="Z1464" i="29"/>
  <c r="Z1468" i="29"/>
  <c r="Z1469" i="29"/>
  <c r="Z1470" i="29"/>
  <c r="Z1471" i="29"/>
  <c r="Z1472" i="29"/>
  <c r="Z1476" i="29"/>
  <c r="Z1477" i="29"/>
  <c r="Z1478" i="29"/>
  <c r="Z1479" i="29"/>
  <c r="Z1481" i="29"/>
  <c r="Z1484" i="29"/>
  <c r="Z1487" i="29"/>
  <c r="Z1490" i="29"/>
  <c r="Z1493" i="29"/>
  <c r="Z1498" i="29"/>
  <c r="Z1499" i="29"/>
  <c r="Z1500" i="29"/>
  <c r="Z1501" i="29"/>
  <c r="Z1502" i="29"/>
  <c r="Z1503" i="29"/>
  <c r="Z1504" i="29"/>
  <c r="Z1505" i="29"/>
  <c r="Z1506" i="29"/>
  <c r="Z1507" i="29"/>
  <c r="Z1508" i="29"/>
  <c r="Z1512" i="29"/>
  <c r="Z1513" i="29"/>
  <c r="Z1514" i="29"/>
  <c r="Z1515" i="29"/>
  <c r="Z1516" i="29"/>
  <c r="Z1517" i="29"/>
  <c r="Z1518" i="29"/>
  <c r="Z1519" i="29"/>
  <c r="Z1520" i="29"/>
  <c r="Z1521" i="29"/>
  <c r="Z1522" i="29"/>
  <c r="Z1526" i="29"/>
  <c r="Z1527" i="29"/>
  <c r="Z1528" i="29"/>
  <c r="Z1529" i="29"/>
  <c r="Z1530" i="29"/>
  <c r="Z1531" i="29"/>
  <c r="Z1532" i="29"/>
  <c r="Z1534" i="29"/>
  <c r="Z1648" i="29"/>
  <c r="Z1650" i="29" s="1"/>
  <c r="Z553" i="29"/>
  <c r="Z556" i="29"/>
  <c r="Z559" i="29"/>
  <c r="Z562" i="29"/>
  <c r="Z665" i="29"/>
  <c r="Z667" i="29"/>
  <c r="Z674" i="29"/>
  <c r="Y680" i="29"/>
  <c r="Z680" i="29" s="1"/>
  <c r="N1946" i="29"/>
  <c r="N1947" i="29"/>
  <c r="N1948" i="29"/>
  <c r="N1949" i="29"/>
  <c r="N1950" i="29"/>
  <c r="N1951" i="29"/>
  <c r="N1952" i="29"/>
  <c r="N1953" i="29"/>
  <c r="N1955" i="29"/>
  <c r="N1956" i="29"/>
  <c r="N1957" i="29"/>
  <c r="N1959" i="29"/>
  <c r="N1960" i="29"/>
  <c r="N1961" i="29"/>
  <c r="I1961" i="29" s="1"/>
  <c r="N1962" i="29"/>
  <c r="N1963" i="29"/>
  <c r="N1964" i="29"/>
  <c r="N1965" i="29"/>
  <c r="I1965" i="29" s="1"/>
  <c r="N1966" i="29"/>
  <c r="R1946" i="29"/>
  <c r="R1947" i="29"/>
  <c r="R1948" i="29"/>
  <c r="I1948" i="29" s="1"/>
  <c r="R1949" i="29"/>
  <c r="R1950" i="29"/>
  <c r="R1951" i="29"/>
  <c r="R1952" i="29"/>
  <c r="I1952" i="29" s="1"/>
  <c r="R1953" i="29"/>
  <c r="R1955" i="29"/>
  <c r="R1956" i="29"/>
  <c r="R1957" i="29"/>
  <c r="I1957" i="29" s="1"/>
  <c r="R1959" i="29"/>
  <c r="R1960" i="29"/>
  <c r="R1961" i="29"/>
  <c r="R1962" i="29"/>
  <c r="R1963" i="29"/>
  <c r="R1964" i="29"/>
  <c r="R1965" i="29"/>
  <c r="R1966" i="29"/>
  <c r="V1946" i="29"/>
  <c r="V1947" i="29"/>
  <c r="V1948" i="29"/>
  <c r="V1949" i="29"/>
  <c r="I1949" i="29" s="1"/>
  <c r="V1950" i="29"/>
  <c r="V1951" i="29"/>
  <c r="V1952" i="29"/>
  <c r="V1953" i="29"/>
  <c r="I1953" i="29" s="1"/>
  <c r="V1955" i="29"/>
  <c r="V1956" i="29"/>
  <c r="V1957" i="29"/>
  <c r="V1959" i="29"/>
  <c r="I1959" i="29" s="1"/>
  <c r="V1960" i="29"/>
  <c r="V1961" i="29"/>
  <c r="V1962" i="29"/>
  <c r="V1963" i="29"/>
  <c r="I1963" i="29" s="1"/>
  <c r="V1964" i="29"/>
  <c r="V1965" i="29"/>
  <c r="V1966" i="29"/>
  <c r="X1946" i="29"/>
  <c r="I1946" i="29" s="1"/>
  <c r="X1947" i="29"/>
  <c r="X1948" i="29"/>
  <c r="X1949" i="29"/>
  <c r="X1950" i="29"/>
  <c r="I1950" i="29" s="1"/>
  <c r="X1951" i="29"/>
  <c r="X1952" i="29"/>
  <c r="X1953" i="29"/>
  <c r="X1955" i="29"/>
  <c r="I1955" i="29" s="1"/>
  <c r="X1956" i="29"/>
  <c r="X1957" i="29"/>
  <c r="X1959" i="29"/>
  <c r="X1960" i="29"/>
  <c r="I1960" i="29" s="1"/>
  <c r="X1961" i="29"/>
  <c r="X1962" i="29"/>
  <c r="X1963" i="29"/>
  <c r="X1964" i="29"/>
  <c r="I1964" i="29" s="1"/>
  <c r="X1965" i="29"/>
  <c r="X1966" i="29"/>
  <c r="Z1946" i="29"/>
  <c r="Z1947" i="29"/>
  <c r="Z1948" i="29"/>
  <c r="Z1949" i="29"/>
  <c r="Z1950" i="29"/>
  <c r="Z1951" i="29"/>
  <c r="Z1952" i="29"/>
  <c r="Z1953" i="29"/>
  <c r="Z1955" i="29"/>
  <c r="Z1956" i="29"/>
  <c r="Z1957" i="29"/>
  <c r="Z1959" i="29"/>
  <c r="Z1960" i="29"/>
  <c r="Z1961" i="29"/>
  <c r="Z1962" i="29"/>
  <c r="Z1963" i="29"/>
  <c r="Z1964" i="29"/>
  <c r="Z1965" i="29"/>
  <c r="Z1966" i="29"/>
  <c r="T1946" i="29"/>
  <c r="T1947" i="29"/>
  <c r="T1948" i="29"/>
  <c r="T1949" i="29"/>
  <c r="T1950" i="29"/>
  <c r="T1951" i="29"/>
  <c r="T1952" i="29"/>
  <c r="T1953" i="29"/>
  <c r="T1955" i="29"/>
  <c r="T1956" i="29"/>
  <c r="T1957" i="29"/>
  <c r="T1959" i="29"/>
  <c r="T1960" i="29"/>
  <c r="T1961" i="29"/>
  <c r="T1962" i="29"/>
  <c r="T1963" i="29"/>
  <c r="T1964" i="29"/>
  <c r="T1965" i="29"/>
  <c r="T1966" i="29"/>
  <c r="P114" i="29"/>
  <c r="P117" i="29"/>
  <c r="P120" i="29"/>
  <c r="P123" i="29"/>
  <c r="P126" i="29"/>
  <c r="P129" i="29"/>
  <c r="P134" i="29"/>
  <c r="O142" i="29"/>
  <c r="P142" i="29" s="1"/>
  <c r="P144" i="29"/>
  <c r="P147" i="29"/>
  <c r="P150" i="29"/>
  <c r="P153" i="29"/>
  <c r="P156" i="29"/>
  <c r="P159" i="29"/>
  <c r="P162" i="29"/>
  <c r="P165" i="29"/>
  <c r="P168" i="29"/>
  <c r="P171" i="29"/>
  <c r="P174" i="29"/>
  <c r="P177" i="29"/>
  <c r="O180" i="29"/>
  <c r="P180" i="29" s="1"/>
  <c r="P183" i="29"/>
  <c r="P186" i="29"/>
  <c r="P189" i="29"/>
  <c r="P199" i="29"/>
  <c r="O209" i="29"/>
  <c r="P209" i="29" s="1"/>
  <c r="O220" i="29"/>
  <c r="P220" i="29" s="1"/>
  <c r="P225" i="29"/>
  <c r="O237" i="29"/>
  <c r="O238" i="29"/>
  <c r="O245" i="29" s="1"/>
  <c r="O242" i="29"/>
  <c r="O256" i="29"/>
  <c r="P256" i="29" s="1"/>
  <c r="O385" i="29"/>
  <c r="O386" i="29"/>
  <c r="O389" i="29"/>
  <c r="O398" i="29"/>
  <c r="O399" i="29"/>
  <c r="O377" i="29"/>
  <c r="O380" i="29" s="1"/>
  <c r="O285" i="29"/>
  <c r="O286" i="29"/>
  <c r="O289" i="29"/>
  <c r="P294" i="29"/>
  <c r="P297" i="29"/>
  <c r="O311" i="29"/>
  <c r="P311" i="29" s="1"/>
  <c r="O324" i="29"/>
  <c r="P324" i="29" s="1"/>
  <c r="P326" i="29"/>
  <c r="P329" i="29"/>
  <c r="O332" i="29"/>
  <c r="P332" i="29" s="1"/>
  <c r="P335" i="29"/>
  <c r="P338" i="29"/>
  <c r="P341" i="29"/>
  <c r="P344" i="29"/>
  <c r="P347" i="29"/>
  <c r="P350" i="29"/>
  <c r="P353" i="29"/>
  <c r="P356" i="29"/>
  <c r="P359" i="29"/>
  <c r="P362" i="29"/>
  <c r="P365" i="29"/>
  <c r="P368" i="29"/>
  <c r="P404" i="29"/>
  <c r="O410" i="29"/>
  <c r="O416" i="29" s="1"/>
  <c r="P416" i="29" s="1"/>
  <c r="O411" i="29"/>
  <c r="O413" i="29"/>
  <c r="O421" i="29"/>
  <c r="O422" i="29"/>
  <c r="O427" i="29" s="1"/>
  <c r="P427" i="29" s="1"/>
  <c r="O424" i="29"/>
  <c r="O438" i="29"/>
  <c r="P438" i="29" s="1"/>
  <c r="O444" i="29"/>
  <c r="P444" i="29" s="1"/>
  <c r="P448" i="29"/>
  <c r="P450" i="29"/>
  <c r="O456" i="29"/>
  <c r="O457" i="29"/>
  <c r="O459" i="29"/>
  <c r="O467" i="29"/>
  <c r="O473" i="29" s="1"/>
  <c r="P473" i="29" s="1"/>
  <c r="O468" i="29"/>
  <c r="O470" i="29"/>
  <c r="P475" i="29"/>
  <c r="P481" i="29"/>
  <c r="P483" i="29"/>
  <c r="O486" i="29"/>
  <c r="P486" i="29"/>
  <c r="P489" i="29"/>
  <c r="O492" i="29"/>
  <c r="P492" i="29" s="1"/>
  <c r="P495" i="29"/>
  <c r="P504" i="29"/>
  <c r="P510" i="29"/>
  <c r="P513" i="29"/>
  <c r="P516" i="29"/>
  <c r="P519" i="29"/>
  <c r="P522" i="29"/>
  <c r="P525" i="29"/>
  <c r="P533" i="29"/>
  <c r="P535" i="29"/>
  <c r="P538" i="29"/>
  <c r="P541" i="29"/>
  <c r="P547" i="29" s="1"/>
  <c r="P544" i="29"/>
  <c r="P568" i="29"/>
  <c r="P571" i="29"/>
  <c r="P574" i="29"/>
  <c r="P579" i="29"/>
  <c r="O585" i="29"/>
  <c r="P585" i="29"/>
  <c r="O592" i="29"/>
  <c r="P592" i="29"/>
  <c r="P594" i="29"/>
  <c r="P601" i="29"/>
  <c r="P605" i="29"/>
  <c r="P609" i="29"/>
  <c r="P614" i="29"/>
  <c r="O621" i="29"/>
  <c r="P621" i="29" s="1"/>
  <c r="P623" i="29"/>
  <c r="P626" i="29"/>
  <c r="P629" i="29"/>
  <c r="P632" i="29"/>
  <c r="P635" i="29"/>
  <c r="P638" i="29"/>
  <c r="P646" i="29"/>
  <c r="P650" i="29"/>
  <c r="P652" i="29"/>
  <c r="P655" i="29"/>
  <c r="P658" i="29"/>
  <c r="P1184" i="29"/>
  <c r="P1185" i="29"/>
  <c r="P1186" i="29"/>
  <c r="P1187" i="29"/>
  <c r="P1188" i="29"/>
  <c r="P1189" i="29"/>
  <c r="P1193" i="29"/>
  <c r="P1197" i="29"/>
  <c r="P1198" i="29"/>
  <c r="P1199" i="29"/>
  <c r="P1200" i="29"/>
  <c r="P1201" i="29"/>
  <c r="P1202" i="29"/>
  <c r="P1206" i="29"/>
  <c r="P1207" i="29"/>
  <c r="P1208" i="29"/>
  <c r="P1212" i="29"/>
  <c r="P1213" i="29"/>
  <c r="P1214" i="29"/>
  <c r="P1215" i="29"/>
  <c r="P1216" i="29"/>
  <c r="P1217" i="29"/>
  <c r="P1218" i="29"/>
  <c r="P1219" i="29"/>
  <c r="P1223" i="29"/>
  <c r="P1224" i="29"/>
  <c r="P1225" i="29"/>
  <c r="P1226" i="29"/>
  <c r="P1230" i="29"/>
  <c r="P1231" i="29"/>
  <c r="P1232" i="29"/>
  <c r="P1233" i="29"/>
  <c r="P1234" i="29"/>
  <c r="P1235" i="29"/>
  <c r="O1237" i="29"/>
  <c r="P1237" i="29"/>
  <c r="P1240" i="29"/>
  <c r="P1243" i="29"/>
  <c r="P1246" i="29"/>
  <c r="P1251" i="29"/>
  <c r="P1252" i="29"/>
  <c r="P1253" i="29"/>
  <c r="P1258" i="29"/>
  <c r="P1264" i="29"/>
  <c r="P1291" i="29" s="1"/>
  <c r="P1267" i="29"/>
  <c r="P1270" i="29"/>
  <c r="P1273" i="29"/>
  <c r="P1276" i="29"/>
  <c r="P1279" i="29"/>
  <c r="P1282" i="29"/>
  <c r="P1285" i="29"/>
  <c r="P1288" i="29"/>
  <c r="P1294" i="29"/>
  <c r="P1297" i="29"/>
  <c r="P1300" i="29"/>
  <c r="P1303" i="29"/>
  <c r="P1306" i="29"/>
  <c r="P1309" i="29"/>
  <c r="P1312" i="29"/>
  <c r="P1315" i="29"/>
  <c r="P1318" i="29"/>
  <c r="P1321" i="29"/>
  <c r="O1540" i="29"/>
  <c r="P1540" i="29" s="1"/>
  <c r="O1546" i="29"/>
  <c r="P1546" i="29" s="1"/>
  <c r="O1552" i="29"/>
  <c r="O1553" i="29"/>
  <c r="O1555" i="29"/>
  <c r="P1560" i="29"/>
  <c r="P1563" i="29"/>
  <c r="P1566" i="29"/>
  <c r="O1572" i="29"/>
  <c r="O1573" i="29"/>
  <c r="O1575" i="29"/>
  <c r="P1580" i="29"/>
  <c r="P1583" i="29"/>
  <c r="P1586" i="29"/>
  <c r="O1600" i="29"/>
  <c r="P1600" i="29" s="1"/>
  <c r="O1614" i="29"/>
  <c r="P1614" i="29"/>
  <c r="P1619" i="29"/>
  <c r="P1622" i="29"/>
  <c r="P1625" i="29"/>
  <c r="P1635" i="29"/>
  <c r="P1643" i="29" s="1"/>
  <c r="P1641" i="29"/>
  <c r="P1658" i="29"/>
  <c r="P1664" i="29"/>
  <c r="P1670" i="29"/>
  <c r="P1674" i="29"/>
  <c r="P1676" i="29"/>
  <c r="P1683" i="29"/>
  <c r="P1686" i="29"/>
  <c r="P1689" i="29"/>
  <c r="P1694" i="29"/>
  <c r="P1696" i="29"/>
  <c r="P1699" i="29"/>
  <c r="P1702" i="29"/>
  <c r="P1705" i="29"/>
  <c r="P1711" i="29"/>
  <c r="P1716" i="29"/>
  <c r="P1720" i="29"/>
  <c r="P1724" i="29"/>
  <c r="P1739" i="29"/>
  <c r="P1744" i="29"/>
  <c r="P1745" i="29"/>
  <c r="P1746" i="29"/>
  <c r="P1747" i="29"/>
  <c r="P1748" i="29"/>
  <c r="P1752" i="29"/>
  <c r="P1753" i="29"/>
  <c r="P1754" i="29"/>
  <c r="P1755" i="29"/>
  <c r="P1757" i="29"/>
  <c r="P1773" i="29"/>
  <c r="P1774" i="29"/>
  <c r="P1775" i="29"/>
  <c r="P1780" i="29"/>
  <c r="P1781" i="29"/>
  <c r="P1782" i="29"/>
  <c r="P1797" i="29"/>
  <c r="P1798" i="29"/>
  <c r="P1799" i="29"/>
  <c r="P1800" i="29"/>
  <c r="P1801" i="29"/>
  <c r="P1802" i="29"/>
  <c r="P1803" i="29"/>
  <c r="P1805" i="29"/>
  <c r="P1808" i="29"/>
  <c r="P1811" i="29"/>
  <c r="P1814" i="29"/>
  <c r="P1825" i="29"/>
  <c r="P1826" i="29"/>
  <c r="P1827" i="29"/>
  <c r="P1828" i="29"/>
  <c r="P1835" i="29"/>
  <c r="P1836" i="29"/>
  <c r="P1837" i="29"/>
  <c r="P1838" i="29"/>
  <c r="P1839" i="29"/>
  <c r="P1843" i="29"/>
  <c r="P1846" i="29"/>
  <c r="P1849" i="29"/>
  <c r="P1852" i="29"/>
  <c r="P1855" i="29"/>
  <c r="P1858" i="29"/>
  <c r="P1861" i="29"/>
  <c r="P1864" i="29"/>
  <c r="P1867" i="29"/>
  <c r="P1870" i="29"/>
  <c r="P1873" i="29"/>
  <c r="P1876" i="29"/>
  <c r="P1881" i="29"/>
  <c r="P1884" i="29"/>
  <c r="P1887" i="29"/>
  <c r="P1890" i="29"/>
  <c r="P1893" i="29"/>
  <c r="P1896" i="29"/>
  <c r="P1899" i="29"/>
  <c r="P1904" i="29"/>
  <c r="P1907" i="29"/>
  <c r="P1910" i="29"/>
  <c r="P1913" i="29"/>
  <c r="P1916" i="29"/>
  <c r="P1919" i="29"/>
  <c r="P1922" i="29"/>
  <c r="P1925" i="29"/>
  <c r="P1928" i="29"/>
  <c r="P1931" i="29"/>
  <c r="P1934" i="29"/>
  <c r="P1937" i="29"/>
  <c r="Q1273" i="29"/>
  <c r="R1273" i="29" s="1"/>
  <c r="M1276" i="29"/>
  <c r="R1312" i="29"/>
  <c r="R1315" i="29"/>
  <c r="P17" i="29"/>
  <c r="P18" i="29"/>
  <c r="P19" i="29"/>
  <c r="P20" i="29"/>
  <c r="P22" i="29"/>
  <c r="P23" i="29"/>
  <c r="P24" i="29"/>
  <c r="P25" i="29"/>
  <c r="P26" i="29"/>
  <c r="P28" i="29"/>
  <c r="P29" i="29"/>
  <c r="P30" i="29"/>
  <c r="P31" i="29"/>
  <c r="P33" i="29"/>
  <c r="P34" i="29"/>
  <c r="P36" i="29"/>
  <c r="P37" i="29"/>
  <c r="P38" i="29"/>
  <c r="P40" i="29"/>
  <c r="P41" i="29"/>
  <c r="P43" i="29"/>
  <c r="P44" i="29"/>
  <c r="P45" i="29"/>
  <c r="P46" i="29"/>
  <c r="P47" i="29"/>
  <c r="P49" i="29"/>
  <c r="P50" i="29"/>
  <c r="P52" i="29"/>
  <c r="P53" i="29"/>
  <c r="P55" i="29"/>
  <c r="P57" i="29"/>
  <c r="P58" i="29"/>
  <c r="P59" i="29"/>
  <c r="P60" i="29"/>
  <c r="P61" i="29"/>
  <c r="P64" i="29"/>
  <c r="P65" i="29"/>
  <c r="P66" i="29"/>
  <c r="P68" i="29"/>
  <c r="P69" i="29"/>
  <c r="P71" i="29"/>
  <c r="P73" i="29"/>
  <c r="P75" i="29"/>
  <c r="P77" i="29"/>
  <c r="P79" i="29"/>
  <c r="P81" i="29"/>
  <c r="P82" i="29"/>
  <c r="P84" i="29"/>
  <c r="P85" i="29"/>
  <c r="P86" i="29"/>
  <c r="P87" i="29"/>
  <c r="P88" i="29"/>
  <c r="P90" i="29"/>
  <c r="P91" i="29"/>
  <c r="P92" i="29"/>
  <c r="P93" i="29"/>
  <c r="P95" i="29"/>
  <c r="P96" i="29"/>
  <c r="P98" i="29"/>
  <c r="P100" i="29"/>
  <c r="P101" i="29"/>
  <c r="P102" i="29"/>
  <c r="P104" i="29"/>
  <c r="P110" i="29"/>
  <c r="L222" i="29"/>
  <c r="P222" i="29" s="1"/>
  <c r="L228" i="29"/>
  <c r="P228" i="29" s="1"/>
  <c r="L231" i="29"/>
  <c r="P231" i="29" s="1"/>
  <c r="L260" i="29"/>
  <c r="L268" i="29"/>
  <c r="L270" i="29"/>
  <c r="P270" i="29" s="1"/>
  <c r="L277" i="29"/>
  <c r="P277" i="29" s="1"/>
  <c r="L292" i="29"/>
  <c r="L1954" i="29"/>
  <c r="L1079" i="29"/>
  <c r="P1079" i="29" s="1"/>
  <c r="L1080" i="29"/>
  <c r="P1080" i="29" s="1"/>
  <c r="L1081" i="29"/>
  <c r="P1081" i="29" s="1"/>
  <c r="L1082" i="29"/>
  <c r="P1082" i="29" s="1"/>
  <c r="L1083" i="29"/>
  <c r="P1083" i="29" s="1"/>
  <c r="L1084" i="29"/>
  <c r="P1084" i="29" s="1"/>
  <c r="L1085" i="29"/>
  <c r="P1085" i="29" s="1"/>
  <c r="L1086" i="29"/>
  <c r="P1086" i="29" s="1"/>
  <c r="L1090" i="29"/>
  <c r="P1090" i="29" s="1"/>
  <c r="L1091" i="29"/>
  <c r="P1091" i="29" s="1"/>
  <c r="L1092" i="29"/>
  <c r="P1092" i="29" s="1"/>
  <c r="L1093" i="29"/>
  <c r="P1093" i="29" s="1"/>
  <c r="L1111" i="29"/>
  <c r="P1111" i="29" s="1"/>
  <c r="L1112" i="29"/>
  <c r="P1112" i="29" s="1"/>
  <c r="L1113" i="29"/>
  <c r="P1113" i="29" s="1"/>
  <c r="L1114" i="29"/>
  <c r="P1114" i="29" s="1"/>
  <c r="L1119" i="29"/>
  <c r="P1119" i="29" s="1"/>
  <c r="L1120" i="29"/>
  <c r="P1120" i="29" s="1"/>
  <c r="L1121" i="29"/>
  <c r="P1121" i="29" s="1"/>
  <c r="L1125" i="29"/>
  <c r="P1125" i="29" s="1"/>
  <c r="L1127" i="29"/>
  <c r="P1127" i="29" s="1"/>
  <c r="L1255" i="29"/>
  <c r="P1255" i="29" s="1"/>
  <c r="L1386" i="29"/>
  <c r="L1387" i="29"/>
  <c r="L1391" i="29"/>
  <c r="L1395" i="29"/>
  <c r="L1399" i="29"/>
  <c r="L1403" i="29"/>
  <c r="L1404" i="29"/>
  <c r="L1408" i="29"/>
  <c r="L1409" i="29"/>
  <c r="L1426" i="29"/>
  <c r="L1427" i="29"/>
  <c r="L1428" i="29"/>
  <c r="L1431" i="29"/>
  <c r="L1432" i="29"/>
  <c r="L1616" i="29"/>
  <c r="P1616" i="29" s="1"/>
  <c r="L1679" i="29"/>
  <c r="P1679" i="29" s="1"/>
  <c r="L1728" i="29"/>
  <c r="P1728" i="29" s="1"/>
  <c r="L1730" i="29"/>
  <c r="P1730" i="29" s="1"/>
  <c r="L1733" i="29"/>
  <c r="P1733" i="29" s="1"/>
  <c r="L1736" i="29"/>
  <c r="P1736" i="29" s="1"/>
  <c r="L1760" i="29"/>
  <c r="P1760" i="29" s="1"/>
  <c r="L1765" i="29"/>
  <c r="P1765" i="29" s="1"/>
  <c r="L1769" i="29"/>
  <c r="P1769" i="29" s="1"/>
  <c r="L1776" i="29"/>
  <c r="P1776" i="29" s="1"/>
  <c r="L1784" i="29"/>
  <c r="P1784" i="29" s="1"/>
  <c r="L1790" i="29"/>
  <c r="P1790" i="29" s="1"/>
  <c r="L1791" i="29"/>
  <c r="P1791" i="29" s="1"/>
  <c r="L1792" i="29"/>
  <c r="P1792" i="29" s="1"/>
  <c r="L1793" i="29"/>
  <c r="P1793" i="29" s="1"/>
  <c r="L1817" i="29"/>
  <c r="P1817" i="29" s="1"/>
  <c r="L1820" i="29"/>
  <c r="P1820" i="29" s="1"/>
  <c r="L1830" i="29"/>
  <c r="P1830" i="29" s="1"/>
  <c r="R17" i="29"/>
  <c r="R106" i="29" s="1"/>
  <c r="R18" i="29"/>
  <c r="R19" i="29"/>
  <c r="R20" i="29"/>
  <c r="R22" i="29"/>
  <c r="R23" i="29"/>
  <c r="R24" i="29"/>
  <c r="R25" i="29"/>
  <c r="R26" i="29"/>
  <c r="R28" i="29"/>
  <c r="R29" i="29"/>
  <c r="R30" i="29"/>
  <c r="R31" i="29"/>
  <c r="R33" i="29"/>
  <c r="R34" i="29"/>
  <c r="R36" i="29"/>
  <c r="R37" i="29"/>
  <c r="R38" i="29"/>
  <c r="R40" i="29"/>
  <c r="R41" i="29"/>
  <c r="R43" i="29"/>
  <c r="R44" i="29"/>
  <c r="R45" i="29"/>
  <c r="R46" i="29"/>
  <c r="R47" i="29"/>
  <c r="R49" i="29"/>
  <c r="R50" i="29"/>
  <c r="R52" i="29"/>
  <c r="R53" i="29"/>
  <c r="R55" i="29"/>
  <c r="R57" i="29"/>
  <c r="R58" i="29"/>
  <c r="R59" i="29"/>
  <c r="R60" i="29"/>
  <c r="R61" i="29"/>
  <c r="R64" i="29"/>
  <c r="R65" i="29"/>
  <c r="R66" i="29"/>
  <c r="R68" i="29"/>
  <c r="R69" i="29"/>
  <c r="R71" i="29"/>
  <c r="R73" i="29"/>
  <c r="R75" i="29"/>
  <c r="R77" i="29"/>
  <c r="R79" i="29"/>
  <c r="R81" i="29"/>
  <c r="R82" i="29"/>
  <c r="R84" i="29"/>
  <c r="R85" i="29"/>
  <c r="R86" i="29"/>
  <c r="R87" i="29"/>
  <c r="R88" i="29"/>
  <c r="R90" i="29"/>
  <c r="R91" i="29"/>
  <c r="R92" i="29"/>
  <c r="R93" i="29"/>
  <c r="R95" i="29"/>
  <c r="R96" i="29"/>
  <c r="R98" i="29"/>
  <c r="R100" i="29"/>
  <c r="R101" i="29"/>
  <c r="R102" i="29"/>
  <c r="R104" i="29"/>
  <c r="R110" i="29"/>
  <c r="R114" i="29"/>
  <c r="R117" i="29"/>
  <c r="R120" i="29"/>
  <c r="R123" i="29"/>
  <c r="R126" i="29"/>
  <c r="R129" i="29"/>
  <c r="R134" i="29"/>
  <c r="Q142" i="29"/>
  <c r="R142" i="29"/>
  <c r="R144" i="29"/>
  <c r="R147" i="29"/>
  <c r="R150" i="29"/>
  <c r="R153" i="29"/>
  <c r="R156" i="29"/>
  <c r="R159" i="29"/>
  <c r="R162" i="29"/>
  <c r="R165" i="29"/>
  <c r="R168" i="29"/>
  <c r="R171" i="29"/>
  <c r="R174" i="29"/>
  <c r="R177" i="29"/>
  <c r="Q180" i="29"/>
  <c r="R180" i="29" s="1"/>
  <c r="R183" i="29"/>
  <c r="R186" i="29"/>
  <c r="R189" i="29"/>
  <c r="R199" i="29"/>
  <c r="Q209" i="29"/>
  <c r="R209" i="29"/>
  <c r="Q220" i="29"/>
  <c r="R220" i="29" s="1"/>
  <c r="R225" i="29"/>
  <c r="R228" i="29"/>
  <c r="R231" i="29"/>
  <c r="Q237" i="29"/>
  <c r="Q238" i="29"/>
  <c r="Q287" i="29" s="1"/>
  <c r="Q240" i="29"/>
  <c r="Q289" i="29" s="1"/>
  <c r="Q256" i="29"/>
  <c r="R256" i="29" s="1"/>
  <c r="R270" i="29"/>
  <c r="R277" i="29"/>
  <c r="Q384" i="29"/>
  <c r="Q385" i="29"/>
  <c r="Q386" i="29"/>
  <c r="Q388" i="29"/>
  <c r="Q398" i="29"/>
  <c r="Q399" i="29"/>
  <c r="Q380" i="29"/>
  <c r="R380" i="29" s="1"/>
  <c r="Q285" i="29"/>
  <c r="Q286" i="29"/>
  <c r="R294" i="29"/>
  <c r="R297" i="29"/>
  <c r="Q311" i="29"/>
  <c r="R311" i="29" s="1"/>
  <c r="Q324" i="29"/>
  <c r="R324" i="29"/>
  <c r="R326" i="29"/>
  <c r="R329" i="29"/>
  <c r="R332" i="29"/>
  <c r="R335" i="29"/>
  <c r="Q338" i="29"/>
  <c r="R338" i="29" s="1"/>
  <c r="R341" i="29"/>
  <c r="R344" i="29"/>
  <c r="R347" i="29"/>
  <c r="R350" i="29"/>
  <c r="R353" i="29"/>
  <c r="R356" i="29"/>
  <c r="R359" i="29"/>
  <c r="R362" i="29"/>
  <c r="R365" i="29"/>
  <c r="R368" i="29"/>
  <c r="R404" i="29"/>
  <c r="Q410" i="29"/>
  <c r="Q411" i="29"/>
  <c r="Q413" i="29"/>
  <c r="Q427" i="29"/>
  <c r="R427" i="29" s="1"/>
  <c r="Q432" i="29"/>
  <c r="Q433" i="29"/>
  <c r="Q435" i="29"/>
  <c r="Q444" i="29"/>
  <c r="R444" i="29" s="1"/>
  <c r="R448" i="29"/>
  <c r="R450" i="29"/>
  <c r="Q456" i="29"/>
  <c r="Q462" i="29" s="1"/>
  <c r="R462" i="29" s="1"/>
  <c r="Q457" i="29"/>
  <c r="Q459" i="29"/>
  <c r="Q467" i="29"/>
  <c r="Q468" i="29"/>
  <c r="Q470" i="29"/>
  <c r="R475" i="29"/>
  <c r="R481" i="29"/>
  <c r="R483" i="29"/>
  <c r="Q486" i="29"/>
  <c r="R486" i="29" s="1"/>
  <c r="R489" i="29"/>
  <c r="Q492" i="29"/>
  <c r="R492" i="29" s="1"/>
  <c r="R495" i="29"/>
  <c r="R504" i="29"/>
  <c r="R510" i="29"/>
  <c r="R513" i="29"/>
  <c r="R516" i="29"/>
  <c r="R519" i="29"/>
  <c r="R522" i="29"/>
  <c r="R525" i="29"/>
  <c r="R533" i="29"/>
  <c r="R535" i="29"/>
  <c r="R538" i="29"/>
  <c r="R541" i="29"/>
  <c r="R544" i="29"/>
  <c r="R568" i="29"/>
  <c r="R571" i="29"/>
  <c r="R574" i="29"/>
  <c r="R579" i="29"/>
  <c r="Q585" i="29"/>
  <c r="R585" i="29" s="1"/>
  <c r="Q592" i="29"/>
  <c r="R592" i="29" s="1"/>
  <c r="R594" i="29"/>
  <c r="R601" i="29"/>
  <c r="R605" i="29"/>
  <c r="R609" i="29"/>
  <c r="R614" i="29"/>
  <c r="Q621" i="29"/>
  <c r="R621" i="29" s="1"/>
  <c r="R623" i="29"/>
  <c r="R626" i="29"/>
  <c r="R629" i="29"/>
  <c r="R632" i="29"/>
  <c r="R635" i="29"/>
  <c r="R638" i="29"/>
  <c r="R646" i="29"/>
  <c r="R650" i="29"/>
  <c r="R652" i="29"/>
  <c r="R655" i="29"/>
  <c r="R1079" i="29"/>
  <c r="R1080" i="29"/>
  <c r="R1081" i="29"/>
  <c r="R1082" i="29"/>
  <c r="R1083" i="29"/>
  <c r="R1084" i="29"/>
  <c r="R1085" i="29"/>
  <c r="R1086" i="29"/>
  <c r="R1090" i="29"/>
  <c r="R1091" i="29"/>
  <c r="R1092" i="29"/>
  <c r="R1093" i="29"/>
  <c r="R1111" i="29"/>
  <c r="R1112" i="29"/>
  <c r="R1113" i="29"/>
  <c r="R1114" i="29"/>
  <c r="R1119" i="29"/>
  <c r="R1120" i="29"/>
  <c r="R1121" i="29"/>
  <c r="R1125" i="29"/>
  <c r="R1127" i="29"/>
  <c r="R1184" i="29"/>
  <c r="R1185" i="29"/>
  <c r="R1186" i="29"/>
  <c r="R1187" i="29"/>
  <c r="R1188" i="29"/>
  <c r="R1189" i="29"/>
  <c r="R1193" i="29"/>
  <c r="R1197" i="29"/>
  <c r="R1198" i="29"/>
  <c r="R1199" i="29"/>
  <c r="R1200" i="29"/>
  <c r="R1201" i="29"/>
  <c r="R1202" i="29"/>
  <c r="R1206" i="29"/>
  <c r="R1207" i="29"/>
  <c r="R1208" i="29"/>
  <c r="R1212" i="29"/>
  <c r="R1213" i="29"/>
  <c r="Q1214" i="29"/>
  <c r="R1214" i="29" s="1"/>
  <c r="R1215" i="29"/>
  <c r="R1216" i="29"/>
  <c r="R1217" i="29"/>
  <c r="R1218" i="29"/>
  <c r="Q1219" i="29"/>
  <c r="R1219" i="29" s="1"/>
  <c r="R1223" i="29"/>
  <c r="R1224" i="29"/>
  <c r="R1225" i="29"/>
  <c r="R1226" i="29"/>
  <c r="R1230" i="29"/>
  <c r="R1231" i="29"/>
  <c r="R1232" i="29"/>
  <c r="R1233" i="29"/>
  <c r="R1234" i="29"/>
  <c r="R1235" i="29"/>
  <c r="R1240" i="29"/>
  <c r="R1243" i="29"/>
  <c r="R1246" i="29"/>
  <c r="Q1251" i="29"/>
  <c r="R1251" i="29"/>
  <c r="Q1252" i="29"/>
  <c r="R1252" i="29"/>
  <c r="R1253" i="29"/>
  <c r="R1255" i="29"/>
  <c r="R1258" i="29"/>
  <c r="R1264" i="29"/>
  <c r="R1267" i="29"/>
  <c r="R1270" i="29"/>
  <c r="R1276" i="29"/>
  <c r="R1279" i="29"/>
  <c r="R1282" i="29"/>
  <c r="R1285" i="29"/>
  <c r="R1288" i="29"/>
  <c r="R1294" i="29"/>
  <c r="R1297" i="29"/>
  <c r="R1300" i="29"/>
  <c r="R1303" i="29"/>
  <c r="R1306" i="29"/>
  <c r="R1309" i="29"/>
  <c r="R1318" i="29"/>
  <c r="R1321" i="29"/>
  <c r="Q1540" i="29"/>
  <c r="R1540" i="29" s="1"/>
  <c r="Q1546" i="29"/>
  <c r="R1546" i="29" s="1"/>
  <c r="Q1552" i="29"/>
  <c r="Q1558" i="29" s="1"/>
  <c r="R1558" i="29" s="1"/>
  <c r="Q1553" i="29"/>
  <c r="Q1555" i="29"/>
  <c r="R1560" i="29"/>
  <c r="R1563" i="29"/>
  <c r="R1566" i="29"/>
  <c r="Q1572" i="29"/>
  <c r="Q1573" i="29"/>
  <c r="Q1575" i="29"/>
  <c r="R1580" i="29"/>
  <c r="R1583" i="29"/>
  <c r="R1586" i="29"/>
  <c r="Q1600" i="29"/>
  <c r="R1600" i="29" s="1"/>
  <c r="Q1614" i="29"/>
  <c r="R1614" i="29"/>
  <c r="R1616" i="29"/>
  <c r="R1619" i="29"/>
  <c r="R1622" i="29"/>
  <c r="R1625" i="29"/>
  <c r="R1635" i="29"/>
  <c r="R1643" i="29" s="1"/>
  <c r="R1641" i="29"/>
  <c r="R1658" i="29"/>
  <c r="R1664" i="29"/>
  <c r="R1670" i="29"/>
  <c r="R1674" i="29"/>
  <c r="R1676" i="29"/>
  <c r="R1679" i="29"/>
  <c r="R1683" i="29"/>
  <c r="R1686" i="29"/>
  <c r="R1689" i="29"/>
  <c r="R1694" i="29"/>
  <c r="R1696" i="29"/>
  <c r="R1699" i="29"/>
  <c r="R1702" i="29"/>
  <c r="R1705" i="29"/>
  <c r="R1711" i="29"/>
  <c r="R1716" i="29"/>
  <c r="R1720" i="29"/>
  <c r="R1724" i="29"/>
  <c r="R1728" i="29"/>
  <c r="R1730" i="29"/>
  <c r="R1733" i="29"/>
  <c r="R1736" i="29"/>
  <c r="R1739" i="29"/>
  <c r="R1744" i="29"/>
  <c r="R1745" i="29"/>
  <c r="R1746" i="29"/>
  <c r="R1747" i="29"/>
  <c r="R1748" i="29"/>
  <c r="R1752" i="29"/>
  <c r="R1753" i="29"/>
  <c r="R1754" i="29"/>
  <c r="R1755" i="29"/>
  <c r="R1757" i="29"/>
  <c r="R1760" i="29"/>
  <c r="R1765" i="29"/>
  <c r="R1769" i="29"/>
  <c r="R1773" i="29"/>
  <c r="R1774" i="29"/>
  <c r="R1775" i="29"/>
  <c r="R1776" i="29"/>
  <c r="R1780" i="29"/>
  <c r="R1781" i="29"/>
  <c r="R1782" i="29"/>
  <c r="R1784" i="29"/>
  <c r="R1790" i="29"/>
  <c r="R1791" i="29"/>
  <c r="R1792" i="29"/>
  <c r="R1793" i="29"/>
  <c r="R1797" i="29"/>
  <c r="R1798" i="29"/>
  <c r="R1799" i="29"/>
  <c r="R1800" i="29"/>
  <c r="R1801" i="29"/>
  <c r="R1802" i="29"/>
  <c r="R1803" i="29"/>
  <c r="R1805" i="29"/>
  <c r="R1808" i="29"/>
  <c r="R1811" i="29"/>
  <c r="R1814" i="29"/>
  <c r="R1817" i="29"/>
  <c r="R1820" i="29"/>
  <c r="R1825" i="29"/>
  <c r="R1826" i="29"/>
  <c r="R1827" i="29"/>
  <c r="R1828" i="29"/>
  <c r="R1830" i="29"/>
  <c r="R1835" i="29"/>
  <c r="R1836" i="29"/>
  <c r="R1837" i="29"/>
  <c r="R1838" i="29"/>
  <c r="R1839" i="29"/>
  <c r="R1843" i="29"/>
  <c r="R1846" i="29"/>
  <c r="R1849" i="29"/>
  <c r="R1852" i="29"/>
  <c r="R1855" i="29"/>
  <c r="R1858" i="29"/>
  <c r="R1861" i="29"/>
  <c r="R1864" i="29"/>
  <c r="R1867" i="29"/>
  <c r="R1870" i="29"/>
  <c r="R1873" i="29"/>
  <c r="R1876" i="29"/>
  <c r="R1881" i="29"/>
  <c r="R1884" i="29"/>
  <c r="R1887" i="29"/>
  <c r="R1890" i="29"/>
  <c r="R1893" i="29"/>
  <c r="R1896" i="29"/>
  <c r="R1899" i="29"/>
  <c r="R1904" i="29"/>
  <c r="R1907" i="29"/>
  <c r="R1910" i="29"/>
  <c r="R1913" i="29"/>
  <c r="R1916" i="29"/>
  <c r="R1919" i="29"/>
  <c r="R1922" i="29"/>
  <c r="R1925" i="29"/>
  <c r="R1928" i="29"/>
  <c r="R1931" i="29"/>
  <c r="R1934" i="29"/>
  <c r="R1937" i="29"/>
  <c r="R1939" i="29"/>
  <c r="T17" i="29"/>
  <c r="T18" i="29"/>
  <c r="T19" i="29"/>
  <c r="T20" i="29"/>
  <c r="T22" i="29"/>
  <c r="T23" i="29"/>
  <c r="T24" i="29"/>
  <c r="T25" i="29"/>
  <c r="T26" i="29"/>
  <c r="T28" i="29"/>
  <c r="T29" i="29"/>
  <c r="T30" i="29"/>
  <c r="T31" i="29"/>
  <c r="T33" i="29"/>
  <c r="T34" i="29"/>
  <c r="T36" i="29"/>
  <c r="T37" i="29"/>
  <c r="T38" i="29"/>
  <c r="T40" i="29"/>
  <c r="T41" i="29"/>
  <c r="T43" i="29"/>
  <c r="T44" i="29"/>
  <c r="T45" i="29"/>
  <c r="T46" i="29"/>
  <c r="T47" i="29"/>
  <c r="T49" i="29"/>
  <c r="T50" i="29"/>
  <c r="T52" i="29"/>
  <c r="T53" i="29"/>
  <c r="T55" i="29"/>
  <c r="T57" i="29"/>
  <c r="T58" i="29"/>
  <c r="T59" i="29"/>
  <c r="T60" i="29"/>
  <c r="T61" i="29"/>
  <c r="T64" i="29"/>
  <c r="T65" i="29"/>
  <c r="T66" i="29"/>
  <c r="T68" i="29"/>
  <c r="T69" i="29"/>
  <c r="T71" i="29"/>
  <c r="T73" i="29"/>
  <c r="T75" i="29"/>
  <c r="T77" i="29"/>
  <c r="T79" i="29"/>
  <c r="T81" i="29"/>
  <c r="T82" i="29"/>
  <c r="T84" i="29"/>
  <c r="T85" i="29"/>
  <c r="T86" i="29"/>
  <c r="T87" i="29"/>
  <c r="T88" i="29"/>
  <c r="T90" i="29"/>
  <c r="T91" i="29"/>
  <c r="T92" i="29"/>
  <c r="T93" i="29"/>
  <c r="T95" i="29"/>
  <c r="T96" i="29"/>
  <c r="T98" i="29"/>
  <c r="T100" i="29"/>
  <c r="T101" i="29"/>
  <c r="T102" i="29"/>
  <c r="T104" i="29"/>
  <c r="T106" i="29"/>
  <c r="T110" i="29"/>
  <c r="T114" i="29"/>
  <c r="T117" i="29"/>
  <c r="T120" i="29"/>
  <c r="T123" i="29"/>
  <c r="T126" i="29"/>
  <c r="T129" i="29"/>
  <c r="T134" i="29"/>
  <c r="T142" i="29"/>
  <c r="T144" i="29"/>
  <c r="T147" i="29"/>
  <c r="T150" i="29"/>
  <c r="T153" i="29"/>
  <c r="T156" i="29"/>
  <c r="T159" i="29"/>
  <c r="T162" i="29"/>
  <c r="T165" i="29"/>
  <c r="T168" i="29"/>
  <c r="T171" i="29"/>
  <c r="T174" i="29"/>
  <c r="T177" i="29"/>
  <c r="S180" i="29"/>
  <c r="T180" i="29" s="1"/>
  <c r="T183" i="29"/>
  <c r="T186" i="29"/>
  <c r="T189" i="29"/>
  <c r="T199" i="29"/>
  <c r="S209" i="29"/>
  <c r="T209" i="29" s="1"/>
  <c r="T211" i="29"/>
  <c r="S220" i="29"/>
  <c r="T220" i="29"/>
  <c r="T222" i="29"/>
  <c r="T225" i="29"/>
  <c r="T228" i="29"/>
  <c r="T231" i="29"/>
  <c r="S241" i="29"/>
  <c r="S245" i="29"/>
  <c r="T245" i="29" s="1"/>
  <c r="S256" i="29"/>
  <c r="T256" i="29" s="1"/>
  <c r="T270" i="29"/>
  <c r="T277" i="29"/>
  <c r="S393" i="29"/>
  <c r="S380" i="29"/>
  <c r="T380" i="29" s="1"/>
  <c r="S280" i="29"/>
  <c r="T280" i="29" s="1"/>
  <c r="S292" i="29"/>
  <c r="T292" i="29" s="1"/>
  <c r="T294" i="29"/>
  <c r="T297" i="29"/>
  <c r="S311" i="29"/>
  <c r="T311" i="29" s="1"/>
  <c r="S324" i="29"/>
  <c r="T324" i="29" s="1"/>
  <c r="T326" i="29"/>
  <c r="T329" i="29"/>
  <c r="T332" i="29"/>
  <c r="T335" i="29"/>
  <c r="T338" i="29"/>
  <c r="T341" i="29"/>
  <c r="T344" i="29"/>
  <c r="T347" i="29"/>
  <c r="T350" i="29"/>
  <c r="T353" i="29"/>
  <c r="T356" i="29"/>
  <c r="T359" i="29"/>
  <c r="T362" i="29"/>
  <c r="T365" i="29"/>
  <c r="T368" i="29"/>
  <c r="T393" i="29"/>
  <c r="S402" i="29"/>
  <c r="T402" i="29"/>
  <c r="T404" i="29"/>
  <c r="S416" i="29"/>
  <c r="T416" i="29" s="1"/>
  <c r="S427" i="29"/>
  <c r="T427" i="29" s="1"/>
  <c r="S438" i="29"/>
  <c r="T438" i="29" s="1"/>
  <c r="S444" i="29"/>
  <c r="T444" i="29" s="1"/>
  <c r="T448" i="29"/>
  <c r="T450" i="29"/>
  <c r="S462" i="29"/>
  <c r="T462" i="29" s="1"/>
  <c r="S473" i="29"/>
  <c r="T473" i="29" s="1"/>
  <c r="S475" i="29"/>
  <c r="T475" i="29" s="1"/>
  <c r="S481" i="29"/>
  <c r="T481" i="29" s="1"/>
  <c r="T483" i="29"/>
  <c r="S486" i="29"/>
  <c r="T486" i="29"/>
  <c r="T489" i="29"/>
  <c r="S492" i="29"/>
  <c r="T492" i="29" s="1"/>
  <c r="T495" i="29"/>
  <c r="S501" i="29"/>
  <c r="T501" i="29" s="1"/>
  <c r="T504" i="29"/>
  <c r="T510" i="29"/>
  <c r="T513" i="29"/>
  <c r="T516" i="29"/>
  <c r="T519" i="29"/>
  <c r="T522" i="29"/>
  <c r="T525" i="29"/>
  <c r="T533" i="29"/>
  <c r="T535" i="29"/>
  <c r="T538" i="29"/>
  <c r="T547" i="29" s="1"/>
  <c r="T541" i="29"/>
  <c r="T544" i="29"/>
  <c r="S568" i="29"/>
  <c r="T568" i="29"/>
  <c r="T571" i="29"/>
  <c r="T574" i="29"/>
  <c r="S579" i="29"/>
  <c r="T579" i="29"/>
  <c r="S585" i="29"/>
  <c r="T585" i="29"/>
  <c r="S592" i="29"/>
  <c r="T592" i="29"/>
  <c r="T594" i="29"/>
  <c r="T601" i="29"/>
  <c r="S605" i="29"/>
  <c r="T605" i="29"/>
  <c r="T609" i="29"/>
  <c r="T614" i="29"/>
  <c r="S621" i="29"/>
  <c r="T621" i="29" s="1"/>
  <c r="T623" i="29"/>
  <c r="T626" i="29"/>
  <c r="T629" i="29"/>
  <c r="T632" i="29"/>
  <c r="T635" i="29"/>
  <c r="T638" i="29"/>
  <c r="T646" i="29"/>
  <c r="T650" i="29"/>
  <c r="T652" i="29"/>
  <c r="T655" i="29"/>
  <c r="T1079" i="29"/>
  <c r="T1080" i="29"/>
  <c r="T1081" i="29"/>
  <c r="T1082" i="29"/>
  <c r="T1083" i="29"/>
  <c r="T1084" i="29"/>
  <c r="T1085" i="29"/>
  <c r="T1086" i="29"/>
  <c r="T1090" i="29"/>
  <c r="T1091" i="29"/>
  <c r="T1092" i="29"/>
  <c r="T1093" i="29"/>
  <c r="T1111" i="29"/>
  <c r="T1112" i="29"/>
  <c r="T1113" i="29"/>
  <c r="T1114" i="29"/>
  <c r="T1119" i="29"/>
  <c r="T1120" i="29"/>
  <c r="T1121" i="29"/>
  <c r="T1125" i="29"/>
  <c r="T1127" i="29"/>
  <c r="T1184" i="29"/>
  <c r="T1185" i="29"/>
  <c r="T1186" i="29"/>
  <c r="T1187" i="29"/>
  <c r="T1188" i="29"/>
  <c r="T1189" i="29"/>
  <c r="T1193" i="29"/>
  <c r="T1197" i="29"/>
  <c r="T1198" i="29"/>
  <c r="T1199" i="29"/>
  <c r="T1200" i="29"/>
  <c r="T1201" i="29"/>
  <c r="T1202" i="29"/>
  <c r="T1206" i="29"/>
  <c r="T1207" i="29"/>
  <c r="T1208" i="29"/>
  <c r="T1212" i="29"/>
  <c r="T1213" i="29"/>
  <c r="T1214" i="29"/>
  <c r="T1215" i="29"/>
  <c r="T1216" i="29"/>
  <c r="T1217" i="29"/>
  <c r="T1218" i="29"/>
  <c r="T1219" i="29"/>
  <c r="T1223" i="29"/>
  <c r="T1224" i="29"/>
  <c r="T1225" i="29"/>
  <c r="T1226" i="29"/>
  <c r="T1230" i="29"/>
  <c r="T1231" i="29"/>
  <c r="T1232" i="29"/>
  <c r="T1233" i="29"/>
  <c r="T1234" i="29"/>
  <c r="T1235" i="29"/>
  <c r="T1237" i="29"/>
  <c r="T1240" i="29"/>
  <c r="T1243" i="29"/>
  <c r="T1246" i="29"/>
  <c r="T1251" i="29"/>
  <c r="T1252" i="29"/>
  <c r="T1253" i="29"/>
  <c r="T1255" i="29"/>
  <c r="T1258" i="29"/>
  <c r="T1264" i="29"/>
  <c r="T1267" i="29"/>
  <c r="T1270" i="29"/>
  <c r="T1273" i="29"/>
  <c r="T1276" i="29"/>
  <c r="T1279" i="29"/>
  <c r="T1282" i="29"/>
  <c r="T1285" i="29"/>
  <c r="T1288" i="29"/>
  <c r="T1294" i="29"/>
  <c r="T1297" i="29"/>
  <c r="T1300" i="29"/>
  <c r="T1303" i="29"/>
  <c r="T1306" i="29"/>
  <c r="T1309" i="29"/>
  <c r="T1312" i="29"/>
  <c r="T1315" i="29"/>
  <c r="T1318" i="29"/>
  <c r="T1321" i="29"/>
  <c r="T1324" i="29"/>
  <c r="S1540" i="29"/>
  <c r="T1540" i="29"/>
  <c r="S1543" i="29"/>
  <c r="T1543" i="29"/>
  <c r="S1546" i="29"/>
  <c r="T1546" i="29"/>
  <c r="S1558" i="29"/>
  <c r="T1558" i="29"/>
  <c r="T1560" i="29"/>
  <c r="T1563" i="29"/>
  <c r="T1566" i="29"/>
  <c r="S1578" i="29"/>
  <c r="T1578" i="29" s="1"/>
  <c r="T1583" i="29"/>
  <c r="T1586" i="29"/>
  <c r="S1589" i="29"/>
  <c r="T1589" i="29" s="1"/>
  <c r="S1600" i="29"/>
  <c r="T1600" i="29" s="1"/>
  <c r="S1614" i="29"/>
  <c r="T1614" i="29"/>
  <c r="T1616" i="29"/>
  <c r="T1619" i="29"/>
  <c r="T1622" i="29"/>
  <c r="T1625" i="29"/>
  <c r="S1635" i="29"/>
  <c r="T1635" i="29" s="1"/>
  <c r="T1641" i="29"/>
  <c r="T1658" i="29"/>
  <c r="T1664" i="29"/>
  <c r="T1670" i="29"/>
  <c r="T1674" i="29"/>
  <c r="T1708" i="29" s="1"/>
  <c r="T1676" i="29"/>
  <c r="T1679" i="29"/>
  <c r="T1683" i="29"/>
  <c r="T1686" i="29"/>
  <c r="T1689" i="29"/>
  <c r="T1694" i="29"/>
  <c r="T1696" i="29"/>
  <c r="T1699" i="29"/>
  <c r="T1702" i="29"/>
  <c r="T1705" i="29"/>
  <c r="T1711" i="29"/>
  <c r="T1716" i="29"/>
  <c r="T1720" i="29"/>
  <c r="T1724" i="29"/>
  <c r="T1728" i="29"/>
  <c r="T1730" i="29"/>
  <c r="T1733" i="29"/>
  <c r="T1736" i="29"/>
  <c r="T1739" i="29"/>
  <c r="T1744" i="29"/>
  <c r="T1745" i="29"/>
  <c r="T1746" i="29"/>
  <c r="T1747" i="29"/>
  <c r="T1748" i="29"/>
  <c r="T1752" i="29"/>
  <c r="T1753" i="29"/>
  <c r="T1754" i="29"/>
  <c r="T1755" i="29"/>
  <c r="T1757" i="29"/>
  <c r="T1760" i="29"/>
  <c r="T1765" i="29"/>
  <c r="T1769" i="29"/>
  <c r="T1773" i="29"/>
  <c r="T1774" i="29"/>
  <c r="T1775" i="29"/>
  <c r="T1776" i="29"/>
  <c r="T1780" i="29"/>
  <c r="T1781" i="29"/>
  <c r="T1782" i="29"/>
  <c r="T1784" i="29"/>
  <c r="T1790" i="29"/>
  <c r="T1791" i="29"/>
  <c r="T1792" i="29"/>
  <c r="T1793" i="29"/>
  <c r="T1797" i="29"/>
  <c r="T1798" i="29"/>
  <c r="T1799" i="29"/>
  <c r="T1800" i="29"/>
  <c r="T1801" i="29"/>
  <c r="T1802" i="29"/>
  <c r="T1803" i="29"/>
  <c r="T1805" i="29"/>
  <c r="T1808" i="29"/>
  <c r="T1811" i="29"/>
  <c r="T1814" i="29"/>
  <c r="T1817" i="29"/>
  <c r="T1820" i="29"/>
  <c r="T1825" i="29"/>
  <c r="T1826" i="29"/>
  <c r="T1827" i="29"/>
  <c r="T1828" i="29"/>
  <c r="T1830" i="29"/>
  <c r="T1835" i="29"/>
  <c r="T1836" i="29"/>
  <c r="T1837" i="29"/>
  <c r="T1838" i="29"/>
  <c r="T1839" i="29"/>
  <c r="T1843" i="29"/>
  <c r="T1846" i="29"/>
  <c r="T1849" i="29"/>
  <c r="T1852" i="29"/>
  <c r="T1855" i="29"/>
  <c r="T1858" i="29"/>
  <c r="T1861" i="29"/>
  <c r="T1864" i="29"/>
  <c r="T1867" i="29"/>
  <c r="T1870" i="29"/>
  <c r="T1873" i="29"/>
  <c r="T1876" i="29"/>
  <c r="T1881" i="29"/>
  <c r="T1884" i="29"/>
  <c r="T1887" i="29"/>
  <c r="T1890" i="29"/>
  <c r="T1893" i="29"/>
  <c r="T1896" i="29"/>
  <c r="T1899" i="29"/>
  <c r="T1904" i="29"/>
  <c r="T1907" i="29"/>
  <c r="T1910" i="29"/>
  <c r="T1913" i="29"/>
  <c r="T1916" i="29"/>
  <c r="T1919" i="29"/>
  <c r="T1922" i="29"/>
  <c r="T1925" i="29"/>
  <c r="T1928" i="29"/>
  <c r="T1931" i="29"/>
  <c r="T1934" i="29"/>
  <c r="T1937" i="29"/>
  <c r="V17" i="29"/>
  <c r="V18" i="29"/>
  <c r="V19" i="29"/>
  <c r="V20" i="29"/>
  <c r="V22" i="29"/>
  <c r="V23" i="29"/>
  <c r="V24" i="29"/>
  <c r="V25" i="29"/>
  <c r="V26" i="29"/>
  <c r="V28" i="29"/>
  <c r="V29" i="29"/>
  <c r="V30" i="29"/>
  <c r="V31" i="29"/>
  <c r="V33" i="29"/>
  <c r="V34" i="29"/>
  <c r="V36" i="29"/>
  <c r="V37" i="29"/>
  <c r="V38" i="29"/>
  <c r="V40" i="29"/>
  <c r="V41" i="29"/>
  <c r="V43" i="29"/>
  <c r="V44" i="29"/>
  <c r="V45" i="29"/>
  <c r="V46" i="29"/>
  <c r="V47" i="29"/>
  <c r="V49" i="29"/>
  <c r="V50" i="29"/>
  <c r="V52" i="29"/>
  <c r="V53" i="29"/>
  <c r="V55" i="29"/>
  <c r="V57" i="29"/>
  <c r="V58" i="29"/>
  <c r="V59" i="29"/>
  <c r="V60" i="29"/>
  <c r="V61" i="29"/>
  <c r="V64" i="29"/>
  <c r="V65" i="29"/>
  <c r="V66" i="29"/>
  <c r="V68" i="29"/>
  <c r="V69" i="29"/>
  <c r="V71" i="29"/>
  <c r="V73" i="29"/>
  <c r="V75" i="29"/>
  <c r="V77" i="29"/>
  <c r="V79" i="29"/>
  <c r="V81" i="29"/>
  <c r="V82" i="29"/>
  <c r="V84" i="29"/>
  <c r="V85" i="29"/>
  <c r="V86" i="29"/>
  <c r="V87" i="29"/>
  <c r="V88" i="29"/>
  <c r="V90" i="29"/>
  <c r="V91" i="29"/>
  <c r="V92" i="29"/>
  <c r="V93" i="29"/>
  <c r="V95" i="29"/>
  <c r="V96" i="29"/>
  <c r="V98" i="29"/>
  <c r="V100" i="29"/>
  <c r="V101" i="29"/>
  <c r="V102" i="29"/>
  <c r="V104" i="29"/>
  <c r="V110" i="29"/>
  <c r="V114" i="29"/>
  <c r="V117" i="29"/>
  <c r="V120" i="29"/>
  <c r="V123" i="29"/>
  <c r="V126" i="29"/>
  <c r="V129" i="29"/>
  <c r="V134" i="29"/>
  <c r="V142" i="29"/>
  <c r="U144" i="29"/>
  <c r="V144" i="29" s="1"/>
  <c r="U147" i="29"/>
  <c r="V147" i="29"/>
  <c r="V150" i="29"/>
  <c r="V153" i="29"/>
  <c r="V156" i="29"/>
  <c r="V159" i="29"/>
  <c r="V162" i="29"/>
  <c r="V165" i="29"/>
  <c r="V168" i="29"/>
  <c r="U171" i="29"/>
  <c r="V171" i="29" s="1"/>
  <c r="V174" i="29"/>
  <c r="V177" i="29"/>
  <c r="U180" i="29"/>
  <c r="V180" i="29" s="1"/>
  <c r="V183" i="29"/>
  <c r="V186" i="29"/>
  <c r="V189" i="29"/>
  <c r="V199" i="29"/>
  <c r="U203" i="29"/>
  <c r="U204" i="29"/>
  <c r="U205" i="29"/>
  <c r="U220" i="29"/>
  <c r="V220" i="29" s="1"/>
  <c r="V222" i="29"/>
  <c r="V225" i="29"/>
  <c r="V228" i="29"/>
  <c r="V231" i="29"/>
  <c r="U237" i="29"/>
  <c r="U286" i="29" s="1"/>
  <c r="U238" i="29"/>
  <c r="U256" i="29"/>
  <c r="V256" i="29" s="1"/>
  <c r="V270" i="29"/>
  <c r="V277" i="29"/>
  <c r="U393" i="29"/>
  <c r="V393" i="29" s="1"/>
  <c r="U374" i="29"/>
  <c r="U375" i="29"/>
  <c r="U380" i="29" s="1"/>
  <c r="W377" i="29"/>
  <c r="U377" i="29"/>
  <c r="U1555" i="29" s="1"/>
  <c r="U285" i="29"/>
  <c r="U287" i="29"/>
  <c r="U289" i="29"/>
  <c r="V294" i="29"/>
  <c r="V297" i="29"/>
  <c r="U311" i="29"/>
  <c r="V311" i="29" s="1"/>
  <c r="U324" i="29"/>
  <c r="V324" i="29" s="1"/>
  <c r="V326" i="29"/>
  <c r="V329" i="29"/>
  <c r="V332" i="29"/>
  <c r="V335" i="29"/>
  <c r="V338" i="29"/>
  <c r="V341" i="29"/>
  <c r="V344" i="29"/>
  <c r="V347" i="29"/>
  <c r="V350" i="29"/>
  <c r="V353" i="29"/>
  <c r="V356" i="29"/>
  <c r="V359" i="29"/>
  <c r="V362" i="29"/>
  <c r="V365" i="29"/>
  <c r="V368" i="29"/>
  <c r="U402" i="29"/>
  <c r="V402" i="29"/>
  <c r="V404" i="29"/>
  <c r="U416" i="29"/>
  <c r="V416" i="29" s="1"/>
  <c r="U427" i="29"/>
  <c r="V427" i="29" s="1"/>
  <c r="U438" i="29"/>
  <c r="V438" i="29" s="1"/>
  <c r="U444" i="29"/>
  <c r="V444" i="29" s="1"/>
  <c r="V450" i="29"/>
  <c r="U462" i="29"/>
  <c r="V462" i="29"/>
  <c r="U467" i="29"/>
  <c r="U468" i="29"/>
  <c r="U473" i="29" s="1"/>
  <c r="V473" i="29" s="1"/>
  <c r="V475" i="29"/>
  <c r="U481" i="29"/>
  <c r="V481" i="29" s="1"/>
  <c r="V483" i="29"/>
  <c r="U486" i="29"/>
  <c r="V486" i="29" s="1"/>
  <c r="V489" i="29"/>
  <c r="U492" i="29"/>
  <c r="V492" i="29" s="1"/>
  <c r="V495" i="29"/>
  <c r="V504" i="29"/>
  <c r="V510" i="29"/>
  <c r="V513" i="29"/>
  <c r="V516" i="29"/>
  <c r="V519" i="29"/>
  <c r="V522" i="29"/>
  <c r="V525" i="29"/>
  <c r="V533" i="29"/>
  <c r="V547" i="29" s="1"/>
  <c r="V535" i="29"/>
  <c r="V538" i="29"/>
  <c r="V541" i="29"/>
  <c r="V544" i="29"/>
  <c r="U568" i="29"/>
  <c r="V568" i="29"/>
  <c r="V571" i="29"/>
  <c r="V574" i="29"/>
  <c r="V579" i="29"/>
  <c r="U585" i="29"/>
  <c r="V585" i="29" s="1"/>
  <c r="U592" i="29"/>
  <c r="V592" i="29" s="1"/>
  <c r="V594" i="29"/>
  <c r="V601" i="29"/>
  <c r="U609" i="29"/>
  <c r="V609" i="29" s="1"/>
  <c r="V614" i="29"/>
  <c r="U621" i="29"/>
  <c r="V621" i="29" s="1"/>
  <c r="V623" i="29"/>
  <c r="V626" i="29"/>
  <c r="V629" i="29"/>
  <c r="V632" i="29"/>
  <c r="V635" i="29"/>
  <c r="V638" i="29"/>
  <c r="V646" i="29"/>
  <c r="V650" i="29"/>
  <c r="V652" i="29"/>
  <c r="V655" i="29"/>
  <c r="V1079" i="29"/>
  <c r="V1080" i="29"/>
  <c r="V1081" i="29"/>
  <c r="V1082" i="29"/>
  <c r="V1083" i="29"/>
  <c r="V1084" i="29"/>
  <c r="V1085" i="29"/>
  <c r="V1086" i="29"/>
  <c r="V1090" i="29"/>
  <c r="V1091" i="29"/>
  <c r="V1092" i="29"/>
  <c r="V1093" i="29"/>
  <c r="V1111" i="29"/>
  <c r="V1112" i="29"/>
  <c r="V1113" i="29"/>
  <c r="V1114" i="29"/>
  <c r="V1119" i="29"/>
  <c r="V1120" i="29"/>
  <c r="V1121" i="29"/>
  <c r="V1125" i="29"/>
  <c r="V1127" i="29"/>
  <c r="V1184" i="29"/>
  <c r="V1185" i="29"/>
  <c r="V1186" i="29"/>
  <c r="V1187" i="29"/>
  <c r="V1188" i="29"/>
  <c r="V1189" i="29"/>
  <c r="V1193" i="29"/>
  <c r="V1197" i="29"/>
  <c r="V1198" i="29"/>
  <c r="V1199" i="29"/>
  <c r="V1200" i="29"/>
  <c r="V1201" i="29"/>
  <c r="V1202" i="29"/>
  <c r="V1206" i="29"/>
  <c r="V1207" i="29"/>
  <c r="V1208" i="29"/>
  <c r="V1212" i="29"/>
  <c r="V1213" i="29"/>
  <c r="V1214" i="29"/>
  <c r="V1215" i="29"/>
  <c r="V1216" i="29"/>
  <c r="V1217" i="29"/>
  <c r="V1218" i="29"/>
  <c r="V1219" i="29"/>
  <c r="V1223" i="29"/>
  <c r="V1224" i="29"/>
  <c r="V1225" i="29"/>
  <c r="V1226" i="29"/>
  <c r="V1230" i="29"/>
  <c r="V1231" i="29"/>
  <c r="V1232" i="29"/>
  <c r="V1233" i="29"/>
  <c r="V1234" i="29"/>
  <c r="V1235" i="29"/>
  <c r="V1237" i="29"/>
  <c r="V1240" i="29"/>
  <c r="V1243" i="29"/>
  <c r="V1246" i="29"/>
  <c r="V1251" i="29"/>
  <c r="V1252" i="29"/>
  <c r="V1253" i="29"/>
  <c r="V1255" i="29"/>
  <c r="V1258" i="29"/>
  <c r="V1264" i="29"/>
  <c r="V1291" i="29" s="1"/>
  <c r="V1267" i="29"/>
  <c r="V1270" i="29"/>
  <c r="V1273" i="29"/>
  <c r="V1276" i="29"/>
  <c r="V1279" i="29"/>
  <c r="V1282" i="29"/>
  <c r="V1285" i="29"/>
  <c r="V1288" i="29"/>
  <c r="V1294" i="29"/>
  <c r="V1297" i="29"/>
  <c r="V1300" i="29"/>
  <c r="V1303" i="29"/>
  <c r="V1306" i="29"/>
  <c r="V1309" i="29"/>
  <c r="V1312" i="29"/>
  <c r="V1315" i="29"/>
  <c r="V1318" i="29"/>
  <c r="V1321" i="29"/>
  <c r="U1540" i="29"/>
  <c r="V1540" i="29" s="1"/>
  <c r="U1546" i="29"/>
  <c r="V1546" i="29" s="1"/>
  <c r="U1551" i="29"/>
  <c r="U1552" i="29"/>
  <c r="U1553" i="29"/>
  <c r="V1560" i="29"/>
  <c r="V1563" i="29"/>
  <c r="V1566" i="29"/>
  <c r="U1571" i="29"/>
  <c r="U1572" i="29"/>
  <c r="U1573" i="29"/>
  <c r="V1580" i="29"/>
  <c r="V1583" i="29"/>
  <c r="V1586" i="29"/>
  <c r="U1589" i="29"/>
  <c r="V1589" i="29" s="1"/>
  <c r="U1600" i="29"/>
  <c r="V1600" i="29" s="1"/>
  <c r="U1609" i="29"/>
  <c r="U1614" i="29" s="1"/>
  <c r="V1614" i="29" s="1"/>
  <c r="V1628" i="29" s="1"/>
  <c r="U1610" i="29"/>
  <c r="U1611" i="29"/>
  <c r="V1616" i="29"/>
  <c r="V1619" i="29"/>
  <c r="V1622" i="29"/>
  <c r="V1625" i="29"/>
  <c r="V1635" i="29"/>
  <c r="V1641" i="29"/>
  <c r="V1643" i="29" s="1"/>
  <c r="V1658" i="29"/>
  <c r="V1664" i="29"/>
  <c r="V1670" i="29"/>
  <c r="V1674" i="29"/>
  <c r="V1708" i="29" s="1"/>
  <c r="V1676" i="29"/>
  <c r="V1679" i="29"/>
  <c r="V1683" i="29"/>
  <c r="V1686" i="29"/>
  <c r="V1689" i="29"/>
  <c r="V1694" i="29"/>
  <c r="V1696" i="29"/>
  <c r="V1699" i="29"/>
  <c r="V1702" i="29"/>
  <c r="V1705" i="29"/>
  <c r="V1711" i="29"/>
  <c r="V1716" i="29"/>
  <c r="V1720" i="29"/>
  <c r="V1724" i="29"/>
  <c r="V1728" i="29"/>
  <c r="V1730" i="29"/>
  <c r="V1733" i="29"/>
  <c r="V1736" i="29"/>
  <c r="V1739" i="29"/>
  <c r="V1744" i="29"/>
  <c r="V1745" i="29"/>
  <c r="V1746" i="29"/>
  <c r="V1747" i="29"/>
  <c r="V1748" i="29"/>
  <c r="V1752" i="29"/>
  <c r="V1753" i="29"/>
  <c r="V1754" i="29"/>
  <c r="V1755" i="29"/>
  <c r="V1757" i="29"/>
  <c r="V1760" i="29"/>
  <c r="V1765" i="29"/>
  <c r="V1769" i="29"/>
  <c r="V1773" i="29"/>
  <c r="V1774" i="29"/>
  <c r="V1775" i="29"/>
  <c r="V1776" i="29"/>
  <c r="V1780" i="29"/>
  <c r="V1781" i="29"/>
  <c r="V1782" i="29"/>
  <c r="V1784" i="29"/>
  <c r="V1790" i="29"/>
  <c r="V1791" i="29"/>
  <c r="V1792" i="29"/>
  <c r="V1793" i="29"/>
  <c r="V1797" i="29"/>
  <c r="V1798" i="29"/>
  <c r="V1799" i="29"/>
  <c r="V1800" i="29"/>
  <c r="V1801" i="29"/>
  <c r="V1802" i="29"/>
  <c r="V1803" i="29"/>
  <c r="V1805" i="29"/>
  <c r="V1808" i="29"/>
  <c r="V1811" i="29"/>
  <c r="V1814" i="29"/>
  <c r="V1817" i="29"/>
  <c r="V1820" i="29"/>
  <c r="V1825" i="29"/>
  <c r="V1826" i="29"/>
  <c r="V1827" i="29"/>
  <c r="V1828" i="29"/>
  <c r="V1830" i="29"/>
  <c r="V1835" i="29"/>
  <c r="V1836" i="29"/>
  <c r="V1837" i="29"/>
  <c r="V1838" i="29"/>
  <c r="V1839" i="29"/>
  <c r="V1843" i="29"/>
  <c r="V1846" i="29"/>
  <c r="V1849" i="29"/>
  <c r="V1852" i="29"/>
  <c r="V1855" i="29"/>
  <c r="V1858" i="29"/>
  <c r="V1861" i="29"/>
  <c r="V1864" i="29"/>
  <c r="V1867" i="29"/>
  <c r="V1870" i="29"/>
  <c r="V1873" i="29"/>
  <c r="V1876" i="29"/>
  <c r="V1881" i="29"/>
  <c r="V1884" i="29"/>
  <c r="V1887" i="29"/>
  <c r="V1890" i="29"/>
  <c r="V1893" i="29"/>
  <c r="V1896" i="29"/>
  <c r="V1899" i="29"/>
  <c r="V1904" i="29"/>
  <c r="V1907" i="29"/>
  <c r="V1910" i="29"/>
  <c r="V1913" i="29"/>
  <c r="V1916" i="29"/>
  <c r="V1919" i="29"/>
  <c r="V1922" i="29"/>
  <c r="V1925" i="29"/>
  <c r="V1928" i="29"/>
  <c r="V1931" i="29"/>
  <c r="V1934" i="29"/>
  <c r="V1937" i="29"/>
  <c r="X17" i="29"/>
  <c r="X18" i="29"/>
  <c r="X19" i="29"/>
  <c r="X20" i="29"/>
  <c r="X22" i="29"/>
  <c r="X23" i="29"/>
  <c r="X24" i="29"/>
  <c r="X25" i="29"/>
  <c r="X26" i="29"/>
  <c r="X28" i="29"/>
  <c r="X29" i="29"/>
  <c r="X30" i="29"/>
  <c r="X31" i="29"/>
  <c r="X33" i="29"/>
  <c r="X34" i="29"/>
  <c r="X36" i="29"/>
  <c r="X37" i="29"/>
  <c r="X38" i="29"/>
  <c r="X40" i="29"/>
  <c r="X41" i="29"/>
  <c r="X43" i="29"/>
  <c r="X44" i="29"/>
  <c r="X45" i="29"/>
  <c r="X46" i="29"/>
  <c r="X47" i="29"/>
  <c r="X49" i="29"/>
  <c r="X50" i="29"/>
  <c r="X52" i="29"/>
  <c r="X53" i="29"/>
  <c r="X55" i="29"/>
  <c r="X57" i="29"/>
  <c r="X58" i="29"/>
  <c r="X59" i="29"/>
  <c r="X60" i="29"/>
  <c r="X61" i="29"/>
  <c r="X64" i="29"/>
  <c r="X65" i="29"/>
  <c r="X66" i="29"/>
  <c r="X68" i="29"/>
  <c r="X69" i="29"/>
  <c r="X71" i="29"/>
  <c r="X73" i="29"/>
  <c r="X75" i="29"/>
  <c r="X77" i="29"/>
  <c r="X79" i="29"/>
  <c r="X81" i="29"/>
  <c r="X82" i="29"/>
  <c r="X84" i="29"/>
  <c r="X85" i="29"/>
  <c r="X86" i="29"/>
  <c r="X87" i="29"/>
  <c r="X88" i="29"/>
  <c r="X90" i="29"/>
  <c r="X91" i="29"/>
  <c r="X92" i="29"/>
  <c r="X93" i="29"/>
  <c r="X95" i="29"/>
  <c r="X96" i="29"/>
  <c r="X98" i="29"/>
  <c r="X100" i="29"/>
  <c r="X101" i="29"/>
  <c r="X102" i="29"/>
  <c r="X104" i="29"/>
  <c r="X110" i="29"/>
  <c r="X114" i="29"/>
  <c r="X117" i="29"/>
  <c r="X120" i="29"/>
  <c r="X123" i="29"/>
  <c r="X126" i="29"/>
  <c r="X129" i="29"/>
  <c r="X134" i="29"/>
  <c r="X142" i="29"/>
  <c r="X144" i="29"/>
  <c r="X147" i="29"/>
  <c r="X150" i="29"/>
  <c r="X153" i="29"/>
  <c r="X156" i="29"/>
  <c r="X159" i="29"/>
  <c r="X162" i="29"/>
  <c r="X165" i="29"/>
  <c r="X168" i="29"/>
  <c r="X171" i="29"/>
  <c r="X174" i="29"/>
  <c r="X177" i="29"/>
  <c r="X180" i="29"/>
  <c r="X183" i="29"/>
  <c r="X186" i="29"/>
  <c r="X189" i="29"/>
  <c r="X199" i="29"/>
  <c r="W209" i="29"/>
  <c r="X209" i="29" s="1"/>
  <c r="W220" i="29"/>
  <c r="X220" i="29"/>
  <c r="X222" i="29"/>
  <c r="X225" i="29"/>
  <c r="X228" i="29"/>
  <c r="X231" i="29"/>
  <c r="W242" i="29"/>
  <c r="W245" i="29" s="1"/>
  <c r="W256" i="29"/>
  <c r="X256" i="29" s="1"/>
  <c r="X270" i="29"/>
  <c r="X277" i="29"/>
  <c r="W393" i="29"/>
  <c r="W280" i="29" s="1"/>
  <c r="X280" i="29" s="1"/>
  <c r="W380" i="29"/>
  <c r="X380" i="29" s="1"/>
  <c r="X294" i="29"/>
  <c r="X297" i="29"/>
  <c r="W311" i="29"/>
  <c r="X311" i="29" s="1"/>
  <c r="W324" i="29"/>
  <c r="X324" i="29" s="1"/>
  <c r="X326" i="29"/>
  <c r="X329" i="29"/>
  <c r="X332" i="29"/>
  <c r="X335" i="29"/>
  <c r="X341" i="29"/>
  <c r="X344" i="29"/>
  <c r="X347" i="29"/>
  <c r="X350" i="29"/>
  <c r="X353" i="29"/>
  <c r="X356" i="29"/>
  <c r="X359" i="29"/>
  <c r="X362" i="29"/>
  <c r="X365" i="29"/>
  <c r="X368" i="29"/>
  <c r="W402" i="29"/>
  <c r="X402" i="29"/>
  <c r="X404" i="29"/>
  <c r="W416" i="29"/>
  <c r="X416" i="29" s="1"/>
  <c r="W427" i="29"/>
  <c r="X427" i="29" s="1"/>
  <c r="W438" i="29"/>
  <c r="X438" i="29" s="1"/>
  <c r="W444" i="29"/>
  <c r="X444" i="29" s="1"/>
  <c r="X448" i="29"/>
  <c r="X450" i="29"/>
  <c r="W462" i="29"/>
  <c r="X462" i="29" s="1"/>
  <c r="W473" i="29"/>
  <c r="X473" i="29" s="1"/>
  <c r="X475" i="29"/>
  <c r="W481" i="29"/>
  <c r="X481" i="29"/>
  <c r="X483" i="29"/>
  <c r="W486" i="29"/>
  <c r="X486" i="29" s="1"/>
  <c r="X489" i="29"/>
  <c r="W492" i="29"/>
  <c r="X492" i="29"/>
  <c r="X495" i="29"/>
  <c r="X504" i="29"/>
  <c r="X510" i="29"/>
  <c r="X513" i="29"/>
  <c r="X516" i="29"/>
  <c r="X519" i="29"/>
  <c r="X522" i="29"/>
  <c r="X525" i="29"/>
  <c r="X533" i="29"/>
  <c r="X535" i="29"/>
  <c r="X538" i="29"/>
  <c r="X541" i="29"/>
  <c r="X544" i="29"/>
  <c r="X568" i="29"/>
  <c r="X571" i="29"/>
  <c r="X574" i="29"/>
  <c r="X579" i="29"/>
  <c r="W585" i="29"/>
  <c r="X585" i="29" s="1"/>
  <c r="W592" i="29"/>
  <c r="X592" i="29" s="1"/>
  <c r="X594" i="29"/>
  <c r="X601" i="29"/>
  <c r="X605" i="29"/>
  <c r="X609" i="29"/>
  <c r="X614" i="29"/>
  <c r="W621" i="29"/>
  <c r="X621" i="29" s="1"/>
  <c r="X623" i="29"/>
  <c r="X626" i="29"/>
  <c r="X629" i="29"/>
  <c r="X632" i="29"/>
  <c r="X635" i="29"/>
  <c r="X638" i="29"/>
  <c r="X646" i="29"/>
  <c r="X650" i="29"/>
  <c r="X652" i="29"/>
  <c r="X655" i="29"/>
  <c r="X1079" i="29"/>
  <c r="X1080" i="29"/>
  <c r="X1081" i="29"/>
  <c r="X1082" i="29"/>
  <c r="X1083" i="29"/>
  <c r="X1084" i="29"/>
  <c r="X1085" i="29"/>
  <c r="X1086" i="29"/>
  <c r="X1090" i="29"/>
  <c r="X1091" i="29"/>
  <c r="X1092" i="29"/>
  <c r="X1093" i="29"/>
  <c r="X1111" i="29"/>
  <c r="X1112" i="29"/>
  <c r="X1113" i="29"/>
  <c r="X1114" i="29"/>
  <c r="X1119" i="29"/>
  <c r="X1120" i="29"/>
  <c r="X1121" i="29"/>
  <c r="X1125" i="29"/>
  <c r="X1127" i="29"/>
  <c r="X1184" i="29"/>
  <c r="X1185" i="29"/>
  <c r="X1186" i="29"/>
  <c r="X1187" i="29"/>
  <c r="X1188" i="29"/>
  <c r="X1189" i="29"/>
  <c r="X1193" i="29"/>
  <c r="X1197" i="29"/>
  <c r="X1198" i="29"/>
  <c r="X1199" i="29"/>
  <c r="X1200" i="29"/>
  <c r="X1201" i="29"/>
  <c r="X1202" i="29"/>
  <c r="X1206" i="29"/>
  <c r="X1207" i="29"/>
  <c r="X1208" i="29"/>
  <c r="X1212" i="29"/>
  <c r="X1213" i="29"/>
  <c r="X1214" i="29"/>
  <c r="X1215" i="29"/>
  <c r="X1216" i="29"/>
  <c r="X1217" i="29"/>
  <c r="X1218" i="29"/>
  <c r="X1219" i="29"/>
  <c r="X1223" i="29"/>
  <c r="X1224" i="29"/>
  <c r="X1225" i="29"/>
  <c r="X1226" i="29"/>
  <c r="X1230" i="29"/>
  <c r="X1231" i="29"/>
  <c r="X1232" i="29"/>
  <c r="X1233" i="29"/>
  <c r="X1234" i="29"/>
  <c r="X1235" i="29"/>
  <c r="X1237" i="29"/>
  <c r="X1240" i="29"/>
  <c r="X1243" i="29"/>
  <c r="X1246" i="29"/>
  <c r="X1251" i="29"/>
  <c r="X1252" i="29"/>
  <c r="X1253" i="29"/>
  <c r="X1255" i="29"/>
  <c r="X1258" i="29"/>
  <c r="X1264" i="29"/>
  <c r="X1291" i="29" s="1"/>
  <c r="X1267" i="29"/>
  <c r="X1270" i="29"/>
  <c r="X1273" i="29"/>
  <c r="X1276" i="29"/>
  <c r="X1279" i="29"/>
  <c r="X1282" i="29"/>
  <c r="X1285" i="29"/>
  <c r="X1288" i="29"/>
  <c r="X1294" i="29"/>
  <c r="X1297" i="29"/>
  <c r="X1300" i="29"/>
  <c r="X1303" i="29"/>
  <c r="X1306" i="29"/>
  <c r="X1309" i="29"/>
  <c r="X1312" i="29"/>
  <c r="X1315" i="29"/>
  <c r="X1318" i="29"/>
  <c r="X1321" i="29"/>
  <c r="W1540" i="29"/>
  <c r="X1540" i="29" s="1"/>
  <c r="W1543" i="29"/>
  <c r="X1543" i="29" s="1"/>
  <c r="W1546" i="29"/>
  <c r="X1546" i="29" s="1"/>
  <c r="W1558" i="29"/>
  <c r="X1558" i="29" s="1"/>
  <c r="X1560" i="29"/>
  <c r="X1563" i="29"/>
  <c r="X1566" i="29"/>
  <c r="W1575" i="29"/>
  <c r="W1578" i="29"/>
  <c r="X1578" i="29" s="1"/>
  <c r="X1580" i="29"/>
  <c r="X1583" i="29"/>
  <c r="X1586" i="29"/>
  <c r="X1589" i="29"/>
  <c r="W1597" i="29"/>
  <c r="W1600" i="29" s="1"/>
  <c r="X1600" i="29" s="1"/>
  <c r="W1614" i="29"/>
  <c r="X1614" i="29" s="1"/>
  <c r="X1616" i="29"/>
  <c r="X1619" i="29"/>
  <c r="X1622" i="29"/>
  <c r="X1625" i="29"/>
  <c r="X1635" i="29"/>
  <c r="X1641" i="29"/>
  <c r="X1643" i="29" s="1"/>
  <c r="X1658" i="29"/>
  <c r="X1664" i="29"/>
  <c r="X1670" i="29"/>
  <c r="X1674" i="29"/>
  <c r="X1708" i="29" s="1"/>
  <c r="X1676" i="29"/>
  <c r="X1679" i="29"/>
  <c r="X1683" i="29"/>
  <c r="X1686" i="29"/>
  <c r="X1689" i="29"/>
  <c r="X1694" i="29"/>
  <c r="X1696" i="29"/>
  <c r="X1699" i="29"/>
  <c r="X1702" i="29"/>
  <c r="X1705" i="29"/>
  <c r="X1711" i="29"/>
  <c r="X1716" i="29"/>
  <c r="X1720" i="29"/>
  <c r="X1724" i="29"/>
  <c r="X1728" i="29"/>
  <c r="X1730" i="29"/>
  <c r="X1733" i="29"/>
  <c r="X1736" i="29"/>
  <c r="X1739" i="29"/>
  <c r="X1744" i="29"/>
  <c r="X1745" i="29"/>
  <c r="X1746" i="29"/>
  <c r="X1747" i="29"/>
  <c r="X1748" i="29"/>
  <c r="X1752" i="29"/>
  <c r="X1753" i="29"/>
  <c r="X1754" i="29"/>
  <c r="X1755" i="29"/>
  <c r="X1757" i="29"/>
  <c r="X1760" i="29"/>
  <c r="X1765" i="29"/>
  <c r="X1769" i="29"/>
  <c r="X1773" i="29"/>
  <c r="X1774" i="29"/>
  <c r="X1775" i="29"/>
  <c r="X1776" i="29"/>
  <c r="X1780" i="29"/>
  <c r="X1781" i="29"/>
  <c r="X1782" i="29"/>
  <c r="X1784" i="29"/>
  <c r="X1790" i="29"/>
  <c r="X1791" i="29"/>
  <c r="X1792" i="29"/>
  <c r="X1793" i="29"/>
  <c r="X1797" i="29"/>
  <c r="X1798" i="29"/>
  <c r="X1799" i="29"/>
  <c r="X1800" i="29"/>
  <c r="X1801" i="29"/>
  <c r="X1802" i="29"/>
  <c r="X1803" i="29"/>
  <c r="X1805" i="29"/>
  <c r="X1808" i="29"/>
  <c r="X1811" i="29"/>
  <c r="X1814" i="29"/>
  <c r="X1817" i="29"/>
  <c r="X1820" i="29"/>
  <c r="X1825" i="29"/>
  <c r="X1826" i="29"/>
  <c r="X1827" i="29"/>
  <c r="X1828" i="29"/>
  <c r="X1830" i="29"/>
  <c r="X1835" i="29"/>
  <c r="X1836" i="29"/>
  <c r="X1837" i="29"/>
  <c r="X1838" i="29"/>
  <c r="X1839" i="29"/>
  <c r="X1843" i="29"/>
  <c r="X1846" i="29"/>
  <c r="X1849" i="29"/>
  <c r="X1852" i="29"/>
  <c r="X1855" i="29"/>
  <c r="X1858" i="29"/>
  <c r="X1861" i="29"/>
  <c r="X1864" i="29"/>
  <c r="X1867" i="29"/>
  <c r="X1870" i="29"/>
  <c r="X1873" i="29"/>
  <c r="X1876" i="29"/>
  <c r="X1881" i="29"/>
  <c r="X1884" i="29"/>
  <c r="X1887" i="29"/>
  <c r="X1890" i="29"/>
  <c r="X1893" i="29"/>
  <c r="X1896" i="29"/>
  <c r="X1899" i="29"/>
  <c r="X1904" i="29"/>
  <c r="X1907" i="29"/>
  <c r="X1910" i="29"/>
  <c r="X1913" i="29"/>
  <c r="X1916" i="29"/>
  <c r="X1919" i="29"/>
  <c r="X1922" i="29"/>
  <c r="X1925" i="29"/>
  <c r="X1928" i="29"/>
  <c r="X1931" i="29"/>
  <c r="X1934" i="29"/>
  <c r="X1937" i="29"/>
  <c r="Z17" i="29"/>
  <c r="Z18" i="29"/>
  <c r="Z19" i="29"/>
  <c r="Z20" i="29"/>
  <c r="Z22" i="29"/>
  <c r="Z23" i="29"/>
  <c r="Z24" i="29"/>
  <c r="Z25" i="29"/>
  <c r="Z26" i="29"/>
  <c r="Z28" i="29"/>
  <c r="Z29" i="29"/>
  <c r="Z30" i="29"/>
  <c r="Z31" i="29"/>
  <c r="Z33" i="29"/>
  <c r="Z34" i="29"/>
  <c r="Z36" i="29"/>
  <c r="Z37" i="29"/>
  <c r="Z38" i="29"/>
  <c r="Z40" i="29"/>
  <c r="Z41" i="29"/>
  <c r="Z43" i="29"/>
  <c r="Z44" i="29"/>
  <c r="Z45" i="29"/>
  <c r="Z46" i="29"/>
  <c r="Z47" i="29"/>
  <c r="Z49" i="29"/>
  <c r="Z50" i="29"/>
  <c r="Z52" i="29"/>
  <c r="Z53" i="29"/>
  <c r="Z55" i="29"/>
  <c r="Z57" i="29"/>
  <c r="Z58" i="29"/>
  <c r="Z59" i="29"/>
  <c r="Z60" i="29"/>
  <c r="Z61" i="29"/>
  <c r="Z64" i="29"/>
  <c r="Z65" i="29"/>
  <c r="Z66" i="29"/>
  <c r="Z68" i="29"/>
  <c r="Z69" i="29"/>
  <c r="Z71" i="29"/>
  <c r="Z73" i="29"/>
  <c r="Z75" i="29"/>
  <c r="Z77" i="29"/>
  <c r="Z79" i="29"/>
  <c r="Z81" i="29"/>
  <c r="Z82" i="29"/>
  <c r="Z84" i="29"/>
  <c r="Z85" i="29"/>
  <c r="Z86" i="29"/>
  <c r="Z87" i="29"/>
  <c r="Z88" i="29"/>
  <c r="Z90" i="29"/>
  <c r="Z91" i="29"/>
  <c r="Z92" i="29"/>
  <c r="Z93" i="29"/>
  <c r="Z95" i="29"/>
  <c r="Z96" i="29"/>
  <c r="Z98" i="29"/>
  <c r="Z100" i="29"/>
  <c r="Z101" i="29"/>
  <c r="Z102" i="29"/>
  <c r="Z104" i="29"/>
  <c r="Z110" i="29"/>
  <c r="Z114" i="29"/>
  <c r="Z117" i="29"/>
  <c r="Z120" i="29"/>
  <c r="Z123" i="29"/>
  <c r="Z126" i="29"/>
  <c r="Z129" i="29"/>
  <c r="Z134" i="29"/>
  <c r="Z142" i="29"/>
  <c r="Z144" i="29"/>
  <c r="Z147" i="29"/>
  <c r="Z150" i="29"/>
  <c r="Z153" i="29"/>
  <c r="Z156" i="29"/>
  <c r="Z159" i="29"/>
  <c r="Z162" i="29"/>
  <c r="Z165" i="29"/>
  <c r="Z168" i="29"/>
  <c r="Z171" i="29"/>
  <c r="Z174" i="29"/>
  <c r="Z177" i="29"/>
  <c r="Z180" i="29"/>
  <c r="Z183" i="29"/>
  <c r="Z186" i="29"/>
  <c r="Z189" i="29"/>
  <c r="Z199" i="29"/>
  <c r="Y205" i="29"/>
  <c r="Y209" i="29" s="1"/>
  <c r="Z209" i="29" s="1"/>
  <c r="Y220" i="29"/>
  <c r="Z220" i="29" s="1"/>
  <c r="Z222" i="29"/>
  <c r="Z225" i="29"/>
  <c r="Z228" i="29"/>
  <c r="Z231" i="29"/>
  <c r="Y236" i="29"/>
  <c r="Y237" i="29"/>
  <c r="Y245" i="29" s="1"/>
  <c r="Y238" i="29"/>
  <c r="Y242" i="29"/>
  <c r="Y256" i="29"/>
  <c r="Z256" i="29" s="1"/>
  <c r="Z270" i="29"/>
  <c r="Z277" i="29"/>
  <c r="M385" i="29"/>
  <c r="M386" i="29"/>
  <c r="M398" i="29"/>
  <c r="M399" i="29"/>
  <c r="Y400" i="29"/>
  <c r="Y380" i="29"/>
  <c r="Z380" i="29" s="1"/>
  <c r="Y292" i="29"/>
  <c r="Z292" i="29" s="1"/>
  <c r="Z294" i="29"/>
  <c r="Z297" i="29"/>
  <c r="Y311" i="29"/>
  <c r="Z311" i="29" s="1"/>
  <c r="Y324" i="29"/>
  <c r="Z324" i="29" s="1"/>
  <c r="Z326" i="29"/>
  <c r="Z329" i="29"/>
  <c r="Z332" i="29"/>
  <c r="Z335" i="29"/>
  <c r="Y338" i="29"/>
  <c r="Z338" i="29" s="1"/>
  <c r="Z341" i="29"/>
  <c r="Z344" i="29"/>
  <c r="Z347" i="29"/>
  <c r="Z350" i="29"/>
  <c r="Z353" i="29"/>
  <c r="Z356" i="29"/>
  <c r="Z359" i="29"/>
  <c r="Z362" i="29"/>
  <c r="Z365" i="29"/>
  <c r="Z368" i="29"/>
  <c r="Z404" i="29"/>
  <c r="Y416" i="29"/>
  <c r="Z416" i="29" s="1"/>
  <c r="Y427" i="29"/>
  <c r="Z427" i="29" s="1"/>
  <c r="Y438" i="29"/>
  <c r="Z438" i="29" s="1"/>
  <c r="Y444" i="29"/>
  <c r="Z444" i="29" s="1"/>
  <c r="Z448" i="29"/>
  <c r="Z450" i="29"/>
  <c r="M456" i="29"/>
  <c r="M457" i="29"/>
  <c r="Y459" i="29"/>
  <c r="M467" i="29"/>
  <c r="M468" i="29"/>
  <c r="Z475" i="29"/>
  <c r="Y481" i="29"/>
  <c r="Z481" i="29" s="1"/>
  <c r="Z483" i="29"/>
  <c r="Y486" i="29"/>
  <c r="Z486" i="29"/>
  <c r="Z489" i="29"/>
  <c r="Y492" i="29"/>
  <c r="Z492" i="29" s="1"/>
  <c r="Z495" i="29"/>
  <c r="Z504" i="29"/>
  <c r="Z510" i="29"/>
  <c r="Z513" i="29"/>
  <c r="Z516" i="29"/>
  <c r="Z519" i="29"/>
  <c r="Z522" i="29"/>
  <c r="Z525" i="29"/>
  <c r="Z533" i="29"/>
  <c r="Z535" i="29"/>
  <c r="Z538" i="29"/>
  <c r="Z541" i="29"/>
  <c r="Z544" i="29"/>
  <c r="Z568" i="29"/>
  <c r="Z571" i="29"/>
  <c r="Z574" i="29"/>
  <c r="Z579" i="29"/>
  <c r="Y585" i="29"/>
  <c r="Z585" i="29" s="1"/>
  <c r="Y592" i="29"/>
  <c r="Z592" i="29" s="1"/>
  <c r="Z594" i="29"/>
  <c r="Z601" i="29"/>
  <c r="Z605" i="29"/>
  <c r="Z609" i="29"/>
  <c r="Z614" i="29"/>
  <c r="Y621" i="29"/>
  <c r="Z621" i="29" s="1"/>
  <c r="Z623" i="29"/>
  <c r="Z626" i="29"/>
  <c r="Z629" i="29"/>
  <c r="Z632" i="29"/>
  <c r="Z635" i="29"/>
  <c r="Z638" i="29"/>
  <c r="Z646" i="29"/>
  <c r="Z650" i="29"/>
  <c r="Z652" i="29"/>
  <c r="Z655" i="29"/>
  <c r="Z1079" i="29"/>
  <c r="Z1080" i="29"/>
  <c r="Z1081" i="29"/>
  <c r="Z1082" i="29"/>
  <c r="Z1083" i="29"/>
  <c r="Z1084" i="29"/>
  <c r="Z1085" i="29"/>
  <c r="Z1086" i="29"/>
  <c r="Z1090" i="29"/>
  <c r="Z1091" i="29"/>
  <c r="Z1092" i="29"/>
  <c r="Z1093" i="29"/>
  <c r="Z1111" i="29"/>
  <c r="Z1112" i="29"/>
  <c r="Z1113" i="29"/>
  <c r="Z1114" i="29"/>
  <c r="Z1119" i="29"/>
  <c r="Z1120" i="29"/>
  <c r="Z1121" i="29"/>
  <c r="Z1125" i="29"/>
  <c r="Z1127" i="29"/>
  <c r="Z1184" i="29"/>
  <c r="Z1185" i="29"/>
  <c r="Z1186" i="29"/>
  <c r="Z1187" i="29"/>
  <c r="Z1188" i="29"/>
  <c r="Z1189" i="29"/>
  <c r="Z1193" i="29"/>
  <c r="Z1197" i="29"/>
  <c r="Z1198" i="29"/>
  <c r="Z1199" i="29"/>
  <c r="Z1200" i="29"/>
  <c r="Z1201" i="29"/>
  <c r="Z1202" i="29"/>
  <c r="Z1206" i="29"/>
  <c r="Z1207" i="29"/>
  <c r="Z1208" i="29"/>
  <c r="Z1212" i="29"/>
  <c r="Z1213" i="29"/>
  <c r="Z1214" i="29"/>
  <c r="Z1215" i="29"/>
  <c r="Z1216" i="29"/>
  <c r="Z1217" i="29"/>
  <c r="Z1218" i="29"/>
  <c r="Z1219" i="29"/>
  <c r="Z1223" i="29"/>
  <c r="Z1224" i="29"/>
  <c r="Z1225" i="29"/>
  <c r="Z1226" i="29"/>
  <c r="Z1230" i="29"/>
  <c r="Z1231" i="29"/>
  <c r="Z1232" i="29"/>
  <c r="Z1233" i="29"/>
  <c r="Z1234" i="29"/>
  <c r="Z1235" i="29"/>
  <c r="Z1237" i="29"/>
  <c r="Z1240" i="29"/>
  <c r="Z1243" i="29"/>
  <c r="Z1246" i="29"/>
  <c r="Z1251" i="29"/>
  <c r="Z1252" i="29"/>
  <c r="Z1253" i="29"/>
  <c r="Z1255" i="29"/>
  <c r="Z1258" i="29"/>
  <c r="Z1264" i="29"/>
  <c r="Z1267" i="29"/>
  <c r="Z1270" i="29"/>
  <c r="Z1273" i="29"/>
  <c r="Z1276" i="29"/>
  <c r="Z1279" i="29"/>
  <c r="Z1282" i="29"/>
  <c r="Z1285" i="29"/>
  <c r="Z1288" i="29"/>
  <c r="Z1291" i="29"/>
  <c r="Z1294" i="29"/>
  <c r="Z1297" i="29"/>
  <c r="Z1300" i="29"/>
  <c r="Z1303" i="29"/>
  <c r="Z1306" i="29"/>
  <c r="Z1309" i="29"/>
  <c r="Z1312" i="29"/>
  <c r="Z1315" i="29"/>
  <c r="Z1318" i="29"/>
  <c r="Z1321" i="29"/>
  <c r="Y1540" i="29"/>
  <c r="Z1540" i="29" s="1"/>
  <c r="Y1543" i="29"/>
  <c r="Z1543" i="29" s="1"/>
  <c r="Y1546" i="29"/>
  <c r="Z1546" i="29" s="1"/>
  <c r="Y1551" i="29"/>
  <c r="Z1560" i="29"/>
  <c r="Z1563" i="29"/>
  <c r="Z1566" i="29"/>
  <c r="Y1571" i="29"/>
  <c r="Z1580" i="29"/>
  <c r="Z1583" i="29"/>
  <c r="Z1586" i="29"/>
  <c r="Y1600" i="29"/>
  <c r="Z1600" i="29" s="1"/>
  <c r="Y1614" i="29"/>
  <c r="Z1614" i="29" s="1"/>
  <c r="Y1616" i="29"/>
  <c r="Z1616" i="29" s="1"/>
  <c r="Z1619" i="29"/>
  <c r="Z1622" i="29"/>
  <c r="Z1625" i="29"/>
  <c r="Z1635" i="29"/>
  <c r="Z1643" i="29" s="1"/>
  <c r="Z1641" i="29"/>
  <c r="Z1658" i="29"/>
  <c r="Z1664" i="29"/>
  <c r="Z1670" i="29"/>
  <c r="Z1674" i="29"/>
  <c r="Z1676" i="29"/>
  <c r="Z1679" i="29"/>
  <c r="Z1683" i="29"/>
  <c r="Z1686" i="29"/>
  <c r="Z1689" i="29"/>
  <c r="Z1694" i="29"/>
  <c r="Z1696" i="29"/>
  <c r="Z1699" i="29"/>
  <c r="Z1702" i="29"/>
  <c r="Z1705" i="29"/>
  <c r="Z1711" i="29"/>
  <c r="Z1716" i="29"/>
  <c r="Z1720" i="29"/>
  <c r="Z1724" i="29"/>
  <c r="Z1728" i="29"/>
  <c r="Z1730" i="29"/>
  <c r="Z1733" i="29"/>
  <c r="Z1736" i="29"/>
  <c r="Z1739" i="29"/>
  <c r="Z1744" i="29"/>
  <c r="Z1745" i="29"/>
  <c r="Z1746" i="29"/>
  <c r="Z1747" i="29"/>
  <c r="Z1748" i="29"/>
  <c r="Z1752" i="29"/>
  <c r="Z1753" i="29"/>
  <c r="Z1754" i="29"/>
  <c r="Z1755" i="29"/>
  <c r="Z1757" i="29"/>
  <c r="Z1760" i="29"/>
  <c r="Z1765" i="29"/>
  <c r="Z1769" i="29"/>
  <c r="Z1773" i="29"/>
  <c r="Z1774" i="29"/>
  <c r="Z1775" i="29"/>
  <c r="Z1776" i="29"/>
  <c r="Z1780" i="29"/>
  <c r="Z1781" i="29"/>
  <c r="Z1782" i="29"/>
  <c r="Z1784" i="29"/>
  <c r="Z1790" i="29"/>
  <c r="Z1791" i="29"/>
  <c r="Z1792" i="29"/>
  <c r="Z1793" i="29"/>
  <c r="Z1797" i="29"/>
  <c r="Z1798" i="29"/>
  <c r="Z1799" i="29"/>
  <c r="Z1800" i="29"/>
  <c r="Z1801" i="29"/>
  <c r="Z1802" i="29"/>
  <c r="Z1803" i="29"/>
  <c r="Z1805" i="29"/>
  <c r="Z1808" i="29"/>
  <c r="Z1811" i="29"/>
  <c r="Z1814" i="29"/>
  <c r="Z1817" i="29"/>
  <c r="Z1820" i="29"/>
  <c r="Z1825" i="29"/>
  <c r="Z1826" i="29"/>
  <c r="Z1827" i="29"/>
  <c r="Z1828" i="29"/>
  <c r="Z1830" i="29"/>
  <c r="Z1835" i="29"/>
  <c r="Z1836" i="29"/>
  <c r="Z1837" i="29"/>
  <c r="Z1838" i="29"/>
  <c r="Z1839" i="29"/>
  <c r="Z1843" i="29"/>
  <c r="Z1846" i="29"/>
  <c r="Z1849" i="29"/>
  <c r="Z1852" i="29"/>
  <c r="Z1855" i="29"/>
  <c r="Z1858" i="29"/>
  <c r="Z1861" i="29"/>
  <c r="Z1864" i="29"/>
  <c r="Z1867" i="29"/>
  <c r="Z1870" i="29"/>
  <c r="Z1873" i="29"/>
  <c r="Z1876" i="29"/>
  <c r="Z1881" i="29"/>
  <c r="Z1884" i="29"/>
  <c r="Z1887" i="29"/>
  <c r="Z1890" i="29"/>
  <c r="Z1893" i="29"/>
  <c r="Z1896" i="29"/>
  <c r="Z1899" i="29"/>
  <c r="Z1904" i="29"/>
  <c r="Z1907" i="29"/>
  <c r="Z1910" i="29"/>
  <c r="Z1913" i="29"/>
  <c r="Z1916" i="29"/>
  <c r="Z1919" i="29"/>
  <c r="Z1922" i="29"/>
  <c r="Z1925" i="29"/>
  <c r="Z1928" i="29"/>
  <c r="Z1931" i="29"/>
  <c r="Z1934" i="29"/>
  <c r="Z1937" i="29"/>
  <c r="N17" i="29"/>
  <c r="N18" i="29"/>
  <c r="N19" i="29"/>
  <c r="N20" i="29"/>
  <c r="N22" i="29"/>
  <c r="N23" i="29"/>
  <c r="N24" i="29"/>
  <c r="N25" i="29"/>
  <c r="N26" i="29"/>
  <c r="N28" i="29"/>
  <c r="N29" i="29"/>
  <c r="N30" i="29"/>
  <c r="N31" i="29"/>
  <c r="N33" i="29"/>
  <c r="N34" i="29"/>
  <c r="N36" i="29"/>
  <c r="N37" i="29"/>
  <c r="N38" i="29"/>
  <c r="N40" i="29"/>
  <c r="N41" i="29"/>
  <c r="N43" i="29"/>
  <c r="N44" i="29"/>
  <c r="N45" i="29"/>
  <c r="N46" i="29"/>
  <c r="N47" i="29"/>
  <c r="N49" i="29"/>
  <c r="N50" i="29"/>
  <c r="N52" i="29"/>
  <c r="N53" i="29"/>
  <c r="N55" i="29"/>
  <c r="N57" i="29"/>
  <c r="N58" i="29"/>
  <c r="N59" i="29"/>
  <c r="N60" i="29"/>
  <c r="N61" i="29"/>
  <c r="N64" i="29"/>
  <c r="N65" i="29"/>
  <c r="N66" i="29"/>
  <c r="N68" i="29"/>
  <c r="N69" i="29"/>
  <c r="N71" i="29"/>
  <c r="N73" i="29"/>
  <c r="N75" i="29"/>
  <c r="N77" i="29"/>
  <c r="N79" i="29"/>
  <c r="N81" i="29"/>
  <c r="N82" i="29"/>
  <c r="N84" i="29"/>
  <c r="N85" i="29"/>
  <c r="N86" i="29"/>
  <c r="N87" i="29"/>
  <c r="N88" i="29"/>
  <c r="N90" i="29"/>
  <c r="N91" i="29"/>
  <c r="N92" i="29"/>
  <c r="N93" i="29"/>
  <c r="N95" i="29"/>
  <c r="N96" i="29"/>
  <c r="N98" i="29"/>
  <c r="N100" i="29"/>
  <c r="N101" i="29"/>
  <c r="N102" i="29"/>
  <c r="N104" i="29"/>
  <c r="N110" i="29"/>
  <c r="N114" i="29"/>
  <c r="N117" i="29"/>
  <c r="N120" i="29"/>
  <c r="N123" i="29"/>
  <c r="N126" i="29"/>
  <c r="N129" i="29"/>
  <c r="N134" i="29"/>
  <c r="M142" i="29"/>
  <c r="N142" i="29" s="1"/>
  <c r="N144" i="29"/>
  <c r="N147" i="29"/>
  <c r="N150" i="29"/>
  <c r="N153" i="29"/>
  <c r="N156" i="29"/>
  <c r="N159" i="29"/>
  <c r="N162" i="29"/>
  <c r="N165" i="29"/>
  <c r="M197" i="29"/>
  <c r="M199" i="29" s="1"/>
  <c r="M198" i="29"/>
  <c r="N171" i="29"/>
  <c r="N174" i="29"/>
  <c r="N177" i="29"/>
  <c r="M180" i="29"/>
  <c r="N183" i="29"/>
  <c r="N186" i="29"/>
  <c r="N189" i="29"/>
  <c r="M209" i="29"/>
  <c r="N209" i="29"/>
  <c r="M220" i="29"/>
  <c r="N220" i="29" s="1"/>
  <c r="N222" i="29"/>
  <c r="N225" i="29"/>
  <c r="N228" i="29"/>
  <c r="N231" i="29"/>
  <c r="M237" i="29"/>
  <c r="M238" i="29"/>
  <c r="M245" i="29" s="1"/>
  <c r="M256" i="29"/>
  <c r="N256" i="29" s="1"/>
  <c r="N270" i="29"/>
  <c r="N277" i="29"/>
  <c r="M402" i="29"/>
  <c r="M390" i="29" s="1"/>
  <c r="M393" i="29" s="1"/>
  <c r="M380" i="29"/>
  <c r="M285" i="29"/>
  <c r="M286" i="29"/>
  <c r="M289" i="29"/>
  <c r="N294" i="29"/>
  <c r="N297" i="29"/>
  <c r="M305" i="29"/>
  <c r="M311" i="29" s="1"/>
  <c r="M306" i="29"/>
  <c r="M307" i="29"/>
  <c r="M317" i="29"/>
  <c r="M318" i="29"/>
  <c r="M319" i="29"/>
  <c r="M320" i="29"/>
  <c r="M324" i="29"/>
  <c r="N324" i="29" s="1"/>
  <c r="N326" i="29"/>
  <c r="N329" i="29"/>
  <c r="M332" i="29"/>
  <c r="N332" i="29" s="1"/>
  <c r="N335" i="29"/>
  <c r="N338" i="29"/>
  <c r="N341" i="29"/>
  <c r="N344" i="29"/>
  <c r="N347" i="29"/>
  <c r="N350" i="29"/>
  <c r="N353" i="29"/>
  <c r="N356" i="29"/>
  <c r="N359" i="29"/>
  <c r="N362" i="29"/>
  <c r="N365" i="29"/>
  <c r="N368" i="29"/>
  <c r="N380" i="29"/>
  <c r="N404" i="29"/>
  <c r="M410" i="29"/>
  <c r="M416" i="29" s="1"/>
  <c r="N416" i="29" s="1"/>
  <c r="M411" i="29"/>
  <c r="M427" i="29"/>
  <c r="N427" i="29" s="1"/>
  <c r="M438" i="29"/>
  <c r="N438" i="29" s="1"/>
  <c r="M444" i="29"/>
  <c r="N444" i="29" s="1"/>
  <c r="N448" i="29"/>
  <c r="N450" i="29"/>
  <c r="M462" i="29"/>
  <c r="N462" i="29" s="1"/>
  <c r="M473" i="29"/>
  <c r="N473" i="29" s="1"/>
  <c r="N475" i="29"/>
  <c r="N481" i="29"/>
  <c r="N483" i="29"/>
  <c r="M486" i="29"/>
  <c r="N486" i="29" s="1"/>
  <c r="N489" i="29"/>
  <c r="M492" i="29"/>
  <c r="N492" i="29" s="1"/>
  <c r="N495" i="29"/>
  <c r="N504" i="29"/>
  <c r="N510" i="29"/>
  <c r="N513" i="29"/>
  <c r="N516" i="29"/>
  <c r="N519" i="29"/>
  <c r="N522" i="29"/>
  <c r="N525" i="29"/>
  <c r="N533" i="29"/>
  <c r="N535" i="29"/>
  <c r="N538" i="29"/>
  <c r="N541" i="29"/>
  <c r="N544" i="29"/>
  <c r="M568" i="29"/>
  <c r="N568" i="29" s="1"/>
  <c r="N571" i="29"/>
  <c r="N574" i="29"/>
  <c r="N579" i="29"/>
  <c r="M583" i="29"/>
  <c r="M585" i="29" s="1"/>
  <c r="N585" i="29" s="1"/>
  <c r="M589" i="29"/>
  <c r="M592" i="29" s="1"/>
  <c r="N592" i="29" s="1"/>
  <c r="N594" i="29"/>
  <c r="M601" i="29"/>
  <c r="N601" i="29" s="1"/>
  <c r="N605" i="29"/>
  <c r="N609" i="29"/>
  <c r="N614" i="29"/>
  <c r="M621" i="29"/>
  <c r="N621" i="29" s="1"/>
  <c r="N623" i="29"/>
  <c r="N626" i="29"/>
  <c r="N629" i="29"/>
  <c r="N632" i="29"/>
  <c r="N635" i="29"/>
  <c r="N638" i="29"/>
  <c r="N646" i="29"/>
  <c r="N650" i="29"/>
  <c r="N652" i="29"/>
  <c r="N655" i="29"/>
  <c r="M1079" i="29"/>
  <c r="N1079" i="29" s="1"/>
  <c r="N1080" i="29"/>
  <c r="N1081" i="29"/>
  <c r="N1082" i="29"/>
  <c r="M1083" i="29"/>
  <c r="N1083" i="29" s="1"/>
  <c r="N1084" i="29"/>
  <c r="N1085" i="29"/>
  <c r="N1086" i="29"/>
  <c r="N1090" i="29"/>
  <c r="N1091" i="29"/>
  <c r="N1092" i="29"/>
  <c r="N1093" i="29"/>
  <c r="N1111" i="29"/>
  <c r="N1112" i="29"/>
  <c r="N1113" i="29"/>
  <c r="N1114" i="29"/>
  <c r="N1119" i="29"/>
  <c r="N1120" i="29"/>
  <c r="N1121" i="29"/>
  <c r="N1125" i="29"/>
  <c r="N1127" i="29"/>
  <c r="M1128" i="29"/>
  <c r="N1184" i="29"/>
  <c r="N1185" i="29"/>
  <c r="N1186" i="29"/>
  <c r="N1187" i="29"/>
  <c r="N1188" i="29"/>
  <c r="N1189" i="29"/>
  <c r="N1193" i="29"/>
  <c r="N1197" i="29"/>
  <c r="N1198" i="29"/>
  <c r="N1199" i="29"/>
  <c r="N1200" i="29"/>
  <c r="N1201" i="29"/>
  <c r="N1202" i="29"/>
  <c r="N1206" i="29"/>
  <c r="N1207" i="29"/>
  <c r="N1208" i="29"/>
  <c r="N1212" i="29"/>
  <c r="N1213" i="29"/>
  <c r="N1214" i="29"/>
  <c r="N1215" i="29"/>
  <c r="N1216" i="29"/>
  <c r="N1217" i="29"/>
  <c r="N1218" i="29"/>
  <c r="N1219" i="29"/>
  <c r="N1223" i="29"/>
  <c r="N1224" i="29"/>
  <c r="N1225" i="29"/>
  <c r="N1226" i="29"/>
  <c r="N1230" i="29"/>
  <c r="N1231" i="29"/>
  <c r="N1232" i="29"/>
  <c r="N1233" i="29"/>
  <c r="N1234" i="29"/>
  <c r="N1235" i="29"/>
  <c r="M1237" i="29"/>
  <c r="N1237" i="29" s="1"/>
  <c r="N1240" i="29"/>
  <c r="N1243" i="29"/>
  <c r="N1246" i="29"/>
  <c r="N1251" i="29"/>
  <c r="N1252" i="29"/>
  <c r="N1253" i="29"/>
  <c r="N1255" i="29"/>
  <c r="N1258" i="29"/>
  <c r="N1264" i="29"/>
  <c r="N1267" i="29"/>
  <c r="N1270" i="29"/>
  <c r="N1291" i="29" s="1"/>
  <c r="N1273" i="29"/>
  <c r="N1276" i="29"/>
  <c r="N1279" i="29"/>
  <c r="N1282" i="29"/>
  <c r="N1285" i="29"/>
  <c r="N1288" i="29"/>
  <c r="N1294" i="29"/>
  <c r="N1297" i="29"/>
  <c r="N1300" i="29"/>
  <c r="N1303" i="29"/>
  <c r="N1306" i="29"/>
  <c r="N1309" i="29"/>
  <c r="N1312" i="29"/>
  <c r="N1315" i="29"/>
  <c r="N1318" i="29"/>
  <c r="N1321" i="29"/>
  <c r="M1540" i="29"/>
  <c r="N1540" i="29"/>
  <c r="M1546" i="29"/>
  <c r="N1546" i="29" s="1"/>
  <c r="M1552" i="29"/>
  <c r="M1553" i="29"/>
  <c r="M1555" i="29"/>
  <c r="N1560" i="29"/>
  <c r="N1563" i="29"/>
  <c r="N1566" i="29"/>
  <c r="M1572" i="29"/>
  <c r="M1578" i="29" s="1"/>
  <c r="N1578" i="29" s="1"/>
  <c r="M1573" i="29"/>
  <c r="M1575" i="29"/>
  <c r="N1580" i="29"/>
  <c r="N1583" i="29"/>
  <c r="M1586" i="29"/>
  <c r="N1586" i="29" s="1"/>
  <c r="M1600" i="29"/>
  <c r="N1600" i="29" s="1"/>
  <c r="M1614" i="29"/>
  <c r="N1614" i="29" s="1"/>
  <c r="N1616" i="29"/>
  <c r="N1619" i="29"/>
  <c r="N1622" i="29"/>
  <c r="N1625" i="29"/>
  <c r="M1635" i="29"/>
  <c r="N1635" i="29" s="1"/>
  <c r="M1639" i="29"/>
  <c r="M1641" i="29" s="1"/>
  <c r="N1641" i="29"/>
  <c r="Q425" i="28"/>
  <c r="I110" i="29"/>
  <c r="N2000" i="29"/>
  <c r="I2000" i="29" s="1"/>
  <c r="F248" i="30"/>
  <c r="F245" i="30"/>
  <c r="F246" i="30" s="1"/>
  <c r="F247" i="30"/>
  <c r="F243" i="30"/>
  <c r="F233" i="30"/>
  <c r="E234" i="30"/>
  <c r="F234" i="30"/>
  <c r="F235" i="30"/>
  <c r="F237" i="30"/>
  <c r="E238" i="30"/>
  <c r="F238" i="30"/>
  <c r="E239" i="30"/>
  <c r="F239" i="30"/>
  <c r="F230" i="30"/>
  <c r="F227" i="30"/>
  <c r="F228" i="30"/>
  <c r="F229" i="30" s="1"/>
  <c r="F225" i="30"/>
  <c r="F217" i="30"/>
  <c r="F214" i="30"/>
  <c r="F215" i="30" s="1"/>
  <c r="F196" i="30"/>
  <c r="F200" i="30"/>
  <c r="F207" i="30" s="1"/>
  <c r="F197" i="30"/>
  <c r="F198" i="30"/>
  <c r="F199" i="30" s="1"/>
  <c r="F14" i="30"/>
  <c r="F28" i="30"/>
  <c r="F43" i="30"/>
  <c r="F57" i="30"/>
  <c r="F80" i="30"/>
  <c r="F94" i="30"/>
  <c r="E117" i="30"/>
  <c r="E118" i="30"/>
  <c r="F119" i="30"/>
  <c r="F136" i="30"/>
  <c r="D149" i="30"/>
  <c r="D150" i="30"/>
  <c r="D151" i="30"/>
  <c r="D152" i="30"/>
  <c r="F161" i="30"/>
  <c r="F162" i="30"/>
  <c r="F125" i="30"/>
  <c r="F129" i="30"/>
  <c r="F126" i="30"/>
  <c r="F127" i="30"/>
  <c r="F128" i="30" s="1"/>
  <c r="F63" i="30"/>
  <c r="F64" i="30" s="1"/>
  <c r="F61" i="30"/>
  <c r="F49" i="30"/>
  <c r="F50" i="30"/>
  <c r="F51" i="30" s="1"/>
  <c r="F53" i="30"/>
  <c r="F35" i="30"/>
  <c r="F21" i="30"/>
  <c r="F25" i="30"/>
  <c r="F22" i="30"/>
  <c r="F23" i="30"/>
  <c r="F24" i="30" s="1"/>
  <c r="F17" i="29"/>
  <c r="G17" i="29"/>
  <c r="H17" i="29" s="1"/>
  <c r="F18" i="29"/>
  <c r="G18" i="29"/>
  <c r="F19" i="29"/>
  <c r="H19" i="29" s="1"/>
  <c r="G19" i="29"/>
  <c r="F20" i="29"/>
  <c r="G20" i="29"/>
  <c r="H20" i="29" s="1"/>
  <c r="F22" i="29"/>
  <c r="H22" i="29" s="1"/>
  <c r="G22" i="29"/>
  <c r="F23" i="29"/>
  <c r="G23" i="29"/>
  <c r="H23" i="29" s="1"/>
  <c r="F24" i="29"/>
  <c r="G24" i="29"/>
  <c r="H24" i="29"/>
  <c r="F25" i="29"/>
  <c r="G25" i="29"/>
  <c r="F26" i="29"/>
  <c r="G26" i="29"/>
  <c r="H26" i="29"/>
  <c r="F28" i="29"/>
  <c r="G28" i="29"/>
  <c r="F29" i="29"/>
  <c r="H29" i="29" s="1"/>
  <c r="G29" i="29"/>
  <c r="F30" i="29"/>
  <c r="G30" i="29"/>
  <c r="H30" i="29" s="1"/>
  <c r="F31" i="29"/>
  <c r="H31" i="29" s="1"/>
  <c r="G31" i="29"/>
  <c r="F33" i="29"/>
  <c r="G33" i="29"/>
  <c r="H33" i="29" s="1"/>
  <c r="F34" i="29"/>
  <c r="H34" i="29" s="1"/>
  <c r="G34" i="29"/>
  <c r="F36" i="29"/>
  <c r="G36" i="29"/>
  <c r="H36" i="29" s="1"/>
  <c r="F37" i="29"/>
  <c r="G37" i="29"/>
  <c r="H37" i="29"/>
  <c r="F38" i="29"/>
  <c r="G38" i="29"/>
  <c r="F40" i="29"/>
  <c r="G40" i="29"/>
  <c r="H40" i="29"/>
  <c r="F41" i="29"/>
  <c r="G41" i="29"/>
  <c r="H41" i="29" s="1"/>
  <c r="F43" i="29"/>
  <c r="G43" i="29"/>
  <c r="F44" i="29"/>
  <c r="G44" i="29"/>
  <c r="F45" i="29"/>
  <c r="H45" i="29" s="1"/>
  <c r="G45" i="29"/>
  <c r="F46" i="29"/>
  <c r="G46" i="29"/>
  <c r="H46" i="29" s="1"/>
  <c r="F47" i="29"/>
  <c r="G47" i="29"/>
  <c r="H47" i="29" s="1"/>
  <c r="F49" i="29"/>
  <c r="G49" i="29"/>
  <c r="F50" i="29"/>
  <c r="G50" i="29"/>
  <c r="H50" i="29"/>
  <c r="F52" i="29"/>
  <c r="G52" i="29"/>
  <c r="H52" i="29" s="1"/>
  <c r="F53" i="29"/>
  <c r="G53" i="29"/>
  <c r="F55" i="29"/>
  <c r="G55" i="29"/>
  <c r="F57" i="29"/>
  <c r="G57" i="29"/>
  <c r="H57" i="29"/>
  <c r="F58" i="29"/>
  <c r="G58" i="29"/>
  <c r="F59" i="29"/>
  <c r="G59" i="29"/>
  <c r="H59" i="29" s="1"/>
  <c r="F60" i="29"/>
  <c r="G60" i="29"/>
  <c r="F61" i="29"/>
  <c r="H61" i="29" s="1"/>
  <c r="G61" i="29"/>
  <c r="F64" i="29"/>
  <c r="G64" i="29"/>
  <c r="H64" i="29" s="1"/>
  <c r="F65" i="29"/>
  <c r="H65" i="29" s="1"/>
  <c r="G65" i="29"/>
  <c r="F66" i="29"/>
  <c r="G66" i="29"/>
  <c r="H66" i="29" s="1"/>
  <c r="F68" i="29"/>
  <c r="G68" i="29"/>
  <c r="H68" i="29"/>
  <c r="F69" i="29"/>
  <c r="G69" i="29"/>
  <c r="F71" i="29"/>
  <c r="G71" i="29"/>
  <c r="H71" i="29"/>
  <c r="F73" i="29"/>
  <c r="G73" i="29"/>
  <c r="F75" i="29"/>
  <c r="H75" i="29" s="1"/>
  <c r="G75" i="29"/>
  <c r="F77" i="29"/>
  <c r="G77" i="29"/>
  <c r="H77" i="29" s="1"/>
  <c r="F79" i="29"/>
  <c r="H79" i="29" s="1"/>
  <c r="G79" i="29"/>
  <c r="F81" i="29"/>
  <c r="G81" i="29"/>
  <c r="H81" i="29" s="1"/>
  <c r="F82" i="29"/>
  <c r="H82" i="29" s="1"/>
  <c r="G82" i="29"/>
  <c r="F84" i="29"/>
  <c r="G84" i="29"/>
  <c r="H84" i="29" s="1"/>
  <c r="F85" i="29"/>
  <c r="G85" i="29"/>
  <c r="H85" i="29"/>
  <c r="F86" i="29"/>
  <c r="G86" i="29"/>
  <c r="F87" i="29"/>
  <c r="G87" i="29"/>
  <c r="H87" i="29"/>
  <c r="F88" i="29"/>
  <c r="G88" i="29"/>
  <c r="H88" i="29" s="1"/>
  <c r="F90" i="29"/>
  <c r="G90" i="29"/>
  <c r="F91" i="29"/>
  <c r="G91" i="29"/>
  <c r="F92" i="29"/>
  <c r="H92" i="29" s="1"/>
  <c r="G92" i="29"/>
  <c r="F93" i="29"/>
  <c r="G93" i="29"/>
  <c r="H93" i="29" s="1"/>
  <c r="F95" i="29"/>
  <c r="G95" i="29"/>
  <c r="H95" i="29" s="1"/>
  <c r="F96" i="29"/>
  <c r="G96" i="29"/>
  <c r="F98" i="29"/>
  <c r="G98" i="29"/>
  <c r="H98" i="29"/>
  <c r="F100" i="29"/>
  <c r="G100" i="29"/>
  <c r="H100" i="29" s="1"/>
  <c r="F101" i="29"/>
  <c r="G101" i="29"/>
  <c r="F102" i="29"/>
  <c r="G102" i="29"/>
  <c r="F104" i="29"/>
  <c r="G104" i="29"/>
  <c r="H104" i="29"/>
  <c r="F110" i="29"/>
  <c r="G110" i="29"/>
  <c r="F114" i="29"/>
  <c r="G114" i="29"/>
  <c r="H114" i="29" s="1"/>
  <c r="F117" i="29"/>
  <c r="G117" i="29"/>
  <c r="F120" i="29"/>
  <c r="H120" i="29" s="1"/>
  <c r="G120" i="29"/>
  <c r="F123" i="29"/>
  <c r="G123" i="29"/>
  <c r="H123" i="29" s="1"/>
  <c r="F126" i="29"/>
  <c r="H126" i="29" s="1"/>
  <c r="G126" i="29"/>
  <c r="F129" i="29"/>
  <c r="G129" i="29"/>
  <c r="H129" i="29" s="1"/>
  <c r="F134" i="29"/>
  <c r="G134" i="29"/>
  <c r="H134" i="29"/>
  <c r="F142" i="29"/>
  <c r="G142" i="29"/>
  <c r="F144" i="29"/>
  <c r="G144" i="29"/>
  <c r="H144" i="29"/>
  <c r="F147" i="29"/>
  <c r="G147" i="29"/>
  <c r="F150" i="29"/>
  <c r="H150" i="29" s="1"/>
  <c r="G150" i="29"/>
  <c r="F153" i="29"/>
  <c r="G153" i="29"/>
  <c r="H153" i="29" s="1"/>
  <c r="F156" i="29"/>
  <c r="H156" i="29" s="1"/>
  <c r="G156" i="29"/>
  <c r="F159" i="29"/>
  <c r="G159" i="29"/>
  <c r="H159" i="29" s="1"/>
  <c r="F162" i="29"/>
  <c r="H162" i="29" s="1"/>
  <c r="G162" i="29"/>
  <c r="F165" i="29"/>
  <c r="G165" i="29"/>
  <c r="H165" i="29" s="1"/>
  <c r="G168" i="29"/>
  <c r="F171" i="29"/>
  <c r="G171" i="29"/>
  <c r="H171" i="29" s="1"/>
  <c r="F174" i="29"/>
  <c r="H174" i="29" s="1"/>
  <c r="G174" i="29"/>
  <c r="F177" i="29"/>
  <c r="G177" i="29"/>
  <c r="H177" i="29" s="1"/>
  <c r="G180" i="29"/>
  <c r="F183" i="29"/>
  <c r="G183" i="29"/>
  <c r="F186" i="29"/>
  <c r="G186" i="29"/>
  <c r="H186" i="29"/>
  <c r="F189" i="29"/>
  <c r="G189" i="29"/>
  <c r="F199" i="29"/>
  <c r="G199" i="29"/>
  <c r="H199" i="29"/>
  <c r="G209" i="29"/>
  <c r="F220" i="29"/>
  <c r="H220" i="29" s="1"/>
  <c r="G220" i="29"/>
  <c r="F222" i="29"/>
  <c r="G222" i="29"/>
  <c r="H222" i="29" s="1"/>
  <c r="F225" i="29"/>
  <c r="H225" i="29" s="1"/>
  <c r="G225" i="29"/>
  <c r="F228" i="29"/>
  <c r="G228" i="29"/>
  <c r="H228" i="29" s="1"/>
  <c r="F231" i="29"/>
  <c r="G231" i="29"/>
  <c r="H231" i="29"/>
  <c r="G245" i="29"/>
  <c r="F256" i="29"/>
  <c r="G256" i="29"/>
  <c r="H256" i="29"/>
  <c r="G260" i="29"/>
  <c r="G264" i="29"/>
  <c r="G268" i="29"/>
  <c r="F270" i="29"/>
  <c r="H270" i="29" s="1"/>
  <c r="G270" i="29"/>
  <c r="G275" i="29"/>
  <c r="F277" i="29"/>
  <c r="H277" i="29" s="1"/>
  <c r="G277" i="29"/>
  <c r="G280" i="29"/>
  <c r="G292" i="29"/>
  <c r="F294" i="29"/>
  <c r="G294" i="29"/>
  <c r="F297" i="29"/>
  <c r="G297" i="29"/>
  <c r="H297" i="29"/>
  <c r="G311" i="29"/>
  <c r="F324" i="29"/>
  <c r="H324" i="29" s="1"/>
  <c r="G324" i="29"/>
  <c r="F326" i="29"/>
  <c r="G326" i="29"/>
  <c r="H326" i="29" s="1"/>
  <c r="F329" i="29"/>
  <c r="H329" i="29" s="1"/>
  <c r="G329" i="29"/>
  <c r="F332" i="29"/>
  <c r="G332" i="29"/>
  <c r="F335" i="29"/>
  <c r="G335" i="29"/>
  <c r="H335" i="29"/>
  <c r="G338" i="29"/>
  <c r="F341" i="29"/>
  <c r="G341" i="29"/>
  <c r="H341" i="29"/>
  <c r="F344" i="29"/>
  <c r="G344" i="29"/>
  <c r="F347" i="29"/>
  <c r="G347" i="29"/>
  <c r="H347" i="29" s="1"/>
  <c r="F350" i="29"/>
  <c r="G350" i="29"/>
  <c r="F353" i="29"/>
  <c r="H353" i="29" s="1"/>
  <c r="G353" i="29"/>
  <c r="F356" i="29"/>
  <c r="G356" i="29"/>
  <c r="H356" i="29" s="1"/>
  <c r="F359" i="29"/>
  <c r="H359" i="29" s="1"/>
  <c r="G359" i="29"/>
  <c r="F362" i="29"/>
  <c r="G362" i="29"/>
  <c r="F365" i="29"/>
  <c r="G365" i="29"/>
  <c r="H365" i="29"/>
  <c r="F368" i="29"/>
  <c r="G368" i="29"/>
  <c r="F380" i="29"/>
  <c r="G380" i="29"/>
  <c r="H380" i="29" s="1"/>
  <c r="G393" i="29"/>
  <c r="G402" i="29"/>
  <c r="F404" i="29"/>
  <c r="G404" i="29"/>
  <c r="G416" i="29"/>
  <c r="F427" i="29"/>
  <c r="G427" i="29"/>
  <c r="H427" i="29" s="1"/>
  <c r="G438" i="29"/>
  <c r="F444" i="29"/>
  <c r="G444" i="29"/>
  <c r="G448" i="29"/>
  <c r="F450" i="29"/>
  <c r="G450" i="29"/>
  <c r="H450" i="29" s="1"/>
  <c r="G462" i="29"/>
  <c r="G473" i="29"/>
  <c r="F475" i="29"/>
  <c r="G475" i="29"/>
  <c r="H475" i="29" s="1"/>
  <c r="F481" i="29"/>
  <c r="G481" i="29"/>
  <c r="F483" i="29"/>
  <c r="H483" i="29" s="1"/>
  <c r="G483" i="29"/>
  <c r="F486" i="29"/>
  <c r="G486" i="29"/>
  <c r="H486" i="29" s="1"/>
  <c r="F489" i="29"/>
  <c r="H489" i="29" s="1"/>
  <c r="G489" i="29"/>
  <c r="F492" i="29"/>
  <c r="G492" i="29"/>
  <c r="F495" i="29"/>
  <c r="G495" i="29"/>
  <c r="H495" i="29"/>
  <c r="G498" i="29"/>
  <c r="G501" i="29"/>
  <c r="F504" i="29"/>
  <c r="G504" i="29"/>
  <c r="H504" i="29" s="1"/>
  <c r="G507" i="29"/>
  <c r="F510" i="29"/>
  <c r="G510" i="29"/>
  <c r="F513" i="29"/>
  <c r="H513" i="29" s="1"/>
  <c r="G513" i="29"/>
  <c r="F516" i="29"/>
  <c r="G516" i="29"/>
  <c r="H516" i="29" s="1"/>
  <c r="F519" i="29"/>
  <c r="H519" i="29" s="1"/>
  <c r="G519" i="29"/>
  <c r="F522" i="29"/>
  <c r="G522" i="29"/>
  <c r="F525" i="29"/>
  <c r="G525" i="29"/>
  <c r="H525" i="29"/>
  <c r="F533" i="29"/>
  <c r="G533" i="29"/>
  <c r="F538" i="29"/>
  <c r="G538" i="29"/>
  <c r="H538" i="29" s="1"/>
  <c r="F541" i="29"/>
  <c r="G541" i="29"/>
  <c r="F544" i="29"/>
  <c r="H544" i="29" s="1"/>
  <c r="G544" i="29"/>
  <c r="F550" i="29"/>
  <c r="G550" i="29"/>
  <c r="H550" i="29" s="1"/>
  <c r="F553" i="29"/>
  <c r="G553" i="29"/>
  <c r="F556" i="29"/>
  <c r="G556" i="29"/>
  <c r="F559" i="29"/>
  <c r="H559" i="29" s="1"/>
  <c r="G559" i="29"/>
  <c r="F562" i="29"/>
  <c r="G562" i="29"/>
  <c r="F568" i="29"/>
  <c r="G568" i="29"/>
  <c r="F571" i="29"/>
  <c r="G571" i="29"/>
  <c r="F585" i="29"/>
  <c r="G585" i="29"/>
  <c r="H585" i="29" s="1"/>
  <c r="F592" i="29"/>
  <c r="G592" i="29"/>
  <c r="F594" i="29"/>
  <c r="H594" i="29" s="1"/>
  <c r="G594" i="29"/>
  <c r="F601" i="29"/>
  <c r="G601" i="29"/>
  <c r="H601" i="29" s="1"/>
  <c r="G605" i="29"/>
  <c r="F609" i="29"/>
  <c r="G609" i="29"/>
  <c r="F614" i="29"/>
  <c r="G614" i="29"/>
  <c r="H614" i="29"/>
  <c r="F621" i="29"/>
  <c r="G621" i="29"/>
  <c r="F623" i="29"/>
  <c r="G623" i="29"/>
  <c r="H623" i="29" s="1"/>
  <c r="F626" i="29"/>
  <c r="G626" i="29"/>
  <c r="F629" i="29"/>
  <c r="H629" i="29" s="1"/>
  <c r="G629" i="29"/>
  <c r="F632" i="29"/>
  <c r="G632" i="29"/>
  <c r="H632" i="29" s="1"/>
  <c r="F635" i="29"/>
  <c r="H635" i="29" s="1"/>
  <c r="G635" i="29"/>
  <c r="F638" i="29"/>
  <c r="G638" i="29"/>
  <c r="F646" i="29"/>
  <c r="G646" i="29"/>
  <c r="H646" i="29"/>
  <c r="F655" i="29"/>
  <c r="G655" i="29"/>
  <c r="F665" i="29"/>
  <c r="G665" i="29"/>
  <c r="H665" i="29" s="1"/>
  <c r="F667" i="29"/>
  <c r="G667" i="29"/>
  <c r="F674" i="29"/>
  <c r="H674" i="29" s="1"/>
  <c r="G674" i="29"/>
  <c r="F680" i="29"/>
  <c r="G680" i="29"/>
  <c r="F687" i="29"/>
  <c r="H687" i="29" s="1"/>
  <c r="G687" i="29"/>
  <c r="F690" i="29"/>
  <c r="G690" i="29"/>
  <c r="H690" i="29" s="1"/>
  <c r="F695" i="29"/>
  <c r="H695" i="29" s="1"/>
  <c r="G695" i="29"/>
  <c r="F698" i="29"/>
  <c r="G698" i="29"/>
  <c r="F701" i="29"/>
  <c r="G701" i="29"/>
  <c r="H701" i="29"/>
  <c r="F706" i="29"/>
  <c r="G706" i="29"/>
  <c r="F707" i="29"/>
  <c r="G707" i="29"/>
  <c r="H707" i="29" s="1"/>
  <c r="F708" i="29"/>
  <c r="G708" i="29"/>
  <c r="F712" i="29"/>
  <c r="H712" i="29" s="1"/>
  <c r="G712" i="29"/>
  <c r="F713" i="29"/>
  <c r="G713" i="29"/>
  <c r="H713" i="29" s="1"/>
  <c r="F714" i="29"/>
  <c r="H714" i="29" s="1"/>
  <c r="G714" i="29"/>
  <c r="F719" i="29"/>
  <c r="G719" i="29"/>
  <c r="F722" i="29"/>
  <c r="G722" i="29"/>
  <c r="H722" i="29"/>
  <c r="F723" i="29"/>
  <c r="G723" i="29"/>
  <c r="F724" i="29"/>
  <c r="G724" i="29"/>
  <c r="H724" i="29" s="1"/>
  <c r="F725" i="29"/>
  <c r="G725" i="29"/>
  <c r="F726" i="29"/>
  <c r="H726" i="29" s="1"/>
  <c r="G726" i="29"/>
  <c r="F727" i="29"/>
  <c r="G727" i="29"/>
  <c r="H727" i="29" s="1"/>
  <c r="F728" i="29"/>
  <c r="H728" i="29" s="1"/>
  <c r="G728" i="29"/>
  <c r="F729" i="29"/>
  <c r="G729" i="29"/>
  <c r="F730" i="29"/>
  <c r="G730" i="29"/>
  <c r="H730" i="29"/>
  <c r="F731" i="29"/>
  <c r="G731" i="29"/>
  <c r="F734" i="29"/>
  <c r="G734" i="29"/>
  <c r="H734" i="29" s="1"/>
  <c r="F735" i="29"/>
  <c r="G735" i="29"/>
  <c r="F736" i="29"/>
  <c r="H736" i="29" s="1"/>
  <c r="G736" i="29"/>
  <c r="F737" i="29"/>
  <c r="G737" i="29"/>
  <c r="H737" i="29" s="1"/>
  <c r="F738" i="29"/>
  <c r="H738" i="29" s="1"/>
  <c r="G738" i="29"/>
  <c r="F739" i="29"/>
  <c r="G739" i="29"/>
  <c r="F740" i="29"/>
  <c r="G740" i="29"/>
  <c r="H740" i="29"/>
  <c r="F741" i="29"/>
  <c r="G741" i="29"/>
  <c r="F742" i="29"/>
  <c r="G742" i="29"/>
  <c r="H742" i="29" s="1"/>
  <c r="F743" i="29"/>
  <c r="G743" i="29"/>
  <c r="F744" i="29"/>
  <c r="H744" i="29" s="1"/>
  <c r="G744" i="29"/>
  <c r="F745" i="29"/>
  <c r="G745" i="29"/>
  <c r="H745" i="29" s="1"/>
  <c r="F746" i="29"/>
  <c r="H746" i="29" s="1"/>
  <c r="G746" i="29"/>
  <c r="F749" i="29"/>
  <c r="G749" i="29"/>
  <c r="F750" i="29"/>
  <c r="G750" i="29"/>
  <c r="H750" i="29"/>
  <c r="F751" i="29"/>
  <c r="G751" i="29"/>
  <c r="F754" i="29"/>
  <c r="G754" i="29"/>
  <c r="H754" i="29" s="1"/>
  <c r="F755" i="29"/>
  <c r="G755" i="29"/>
  <c r="F756" i="29"/>
  <c r="H756" i="29" s="1"/>
  <c r="G756" i="29"/>
  <c r="F757" i="29"/>
  <c r="G757" i="29"/>
  <c r="H757" i="29" s="1"/>
  <c r="F758" i="29"/>
  <c r="H758" i="29" s="1"/>
  <c r="G758" i="29"/>
  <c r="F759" i="29"/>
  <c r="G759" i="29"/>
  <c r="F760" i="29"/>
  <c r="G760" i="29"/>
  <c r="H760" i="29"/>
  <c r="F761" i="29"/>
  <c r="G761" i="29"/>
  <c r="F762" i="29"/>
  <c r="G762" i="29"/>
  <c r="H762" i="29" s="1"/>
  <c r="F763" i="29"/>
  <c r="G763" i="29"/>
  <c r="F764" i="29"/>
  <c r="H764" i="29" s="1"/>
  <c r="G764" i="29"/>
  <c r="F765" i="29"/>
  <c r="G765" i="29"/>
  <c r="H765" i="29" s="1"/>
  <c r="F766" i="29"/>
  <c r="H766" i="29" s="1"/>
  <c r="G766" i="29"/>
  <c r="F849" i="29"/>
  <c r="G849" i="29"/>
  <c r="F852" i="29"/>
  <c r="G852" i="29"/>
  <c r="H852" i="29"/>
  <c r="F853" i="29"/>
  <c r="G853" i="29"/>
  <c r="F854" i="29"/>
  <c r="G854" i="29"/>
  <c r="H854" i="29" s="1"/>
  <c r="F855" i="29"/>
  <c r="G855" i="29"/>
  <c r="F856" i="29"/>
  <c r="H856" i="29" s="1"/>
  <c r="G856" i="29"/>
  <c r="F857" i="29"/>
  <c r="G857" i="29"/>
  <c r="H857" i="29" s="1"/>
  <c r="F858" i="29"/>
  <c r="H858" i="29" s="1"/>
  <c r="G858" i="29"/>
  <c r="F859" i="29"/>
  <c r="G859" i="29"/>
  <c r="F860" i="29"/>
  <c r="G860" i="29"/>
  <c r="H860" i="29"/>
  <c r="F863" i="29"/>
  <c r="G863" i="29"/>
  <c r="F864" i="29"/>
  <c r="G864" i="29"/>
  <c r="H864" i="29" s="1"/>
  <c r="F865" i="29"/>
  <c r="G865" i="29"/>
  <c r="F866" i="29"/>
  <c r="H866" i="29" s="1"/>
  <c r="G866" i="29"/>
  <c r="F867" i="29"/>
  <c r="G867" i="29"/>
  <c r="H867" i="29" s="1"/>
  <c r="F868" i="29"/>
  <c r="H868" i="29" s="1"/>
  <c r="G868" i="29"/>
  <c r="F869" i="29"/>
  <c r="G869" i="29"/>
  <c r="F872" i="29"/>
  <c r="G872" i="29"/>
  <c r="H872" i="29"/>
  <c r="F873" i="29"/>
  <c r="G873" i="29"/>
  <c r="F874" i="29"/>
  <c r="G874" i="29"/>
  <c r="H874" i="29" s="1"/>
  <c r="F875" i="29"/>
  <c r="G875" i="29"/>
  <c r="F876" i="29"/>
  <c r="H876" i="29" s="1"/>
  <c r="G876" i="29"/>
  <c r="F877" i="29"/>
  <c r="G877" i="29"/>
  <c r="H877" i="29" s="1"/>
  <c r="F878" i="29"/>
  <c r="H878" i="29" s="1"/>
  <c r="G878" i="29"/>
  <c r="F879" i="29"/>
  <c r="G879" i="29"/>
  <c r="F880" i="29"/>
  <c r="G880" i="29"/>
  <c r="H880" i="29"/>
  <c r="F883" i="29"/>
  <c r="G883" i="29"/>
  <c r="F884" i="29"/>
  <c r="G884" i="29"/>
  <c r="H884" i="29" s="1"/>
  <c r="F885" i="29"/>
  <c r="G885" i="29"/>
  <c r="F886" i="29"/>
  <c r="H886" i="29" s="1"/>
  <c r="G886" i="29"/>
  <c r="F887" i="29"/>
  <c r="G887" i="29"/>
  <c r="H887" i="29" s="1"/>
  <c r="F888" i="29"/>
  <c r="H888" i="29" s="1"/>
  <c r="G888" i="29"/>
  <c r="F891" i="29"/>
  <c r="G891" i="29"/>
  <c r="F892" i="29"/>
  <c r="G892" i="29"/>
  <c r="H892" i="29"/>
  <c r="F893" i="29"/>
  <c r="G893" i="29"/>
  <c r="F894" i="29"/>
  <c r="G894" i="29"/>
  <c r="H894" i="29" s="1"/>
  <c r="F895" i="29"/>
  <c r="G895" i="29"/>
  <c r="F896" i="29"/>
  <c r="H896" i="29" s="1"/>
  <c r="G896" i="29"/>
  <c r="F897" i="29"/>
  <c r="G897" i="29"/>
  <c r="H897" i="29" s="1"/>
  <c r="F898" i="29"/>
  <c r="H898" i="29" s="1"/>
  <c r="G898" i="29"/>
  <c r="F901" i="29"/>
  <c r="G901" i="29"/>
  <c r="F902" i="29"/>
  <c r="G902" i="29"/>
  <c r="H902" i="29"/>
  <c r="F903" i="29"/>
  <c r="G903" i="29"/>
  <c r="F904" i="29"/>
  <c r="G904" i="29"/>
  <c r="H904" i="29" s="1"/>
  <c r="F905" i="29"/>
  <c r="G905" i="29"/>
  <c r="F906" i="29"/>
  <c r="H906" i="29" s="1"/>
  <c r="G906" i="29"/>
  <c r="F907" i="29"/>
  <c r="G907" i="29"/>
  <c r="H907" i="29" s="1"/>
  <c r="F908" i="29"/>
  <c r="H908" i="29" s="1"/>
  <c r="G908" i="29"/>
  <c r="F911" i="29"/>
  <c r="G911" i="29"/>
  <c r="F912" i="29"/>
  <c r="G912" i="29"/>
  <c r="H912" i="29"/>
  <c r="F913" i="29"/>
  <c r="G913" i="29"/>
  <c r="F914" i="29"/>
  <c r="G914" i="29"/>
  <c r="H914" i="29" s="1"/>
  <c r="F915" i="29"/>
  <c r="G915" i="29"/>
  <c r="F916" i="29"/>
  <c r="H916" i="29" s="1"/>
  <c r="G916" i="29"/>
  <c r="F917" i="29"/>
  <c r="G917" i="29"/>
  <c r="H917" i="29" s="1"/>
  <c r="F918" i="29"/>
  <c r="H918" i="29" s="1"/>
  <c r="G918" i="29"/>
  <c r="F919" i="29"/>
  <c r="G919" i="29"/>
  <c r="F920" i="29"/>
  <c r="G920" i="29"/>
  <c r="H920" i="29"/>
  <c r="F921" i="29"/>
  <c r="G921" i="29"/>
  <c r="F924" i="29"/>
  <c r="G924" i="29"/>
  <c r="H924" i="29" s="1"/>
  <c r="F925" i="29"/>
  <c r="G925" i="29"/>
  <c r="F926" i="29"/>
  <c r="H926" i="29" s="1"/>
  <c r="G926" i="29"/>
  <c r="F927" i="29"/>
  <c r="G927" i="29"/>
  <c r="H927" i="29" s="1"/>
  <c r="F930" i="29"/>
  <c r="H930" i="29" s="1"/>
  <c r="G930" i="29"/>
  <c r="F931" i="29"/>
  <c r="G931" i="29"/>
  <c r="F932" i="29"/>
  <c r="G932" i="29"/>
  <c r="H932" i="29"/>
  <c r="F933" i="29"/>
  <c r="G933" i="29"/>
  <c r="F934" i="29"/>
  <c r="G934" i="29"/>
  <c r="H934" i="29" s="1"/>
  <c r="F935" i="29"/>
  <c r="G935" i="29"/>
  <c r="F936" i="29"/>
  <c r="H936" i="29" s="1"/>
  <c r="G936" i="29"/>
  <c r="F937" i="29"/>
  <c r="G937" i="29"/>
  <c r="H937" i="29" s="1"/>
  <c r="F938" i="29"/>
  <c r="H938" i="29" s="1"/>
  <c r="G938" i="29"/>
  <c r="F939" i="29"/>
  <c r="G939" i="29"/>
  <c r="F942" i="29"/>
  <c r="G942" i="29"/>
  <c r="H942" i="29"/>
  <c r="F943" i="29"/>
  <c r="G943" i="29"/>
  <c r="F944" i="29"/>
  <c r="G944" i="29"/>
  <c r="H944" i="29" s="1"/>
  <c r="F945" i="29"/>
  <c r="G945" i="29"/>
  <c r="F946" i="29"/>
  <c r="H946" i="29" s="1"/>
  <c r="G946" i="29"/>
  <c r="F947" i="29"/>
  <c r="G947" i="29"/>
  <c r="H947" i="29" s="1"/>
  <c r="F948" i="29"/>
  <c r="H948" i="29" s="1"/>
  <c r="G948" i="29"/>
  <c r="F949" i="29"/>
  <c r="G949" i="29"/>
  <c r="F950" i="29"/>
  <c r="G950" i="29"/>
  <c r="H950" i="29"/>
  <c r="F951" i="29"/>
  <c r="G951" i="29"/>
  <c r="F952" i="29"/>
  <c r="G952" i="29"/>
  <c r="H952" i="29" s="1"/>
  <c r="F953" i="29"/>
  <c r="G953" i="29"/>
  <c r="F957" i="29"/>
  <c r="H957" i="29" s="1"/>
  <c r="G957" i="29"/>
  <c r="F960" i="29"/>
  <c r="G960" i="29"/>
  <c r="H960" i="29" s="1"/>
  <c r="F963" i="29"/>
  <c r="H963" i="29" s="1"/>
  <c r="G963" i="29"/>
  <c r="F964" i="29"/>
  <c r="G964" i="29"/>
  <c r="F965" i="29"/>
  <c r="G965" i="29"/>
  <c r="H965" i="29"/>
  <c r="F966" i="29"/>
  <c r="G966" i="29"/>
  <c r="F967" i="29"/>
  <c r="G967" i="29"/>
  <c r="H967" i="29" s="1"/>
  <c r="F968" i="29"/>
  <c r="G968" i="29"/>
  <c r="F969" i="29"/>
  <c r="H969" i="29" s="1"/>
  <c r="G969" i="29"/>
  <c r="F970" i="29"/>
  <c r="G970" i="29"/>
  <c r="H970" i="29" s="1"/>
  <c r="F971" i="29"/>
  <c r="H971" i="29" s="1"/>
  <c r="G971" i="29"/>
  <c r="F972" i="29"/>
  <c r="G972" i="29"/>
  <c r="F973" i="29"/>
  <c r="G973" i="29"/>
  <c r="H973" i="29"/>
  <c r="F974" i="29"/>
  <c r="G974" i="29"/>
  <c r="F978" i="29"/>
  <c r="G978" i="29"/>
  <c r="H978" i="29" s="1"/>
  <c r="F979" i="29"/>
  <c r="G979" i="29"/>
  <c r="F980" i="29"/>
  <c r="H980" i="29" s="1"/>
  <c r="G980" i="29"/>
  <c r="F981" i="29"/>
  <c r="G981" i="29"/>
  <c r="H981" i="29" s="1"/>
  <c r="F982" i="29"/>
  <c r="H982" i="29" s="1"/>
  <c r="G982" i="29"/>
  <c r="F983" i="29"/>
  <c r="G983" i="29"/>
  <c r="F984" i="29"/>
  <c r="G984" i="29"/>
  <c r="H984" i="29"/>
  <c r="F985" i="29"/>
  <c r="G985" i="29"/>
  <c r="F986" i="29"/>
  <c r="G986" i="29"/>
  <c r="H986" i="29" s="1"/>
  <c r="F987" i="29"/>
  <c r="G987" i="29"/>
  <c r="F991" i="29"/>
  <c r="H991" i="29" s="1"/>
  <c r="G991" i="29"/>
  <c r="F992" i="29"/>
  <c r="G992" i="29"/>
  <c r="H992" i="29" s="1"/>
  <c r="F993" i="29"/>
  <c r="H993" i="29" s="1"/>
  <c r="G993" i="29"/>
  <c r="F994" i="29"/>
  <c r="G994" i="29"/>
  <c r="F995" i="29"/>
  <c r="G995" i="29"/>
  <c r="H995" i="29"/>
  <c r="F996" i="29"/>
  <c r="G996" i="29"/>
  <c r="F997" i="29"/>
  <c r="G997" i="29"/>
  <c r="H997" i="29" s="1"/>
  <c r="F998" i="29"/>
  <c r="G998" i="29"/>
  <c r="F999" i="29"/>
  <c r="H999" i="29" s="1"/>
  <c r="G999" i="29"/>
  <c r="F1003" i="29"/>
  <c r="G1003" i="29"/>
  <c r="H1003" i="29" s="1"/>
  <c r="F1004" i="29"/>
  <c r="H1004" i="29" s="1"/>
  <c r="G1004" i="29"/>
  <c r="F1005" i="29"/>
  <c r="G1005" i="29"/>
  <c r="F1006" i="29"/>
  <c r="G1006" i="29"/>
  <c r="H1006" i="29"/>
  <c r="F1007" i="29"/>
  <c r="G1007" i="29"/>
  <c r="F1008" i="29"/>
  <c r="G1008" i="29"/>
  <c r="H1008" i="29" s="1"/>
  <c r="F1009" i="29"/>
  <c r="G1009" i="29"/>
  <c r="F1010" i="29"/>
  <c r="H1010" i="29" s="1"/>
  <c r="G1010" i="29"/>
  <c r="F1011" i="29"/>
  <c r="G1011" i="29"/>
  <c r="H1011" i="29" s="1"/>
  <c r="F1014" i="29"/>
  <c r="H1014" i="29" s="1"/>
  <c r="G1014" i="29"/>
  <c r="F1015" i="29"/>
  <c r="G1015" i="29"/>
  <c r="F1016" i="29"/>
  <c r="G1016" i="29"/>
  <c r="H1016" i="29"/>
  <c r="F1017" i="29"/>
  <c r="G1017" i="29"/>
  <c r="H1017" i="29" s="1"/>
  <c r="F1018" i="29"/>
  <c r="G1018" i="29"/>
  <c r="H1018" i="29" s="1"/>
  <c r="F1019" i="29"/>
  <c r="G1019" i="29"/>
  <c r="F1020" i="29"/>
  <c r="H1020" i="29" s="1"/>
  <c r="G1020" i="29"/>
  <c r="F1023" i="29"/>
  <c r="G1023" i="29"/>
  <c r="H1023" i="29" s="1"/>
  <c r="F1024" i="29"/>
  <c r="G1024" i="29"/>
  <c r="F1025" i="29"/>
  <c r="G1025" i="29"/>
  <c r="H1025" i="29" s="1"/>
  <c r="F1026" i="29"/>
  <c r="H1026" i="29" s="1"/>
  <c r="G1026" i="29"/>
  <c r="F1027" i="29"/>
  <c r="G1027" i="29"/>
  <c r="F1028" i="29"/>
  <c r="G1028" i="29"/>
  <c r="H1028" i="29"/>
  <c r="F1029" i="29"/>
  <c r="G1029" i="29"/>
  <c r="F1030" i="29"/>
  <c r="G1030" i="29"/>
  <c r="H1030" i="29" s="1"/>
  <c r="F1033" i="29"/>
  <c r="G1033" i="29"/>
  <c r="H1033" i="29" s="1"/>
  <c r="F1034" i="29"/>
  <c r="H1034" i="29" s="1"/>
  <c r="G1034" i="29"/>
  <c r="F1035" i="29"/>
  <c r="G1035" i="29"/>
  <c r="F1036" i="29"/>
  <c r="H1036" i="29" s="1"/>
  <c r="G1036" i="29"/>
  <c r="F1039" i="29"/>
  <c r="G1039" i="29"/>
  <c r="H1039" i="29" s="1"/>
  <c r="F1040" i="29"/>
  <c r="G1040" i="29"/>
  <c r="H1040" i="29" s="1"/>
  <c r="F1041" i="29"/>
  <c r="G1041" i="29"/>
  <c r="F1042" i="29"/>
  <c r="G1042" i="29"/>
  <c r="H1042" i="29"/>
  <c r="F1046" i="29"/>
  <c r="G1046" i="29"/>
  <c r="H1046" i="29" s="1"/>
  <c r="F1047" i="29"/>
  <c r="G1047" i="29"/>
  <c r="F1048" i="29"/>
  <c r="G1048" i="29"/>
  <c r="H1048" i="29" s="1"/>
  <c r="F1049" i="29"/>
  <c r="G1049" i="29"/>
  <c r="H1049" i="29"/>
  <c r="F1050" i="29"/>
  <c r="G1050" i="29"/>
  <c r="F1051" i="29"/>
  <c r="G1051" i="29"/>
  <c r="H1051" i="29"/>
  <c r="F1054" i="29"/>
  <c r="G1054" i="29"/>
  <c r="F1055" i="29"/>
  <c r="H1055" i="29" s="1"/>
  <c r="G1055" i="29"/>
  <c r="F1056" i="29"/>
  <c r="G1056" i="29"/>
  <c r="H1056" i="29" s="1"/>
  <c r="F1057" i="29"/>
  <c r="H1057" i="29" s="1"/>
  <c r="G1057" i="29"/>
  <c r="F1058" i="29"/>
  <c r="G1058" i="29"/>
  <c r="F1059" i="29"/>
  <c r="G1059" i="29"/>
  <c r="H1059" i="29"/>
  <c r="F1062" i="29"/>
  <c r="G1062" i="29"/>
  <c r="H1062" i="29" s="1"/>
  <c r="F1063" i="29"/>
  <c r="G1063" i="29"/>
  <c r="H1063" i="29" s="1"/>
  <c r="F1064" i="29"/>
  <c r="G1064" i="29"/>
  <c r="F1065" i="29"/>
  <c r="H1065" i="29" s="1"/>
  <c r="G1065" i="29"/>
  <c r="F1066" i="29"/>
  <c r="G1066" i="29"/>
  <c r="H1066" i="29" s="1"/>
  <c r="F1067" i="29"/>
  <c r="G1067" i="29"/>
  <c r="F1068" i="29"/>
  <c r="G1068" i="29"/>
  <c r="H1068" i="29" s="1"/>
  <c r="F1069" i="29"/>
  <c r="H1069" i="29" s="1"/>
  <c r="G1069" i="29"/>
  <c r="F1070" i="29"/>
  <c r="G1070" i="29"/>
  <c r="F1079" i="29"/>
  <c r="G1079" i="29"/>
  <c r="H1079" i="29"/>
  <c r="F1080" i="29"/>
  <c r="G1080" i="29"/>
  <c r="F1081" i="29"/>
  <c r="G1081" i="29"/>
  <c r="H1081" i="29" s="1"/>
  <c r="F1082" i="29"/>
  <c r="G1082" i="29"/>
  <c r="H1082" i="29" s="1"/>
  <c r="F1083" i="29"/>
  <c r="H1083" i="29" s="1"/>
  <c r="G1083" i="29"/>
  <c r="F1084" i="29"/>
  <c r="G1084" i="29"/>
  <c r="F1085" i="29"/>
  <c r="H1085" i="29" s="1"/>
  <c r="G1085" i="29"/>
  <c r="F1086" i="29"/>
  <c r="G1086" i="29"/>
  <c r="H1086" i="29" s="1"/>
  <c r="F1090" i="29"/>
  <c r="G1090" i="29"/>
  <c r="H1090" i="29" s="1"/>
  <c r="F1091" i="29"/>
  <c r="G1091" i="29"/>
  <c r="F1092" i="29"/>
  <c r="G1092" i="29"/>
  <c r="H1092" i="29"/>
  <c r="F1093" i="29"/>
  <c r="G1093" i="29"/>
  <c r="H1093" i="29" s="1"/>
  <c r="F1097" i="29"/>
  <c r="F1098" i="29"/>
  <c r="F1099" i="29"/>
  <c r="F1100" i="29"/>
  <c r="F1104" i="29"/>
  <c r="F1105" i="29"/>
  <c r="F1106" i="29"/>
  <c r="F1107" i="29"/>
  <c r="F1111" i="29"/>
  <c r="H1111" i="29" s="1"/>
  <c r="G1111" i="29"/>
  <c r="F1112" i="29"/>
  <c r="G1112" i="29"/>
  <c r="F1113" i="29"/>
  <c r="G1113" i="29"/>
  <c r="H1113" i="29"/>
  <c r="F1114" i="29"/>
  <c r="G1114" i="29"/>
  <c r="H1114" i="29" s="1"/>
  <c r="F1118" i="29"/>
  <c r="F1119" i="29"/>
  <c r="G1119" i="29"/>
  <c r="F1120" i="29"/>
  <c r="H1120" i="29" s="1"/>
  <c r="G1120" i="29"/>
  <c r="F1121" i="29"/>
  <c r="G1121" i="29"/>
  <c r="H1121" i="29" s="1"/>
  <c r="F1125" i="29"/>
  <c r="G1125" i="29"/>
  <c r="F1126" i="29"/>
  <c r="F1127" i="29"/>
  <c r="H1127" i="29" s="1"/>
  <c r="G1127" i="29"/>
  <c r="F1128" i="29"/>
  <c r="F1132" i="29"/>
  <c r="F1133" i="29"/>
  <c r="F1134" i="29"/>
  <c r="F1135" i="29"/>
  <c r="F1139" i="29"/>
  <c r="G1139" i="29"/>
  <c r="F1140" i="29"/>
  <c r="G1140" i="29"/>
  <c r="H1140" i="29" s="1"/>
  <c r="F1141" i="29"/>
  <c r="G1141" i="29"/>
  <c r="H1141" i="29"/>
  <c r="F1142" i="29"/>
  <c r="G1142" i="29"/>
  <c r="F1143" i="29"/>
  <c r="G1143" i="29"/>
  <c r="H1143" i="29"/>
  <c r="F1144" i="29"/>
  <c r="G1144" i="29"/>
  <c r="F1145" i="29"/>
  <c r="H1145" i="29" s="1"/>
  <c r="G1145" i="29"/>
  <c r="F1146" i="29"/>
  <c r="G1146" i="29"/>
  <c r="H1146" i="29" s="1"/>
  <c r="F1147" i="29"/>
  <c r="H1147" i="29" s="1"/>
  <c r="G1147" i="29"/>
  <c r="F1148" i="29"/>
  <c r="G1148" i="29"/>
  <c r="F1149" i="29"/>
  <c r="G1149" i="29"/>
  <c r="H1149" i="29"/>
  <c r="F1150" i="29"/>
  <c r="G1150" i="29"/>
  <c r="H1150" i="29" s="1"/>
  <c r="F1154" i="29"/>
  <c r="G1154" i="29"/>
  <c r="H1154" i="29" s="1"/>
  <c r="F1155" i="29"/>
  <c r="G1155" i="29"/>
  <c r="F1156" i="29"/>
  <c r="H1156" i="29" s="1"/>
  <c r="G1156" i="29"/>
  <c r="F1157" i="29"/>
  <c r="G1157" i="29"/>
  <c r="H1157" i="29" s="1"/>
  <c r="F1158" i="29"/>
  <c r="G1158" i="29"/>
  <c r="F1159" i="29"/>
  <c r="G1159" i="29"/>
  <c r="H1159" i="29" s="1"/>
  <c r="F1160" i="29"/>
  <c r="H1160" i="29" s="1"/>
  <c r="G1160" i="29"/>
  <c r="F1161" i="29"/>
  <c r="G1161" i="29"/>
  <c r="F1162" i="29"/>
  <c r="G1162" i="29"/>
  <c r="H1162" i="29"/>
  <c r="F1163" i="29"/>
  <c r="F1164" i="29"/>
  <c r="G1164" i="29"/>
  <c r="H1164" i="29"/>
  <c r="F1165" i="29"/>
  <c r="G1165" i="29"/>
  <c r="F1169" i="29"/>
  <c r="G1169" i="29"/>
  <c r="H1169" i="29" s="1"/>
  <c r="F1170" i="29"/>
  <c r="G1170" i="29"/>
  <c r="H1170" i="29" s="1"/>
  <c r="F1171" i="29"/>
  <c r="H1171" i="29" s="1"/>
  <c r="G1171" i="29"/>
  <c r="F1172" i="29"/>
  <c r="G1172" i="29"/>
  <c r="F1173" i="29"/>
  <c r="H1173" i="29" s="1"/>
  <c r="G1173" i="29"/>
  <c r="F1174" i="29"/>
  <c r="G1174" i="29"/>
  <c r="H1174" i="29" s="1"/>
  <c r="F1175" i="29"/>
  <c r="G1175" i="29"/>
  <c r="H1175" i="29" s="1"/>
  <c r="F1176" i="29"/>
  <c r="G1176" i="29"/>
  <c r="F1177" i="29"/>
  <c r="G1177" i="29"/>
  <c r="H1177" i="29"/>
  <c r="F1178" i="29"/>
  <c r="G1178" i="29"/>
  <c r="H1178" i="29" s="1"/>
  <c r="F1179" i="29"/>
  <c r="G1179" i="29"/>
  <c r="F1180" i="29"/>
  <c r="G1180" i="29"/>
  <c r="H1180" i="29" s="1"/>
  <c r="F1184" i="29"/>
  <c r="G1184" i="29"/>
  <c r="H1184" i="29"/>
  <c r="F1185" i="29"/>
  <c r="G1185" i="29"/>
  <c r="F1186" i="29"/>
  <c r="G1186" i="29"/>
  <c r="H1186" i="29"/>
  <c r="F1187" i="29"/>
  <c r="G1187" i="29"/>
  <c r="F1188" i="29"/>
  <c r="H1188" i="29" s="1"/>
  <c r="G1188" i="29"/>
  <c r="F1189" i="29"/>
  <c r="G1189" i="29"/>
  <c r="H1189" i="29" s="1"/>
  <c r="F1193" i="29"/>
  <c r="H1193" i="29" s="1"/>
  <c r="G1193" i="29"/>
  <c r="F1197" i="29"/>
  <c r="G1197" i="29"/>
  <c r="F1198" i="29"/>
  <c r="G1198" i="29"/>
  <c r="H1198" i="29"/>
  <c r="F1199" i="29"/>
  <c r="G1199" i="29"/>
  <c r="H1199" i="29" s="1"/>
  <c r="F1200" i="29"/>
  <c r="G1200" i="29"/>
  <c r="H1200" i="29" s="1"/>
  <c r="F1201" i="29"/>
  <c r="G1201" i="29"/>
  <c r="F1202" i="29"/>
  <c r="H1202" i="29" s="1"/>
  <c r="G1202" i="29"/>
  <c r="F1206" i="29"/>
  <c r="G1206" i="29"/>
  <c r="H1206" i="29" s="1"/>
  <c r="F1207" i="29"/>
  <c r="G1207" i="29"/>
  <c r="F1208" i="29"/>
  <c r="G1208" i="29"/>
  <c r="H1208" i="29" s="1"/>
  <c r="F1214" i="29"/>
  <c r="H1214" i="29" s="1"/>
  <c r="G1214" i="29"/>
  <c r="F1217" i="29"/>
  <c r="G1217" i="29"/>
  <c r="F1218" i="29"/>
  <c r="G1218" i="29"/>
  <c r="H1218" i="29"/>
  <c r="F1219" i="29"/>
  <c r="G1219" i="29"/>
  <c r="F1223" i="29"/>
  <c r="G1223" i="29"/>
  <c r="H1223" i="29" s="1"/>
  <c r="F1224" i="29"/>
  <c r="G1224" i="29"/>
  <c r="H1224" i="29" s="1"/>
  <c r="F1225" i="29"/>
  <c r="H1225" i="29" s="1"/>
  <c r="G1225" i="29"/>
  <c r="F1226" i="29"/>
  <c r="G1226" i="29"/>
  <c r="F1230" i="29"/>
  <c r="H1230" i="29" s="1"/>
  <c r="G1230" i="29"/>
  <c r="F1231" i="29"/>
  <c r="G1231" i="29"/>
  <c r="H1231" i="29" s="1"/>
  <c r="F1232" i="29"/>
  <c r="G1232" i="29"/>
  <c r="H1232" i="29" s="1"/>
  <c r="F1233" i="29"/>
  <c r="G1233" i="29"/>
  <c r="F1234" i="29"/>
  <c r="G1234" i="29"/>
  <c r="H1234" i="29"/>
  <c r="F1235" i="29"/>
  <c r="G1235" i="29"/>
  <c r="H1235" i="29" s="1"/>
  <c r="G1237" i="29"/>
  <c r="F1240" i="29"/>
  <c r="G1240" i="29"/>
  <c r="H1240" i="29" s="1"/>
  <c r="F1243" i="29"/>
  <c r="G1243" i="29"/>
  <c r="H1243" i="29"/>
  <c r="F1246" i="29"/>
  <c r="G1246" i="29"/>
  <c r="F1251" i="29"/>
  <c r="G1251" i="29"/>
  <c r="H1251" i="29"/>
  <c r="F1252" i="29"/>
  <c r="G1252" i="29"/>
  <c r="F1253" i="29"/>
  <c r="H1253" i="29" s="1"/>
  <c r="G1253" i="29"/>
  <c r="F1255" i="29"/>
  <c r="G1255" i="29"/>
  <c r="H1255" i="29" s="1"/>
  <c r="F1258" i="29"/>
  <c r="H1258" i="29" s="1"/>
  <c r="G1258" i="29"/>
  <c r="F1264" i="29"/>
  <c r="G1264" i="29"/>
  <c r="F1267" i="29"/>
  <c r="G1267" i="29"/>
  <c r="H1267" i="29"/>
  <c r="F1270" i="29"/>
  <c r="G1270" i="29"/>
  <c r="H1270" i="29" s="1"/>
  <c r="F1273" i="29"/>
  <c r="G1273" i="29"/>
  <c r="H1273" i="29" s="1"/>
  <c r="F1276" i="29"/>
  <c r="G1276" i="29"/>
  <c r="F1279" i="29"/>
  <c r="H1279" i="29" s="1"/>
  <c r="G1279" i="29"/>
  <c r="F1282" i="29"/>
  <c r="G1282" i="29"/>
  <c r="H1282" i="29" s="1"/>
  <c r="F1285" i="29"/>
  <c r="G1285" i="29"/>
  <c r="F1288" i="29"/>
  <c r="G1288" i="29"/>
  <c r="H1288" i="29" s="1"/>
  <c r="F1294" i="29"/>
  <c r="H1294" i="29" s="1"/>
  <c r="G1294" i="29"/>
  <c r="F1297" i="29"/>
  <c r="G1297" i="29"/>
  <c r="F1300" i="29"/>
  <c r="G1300" i="29"/>
  <c r="H1300" i="29"/>
  <c r="F1303" i="29"/>
  <c r="G1303" i="29"/>
  <c r="F1306" i="29"/>
  <c r="G1306" i="29"/>
  <c r="H1306" i="29" s="1"/>
  <c r="F1309" i="29"/>
  <c r="G1309" i="29"/>
  <c r="H1309" i="29" s="1"/>
  <c r="F1312" i="29"/>
  <c r="H1312" i="29" s="1"/>
  <c r="G1312" i="29"/>
  <c r="F1315" i="29"/>
  <c r="G1315" i="29"/>
  <c r="F1318" i="29"/>
  <c r="H1318" i="29" s="1"/>
  <c r="G1318" i="29"/>
  <c r="F1321" i="29"/>
  <c r="G1321" i="29"/>
  <c r="H1321" i="29" s="1"/>
  <c r="F1329" i="29"/>
  <c r="G1329" i="29"/>
  <c r="H1329" i="29" s="1"/>
  <c r="F1330" i="29"/>
  <c r="G1330" i="29"/>
  <c r="F1331" i="29"/>
  <c r="G1331" i="29"/>
  <c r="H1331" i="29"/>
  <c r="F1332" i="29"/>
  <c r="G1332" i="29"/>
  <c r="H1332" i="29" s="1"/>
  <c r="F1333" i="29"/>
  <c r="G1333" i="29"/>
  <c r="H1333" i="29" s="1"/>
  <c r="F1334" i="29"/>
  <c r="G1334" i="29"/>
  <c r="F1335" i="29"/>
  <c r="H1335" i="29" s="1"/>
  <c r="G1335" i="29"/>
  <c r="F1339" i="29"/>
  <c r="G1339" i="29"/>
  <c r="H1339" i="29" s="1"/>
  <c r="F1340" i="29"/>
  <c r="H1340" i="29" s="1"/>
  <c r="G1340" i="29"/>
  <c r="F1341" i="29"/>
  <c r="G1341" i="29"/>
  <c r="F1342" i="29"/>
  <c r="G1342" i="29"/>
  <c r="H1342" i="29"/>
  <c r="F1343" i="29"/>
  <c r="G1343" i="29"/>
  <c r="H1343" i="29" s="1"/>
  <c r="F1344" i="29"/>
  <c r="G1344" i="29"/>
  <c r="H1344" i="29" s="1"/>
  <c r="F1345" i="29"/>
  <c r="G1345" i="29"/>
  <c r="F1346" i="29"/>
  <c r="H1346" i="29" s="1"/>
  <c r="G1346" i="29"/>
  <c r="F1347" i="29"/>
  <c r="G1347" i="29"/>
  <c r="H1347" i="29" s="1"/>
  <c r="F1348" i="29"/>
  <c r="H1348" i="29" s="1"/>
  <c r="G1348" i="29"/>
  <c r="F1349" i="29"/>
  <c r="G1349" i="29"/>
  <c r="F1350" i="29"/>
  <c r="G1350" i="29"/>
  <c r="H1350" i="29"/>
  <c r="F1351" i="29"/>
  <c r="G1351" i="29"/>
  <c r="H1351" i="29" s="1"/>
  <c r="F1352" i="29"/>
  <c r="G1352" i="29"/>
  <c r="H1352" i="29" s="1"/>
  <c r="F1353" i="29"/>
  <c r="G1353" i="29"/>
  <c r="F1354" i="29"/>
  <c r="H1354" i="29" s="1"/>
  <c r="G1354" i="29"/>
  <c r="F1355" i="29"/>
  <c r="G1355" i="29"/>
  <c r="H1355" i="29" s="1"/>
  <c r="F1359" i="29"/>
  <c r="H1359" i="29" s="1"/>
  <c r="G1359" i="29"/>
  <c r="F1360" i="29"/>
  <c r="G1360" i="29"/>
  <c r="F1361" i="29"/>
  <c r="G1361" i="29"/>
  <c r="H1361" i="29"/>
  <c r="F1362" i="29"/>
  <c r="G1362" i="29"/>
  <c r="H1362" i="29" s="1"/>
  <c r="F1363" i="29"/>
  <c r="G1363" i="29"/>
  <c r="H1363" i="29" s="1"/>
  <c r="F1364" i="29"/>
  <c r="G1364" i="29"/>
  <c r="F1365" i="29"/>
  <c r="H1365" i="29" s="1"/>
  <c r="G1365" i="29"/>
  <c r="F1366" i="29"/>
  <c r="G1366" i="29"/>
  <c r="H1366" i="29" s="1"/>
  <c r="F1367" i="29"/>
  <c r="H1367" i="29" s="1"/>
  <c r="G1367" i="29"/>
  <c r="F1368" i="29"/>
  <c r="G1368" i="29"/>
  <c r="F1369" i="29"/>
  <c r="G1369" i="29"/>
  <c r="H1369" i="29"/>
  <c r="F1370" i="29"/>
  <c r="G1370" i="29"/>
  <c r="H1370" i="29" s="1"/>
  <c r="F1371" i="29"/>
  <c r="G1371" i="29"/>
  <c r="H1371" i="29" s="1"/>
  <c r="F1372" i="29"/>
  <c r="G1372" i="29"/>
  <c r="F1373" i="29"/>
  <c r="H1373" i="29" s="1"/>
  <c r="G1373" i="29"/>
  <c r="F1374" i="29"/>
  <c r="G1374" i="29"/>
  <c r="H1374" i="29" s="1"/>
  <c r="F1375" i="29"/>
  <c r="H1375" i="29" s="1"/>
  <c r="G1375" i="29"/>
  <c r="F1379" i="29"/>
  <c r="G1379" i="29"/>
  <c r="F1380" i="29"/>
  <c r="G1380" i="29"/>
  <c r="H1380" i="29"/>
  <c r="F1381" i="29"/>
  <c r="G1381" i="29"/>
  <c r="H1381" i="29" s="1"/>
  <c r="F1382" i="29"/>
  <c r="G1382" i="29"/>
  <c r="H1382" i="29" s="1"/>
  <c r="F1386" i="29"/>
  <c r="G1386" i="29"/>
  <c r="F1387" i="29"/>
  <c r="H1387" i="29" s="1"/>
  <c r="G1387" i="29"/>
  <c r="F1391" i="29"/>
  <c r="G1391" i="29"/>
  <c r="H1391" i="29" s="1"/>
  <c r="F1395" i="29"/>
  <c r="H1395" i="29" s="1"/>
  <c r="G1395" i="29"/>
  <c r="F1399" i="29"/>
  <c r="G1399" i="29"/>
  <c r="F1403" i="29"/>
  <c r="G1403" i="29"/>
  <c r="H1403" i="29"/>
  <c r="F1404" i="29"/>
  <c r="G1404" i="29"/>
  <c r="H1404" i="29" s="1"/>
  <c r="F1408" i="29"/>
  <c r="G1408" i="29"/>
  <c r="H1408" i="29" s="1"/>
  <c r="F1409" i="29"/>
  <c r="G1409" i="29"/>
  <c r="F1413" i="29"/>
  <c r="H1413" i="29" s="1"/>
  <c r="G1413" i="29"/>
  <c r="F1414" i="29"/>
  <c r="G1414" i="29"/>
  <c r="H1414" i="29" s="1"/>
  <c r="F1415" i="29"/>
  <c r="H1415" i="29" s="1"/>
  <c r="G1415" i="29"/>
  <c r="F1416" i="29"/>
  <c r="G1416" i="29"/>
  <c r="F1417" i="29"/>
  <c r="G1417" i="29"/>
  <c r="H1417" i="29"/>
  <c r="F1421" i="29"/>
  <c r="G1421" i="29"/>
  <c r="H1421" i="29" s="1"/>
  <c r="F1422" i="29"/>
  <c r="G1422" i="29"/>
  <c r="H1422" i="29" s="1"/>
  <c r="F1426" i="29"/>
  <c r="G1426" i="29"/>
  <c r="F1427" i="29"/>
  <c r="H1427" i="29" s="1"/>
  <c r="G1427" i="29"/>
  <c r="F1428" i="29"/>
  <c r="G1428" i="29"/>
  <c r="H1428" i="29" s="1"/>
  <c r="F1429" i="29"/>
  <c r="H1429" i="29" s="1"/>
  <c r="G1429" i="29"/>
  <c r="F1430" i="29"/>
  <c r="G1430" i="29"/>
  <c r="F1431" i="29"/>
  <c r="G1431" i="29"/>
  <c r="H1431" i="29"/>
  <c r="F1432" i="29"/>
  <c r="G1432" i="29"/>
  <c r="H1432" i="29" s="1"/>
  <c r="F1437" i="29"/>
  <c r="G1437" i="29"/>
  <c r="H1437" i="29" s="1"/>
  <c r="F1441" i="29"/>
  <c r="G1441" i="29"/>
  <c r="F1442" i="29"/>
  <c r="H1442" i="29" s="1"/>
  <c r="G1442" i="29"/>
  <c r="F1443" i="29"/>
  <c r="G1443" i="29"/>
  <c r="H1443" i="29" s="1"/>
  <c r="F1444" i="29"/>
  <c r="H1444" i="29" s="1"/>
  <c r="G1444" i="29"/>
  <c r="F1448" i="29"/>
  <c r="G1448" i="29"/>
  <c r="F1449" i="29"/>
  <c r="G1449" i="29"/>
  <c r="H1449" i="29"/>
  <c r="F1450" i="29"/>
  <c r="G1450" i="29"/>
  <c r="H1450" i="29" s="1"/>
  <c r="F1451" i="29"/>
  <c r="G1451" i="29"/>
  <c r="H1451" i="29" s="1"/>
  <c r="F1453" i="29"/>
  <c r="G1453" i="29"/>
  <c r="F1456" i="29"/>
  <c r="H1456" i="29" s="1"/>
  <c r="G1456" i="29"/>
  <c r="F1459" i="29"/>
  <c r="G1459" i="29"/>
  <c r="H1459" i="29" s="1"/>
  <c r="F1464" i="29"/>
  <c r="H1464" i="29" s="1"/>
  <c r="G1464" i="29"/>
  <c r="F1468" i="29"/>
  <c r="G1468" i="29"/>
  <c r="F1469" i="29"/>
  <c r="G1469" i="29"/>
  <c r="H1469" i="29"/>
  <c r="F1470" i="29"/>
  <c r="G1470" i="29"/>
  <c r="H1470" i="29" s="1"/>
  <c r="F1471" i="29"/>
  <c r="G1471" i="29"/>
  <c r="H1471" i="29" s="1"/>
  <c r="F1472" i="29"/>
  <c r="G1472" i="29"/>
  <c r="F1476" i="29"/>
  <c r="H1476" i="29" s="1"/>
  <c r="G1476" i="29"/>
  <c r="F1477" i="29"/>
  <c r="G1477" i="29"/>
  <c r="H1477" i="29" s="1"/>
  <c r="F1478" i="29"/>
  <c r="H1478" i="29" s="1"/>
  <c r="G1478" i="29"/>
  <c r="F1479" i="29"/>
  <c r="G1479" i="29"/>
  <c r="F1481" i="29"/>
  <c r="G1481" i="29"/>
  <c r="H1481" i="29"/>
  <c r="F1484" i="29"/>
  <c r="G1484" i="29"/>
  <c r="H1484" i="29" s="1"/>
  <c r="F1487" i="29"/>
  <c r="G1487" i="29"/>
  <c r="H1487" i="29" s="1"/>
  <c r="F1490" i="29"/>
  <c r="G1490" i="29"/>
  <c r="F1493" i="29"/>
  <c r="H1493" i="29" s="1"/>
  <c r="G1493" i="29"/>
  <c r="F1498" i="29"/>
  <c r="G1498" i="29"/>
  <c r="H1498" i="29" s="1"/>
  <c r="F1499" i="29"/>
  <c r="H1499" i="29" s="1"/>
  <c r="G1499" i="29"/>
  <c r="F1500" i="29"/>
  <c r="G1500" i="29"/>
  <c r="F1501" i="29"/>
  <c r="G1501" i="29"/>
  <c r="H1501" i="29"/>
  <c r="F1502" i="29"/>
  <c r="G1502" i="29"/>
  <c r="H1502" i="29" s="1"/>
  <c r="F1503" i="29"/>
  <c r="G1503" i="29"/>
  <c r="H1503" i="29" s="1"/>
  <c r="F1504" i="29"/>
  <c r="G1504" i="29"/>
  <c r="F1505" i="29"/>
  <c r="H1505" i="29" s="1"/>
  <c r="G1505" i="29"/>
  <c r="F1506" i="29"/>
  <c r="G1506" i="29"/>
  <c r="H1506" i="29" s="1"/>
  <c r="F1507" i="29"/>
  <c r="H1507" i="29" s="1"/>
  <c r="G1507" i="29"/>
  <c r="F1508" i="29"/>
  <c r="G1508" i="29"/>
  <c r="F1512" i="29"/>
  <c r="G1512" i="29"/>
  <c r="H1512" i="29"/>
  <c r="F1513" i="29"/>
  <c r="G1513" i="29"/>
  <c r="H1513" i="29" s="1"/>
  <c r="F1514" i="29"/>
  <c r="G1514" i="29"/>
  <c r="H1514" i="29" s="1"/>
  <c r="F1515" i="29"/>
  <c r="G1515" i="29"/>
  <c r="F1516" i="29"/>
  <c r="H1516" i="29" s="1"/>
  <c r="G1516" i="29"/>
  <c r="F1517" i="29"/>
  <c r="G1517" i="29"/>
  <c r="H1517" i="29" s="1"/>
  <c r="F1518" i="29"/>
  <c r="H1518" i="29" s="1"/>
  <c r="G1518" i="29"/>
  <c r="F1519" i="29"/>
  <c r="G1519" i="29"/>
  <c r="F1520" i="29"/>
  <c r="G1520" i="29"/>
  <c r="H1520" i="29"/>
  <c r="F1521" i="29"/>
  <c r="G1521" i="29"/>
  <c r="H1521" i="29" s="1"/>
  <c r="F1522" i="29"/>
  <c r="G1522" i="29"/>
  <c r="H1522" i="29" s="1"/>
  <c r="F1526" i="29"/>
  <c r="G1526" i="29"/>
  <c r="F1527" i="29"/>
  <c r="H1527" i="29" s="1"/>
  <c r="G1527" i="29"/>
  <c r="F1528" i="29"/>
  <c r="G1528" i="29"/>
  <c r="H1528" i="29" s="1"/>
  <c r="F1529" i="29"/>
  <c r="H1529" i="29" s="1"/>
  <c r="G1529" i="29"/>
  <c r="F1530" i="29"/>
  <c r="G1530" i="29"/>
  <c r="F1531" i="29"/>
  <c r="G1531" i="29"/>
  <c r="H1531" i="29"/>
  <c r="F1532" i="29"/>
  <c r="G1532" i="29"/>
  <c r="H1532" i="29" s="1"/>
  <c r="F1534" i="29"/>
  <c r="G1534" i="29"/>
  <c r="H1534" i="29" s="1"/>
  <c r="F1540" i="29"/>
  <c r="G1540" i="29"/>
  <c r="G1543" i="29"/>
  <c r="F1546" i="29"/>
  <c r="G1546" i="29"/>
  <c r="H1546" i="29" s="1"/>
  <c r="G1558" i="29"/>
  <c r="F1563" i="29"/>
  <c r="G1563" i="29"/>
  <c r="F1566" i="29"/>
  <c r="G1566" i="29"/>
  <c r="H1566" i="29"/>
  <c r="G1578" i="29"/>
  <c r="G1580" i="29"/>
  <c r="F1583" i="29"/>
  <c r="G1583" i="29"/>
  <c r="H1583" i="29" s="1"/>
  <c r="F1586" i="29"/>
  <c r="H1586" i="29" s="1"/>
  <c r="G1586" i="29"/>
  <c r="G1589" i="29"/>
  <c r="F1600" i="29"/>
  <c r="H1600" i="29" s="1"/>
  <c r="G1600" i="29"/>
  <c r="F1614" i="29"/>
  <c r="G1614" i="29"/>
  <c r="F1616" i="29"/>
  <c r="G1616" i="29"/>
  <c r="H1616" i="29"/>
  <c r="F1619" i="29"/>
  <c r="G1619" i="29"/>
  <c r="H1619" i="29" s="1"/>
  <c r="F1622" i="29"/>
  <c r="G1622" i="29"/>
  <c r="H1622" i="29" s="1"/>
  <c r="F1625" i="29"/>
  <c r="G1625" i="29"/>
  <c r="F1635" i="29"/>
  <c r="H1635" i="29" s="1"/>
  <c r="G1635" i="29"/>
  <c r="F1641" i="29"/>
  <c r="G1641" i="29"/>
  <c r="H1641" i="29" s="1"/>
  <c r="F1648" i="29"/>
  <c r="H1648" i="29" s="1"/>
  <c r="G1648" i="29"/>
  <c r="H1658" i="29"/>
  <c r="H1664" i="29"/>
  <c r="H1670" i="29"/>
  <c r="H1674" i="29"/>
  <c r="H1676" i="29"/>
  <c r="H1679" i="29"/>
  <c r="H1683" i="29"/>
  <c r="H1686" i="29"/>
  <c r="H1689" i="29"/>
  <c r="H1694" i="29"/>
  <c r="H1696" i="29"/>
  <c r="H1699" i="29"/>
  <c r="H1702" i="29"/>
  <c r="H1705" i="29"/>
  <c r="H1711" i="29"/>
  <c r="H1716" i="29"/>
  <c r="H1720" i="29"/>
  <c r="H1724" i="29"/>
  <c r="H1728" i="29"/>
  <c r="H1730" i="29"/>
  <c r="H1733" i="29"/>
  <c r="H1736" i="29"/>
  <c r="H1739" i="29"/>
  <c r="H1744" i="29"/>
  <c r="H1745" i="29"/>
  <c r="H1746" i="29"/>
  <c r="H1747" i="29"/>
  <c r="H1748" i="29"/>
  <c r="H1752" i="29"/>
  <c r="H1753" i="29"/>
  <c r="H1754" i="29"/>
  <c r="H1755" i="29"/>
  <c r="H1757" i="29"/>
  <c r="H1760" i="29"/>
  <c r="H1765" i="29"/>
  <c r="H1769" i="29"/>
  <c r="H1773" i="29"/>
  <c r="H1774" i="29"/>
  <c r="H1775" i="29"/>
  <c r="H1776" i="29"/>
  <c r="H1780" i="29"/>
  <c r="H1781" i="29"/>
  <c r="H1782" i="29"/>
  <c r="H1784" i="29"/>
  <c r="H1790" i="29"/>
  <c r="H1791" i="29"/>
  <c r="H1792" i="29"/>
  <c r="H1793" i="29"/>
  <c r="H1797" i="29"/>
  <c r="H1798" i="29"/>
  <c r="H1799" i="29"/>
  <c r="H1800" i="29"/>
  <c r="H1801" i="29"/>
  <c r="H1802" i="29"/>
  <c r="H1803" i="29"/>
  <c r="H1805" i="29"/>
  <c r="H1808" i="29"/>
  <c r="H1811" i="29"/>
  <c r="H1814" i="29"/>
  <c r="H1817" i="29"/>
  <c r="H1820" i="29"/>
  <c r="H1825" i="29"/>
  <c r="H1826" i="29"/>
  <c r="H1827" i="29"/>
  <c r="H1828" i="29"/>
  <c r="H1830" i="29"/>
  <c r="H1835" i="29"/>
  <c r="H1836" i="29"/>
  <c r="H1837" i="29"/>
  <c r="H1838" i="29"/>
  <c r="H1839" i="29"/>
  <c r="H1937" i="29"/>
  <c r="F1946" i="29"/>
  <c r="G1946" i="29"/>
  <c r="F1947" i="29"/>
  <c r="G1947" i="29"/>
  <c r="H1947" i="29" s="1"/>
  <c r="F1948" i="29"/>
  <c r="G1948" i="29"/>
  <c r="F1949" i="29"/>
  <c r="G1949" i="29"/>
  <c r="F1950" i="29"/>
  <c r="G1950" i="29"/>
  <c r="F1951" i="29"/>
  <c r="H1951" i="29" s="1"/>
  <c r="G1951" i="29"/>
  <c r="F1952" i="29"/>
  <c r="G1952" i="29"/>
  <c r="H1952" i="29" s="1"/>
  <c r="F1953" i="29"/>
  <c r="H1953" i="29" s="1"/>
  <c r="G1953" i="29"/>
  <c r="F1954" i="29"/>
  <c r="G1954" i="29"/>
  <c r="F1955" i="29"/>
  <c r="H1955" i="29" s="1"/>
  <c r="G1955" i="29"/>
  <c r="F1956" i="29"/>
  <c r="G1956" i="29"/>
  <c r="H1956" i="29" s="1"/>
  <c r="F1957" i="29"/>
  <c r="G1957" i="29"/>
  <c r="F1959" i="29"/>
  <c r="G1959" i="29"/>
  <c r="F1960" i="29"/>
  <c r="H1960" i="29" s="1"/>
  <c r="G1960" i="29"/>
  <c r="F1961" i="29"/>
  <c r="G1961" i="29"/>
  <c r="H1961" i="29" s="1"/>
  <c r="F1962" i="29"/>
  <c r="H1962" i="29" s="1"/>
  <c r="G1962" i="29"/>
  <c r="F1963" i="29"/>
  <c r="G1963" i="29"/>
  <c r="F1964" i="29"/>
  <c r="H1964" i="29" s="1"/>
  <c r="G1964" i="29"/>
  <c r="F1965" i="29"/>
  <c r="G1965" i="29"/>
  <c r="F1966" i="29"/>
  <c r="G1966" i="29"/>
  <c r="I1966" i="29"/>
  <c r="I1962" i="29"/>
  <c r="I1958" i="29"/>
  <c r="G1958" i="29"/>
  <c r="F1958" i="29"/>
  <c r="I1956" i="29"/>
  <c r="I1951" i="29"/>
  <c r="I1947" i="29"/>
  <c r="J110" i="29"/>
  <c r="J1650" i="29"/>
  <c r="I1648" i="29"/>
  <c r="I1650" i="29" s="1"/>
  <c r="N1711" i="29"/>
  <c r="N1716" i="29"/>
  <c r="N1720" i="29"/>
  <c r="N1724" i="29"/>
  <c r="N1728" i="29"/>
  <c r="N1730" i="29"/>
  <c r="N1733" i="29"/>
  <c r="N1736" i="29"/>
  <c r="N1739" i="29"/>
  <c r="N1744" i="29"/>
  <c r="N1745" i="29"/>
  <c r="N1746" i="29"/>
  <c r="N1747" i="29"/>
  <c r="N1748" i="29"/>
  <c r="N1752" i="29"/>
  <c r="N1753" i="29"/>
  <c r="N1754" i="29"/>
  <c r="N1755" i="29"/>
  <c r="N1757" i="29"/>
  <c r="N1760" i="29"/>
  <c r="N1765" i="29"/>
  <c r="N1769" i="29"/>
  <c r="N1773" i="29"/>
  <c r="N1774" i="29"/>
  <c r="N1775" i="29"/>
  <c r="N1776" i="29"/>
  <c r="N1780" i="29"/>
  <c r="N1781" i="29"/>
  <c r="N1782" i="29"/>
  <c r="N1784" i="29"/>
  <c r="N1790" i="29"/>
  <c r="N1791" i="29"/>
  <c r="N1792" i="29"/>
  <c r="N1793" i="29"/>
  <c r="N1797" i="29"/>
  <c r="N1798" i="29"/>
  <c r="N1799" i="29"/>
  <c r="N1800" i="29"/>
  <c r="N1801" i="29"/>
  <c r="N1802" i="29"/>
  <c r="N1803" i="29"/>
  <c r="N1805" i="29"/>
  <c r="N1808" i="29"/>
  <c r="N1811" i="29"/>
  <c r="N1814" i="29"/>
  <c r="N1817" i="29"/>
  <c r="N1820" i="29"/>
  <c r="N1825" i="29"/>
  <c r="N1826" i="29"/>
  <c r="N1827" i="29"/>
  <c r="N1828" i="29"/>
  <c r="N1830" i="29"/>
  <c r="N1835" i="29"/>
  <c r="N1836" i="29"/>
  <c r="N1837" i="29"/>
  <c r="N1838" i="29"/>
  <c r="N1839" i="29"/>
  <c r="N1843" i="29"/>
  <c r="N1846" i="29"/>
  <c r="N1849" i="29"/>
  <c r="N1852" i="29"/>
  <c r="N1855" i="29"/>
  <c r="N1858" i="29"/>
  <c r="N1861" i="29"/>
  <c r="N1864" i="29"/>
  <c r="N1867" i="29"/>
  <c r="N1870" i="29"/>
  <c r="N1873" i="29"/>
  <c r="N1876" i="29"/>
  <c r="N1881" i="29"/>
  <c r="N1884" i="29"/>
  <c r="N1887" i="29"/>
  <c r="N1890" i="29"/>
  <c r="N1893" i="29"/>
  <c r="N1896" i="29"/>
  <c r="N1899" i="29"/>
  <c r="N1904" i="29"/>
  <c r="N1907" i="29"/>
  <c r="N1910" i="29"/>
  <c r="N1913" i="29"/>
  <c r="N1916" i="29"/>
  <c r="N1919" i="29"/>
  <c r="N1922" i="29"/>
  <c r="N1925" i="29"/>
  <c r="N1928" i="29"/>
  <c r="N1931" i="29"/>
  <c r="N1934" i="29"/>
  <c r="N1937" i="29"/>
  <c r="A18" i="29"/>
  <c r="A19" i="29" s="1"/>
  <c r="A20" i="29" s="1"/>
  <c r="A22" i="29" s="1"/>
  <c r="N1658" i="29"/>
  <c r="N1664" i="29"/>
  <c r="N1670" i="29"/>
  <c r="N1674" i="29"/>
  <c r="N1676" i="29"/>
  <c r="N1679" i="29"/>
  <c r="N1683" i="29"/>
  <c r="N1686" i="29"/>
  <c r="N1689" i="29"/>
  <c r="N1694" i="29"/>
  <c r="N1696" i="29"/>
  <c r="N1699" i="29"/>
  <c r="N1702" i="29"/>
  <c r="N1705" i="29"/>
  <c r="I1641" i="29"/>
  <c r="I1635" i="29"/>
  <c r="I1625" i="29"/>
  <c r="I1622" i="29"/>
  <c r="I1619" i="29"/>
  <c r="I1616" i="29"/>
  <c r="I1614" i="29"/>
  <c r="I1600" i="29"/>
  <c r="I1586" i="29"/>
  <c r="I1583" i="29"/>
  <c r="L1576" i="29"/>
  <c r="I1566" i="29"/>
  <c r="I1563" i="29"/>
  <c r="I1560" i="29"/>
  <c r="G1560" i="29"/>
  <c r="F1560" i="29"/>
  <c r="L1557" i="29"/>
  <c r="L1556" i="29"/>
  <c r="I1546" i="29"/>
  <c r="I1540" i="29"/>
  <c r="I1534" i="29"/>
  <c r="I1532" i="29"/>
  <c r="I1531" i="29"/>
  <c r="I1530" i="29"/>
  <c r="I1529" i="29"/>
  <c r="I1528" i="29"/>
  <c r="I1527" i="29"/>
  <c r="I1526" i="29"/>
  <c r="I1522" i="29"/>
  <c r="I1521" i="29"/>
  <c r="I1520" i="29"/>
  <c r="I1519" i="29"/>
  <c r="I1518" i="29"/>
  <c r="I1517" i="29"/>
  <c r="I1516" i="29"/>
  <c r="I1515" i="29"/>
  <c r="I1514" i="29"/>
  <c r="I1513" i="29"/>
  <c r="I1512" i="29"/>
  <c r="I1508" i="29"/>
  <c r="I1507" i="29"/>
  <c r="I1506" i="29"/>
  <c r="I1505" i="29"/>
  <c r="I1504" i="29"/>
  <c r="I1503" i="29"/>
  <c r="I1502" i="29"/>
  <c r="I1501" i="29"/>
  <c r="I1500" i="29"/>
  <c r="I1499" i="29"/>
  <c r="I1498" i="29"/>
  <c r="I1493" i="29"/>
  <c r="I1490" i="29"/>
  <c r="I1487" i="29"/>
  <c r="I1484" i="29"/>
  <c r="I1481" i="29"/>
  <c r="I1479" i="29"/>
  <c r="I1478" i="29"/>
  <c r="I1477" i="29"/>
  <c r="I1476" i="29"/>
  <c r="I1472" i="29"/>
  <c r="I1471" i="29"/>
  <c r="I1470" i="29"/>
  <c r="I1469" i="29"/>
  <c r="I1468" i="29"/>
  <c r="I1464" i="29"/>
  <c r="I1459" i="29"/>
  <c r="I1456" i="29"/>
  <c r="I1453" i="29"/>
  <c r="I1451" i="29"/>
  <c r="I1450" i="29"/>
  <c r="I1449" i="29"/>
  <c r="I1448" i="29"/>
  <c r="I1444" i="29"/>
  <c r="I1443" i="29"/>
  <c r="I1442" i="29"/>
  <c r="I1441" i="29"/>
  <c r="I1437" i="29"/>
  <c r="I1436" i="29"/>
  <c r="G1436" i="29"/>
  <c r="F1436" i="29"/>
  <c r="I1430" i="29"/>
  <c r="I1429" i="29"/>
  <c r="I1422" i="29"/>
  <c r="I1421" i="29"/>
  <c r="I1417" i="29"/>
  <c r="I1416" i="29"/>
  <c r="I1415" i="29"/>
  <c r="I1414" i="29"/>
  <c r="I1413" i="29"/>
  <c r="I1382" i="29"/>
  <c r="I1381" i="29"/>
  <c r="I1380" i="29"/>
  <c r="I1379" i="29"/>
  <c r="I1375" i="29"/>
  <c r="I1374" i="29"/>
  <c r="I1373" i="29"/>
  <c r="I1372" i="29"/>
  <c r="I1371" i="29"/>
  <c r="I1370" i="29"/>
  <c r="I1369" i="29"/>
  <c r="I1368" i="29"/>
  <c r="I1367" i="29"/>
  <c r="I1366" i="29"/>
  <c r="I1365" i="29"/>
  <c r="I1364" i="29"/>
  <c r="I1363" i="29"/>
  <c r="I1362" i="29"/>
  <c r="I1361" i="29"/>
  <c r="I1360" i="29"/>
  <c r="I1359" i="29"/>
  <c r="I1355" i="29"/>
  <c r="I1354" i="29"/>
  <c r="I1353" i="29"/>
  <c r="I1352" i="29"/>
  <c r="I1351" i="29"/>
  <c r="I1350" i="29"/>
  <c r="I1349" i="29"/>
  <c r="I1348" i="29"/>
  <c r="I1347" i="29"/>
  <c r="I1346" i="29"/>
  <c r="I1345" i="29"/>
  <c r="I1344" i="29"/>
  <c r="I1343" i="29"/>
  <c r="I1342" i="29"/>
  <c r="I1341" i="29"/>
  <c r="I1340" i="29"/>
  <c r="I1339" i="29"/>
  <c r="I1335" i="29"/>
  <c r="I1334" i="29"/>
  <c r="I1333" i="29"/>
  <c r="I1332" i="29"/>
  <c r="I1331" i="29"/>
  <c r="I1330" i="29"/>
  <c r="I1329" i="29"/>
  <c r="I1321" i="29"/>
  <c r="I1318" i="29"/>
  <c r="I1315" i="29"/>
  <c r="I1312" i="29"/>
  <c r="I1309" i="29"/>
  <c r="I1306" i="29"/>
  <c r="I1303" i="29"/>
  <c r="I1300" i="29"/>
  <c r="I1297" i="29"/>
  <c r="I1294" i="29"/>
  <c r="I1288" i="29"/>
  <c r="I1285" i="29"/>
  <c r="I1282" i="29"/>
  <c r="I1279" i="29"/>
  <c r="I1276" i="29"/>
  <c r="I1273" i="29"/>
  <c r="I1270" i="29"/>
  <c r="I1267" i="29"/>
  <c r="I1264" i="29"/>
  <c r="I1258" i="29"/>
  <c r="I1255" i="29"/>
  <c r="I1253" i="29"/>
  <c r="I1252" i="29"/>
  <c r="I1251" i="29"/>
  <c r="I1246" i="29"/>
  <c r="I1243" i="29"/>
  <c r="I1240" i="29"/>
  <c r="I1235" i="29"/>
  <c r="I1234" i="29"/>
  <c r="I1233" i="29"/>
  <c r="I1232" i="29"/>
  <c r="I1231" i="29"/>
  <c r="I1230" i="29"/>
  <c r="I1226" i="29"/>
  <c r="I1225" i="29"/>
  <c r="I1224" i="29"/>
  <c r="I1223" i="29"/>
  <c r="I1219" i="29"/>
  <c r="I1218" i="29"/>
  <c r="I1217" i="29"/>
  <c r="I1216" i="29"/>
  <c r="G1216" i="29"/>
  <c r="F1216" i="29"/>
  <c r="I1215" i="29"/>
  <c r="G1215" i="29"/>
  <c r="F1215" i="29"/>
  <c r="I1214" i="29"/>
  <c r="I1213" i="29"/>
  <c r="G1213" i="29"/>
  <c r="F1213" i="29"/>
  <c r="I1212" i="29"/>
  <c r="G1212" i="29"/>
  <c r="F1212" i="29"/>
  <c r="I1208" i="29"/>
  <c r="I1207" i="29"/>
  <c r="I1206" i="29"/>
  <c r="I1202" i="29"/>
  <c r="I1201" i="29"/>
  <c r="I1200" i="29"/>
  <c r="I1199" i="29"/>
  <c r="I1198" i="29"/>
  <c r="I1197" i="29"/>
  <c r="I1193" i="29"/>
  <c r="I1189" i="29"/>
  <c r="I1188" i="29"/>
  <c r="I1187" i="29"/>
  <c r="I1186" i="29"/>
  <c r="I1185" i="29"/>
  <c r="I1184" i="29"/>
  <c r="I1180" i="29"/>
  <c r="I1179" i="29"/>
  <c r="I1178" i="29"/>
  <c r="I1177" i="29"/>
  <c r="I1176" i="29"/>
  <c r="I1175" i="29"/>
  <c r="I1174" i="29"/>
  <c r="I1173" i="29"/>
  <c r="I1172" i="29"/>
  <c r="I1171" i="29"/>
  <c r="I1170" i="29"/>
  <c r="I1169" i="29"/>
  <c r="I1165" i="29"/>
  <c r="I1164" i="29"/>
  <c r="I1162" i="29"/>
  <c r="I1161" i="29"/>
  <c r="I1160" i="29"/>
  <c r="I1159" i="29"/>
  <c r="I1158" i="29"/>
  <c r="I1157" i="29"/>
  <c r="I1156" i="29"/>
  <c r="I1155" i="29"/>
  <c r="I1154" i="29"/>
  <c r="I1150" i="29"/>
  <c r="I1149" i="29"/>
  <c r="I1148" i="29"/>
  <c r="I1147" i="29"/>
  <c r="I1146" i="29"/>
  <c r="I1145" i="29"/>
  <c r="I1144" i="29"/>
  <c r="I1143" i="29"/>
  <c r="I1142" i="29"/>
  <c r="I1141" i="29"/>
  <c r="I1140" i="29"/>
  <c r="I1139" i="29"/>
  <c r="AI1093" i="29"/>
  <c r="AI1097" i="29"/>
  <c r="AI1098" i="29"/>
  <c r="AI1099" i="29"/>
  <c r="AI1100" i="29"/>
  <c r="AI1104" i="29"/>
  <c r="AI1105" i="29"/>
  <c r="AI1106" i="29"/>
  <c r="AI1107" i="29"/>
  <c r="AI1111" i="29"/>
  <c r="AI1112" i="29"/>
  <c r="AI1113" i="29"/>
  <c r="AI1114" i="29"/>
  <c r="AI1118" i="29"/>
  <c r="AI1119" i="29"/>
  <c r="AI1120" i="29"/>
  <c r="AI1121" i="29"/>
  <c r="AI1125" i="29"/>
  <c r="AI1126" i="29"/>
  <c r="AI1127" i="29"/>
  <c r="AH1128" i="29"/>
  <c r="AI1128" i="29" s="1"/>
  <c r="AI1132" i="29"/>
  <c r="AI1133" i="29"/>
  <c r="AI1134" i="29"/>
  <c r="AI1135" i="29"/>
  <c r="I1127" i="29"/>
  <c r="I1125" i="29"/>
  <c r="I1121" i="29"/>
  <c r="I1120" i="29"/>
  <c r="I1119" i="29"/>
  <c r="I1114" i="29"/>
  <c r="I1113" i="29"/>
  <c r="I1112" i="29"/>
  <c r="I1111" i="29"/>
  <c r="I1093" i="29"/>
  <c r="I1092" i="29"/>
  <c r="I1091" i="29"/>
  <c r="I1090" i="29"/>
  <c r="I1086" i="29"/>
  <c r="I1085" i="29"/>
  <c r="I1084" i="29"/>
  <c r="I1083" i="29"/>
  <c r="I1082" i="29"/>
  <c r="I1081" i="29"/>
  <c r="I1080" i="29"/>
  <c r="I1079" i="29"/>
  <c r="I1070" i="29"/>
  <c r="I1069" i="29"/>
  <c r="I1068" i="29"/>
  <c r="I1067" i="29"/>
  <c r="I1066" i="29"/>
  <c r="I1065" i="29"/>
  <c r="I1064" i="29"/>
  <c r="I1063" i="29"/>
  <c r="I1062" i="29"/>
  <c r="I1059" i="29"/>
  <c r="I1058" i="29"/>
  <c r="I1057" i="29"/>
  <c r="I1056" i="29"/>
  <c r="I1055" i="29"/>
  <c r="I1054" i="29"/>
  <c r="I1051" i="29"/>
  <c r="I1050" i="29"/>
  <c r="I1049" i="29"/>
  <c r="I1048" i="29"/>
  <c r="I1047" i="29"/>
  <c r="I1046" i="29"/>
  <c r="I1042" i="29"/>
  <c r="I1041" i="29"/>
  <c r="I1040" i="29"/>
  <c r="I1039" i="29"/>
  <c r="I1036" i="29"/>
  <c r="I1035" i="29"/>
  <c r="I1034" i="29"/>
  <c r="I1033" i="29"/>
  <c r="I1030" i="29"/>
  <c r="I1029" i="29"/>
  <c r="I1028" i="29"/>
  <c r="I1027" i="29"/>
  <c r="I1026" i="29"/>
  <c r="I1025" i="29"/>
  <c r="I1024" i="29"/>
  <c r="I1023" i="29"/>
  <c r="I1020" i="29"/>
  <c r="I1019" i="29"/>
  <c r="I1018" i="29"/>
  <c r="I1017" i="29"/>
  <c r="I1016" i="29"/>
  <c r="I1015" i="29"/>
  <c r="I1014" i="29"/>
  <c r="I1011" i="29"/>
  <c r="I1010" i="29"/>
  <c r="I1009" i="29"/>
  <c r="I1008" i="29"/>
  <c r="I1007" i="29"/>
  <c r="I1006" i="29"/>
  <c r="I1005" i="29"/>
  <c r="I1004" i="29"/>
  <c r="I1003" i="29"/>
  <c r="I999" i="29"/>
  <c r="I998" i="29"/>
  <c r="I997" i="29"/>
  <c r="I996" i="29"/>
  <c r="I995" i="29"/>
  <c r="I994" i="29"/>
  <c r="I993" i="29"/>
  <c r="I992" i="29"/>
  <c r="I991" i="29"/>
  <c r="I987" i="29"/>
  <c r="I986" i="29"/>
  <c r="I985" i="29"/>
  <c r="I984" i="29"/>
  <c r="I983" i="29"/>
  <c r="I982" i="29"/>
  <c r="I981" i="29"/>
  <c r="I980" i="29"/>
  <c r="I979" i="29"/>
  <c r="I978" i="29"/>
  <c r="I974" i="29"/>
  <c r="I973" i="29"/>
  <c r="I972" i="29"/>
  <c r="I971" i="29"/>
  <c r="I970" i="29"/>
  <c r="I969" i="29"/>
  <c r="I968" i="29"/>
  <c r="I967" i="29"/>
  <c r="I966" i="29"/>
  <c r="I965" i="29"/>
  <c r="I964" i="29"/>
  <c r="I963" i="29"/>
  <c r="I960" i="29"/>
  <c r="I957" i="29"/>
  <c r="I953" i="29"/>
  <c r="I952" i="29"/>
  <c r="I951" i="29"/>
  <c r="I950" i="29"/>
  <c r="I949" i="29"/>
  <c r="I948" i="29"/>
  <c r="I947" i="29"/>
  <c r="I946" i="29"/>
  <c r="I945" i="29"/>
  <c r="I944" i="29"/>
  <c r="I943" i="29"/>
  <c r="I942" i="29"/>
  <c r="I939" i="29"/>
  <c r="I938" i="29"/>
  <c r="I937" i="29"/>
  <c r="I936" i="29"/>
  <c r="I935" i="29"/>
  <c r="I934" i="29"/>
  <c r="I933" i="29"/>
  <c r="I932" i="29"/>
  <c r="I931" i="29"/>
  <c r="I930" i="29"/>
  <c r="I927" i="29"/>
  <c r="I926" i="29"/>
  <c r="I925" i="29"/>
  <c r="I924" i="29"/>
  <c r="I921" i="29"/>
  <c r="I920" i="29"/>
  <c r="I919" i="29"/>
  <c r="I918" i="29"/>
  <c r="I917" i="29"/>
  <c r="I916" i="29"/>
  <c r="I915" i="29"/>
  <c r="I914" i="29"/>
  <c r="I913" i="29"/>
  <c r="I912" i="29"/>
  <c r="I911" i="29"/>
  <c r="I908" i="29"/>
  <c r="I907" i="29"/>
  <c r="I906" i="29"/>
  <c r="I905" i="29"/>
  <c r="I904" i="29"/>
  <c r="I903" i="29"/>
  <c r="I902" i="29"/>
  <c r="I901" i="29"/>
  <c r="I898" i="29"/>
  <c r="I897" i="29"/>
  <c r="I896" i="29"/>
  <c r="I895" i="29"/>
  <c r="I894" i="29"/>
  <c r="I893" i="29"/>
  <c r="I892" i="29"/>
  <c r="I891" i="29"/>
  <c r="I888" i="29"/>
  <c r="I887" i="29"/>
  <c r="I886" i="29"/>
  <c r="I885" i="29"/>
  <c r="I884" i="29"/>
  <c r="I883" i="29"/>
  <c r="I880" i="29"/>
  <c r="I879" i="29"/>
  <c r="I878" i="29"/>
  <c r="I877" i="29"/>
  <c r="I876" i="29"/>
  <c r="I875" i="29"/>
  <c r="I874" i="29"/>
  <c r="I873" i="29"/>
  <c r="I872" i="29"/>
  <c r="I869" i="29"/>
  <c r="I868" i="29"/>
  <c r="I867" i="29"/>
  <c r="I866" i="29"/>
  <c r="I865" i="29"/>
  <c r="I864" i="29"/>
  <c r="I863" i="29"/>
  <c r="I860" i="29"/>
  <c r="I859" i="29"/>
  <c r="I858" i="29"/>
  <c r="I857" i="29"/>
  <c r="I856" i="29"/>
  <c r="I855" i="29"/>
  <c r="I854" i="29"/>
  <c r="I853" i="29"/>
  <c r="I852" i="29"/>
  <c r="I849" i="29"/>
  <c r="I848" i="29"/>
  <c r="G848" i="29"/>
  <c r="F848" i="29"/>
  <c r="I847" i="29"/>
  <c r="G847" i="29"/>
  <c r="F847" i="29"/>
  <c r="I846" i="29"/>
  <c r="G846" i="29"/>
  <c r="F846" i="29"/>
  <c r="I845" i="29"/>
  <c r="G845" i="29"/>
  <c r="F845" i="29"/>
  <c r="I844" i="29"/>
  <c r="G844" i="29"/>
  <c r="F844" i="29"/>
  <c r="I843" i="29"/>
  <c r="G843" i="29"/>
  <c r="F843" i="29"/>
  <c r="I842" i="29"/>
  <c r="G842" i="29"/>
  <c r="F842" i="29"/>
  <c r="I841" i="29"/>
  <c r="G841" i="29"/>
  <c r="F841" i="29"/>
  <c r="I840" i="29"/>
  <c r="G840" i="29"/>
  <c r="F840" i="29"/>
  <c r="I839" i="29"/>
  <c r="G839" i="29"/>
  <c r="F839" i="29"/>
  <c r="I838" i="29"/>
  <c r="G838" i="29"/>
  <c r="F838" i="29"/>
  <c r="I837" i="29"/>
  <c r="G837" i="29"/>
  <c r="F837" i="29"/>
  <c r="I836" i="29"/>
  <c r="G836" i="29"/>
  <c r="F836" i="29"/>
  <c r="I835" i="29"/>
  <c r="G835" i="29"/>
  <c r="F835" i="29"/>
  <c r="I834" i="29"/>
  <c r="G834" i="29"/>
  <c r="F834" i="29"/>
  <c r="I833" i="29"/>
  <c r="G833" i="29"/>
  <c r="F833" i="29"/>
  <c r="I832" i="29"/>
  <c r="G832" i="29"/>
  <c r="F832" i="29"/>
  <c r="I831" i="29"/>
  <c r="G831" i="29"/>
  <c r="F831" i="29"/>
  <c r="I830" i="29"/>
  <c r="G830" i="29"/>
  <c r="F830" i="29"/>
  <c r="I829" i="29"/>
  <c r="G829" i="29"/>
  <c r="F829" i="29"/>
  <c r="I828" i="29"/>
  <c r="G828" i="29"/>
  <c r="F828" i="29"/>
  <c r="I827" i="29"/>
  <c r="G827" i="29"/>
  <c r="F827" i="29"/>
  <c r="I826" i="29"/>
  <c r="G826" i="29"/>
  <c r="F826" i="29"/>
  <c r="I825" i="29"/>
  <c r="G825" i="29"/>
  <c r="F825" i="29"/>
  <c r="I824" i="29"/>
  <c r="G824" i="29"/>
  <c r="F824" i="29"/>
  <c r="I823" i="29"/>
  <c r="G823" i="29"/>
  <c r="F823" i="29"/>
  <c r="I822" i="29"/>
  <c r="G822" i="29"/>
  <c r="F822" i="29"/>
  <c r="I821" i="29"/>
  <c r="G821" i="29"/>
  <c r="F821" i="29"/>
  <c r="I820" i="29"/>
  <c r="G820" i="29"/>
  <c r="F820" i="29"/>
  <c r="I819" i="29"/>
  <c r="G819" i="29"/>
  <c r="F819" i="29"/>
  <c r="I818" i="29"/>
  <c r="G818" i="29"/>
  <c r="F818" i="29"/>
  <c r="I817" i="29"/>
  <c r="G817" i="29"/>
  <c r="F817" i="29"/>
  <c r="I816" i="29"/>
  <c r="G816" i="29"/>
  <c r="F816" i="29"/>
  <c r="I815" i="29"/>
  <c r="G815" i="29"/>
  <c r="F815" i="29"/>
  <c r="I814" i="29"/>
  <c r="G814" i="29"/>
  <c r="F814" i="29"/>
  <c r="I813" i="29"/>
  <c r="G813" i="29"/>
  <c r="F813" i="29"/>
  <c r="I812" i="29"/>
  <c r="G812" i="29"/>
  <c r="F812" i="29"/>
  <c r="I811" i="29"/>
  <c r="G811" i="29"/>
  <c r="F811" i="29"/>
  <c r="I810" i="29"/>
  <c r="G810" i="29"/>
  <c r="F810" i="29"/>
  <c r="I809" i="29"/>
  <c r="G809" i="29"/>
  <c r="F809" i="29"/>
  <c r="I808" i="29"/>
  <c r="G808" i="29"/>
  <c r="F808" i="29"/>
  <c r="I807" i="29"/>
  <c r="G807" i="29"/>
  <c r="F807" i="29"/>
  <c r="I806" i="29"/>
  <c r="G806" i="29"/>
  <c r="F806" i="29"/>
  <c r="I805" i="29"/>
  <c r="G805" i="29"/>
  <c r="F805" i="29"/>
  <c r="I804" i="29"/>
  <c r="G804" i="29"/>
  <c r="F804" i="29"/>
  <c r="I803" i="29"/>
  <c r="G803" i="29"/>
  <c r="F803" i="29"/>
  <c r="I802" i="29"/>
  <c r="G802" i="29"/>
  <c r="F802" i="29"/>
  <c r="I801" i="29"/>
  <c r="G801" i="29"/>
  <c r="F801" i="29"/>
  <c r="I800" i="29"/>
  <c r="G800" i="29"/>
  <c r="F800" i="29"/>
  <c r="I799" i="29"/>
  <c r="G799" i="29"/>
  <c r="F799" i="29"/>
  <c r="I798" i="29"/>
  <c r="G798" i="29"/>
  <c r="F798" i="29"/>
  <c r="I797" i="29"/>
  <c r="G797" i="29"/>
  <c r="F797" i="29"/>
  <c r="I796" i="29"/>
  <c r="G796" i="29"/>
  <c r="F796" i="29"/>
  <c r="I795" i="29"/>
  <c r="G795" i="29"/>
  <c r="F795" i="29"/>
  <c r="I794" i="29"/>
  <c r="G794" i="29"/>
  <c r="F794" i="29"/>
  <c r="I793" i="29"/>
  <c r="G793" i="29"/>
  <c r="F793" i="29"/>
  <c r="I792" i="29"/>
  <c r="G792" i="29"/>
  <c r="F792" i="29"/>
  <c r="I791" i="29"/>
  <c r="G791" i="29"/>
  <c r="F791" i="29"/>
  <c r="I790" i="29"/>
  <c r="G790" i="29"/>
  <c r="F790" i="29"/>
  <c r="I789" i="29"/>
  <c r="G789" i="29"/>
  <c r="F789" i="29"/>
  <c r="I788" i="29"/>
  <c r="G788" i="29"/>
  <c r="F788" i="29"/>
  <c r="I787" i="29"/>
  <c r="G787" i="29"/>
  <c r="F787" i="29"/>
  <c r="I786" i="29"/>
  <c r="G786" i="29"/>
  <c r="F786" i="29"/>
  <c r="I785" i="29"/>
  <c r="G785" i="29"/>
  <c r="F785" i="29"/>
  <c r="I784" i="29"/>
  <c r="G784" i="29"/>
  <c r="F784" i="29"/>
  <c r="I783" i="29"/>
  <c r="G783" i="29"/>
  <c r="F783" i="29"/>
  <c r="I782" i="29"/>
  <c r="G782" i="29"/>
  <c r="F782" i="29"/>
  <c r="I781" i="29"/>
  <c r="G781" i="29"/>
  <c r="F781" i="29"/>
  <c r="I780" i="29"/>
  <c r="G780" i="29"/>
  <c r="F780" i="29"/>
  <c r="I779" i="29"/>
  <c r="G779" i="29"/>
  <c r="F779" i="29"/>
  <c r="I778" i="29"/>
  <c r="G778" i="29"/>
  <c r="F778" i="29"/>
  <c r="I777" i="29"/>
  <c r="G777" i="29"/>
  <c r="F777" i="29"/>
  <c r="I766" i="29"/>
  <c r="I765" i="29"/>
  <c r="I764" i="29"/>
  <c r="I763" i="29"/>
  <c r="I762" i="29"/>
  <c r="I761" i="29"/>
  <c r="I760" i="29"/>
  <c r="I759" i="29"/>
  <c r="I758" i="29"/>
  <c r="I757" i="29"/>
  <c r="I756" i="29"/>
  <c r="I755" i="29"/>
  <c r="I754" i="29"/>
  <c r="I751" i="29"/>
  <c r="I750" i="29"/>
  <c r="I749" i="29"/>
  <c r="I746" i="29"/>
  <c r="I745" i="29"/>
  <c r="I744" i="29"/>
  <c r="I743" i="29"/>
  <c r="I742" i="29"/>
  <c r="I741" i="29"/>
  <c r="I740" i="29"/>
  <c r="I739" i="29"/>
  <c r="I738" i="29"/>
  <c r="I737" i="29"/>
  <c r="I736" i="29"/>
  <c r="I735" i="29"/>
  <c r="I734" i="29"/>
  <c r="I731" i="29"/>
  <c r="I730" i="29"/>
  <c r="I729" i="29"/>
  <c r="I728" i="29"/>
  <c r="I727" i="29"/>
  <c r="I726" i="29"/>
  <c r="I725" i="29"/>
  <c r="I724" i="29"/>
  <c r="I723" i="29"/>
  <c r="I722" i="29"/>
  <c r="I719" i="29"/>
  <c r="I714" i="29"/>
  <c r="I713" i="29"/>
  <c r="I712" i="29"/>
  <c r="I708" i="29"/>
  <c r="I707" i="29"/>
  <c r="I706" i="29"/>
  <c r="I701" i="29"/>
  <c r="I698" i="29"/>
  <c r="I695" i="29"/>
  <c r="I690" i="29"/>
  <c r="I687" i="29"/>
  <c r="I674" i="29"/>
  <c r="I667" i="29"/>
  <c r="I665" i="29"/>
  <c r="I655" i="29"/>
  <c r="I652" i="29"/>
  <c r="G652" i="29"/>
  <c r="F652" i="29"/>
  <c r="I650" i="29"/>
  <c r="G650" i="29"/>
  <c r="F650" i="29"/>
  <c r="I646" i="29"/>
  <c r="I638" i="29"/>
  <c r="I635" i="29"/>
  <c r="I632" i="29"/>
  <c r="I629" i="29"/>
  <c r="I626" i="29"/>
  <c r="I623" i="29"/>
  <c r="I621" i="29"/>
  <c r="I614" i="29"/>
  <c r="I609" i="29"/>
  <c r="I601" i="29"/>
  <c r="I594" i="29"/>
  <c r="I592" i="29"/>
  <c r="I585" i="29"/>
  <c r="I579" i="29"/>
  <c r="G579" i="29"/>
  <c r="F579" i="29"/>
  <c r="I574" i="29"/>
  <c r="G574" i="29"/>
  <c r="F574" i="29"/>
  <c r="I571" i="29"/>
  <c r="I568" i="29"/>
  <c r="I562" i="29"/>
  <c r="I559" i="29"/>
  <c r="I556" i="29"/>
  <c r="I553" i="29"/>
  <c r="Z550" i="29"/>
  <c r="X550" i="29"/>
  <c r="V550" i="29"/>
  <c r="T550" i="29"/>
  <c r="R550" i="29"/>
  <c r="P550" i="29"/>
  <c r="N550" i="29"/>
  <c r="I544" i="29"/>
  <c r="I541" i="29"/>
  <c r="I538" i="29"/>
  <c r="I535" i="29"/>
  <c r="G535" i="29"/>
  <c r="F535" i="29"/>
  <c r="I533" i="29"/>
  <c r="I525" i="29"/>
  <c r="I522" i="29"/>
  <c r="I519" i="29"/>
  <c r="I516" i="29"/>
  <c r="I513" i="29"/>
  <c r="I510" i="29"/>
  <c r="I504" i="29"/>
  <c r="I495" i="29"/>
  <c r="I492" i="29"/>
  <c r="I489" i="29"/>
  <c r="I486" i="29"/>
  <c r="I483" i="29"/>
  <c r="I481" i="29"/>
  <c r="I475" i="29"/>
  <c r="L472" i="29"/>
  <c r="L471" i="29"/>
  <c r="L461" i="29"/>
  <c r="L460" i="29"/>
  <c r="I450" i="29"/>
  <c r="I444" i="29"/>
  <c r="I427" i="29"/>
  <c r="L426" i="29"/>
  <c r="L425" i="29"/>
  <c r="L424" i="29"/>
  <c r="L422" i="29"/>
  <c r="L421" i="29"/>
  <c r="L420" i="29"/>
  <c r="L415" i="29"/>
  <c r="L414" i="29"/>
  <c r="I404" i="29"/>
  <c r="L401" i="29"/>
  <c r="L392" i="29"/>
  <c r="L391" i="29"/>
  <c r="F381" i="29"/>
  <c r="I368" i="29"/>
  <c r="I365" i="29"/>
  <c r="I362" i="29"/>
  <c r="I359" i="29"/>
  <c r="I356" i="29"/>
  <c r="I353" i="29"/>
  <c r="I350" i="29"/>
  <c r="I347" i="29"/>
  <c r="I344" i="29"/>
  <c r="I341" i="29"/>
  <c r="I335" i="29"/>
  <c r="I332" i="29"/>
  <c r="I329" i="29"/>
  <c r="I326" i="29"/>
  <c r="L323" i="29"/>
  <c r="L322" i="29"/>
  <c r="L310" i="29"/>
  <c r="I297" i="29"/>
  <c r="I294" i="29"/>
  <c r="L291" i="29"/>
  <c r="L290" i="29"/>
  <c r="I277" i="29"/>
  <c r="I270" i="29"/>
  <c r="I256" i="29"/>
  <c r="L255" i="29"/>
  <c r="L254" i="29"/>
  <c r="L244" i="29"/>
  <c r="L243" i="29"/>
  <c r="I231" i="29"/>
  <c r="I228" i="29"/>
  <c r="I225" i="29"/>
  <c r="I220" i="29"/>
  <c r="I189" i="29"/>
  <c r="I186" i="29"/>
  <c r="I183" i="29"/>
  <c r="I177" i="29"/>
  <c r="I174" i="29"/>
  <c r="I171" i="29"/>
  <c r="I165" i="29"/>
  <c r="I162" i="29"/>
  <c r="I159" i="29"/>
  <c r="I156" i="29"/>
  <c r="I153" i="29"/>
  <c r="I150" i="29"/>
  <c r="I147" i="29"/>
  <c r="I144" i="29"/>
  <c r="I142" i="29"/>
  <c r="I134" i="29"/>
  <c r="I129" i="29"/>
  <c r="I126" i="29"/>
  <c r="I123" i="29"/>
  <c r="I120" i="29"/>
  <c r="I117" i="29"/>
  <c r="I114" i="29"/>
  <c r="I104" i="29"/>
  <c r="I102" i="29"/>
  <c r="I101" i="29"/>
  <c r="I100" i="29"/>
  <c r="I98" i="29"/>
  <c r="I96" i="29"/>
  <c r="I95" i="29"/>
  <c r="I93" i="29"/>
  <c r="I92" i="29"/>
  <c r="I91" i="29"/>
  <c r="I90" i="29"/>
  <c r="I88" i="29"/>
  <c r="I87" i="29"/>
  <c r="I86" i="29"/>
  <c r="I85" i="29"/>
  <c r="I84" i="29"/>
  <c r="I82" i="29"/>
  <c r="I81" i="29"/>
  <c r="I79" i="29"/>
  <c r="I77" i="29"/>
  <c r="I75" i="29"/>
  <c r="I73" i="29"/>
  <c r="I71" i="29"/>
  <c r="I69" i="29"/>
  <c r="I68" i="29"/>
  <c r="I66" i="29"/>
  <c r="I65" i="29"/>
  <c r="I64" i="29"/>
  <c r="I61" i="29"/>
  <c r="I60" i="29"/>
  <c r="I59" i="29"/>
  <c r="I58" i="29"/>
  <c r="I57" i="29"/>
  <c r="I55" i="29"/>
  <c r="I53" i="29"/>
  <c r="I52" i="29"/>
  <c r="I50" i="29"/>
  <c r="I49" i="29"/>
  <c r="I47" i="29"/>
  <c r="I46" i="29"/>
  <c r="I45" i="29"/>
  <c r="I44" i="29"/>
  <c r="I43" i="29"/>
  <c r="I41" i="29"/>
  <c r="I40" i="29"/>
  <c r="I38" i="29"/>
  <c r="I37" i="29"/>
  <c r="I36" i="29"/>
  <c r="I34" i="29"/>
  <c r="I33" i="29"/>
  <c r="I31" i="29"/>
  <c r="I30" i="29"/>
  <c r="I29" i="29"/>
  <c r="I28" i="29"/>
  <c r="I26" i="29"/>
  <c r="I25" i="29"/>
  <c r="I24" i="29"/>
  <c r="I23" i="29"/>
  <c r="I22" i="29"/>
  <c r="I20" i="29"/>
  <c r="I19" i="29"/>
  <c r="I18" i="29"/>
  <c r="I17" i="29"/>
  <c r="N1985" i="28"/>
  <c r="N1984" i="28"/>
  <c r="N1974" i="28"/>
  <c r="Z1936" i="28"/>
  <c r="X1936" i="28"/>
  <c r="V1936" i="28"/>
  <c r="T1936" i="28"/>
  <c r="R1936" i="28"/>
  <c r="P1936" i="28"/>
  <c r="N1936" i="28"/>
  <c r="I1936" i="28"/>
  <c r="F1936" i="28"/>
  <c r="G1936" i="28"/>
  <c r="H1936" i="28" s="1"/>
  <c r="Y1603" i="28"/>
  <c r="L1603" i="28"/>
  <c r="M1529" i="28"/>
  <c r="N1529" i="28" s="1"/>
  <c r="O1529" i="28"/>
  <c r="P1529" i="28" s="1"/>
  <c r="Q1529" i="28"/>
  <c r="R1529" i="28" s="1"/>
  <c r="S1529" i="28"/>
  <c r="T1529" i="28" s="1"/>
  <c r="U1529" i="28"/>
  <c r="V1529" i="28" s="1"/>
  <c r="W1529" i="28"/>
  <c r="X1529" i="28" s="1"/>
  <c r="Y1529" i="28"/>
  <c r="Z1529" i="28" s="1"/>
  <c r="L1244" i="28"/>
  <c r="P1244" i="28" s="1"/>
  <c r="G1205" i="28"/>
  <c r="G1204" i="28"/>
  <c r="G1202" i="28"/>
  <c r="G1201" i="28"/>
  <c r="L1114" i="28"/>
  <c r="L1117" i="28" s="1"/>
  <c r="L1110" i="28"/>
  <c r="L1109" i="28"/>
  <c r="P1109" i="28" s="1"/>
  <c r="L1108" i="28"/>
  <c r="L1107" i="28"/>
  <c r="P1107" i="28" s="1"/>
  <c r="L1093" i="28"/>
  <c r="L1094" i="28" s="1"/>
  <c r="L1086" i="28"/>
  <c r="L1087" i="28" s="1"/>
  <c r="L1082" i="28"/>
  <c r="L1081" i="28"/>
  <c r="P1081" i="28" s="1"/>
  <c r="L1080" i="28"/>
  <c r="L1079" i="28"/>
  <c r="P1079" i="28" s="1"/>
  <c r="L1103" i="28"/>
  <c r="L1102" i="28"/>
  <c r="P1102" i="28" s="1"/>
  <c r="L1101" i="28"/>
  <c r="L1100" i="28"/>
  <c r="P1100" i="28" s="1"/>
  <c r="L1075" i="28"/>
  <c r="L1074" i="28"/>
  <c r="P1074" i="28" s="1"/>
  <c r="L1073" i="28"/>
  <c r="L1072" i="28"/>
  <c r="P1072" i="28" s="1"/>
  <c r="L1071" i="28"/>
  <c r="L1070" i="28"/>
  <c r="P1070" i="28" s="1"/>
  <c r="L1069" i="28"/>
  <c r="L1068" i="28"/>
  <c r="P1068" i="28" s="1"/>
  <c r="P1069" i="28"/>
  <c r="P1071" i="28"/>
  <c r="P1073" i="28"/>
  <c r="P1075" i="28"/>
  <c r="P1080" i="28"/>
  <c r="P1082" i="28"/>
  <c r="P1101" i="28"/>
  <c r="P1103" i="28"/>
  <c r="P1108" i="28"/>
  <c r="P1110" i="28"/>
  <c r="P1144" i="28"/>
  <c r="P1145" i="28"/>
  <c r="P1146" i="28"/>
  <c r="P1147" i="28"/>
  <c r="P1148" i="28"/>
  <c r="P1149" i="28"/>
  <c r="P1150" i="28"/>
  <c r="P1151" i="28"/>
  <c r="L1167" i="28"/>
  <c r="L1153" i="28"/>
  <c r="P1153" i="28" s="1"/>
  <c r="L1154" i="28"/>
  <c r="P1154" i="28" s="1"/>
  <c r="P1159" i="28"/>
  <c r="P1160" i="28"/>
  <c r="P1161" i="28"/>
  <c r="P1162" i="28"/>
  <c r="P1163" i="28"/>
  <c r="P1164" i="28"/>
  <c r="P1165" i="28"/>
  <c r="P1166" i="28"/>
  <c r="P1167" i="28"/>
  <c r="P1168" i="28"/>
  <c r="P1169" i="28"/>
  <c r="P1173" i="28"/>
  <c r="P1174" i="28"/>
  <c r="P1175" i="28"/>
  <c r="P1176" i="28"/>
  <c r="P1177" i="28"/>
  <c r="P1178" i="28"/>
  <c r="P1182" i="28"/>
  <c r="P1186" i="28"/>
  <c r="P1187" i="28"/>
  <c r="P1188" i="28"/>
  <c r="P1189" i="28"/>
  <c r="P1190" i="28"/>
  <c r="P1191" i="28"/>
  <c r="P1195" i="28"/>
  <c r="P1196" i="28"/>
  <c r="P1197" i="28"/>
  <c r="P1201" i="28"/>
  <c r="P1202" i="28"/>
  <c r="P1203" i="28"/>
  <c r="P1204" i="28"/>
  <c r="P1205" i="28"/>
  <c r="P1206" i="28"/>
  <c r="P1207" i="28"/>
  <c r="P1208" i="28"/>
  <c r="P1212" i="28"/>
  <c r="P1213" i="28"/>
  <c r="P1214" i="28"/>
  <c r="P1215" i="28"/>
  <c r="P1219" i="28"/>
  <c r="P1220" i="28"/>
  <c r="P1221" i="28"/>
  <c r="P1222" i="28"/>
  <c r="P1223" i="28"/>
  <c r="P1224" i="28"/>
  <c r="P1229" i="28"/>
  <c r="P1232" i="28"/>
  <c r="P1240" i="28"/>
  <c r="P1241" i="28"/>
  <c r="P1242" i="28"/>
  <c r="P1247" i="28"/>
  <c r="P1256" i="28"/>
  <c r="P1259" i="28"/>
  <c r="P1262" i="28"/>
  <c r="P1265" i="28"/>
  <c r="P1268" i="28"/>
  <c r="P1271" i="28"/>
  <c r="P1274" i="28"/>
  <c r="P1277" i="28"/>
  <c r="P1298" i="28"/>
  <c r="P1286" i="28"/>
  <c r="P1292" i="28"/>
  <c r="P1295" i="28"/>
  <c r="P1301" i="28"/>
  <c r="P1304" i="28"/>
  <c r="P1307" i="28"/>
  <c r="P1310" i="28"/>
  <c r="P1318" i="28"/>
  <c r="L1319" i="28"/>
  <c r="P1319" i="28"/>
  <c r="P1320" i="28"/>
  <c r="P1321" i="28"/>
  <c r="P1322" i="28"/>
  <c r="P1323" i="28"/>
  <c r="P1324" i="28"/>
  <c r="L1333" i="28"/>
  <c r="P1333" i="28" s="1"/>
  <c r="P1328" i="28"/>
  <c r="P1329" i="28"/>
  <c r="P1330" i="28"/>
  <c r="P1331" i="28"/>
  <c r="P1332" i="28"/>
  <c r="P1334" i="28"/>
  <c r="P1335" i="28"/>
  <c r="P1336" i="28"/>
  <c r="P1337" i="28"/>
  <c r="P1338" i="28"/>
  <c r="L1339" i="28"/>
  <c r="P1339" i="28" s="1"/>
  <c r="P1340" i="28"/>
  <c r="P1341" i="28"/>
  <c r="L1342" i="28"/>
  <c r="P1342" i="28" s="1"/>
  <c r="P1343" i="28"/>
  <c r="P1344" i="28"/>
  <c r="L1353" i="28"/>
  <c r="P1353" i="28" s="1"/>
  <c r="P1348" i="28"/>
  <c r="P1349" i="28"/>
  <c r="P1350" i="28"/>
  <c r="P1351" i="28"/>
  <c r="P1352" i="28"/>
  <c r="P1354" i="28"/>
  <c r="P1355" i="28"/>
  <c r="P1356" i="28"/>
  <c r="P1357" i="28"/>
  <c r="P1358" i="28"/>
  <c r="L1359" i="28"/>
  <c r="P1359" i="28" s="1"/>
  <c r="L1362" i="28"/>
  <c r="P1362" i="28" s="1"/>
  <c r="P1360" i="28"/>
  <c r="P1361" i="28"/>
  <c r="P1363" i="28"/>
  <c r="P1364" i="28"/>
  <c r="P1425" i="28"/>
  <c r="P1426" i="28"/>
  <c r="P1442" i="28"/>
  <c r="P1567" i="28"/>
  <c r="P1570" i="28"/>
  <c r="P1603" i="28"/>
  <c r="P1606" i="28"/>
  <c r="P1609" i="28"/>
  <c r="P1612" i="28"/>
  <c r="P1622" i="28"/>
  <c r="P1628" i="28"/>
  <c r="P1630" i="28" s="1"/>
  <c r="P1635" i="28"/>
  <c r="P1637" i="28" s="1"/>
  <c r="P1933" i="28"/>
  <c r="P1954" i="28" s="1"/>
  <c r="P1934" i="28"/>
  <c r="P1935" i="28"/>
  <c r="Z638" i="28"/>
  <c r="X638" i="28"/>
  <c r="V638" i="28"/>
  <c r="T638" i="28"/>
  <c r="R638" i="28"/>
  <c r="P638" i="28"/>
  <c r="N638" i="28"/>
  <c r="I638" i="28"/>
  <c r="G638" i="28"/>
  <c r="F638" i="28"/>
  <c r="Z538" i="28"/>
  <c r="X538" i="28"/>
  <c r="V538" i="28"/>
  <c r="T538" i="28"/>
  <c r="R538" i="28"/>
  <c r="P538" i="28"/>
  <c r="N538" i="28"/>
  <c r="I538" i="28"/>
  <c r="F538" i="28"/>
  <c r="G538" i="28"/>
  <c r="H538" i="28" s="1"/>
  <c r="L289" i="28"/>
  <c r="L275" i="28"/>
  <c r="L273" i="28"/>
  <c r="L268" i="28"/>
  <c r="Z268" i="28"/>
  <c r="X268" i="28"/>
  <c r="V268" i="28"/>
  <c r="T268" i="28"/>
  <c r="R268" i="28"/>
  <c r="P268" i="28"/>
  <c r="N268" i="28"/>
  <c r="I268" i="28" s="1"/>
  <c r="F268" i="28"/>
  <c r="G268" i="28"/>
  <c r="H268" i="28"/>
  <c r="L266" i="28"/>
  <c r="L258" i="28"/>
  <c r="L230" i="28"/>
  <c r="L227" i="28"/>
  <c r="P227" i="28" s="1"/>
  <c r="L221" i="28"/>
  <c r="A18" i="28"/>
  <c r="A19" i="28" s="1"/>
  <c r="A20" i="28" s="1"/>
  <c r="A22" i="28" s="1"/>
  <c r="A24" i="28" s="1"/>
  <c r="A25" i="28" s="1"/>
  <c r="A26" i="28" s="1"/>
  <c r="A29" i="28" s="1"/>
  <c r="A30" i="28" s="1"/>
  <c r="A31" i="28" s="1"/>
  <c r="A33" i="28" s="1"/>
  <c r="A34" i="28" s="1"/>
  <c r="A36" i="28" s="1"/>
  <c r="A37" i="28" s="1"/>
  <c r="A38" i="28" s="1"/>
  <c r="A40" i="28" s="1"/>
  <c r="A41" i="28" s="1"/>
  <c r="A43" i="28" s="1"/>
  <c r="A44" i="28" s="1"/>
  <c r="A45" i="28" s="1"/>
  <c r="A46" i="28" s="1"/>
  <c r="A47" i="28" s="1"/>
  <c r="A49" i="28" s="1"/>
  <c r="A50" i="28" s="1"/>
  <c r="A52" i="28" s="1"/>
  <c r="A53" i="28" s="1"/>
  <c r="A55" i="28" s="1"/>
  <c r="A57" i="28" s="1"/>
  <c r="A58" i="28" s="1"/>
  <c r="A59" i="28" s="1"/>
  <c r="A60" i="28" s="1"/>
  <c r="A61" i="28" s="1"/>
  <c r="A64" i="28" s="1"/>
  <c r="A65" i="28" s="1"/>
  <c r="A66" i="28" s="1"/>
  <c r="A69" i="28" s="1"/>
  <c r="A71" i="28" s="1"/>
  <c r="A73" i="28" s="1"/>
  <c r="A75" i="28" s="1"/>
  <c r="A77" i="28" s="1"/>
  <c r="A79" i="28" s="1"/>
  <c r="A81" i="28" s="1"/>
  <c r="A82" i="28" s="1"/>
  <c r="A84" i="28" s="1"/>
  <c r="A85" i="28" s="1"/>
  <c r="A86" i="28" s="1"/>
  <c r="A87" i="28" s="1"/>
  <c r="A88" i="28" s="1"/>
  <c r="A90" i="28" s="1"/>
  <c r="A91" i="28" s="1"/>
  <c r="A92" i="28" s="1"/>
  <c r="A93" i="28" s="1"/>
  <c r="Z92" i="28"/>
  <c r="X92" i="28"/>
  <c r="V92" i="28"/>
  <c r="T92" i="28"/>
  <c r="R92" i="28"/>
  <c r="P92" i="28"/>
  <c r="N92" i="28"/>
  <c r="I92" i="28" s="1"/>
  <c r="G92" i="28"/>
  <c r="F92" i="28"/>
  <c r="H92" i="28" s="1"/>
  <c r="Z88" i="28"/>
  <c r="X88" i="28"/>
  <c r="V88" i="28"/>
  <c r="T88" i="28"/>
  <c r="R88" i="28"/>
  <c r="P88" i="28"/>
  <c r="N88" i="28"/>
  <c r="I88" i="28" s="1"/>
  <c r="G88" i="28"/>
  <c r="F88" i="28"/>
  <c r="H88" i="28"/>
  <c r="Z82" i="28"/>
  <c r="X82" i="28"/>
  <c r="V82" i="28"/>
  <c r="T82" i="28"/>
  <c r="R82" i="28"/>
  <c r="P82" i="28"/>
  <c r="N82" i="28"/>
  <c r="I82" i="28"/>
  <c r="G82" i="28"/>
  <c r="F82" i="28"/>
  <c r="H82" i="28"/>
  <c r="Z50" i="28"/>
  <c r="X50" i="28"/>
  <c r="V50" i="28"/>
  <c r="T50" i="28"/>
  <c r="R50" i="28"/>
  <c r="P50" i="28"/>
  <c r="N50" i="28"/>
  <c r="G50" i="28"/>
  <c r="F50" i="28"/>
  <c r="Z41" i="28"/>
  <c r="X41" i="28"/>
  <c r="V41" i="28"/>
  <c r="T41" i="28"/>
  <c r="R41" i="28"/>
  <c r="P41" i="28"/>
  <c r="N41" i="28"/>
  <c r="I41" i="28" s="1"/>
  <c r="G41" i="28"/>
  <c r="F41" i="28"/>
  <c r="Z38" i="28"/>
  <c r="X38" i="28"/>
  <c r="V38" i="28"/>
  <c r="T38" i="28"/>
  <c r="R38" i="28"/>
  <c r="P38" i="28"/>
  <c r="N38" i="28"/>
  <c r="G38" i="28"/>
  <c r="F38" i="28"/>
  <c r="H38" i="28" s="1"/>
  <c r="Z33" i="28"/>
  <c r="X33" i="28"/>
  <c r="V33" i="28"/>
  <c r="T33" i="28"/>
  <c r="R33" i="28"/>
  <c r="P33" i="28"/>
  <c r="N33" i="28"/>
  <c r="I33" i="28" s="1"/>
  <c r="G33" i="28"/>
  <c r="F33" i="28"/>
  <c r="H33" i="28"/>
  <c r="Z28" i="28"/>
  <c r="X28" i="28"/>
  <c r="V28" i="28"/>
  <c r="T28" i="28"/>
  <c r="R28" i="28"/>
  <c r="P28" i="28"/>
  <c r="N28" i="28"/>
  <c r="G28" i="28"/>
  <c r="F28" i="28"/>
  <c r="N1933" i="28"/>
  <c r="N1934" i="28"/>
  <c r="N1935" i="28"/>
  <c r="N1937" i="28"/>
  <c r="N1938" i="28"/>
  <c r="N1939" i="28"/>
  <c r="N1940" i="28"/>
  <c r="L1941" i="28"/>
  <c r="N1941" i="28"/>
  <c r="N1942" i="28"/>
  <c r="N1943" i="28"/>
  <c r="N1944" i="28"/>
  <c r="N1946" i="28"/>
  <c r="N1947" i="28"/>
  <c r="N1948" i="28"/>
  <c r="N1949" i="28"/>
  <c r="N1950" i="28"/>
  <c r="N1951" i="28"/>
  <c r="N1952" i="28"/>
  <c r="N1953" i="28"/>
  <c r="N1954" i="28"/>
  <c r="N1987" i="28"/>
  <c r="P17" i="28"/>
  <c r="P18" i="28"/>
  <c r="P19" i="28"/>
  <c r="P20" i="28"/>
  <c r="P22" i="28"/>
  <c r="P23" i="28"/>
  <c r="P24" i="28"/>
  <c r="P25" i="28"/>
  <c r="P26" i="28"/>
  <c r="P29" i="28"/>
  <c r="P30" i="28"/>
  <c r="P31" i="28"/>
  <c r="P34" i="28"/>
  <c r="P36" i="28"/>
  <c r="P37" i="28"/>
  <c r="P40" i="28"/>
  <c r="P43" i="28"/>
  <c r="P44" i="28"/>
  <c r="P45" i="28"/>
  <c r="P46" i="28"/>
  <c r="P47" i="28"/>
  <c r="P49" i="28"/>
  <c r="P52" i="28"/>
  <c r="P53" i="28"/>
  <c r="P55" i="28"/>
  <c r="P57" i="28"/>
  <c r="P58" i="28"/>
  <c r="P59" i="28"/>
  <c r="P60" i="28"/>
  <c r="P61" i="28"/>
  <c r="P64" i="28"/>
  <c r="P65" i="28"/>
  <c r="P66" i="28"/>
  <c r="P68" i="28"/>
  <c r="P69" i="28"/>
  <c r="P71" i="28"/>
  <c r="P73" i="28"/>
  <c r="P75" i="28"/>
  <c r="P77" i="28"/>
  <c r="P79" i="28"/>
  <c r="P81" i="28"/>
  <c r="P84" i="28"/>
  <c r="P85" i="28"/>
  <c r="P86" i="28"/>
  <c r="P87" i="28"/>
  <c r="P90" i="28"/>
  <c r="P91" i="28"/>
  <c r="P93" i="28"/>
  <c r="P95" i="28"/>
  <c r="P96" i="28"/>
  <c r="P98" i="28"/>
  <c r="P100" i="28"/>
  <c r="P101" i="28"/>
  <c r="P102" i="28"/>
  <c r="P104" i="28"/>
  <c r="P110" i="28"/>
  <c r="P114" i="28"/>
  <c r="P117" i="28"/>
  <c r="P120" i="28"/>
  <c r="P123" i="28"/>
  <c r="P126" i="28"/>
  <c r="P129" i="28"/>
  <c r="P134" i="28"/>
  <c r="O141" i="28"/>
  <c r="P141" i="28"/>
  <c r="P143" i="28"/>
  <c r="P146" i="28"/>
  <c r="P149" i="28"/>
  <c r="P152" i="28"/>
  <c r="P155" i="28"/>
  <c r="P158" i="28"/>
  <c r="P161" i="28"/>
  <c r="P164" i="28"/>
  <c r="P167" i="28"/>
  <c r="P170" i="28"/>
  <c r="P173" i="28"/>
  <c r="P176" i="28"/>
  <c r="O179" i="28"/>
  <c r="P179" i="28"/>
  <c r="P182" i="28"/>
  <c r="P185" i="28"/>
  <c r="P188" i="28"/>
  <c r="P198" i="28"/>
  <c r="O208" i="28"/>
  <c r="P208" i="28"/>
  <c r="O219" i="28"/>
  <c r="P219" i="28"/>
  <c r="P221" i="28"/>
  <c r="P224" i="28"/>
  <c r="P230" i="28"/>
  <c r="O236" i="28"/>
  <c r="O237" i="28"/>
  <c r="O285" i="28" s="1"/>
  <c r="O240" i="28"/>
  <c r="O243" i="28"/>
  <c r="P243" i="28" s="1"/>
  <c r="O254" i="28"/>
  <c r="P254" i="28" s="1"/>
  <c r="O266" i="28"/>
  <c r="P266" i="28" s="1"/>
  <c r="P275" i="28"/>
  <c r="O379" i="28"/>
  <c r="O380" i="28"/>
  <c r="O382" i="28"/>
  <c r="O391" i="28"/>
  <c r="O392" i="28"/>
  <c r="O395" i="28"/>
  <c r="O383" i="28" s="1"/>
  <c r="O386" i="28" s="1"/>
  <c r="O371" i="28"/>
  <c r="O374" i="28"/>
  <c r="P374" i="28" s="1"/>
  <c r="O283" i="28"/>
  <c r="O284" i="28"/>
  <c r="O286" i="28"/>
  <c r="P291" i="28"/>
  <c r="P294" i="28"/>
  <c r="O307" i="28"/>
  <c r="P307" i="28"/>
  <c r="O319" i="28"/>
  <c r="P319" i="28"/>
  <c r="P321" i="28"/>
  <c r="P324" i="28"/>
  <c r="O327" i="28"/>
  <c r="P327" i="28"/>
  <c r="P330" i="28"/>
  <c r="P333" i="28"/>
  <c r="P336" i="28"/>
  <c r="P339" i="28"/>
  <c r="P342" i="28"/>
  <c r="P345" i="28"/>
  <c r="P348" i="28"/>
  <c r="P351" i="28"/>
  <c r="P354" i="28"/>
  <c r="P357" i="28"/>
  <c r="P360" i="28"/>
  <c r="P363" i="28"/>
  <c r="P395" i="28"/>
  <c r="P397" i="28"/>
  <c r="O403" i="28"/>
  <c r="O408" i="28" s="1"/>
  <c r="P408" i="28" s="1"/>
  <c r="O404" i="28"/>
  <c r="O405" i="28"/>
  <c r="O413" i="28"/>
  <c r="O414" i="28"/>
  <c r="O415" i="28"/>
  <c r="O418" i="28"/>
  <c r="P418" i="28" s="1"/>
  <c r="O428" i="28"/>
  <c r="P428" i="28" s="1"/>
  <c r="O434" i="28"/>
  <c r="P434" i="28" s="1"/>
  <c r="P438" i="28"/>
  <c r="P440" i="28"/>
  <c r="O446" i="28"/>
  <c r="O451" i="28" s="1"/>
  <c r="P451" i="28" s="1"/>
  <c r="O447" i="28"/>
  <c r="O448" i="28"/>
  <c r="O456" i="28"/>
  <c r="O457" i="28"/>
  <c r="O458" i="28"/>
  <c r="O461" i="28"/>
  <c r="P461" i="28" s="1"/>
  <c r="P463" i="28"/>
  <c r="P469" i="28"/>
  <c r="P471" i="28"/>
  <c r="O474" i="28"/>
  <c r="P474" i="28"/>
  <c r="P477" i="28"/>
  <c r="O480" i="28"/>
  <c r="P480" i="28" s="1"/>
  <c r="P483" i="28"/>
  <c r="P492" i="28"/>
  <c r="P498" i="28"/>
  <c r="P501" i="28"/>
  <c r="P504" i="28"/>
  <c r="P507" i="28"/>
  <c r="P510" i="28"/>
  <c r="P513" i="28"/>
  <c r="P521" i="28"/>
  <c r="P535" i="28" s="1"/>
  <c r="P523" i="28"/>
  <c r="P526" i="28"/>
  <c r="P529" i="28"/>
  <c r="P532" i="28"/>
  <c r="P541" i="28"/>
  <c r="P544" i="28"/>
  <c r="P547" i="28"/>
  <c r="P550" i="28"/>
  <c r="P553" i="28"/>
  <c r="P556" i="28"/>
  <c r="P559" i="28"/>
  <c r="P562" i="28"/>
  <c r="P567" i="28"/>
  <c r="O573" i="28"/>
  <c r="P573" i="28"/>
  <c r="O580" i="28"/>
  <c r="P580" i="28"/>
  <c r="P582" i="28"/>
  <c r="P589" i="28"/>
  <c r="P593" i="28"/>
  <c r="P597" i="28"/>
  <c r="P602" i="28"/>
  <c r="O609" i="28"/>
  <c r="P609" i="28" s="1"/>
  <c r="P629" i="28" s="1"/>
  <c r="P611" i="28"/>
  <c r="P614" i="28"/>
  <c r="P617" i="28"/>
  <c r="P620" i="28"/>
  <c r="P623" i="28"/>
  <c r="P626" i="28"/>
  <c r="P634" i="28"/>
  <c r="P642" i="28"/>
  <c r="P644" i="28"/>
  <c r="P647" i="28"/>
  <c r="P654" i="28"/>
  <c r="P656" i="28"/>
  <c r="P663" i="28"/>
  <c r="O669" i="28"/>
  <c r="P669" i="28" s="1"/>
  <c r="P671" i="28" s="1"/>
  <c r="P676" i="28"/>
  <c r="P679" i="28"/>
  <c r="P684" i="28"/>
  <c r="P687" i="28"/>
  <c r="P690" i="28"/>
  <c r="P695" i="28"/>
  <c r="P696" i="28"/>
  <c r="P697" i="28"/>
  <c r="P701" i="28"/>
  <c r="P702" i="28"/>
  <c r="P703" i="28"/>
  <c r="P705" i="28"/>
  <c r="P708" i="28"/>
  <c r="P711" i="28"/>
  <c r="P712" i="28"/>
  <c r="P713" i="28"/>
  <c r="P714" i="28"/>
  <c r="P715" i="28"/>
  <c r="P716" i="28"/>
  <c r="P717" i="28"/>
  <c r="P718" i="28"/>
  <c r="P719" i="28"/>
  <c r="P720" i="28"/>
  <c r="P723" i="28"/>
  <c r="P724" i="28"/>
  <c r="P725" i="28"/>
  <c r="P726" i="28"/>
  <c r="P727" i="28"/>
  <c r="P728" i="28"/>
  <c r="P729" i="28"/>
  <c r="P730" i="28"/>
  <c r="P731" i="28"/>
  <c r="P732" i="28"/>
  <c r="P733" i="28"/>
  <c r="P734" i="28"/>
  <c r="P735" i="28"/>
  <c r="P738" i="28"/>
  <c r="P739" i="28"/>
  <c r="P740" i="28"/>
  <c r="P743" i="28"/>
  <c r="P744" i="28"/>
  <c r="P745" i="28"/>
  <c r="P746" i="28"/>
  <c r="P747" i="28"/>
  <c r="P748" i="28"/>
  <c r="P749" i="28"/>
  <c r="P750" i="28"/>
  <c r="P751" i="28"/>
  <c r="P752" i="28"/>
  <c r="P753" i="28"/>
  <c r="P754" i="28"/>
  <c r="P755" i="28"/>
  <c r="P766" i="28"/>
  <c r="P767" i="28"/>
  <c r="P768" i="28"/>
  <c r="P769" i="28"/>
  <c r="P770" i="28"/>
  <c r="P771" i="28"/>
  <c r="P772" i="28"/>
  <c r="P773" i="28"/>
  <c r="P774" i="28"/>
  <c r="P775" i="28"/>
  <c r="P776" i="28"/>
  <c r="P777" i="28"/>
  <c r="P778" i="28"/>
  <c r="P779" i="28"/>
  <c r="P780" i="28"/>
  <c r="P781" i="28"/>
  <c r="P782" i="28"/>
  <c r="P783" i="28"/>
  <c r="P784" i="28"/>
  <c r="P785" i="28"/>
  <c r="P786" i="28"/>
  <c r="P787" i="28"/>
  <c r="P788" i="28"/>
  <c r="P789" i="28"/>
  <c r="P790" i="28"/>
  <c r="P791" i="28"/>
  <c r="P792" i="28"/>
  <c r="P793" i="28"/>
  <c r="P794" i="28"/>
  <c r="P795" i="28"/>
  <c r="P796" i="28"/>
  <c r="P797" i="28"/>
  <c r="P798" i="28"/>
  <c r="P799" i="28"/>
  <c r="P800" i="28"/>
  <c r="P801" i="28"/>
  <c r="P802" i="28"/>
  <c r="P803" i="28"/>
  <c r="P804" i="28"/>
  <c r="P805" i="28"/>
  <c r="P806" i="28"/>
  <c r="P807" i="28"/>
  <c r="P808" i="28"/>
  <c r="P809" i="28"/>
  <c r="P810" i="28"/>
  <c r="P811" i="28"/>
  <c r="P812" i="28"/>
  <c r="P813" i="28"/>
  <c r="P814" i="28"/>
  <c r="P815" i="28"/>
  <c r="P816" i="28"/>
  <c r="P817" i="28"/>
  <c r="P818" i="28"/>
  <c r="P819" i="28"/>
  <c r="P820" i="28"/>
  <c r="P821" i="28"/>
  <c r="P822" i="28"/>
  <c r="P823" i="28"/>
  <c r="P824" i="28"/>
  <c r="P825" i="28"/>
  <c r="P826" i="28"/>
  <c r="P827" i="28"/>
  <c r="P828" i="28"/>
  <c r="P829" i="28"/>
  <c r="P830" i="28"/>
  <c r="P831" i="28"/>
  <c r="P832" i="28"/>
  <c r="P833" i="28"/>
  <c r="P834" i="28"/>
  <c r="P835" i="28"/>
  <c r="P836" i="28"/>
  <c r="P837" i="28"/>
  <c r="P838" i="28"/>
  <c r="P841" i="28"/>
  <c r="P842" i="28"/>
  <c r="P843" i="28"/>
  <c r="P844" i="28"/>
  <c r="P845" i="28"/>
  <c r="P846" i="28"/>
  <c r="P847" i="28"/>
  <c r="P848" i="28"/>
  <c r="P849" i="28"/>
  <c r="P852" i="28"/>
  <c r="P853" i="28"/>
  <c r="P854" i="28"/>
  <c r="P855" i="28"/>
  <c r="P856" i="28"/>
  <c r="P857" i="28"/>
  <c r="P858" i="28"/>
  <c r="P861" i="28"/>
  <c r="P862" i="28"/>
  <c r="P863" i="28"/>
  <c r="P864" i="28"/>
  <c r="P865" i="28"/>
  <c r="P866" i="28"/>
  <c r="P867" i="28"/>
  <c r="P868" i="28"/>
  <c r="P869" i="28"/>
  <c r="P872" i="28"/>
  <c r="P873" i="28"/>
  <c r="P874" i="28"/>
  <c r="P875" i="28"/>
  <c r="P876" i="28"/>
  <c r="P877" i="28"/>
  <c r="P880" i="28"/>
  <c r="P881" i="28"/>
  <c r="P882" i="28"/>
  <c r="P883" i="28"/>
  <c r="P884" i="28"/>
  <c r="P885" i="28"/>
  <c r="P886" i="28"/>
  <c r="P887" i="28"/>
  <c r="P890" i="28"/>
  <c r="P891" i="28"/>
  <c r="P892" i="28"/>
  <c r="P893" i="28"/>
  <c r="P894" i="28"/>
  <c r="P895" i="28"/>
  <c r="P896" i="28"/>
  <c r="P897" i="28"/>
  <c r="P900" i="28"/>
  <c r="P901" i="28"/>
  <c r="P902" i="28"/>
  <c r="P903" i="28"/>
  <c r="P904" i="28"/>
  <c r="P905" i="28"/>
  <c r="P906" i="28"/>
  <c r="P907" i="28"/>
  <c r="P908" i="28"/>
  <c r="P909" i="28"/>
  <c r="P910" i="28"/>
  <c r="P913" i="28"/>
  <c r="P914" i="28"/>
  <c r="P915" i="28"/>
  <c r="P916" i="28"/>
  <c r="P919" i="28"/>
  <c r="P920" i="28"/>
  <c r="P921" i="28"/>
  <c r="P922" i="28"/>
  <c r="P923" i="28"/>
  <c r="P924" i="28"/>
  <c r="P925" i="28"/>
  <c r="P926" i="28"/>
  <c r="P927" i="28"/>
  <c r="P928" i="28"/>
  <c r="P931" i="28"/>
  <c r="P932" i="28"/>
  <c r="P933" i="28"/>
  <c r="P934" i="28"/>
  <c r="P935" i="28"/>
  <c r="P936" i="28"/>
  <c r="P937" i="28"/>
  <c r="P938" i="28"/>
  <c r="P939" i="28"/>
  <c r="P940" i="28"/>
  <c r="P941" i="28"/>
  <c r="P942" i="28"/>
  <c r="P945" i="28"/>
  <c r="P946" i="28"/>
  <c r="P949" i="28"/>
  <c r="P952" i="28"/>
  <c r="P953" i="28"/>
  <c r="P954" i="28"/>
  <c r="P955" i="28"/>
  <c r="P956" i="28"/>
  <c r="P957" i="28"/>
  <c r="P958" i="28"/>
  <c r="P959" i="28"/>
  <c r="P960" i="28"/>
  <c r="P961" i="28"/>
  <c r="P962" i="28"/>
  <c r="P963" i="28"/>
  <c r="P967" i="28"/>
  <c r="P968" i="28"/>
  <c r="P969" i="28"/>
  <c r="P970" i="28"/>
  <c r="P971" i="28"/>
  <c r="P972" i="28"/>
  <c r="P973" i="28"/>
  <c r="P974" i="28"/>
  <c r="P975" i="28"/>
  <c r="P976" i="28"/>
  <c r="P980" i="28"/>
  <c r="P981" i="28"/>
  <c r="P982" i="28"/>
  <c r="P983" i="28"/>
  <c r="P984" i="28"/>
  <c r="P985" i="28"/>
  <c r="P986" i="28"/>
  <c r="P987" i="28"/>
  <c r="P988" i="28"/>
  <c r="P992" i="28"/>
  <c r="P993" i="28"/>
  <c r="P994" i="28"/>
  <c r="P995" i="28"/>
  <c r="P996" i="28"/>
  <c r="P997" i="28"/>
  <c r="P998" i="28"/>
  <c r="P999" i="28"/>
  <c r="P1000" i="28"/>
  <c r="P1003" i="28"/>
  <c r="P1004" i="28"/>
  <c r="P1005" i="28"/>
  <c r="P1006" i="28"/>
  <c r="P1007" i="28"/>
  <c r="P1008" i="28"/>
  <c r="P1009" i="28"/>
  <c r="P1012" i="28"/>
  <c r="P1013" i="28"/>
  <c r="P1014" i="28"/>
  <c r="P1015" i="28"/>
  <c r="P1016" i="28"/>
  <c r="P1017" i="28"/>
  <c r="P1018" i="28"/>
  <c r="P1019" i="28"/>
  <c r="P1022" i="28"/>
  <c r="P1023" i="28"/>
  <c r="P1024" i="28"/>
  <c r="P1025" i="28"/>
  <c r="P1028" i="28"/>
  <c r="P1029" i="28"/>
  <c r="P1030" i="28"/>
  <c r="P1031" i="28"/>
  <c r="P1035" i="28"/>
  <c r="P1036" i="28"/>
  <c r="P1037" i="28"/>
  <c r="P1038" i="28"/>
  <c r="P1039" i="28"/>
  <c r="P1040" i="28"/>
  <c r="P1043" i="28"/>
  <c r="P1044" i="28"/>
  <c r="P1045" i="28"/>
  <c r="P1046" i="28"/>
  <c r="P1047" i="28"/>
  <c r="P1048" i="28"/>
  <c r="P1051" i="28"/>
  <c r="P1052" i="28"/>
  <c r="P1053" i="28"/>
  <c r="P1054" i="28"/>
  <c r="P1055" i="28"/>
  <c r="P1056" i="28"/>
  <c r="P1057" i="28"/>
  <c r="P1058" i="28"/>
  <c r="P1059" i="28"/>
  <c r="P1937" i="28"/>
  <c r="P1938" i="28"/>
  <c r="P1939" i="28"/>
  <c r="P1940" i="28"/>
  <c r="P1941" i="28"/>
  <c r="P1942" i="28"/>
  <c r="P1943" i="28"/>
  <c r="P1944" i="28"/>
  <c r="P1946" i="28"/>
  <c r="P1947" i="28"/>
  <c r="P1948" i="28"/>
  <c r="P1949" i="28"/>
  <c r="P1950" i="28"/>
  <c r="P1951" i="28"/>
  <c r="P1952" i="28"/>
  <c r="P1953" i="28"/>
  <c r="P1128" i="28"/>
  <c r="P1129" i="28"/>
  <c r="P1130" i="28"/>
  <c r="P1131" i="28"/>
  <c r="P1132" i="28"/>
  <c r="P1133" i="28"/>
  <c r="P1134" i="28"/>
  <c r="P1135" i="28"/>
  <c r="P1136" i="28"/>
  <c r="L1137" i="28"/>
  <c r="P1137" i="28" s="1"/>
  <c r="P1138" i="28"/>
  <c r="P1139" i="28"/>
  <c r="O1226" i="28"/>
  <c r="P1226" i="28" s="1"/>
  <c r="P1235" i="28"/>
  <c r="P1253" i="28"/>
  <c r="P1280" i="28" s="1"/>
  <c r="P1283" i="28"/>
  <c r="P1313" i="28" s="1"/>
  <c r="P1289" i="28"/>
  <c r="P1368" i="28"/>
  <c r="P1369" i="28"/>
  <c r="P1370" i="28"/>
  <c r="P1371" i="28"/>
  <c r="L1375" i="28"/>
  <c r="P1375" i="28"/>
  <c r="L1376" i="28"/>
  <c r="P1376" i="28"/>
  <c r="L1380" i="28"/>
  <c r="P1380" i="28"/>
  <c r="L1384" i="28"/>
  <c r="P1384" i="28"/>
  <c r="L1388" i="28"/>
  <c r="P1388" i="28"/>
  <c r="L1392" i="28"/>
  <c r="P1392" i="28"/>
  <c r="L1393" i="28"/>
  <c r="P1393" i="28"/>
  <c r="L1397" i="28"/>
  <c r="P1397" i="28"/>
  <c r="L1398" i="28"/>
  <c r="P1398" i="28"/>
  <c r="P1402" i="28"/>
  <c r="P1403" i="28"/>
  <c r="P1404" i="28"/>
  <c r="P1405" i="28"/>
  <c r="P1406" i="28"/>
  <c r="P1410" i="28"/>
  <c r="P1411" i="28"/>
  <c r="L1415" i="28"/>
  <c r="P1415" i="28" s="1"/>
  <c r="L1416" i="28"/>
  <c r="P1416" i="28" s="1"/>
  <c r="L1417" i="28"/>
  <c r="P1417" i="28" s="1"/>
  <c r="P1418" i="28"/>
  <c r="P1419" i="28"/>
  <c r="L1420" i="28"/>
  <c r="P1420" i="28" s="1"/>
  <c r="L1421" i="28"/>
  <c r="P1421" i="28" s="1"/>
  <c r="P1430" i="28"/>
  <c r="P1431" i="28"/>
  <c r="P1432" i="28"/>
  <c r="P1433" i="28"/>
  <c r="P1437" i="28"/>
  <c r="P1438" i="28"/>
  <c r="P1439" i="28"/>
  <c r="P1440" i="28"/>
  <c r="P1445" i="28"/>
  <c r="P1448" i="28"/>
  <c r="P1453" i="28"/>
  <c r="P1457" i="28"/>
  <c r="P1458" i="28"/>
  <c r="P1459" i="28"/>
  <c r="P1460" i="28"/>
  <c r="P1461" i="28"/>
  <c r="P1465" i="28"/>
  <c r="P1466" i="28"/>
  <c r="P1467" i="28"/>
  <c r="P1468" i="28"/>
  <c r="P1470" i="28"/>
  <c r="P1473" i="28"/>
  <c r="P1476" i="28"/>
  <c r="P1479" i="28"/>
  <c r="P1482" i="28"/>
  <c r="P1487" i="28"/>
  <c r="P1488" i="28"/>
  <c r="P1489" i="28"/>
  <c r="P1490" i="28"/>
  <c r="P1491" i="28"/>
  <c r="P1492" i="28"/>
  <c r="P1493" i="28"/>
  <c r="P1494" i="28"/>
  <c r="P1495" i="28"/>
  <c r="P1496" i="28"/>
  <c r="P1497" i="28"/>
  <c r="P1501" i="28"/>
  <c r="P1502" i="28"/>
  <c r="P1503" i="28"/>
  <c r="P1504" i="28"/>
  <c r="P1505" i="28"/>
  <c r="P1506" i="28"/>
  <c r="P1507" i="28"/>
  <c r="P1508" i="28"/>
  <c r="P1509" i="28"/>
  <c r="P1510" i="28"/>
  <c r="P1511" i="28"/>
  <c r="P1515" i="28"/>
  <c r="P1516" i="28"/>
  <c r="P1517" i="28"/>
  <c r="P1518" i="28"/>
  <c r="P1519" i="28"/>
  <c r="P1520" i="28"/>
  <c r="P1521" i="28"/>
  <c r="P1523" i="28"/>
  <c r="O1535" i="28"/>
  <c r="P1535" i="28"/>
  <c r="O1541" i="28"/>
  <c r="O1542" i="28"/>
  <c r="O1543" i="28"/>
  <c r="O1546" i="28"/>
  <c r="P1546" i="28" s="1"/>
  <c r="P1548" i="28"/>
  <c r="P1551" i="28"/>
  <c r="P1554" i="28"/>
  <c r="O1560" i="28"/>
  <c r="O1565" i="28" s="1"/>
  <c r="P1565" i="28" s="1"/>
  <c r="O1561" i="28"/>
  <c r="O1562" i="28"/>
  <c r="P1573" i="28"/>
  <c r="O1576" i="28"/>
  <c r="P1576" i="28" s="1"/>
  <c r="O1587" i="28"/>
  <c r="P1587" i="28" s="1"/>
  <c r="O1601" i="28"/>
  <c r="P1601" i="28" s="1"/>
  <c r="P1615" i="28" s="1"/>
  <c r="P1645" i="28"/>
  <c r="P1651" i="28"/>
  <c r="P1657" i="28"/>
  <c r="P1661" i="28"/>
  <c r="P1663" i="28"/>
  <c r="L1666" i="28"/>
  <c r="P1666" i="28" s="1"/>
  <c r="P1695" i="28" s="1"/>
  <c r="P1670" i="28"/>
  <c r="P1673" i="28"/>
  <c r="P1676" i="28"/>
  <c r="P1681" i="28"/>
  <c r="P1683" i="28"/>
  <c r="P1686" i="28"/>
  <c r="P1689" i="28"/>
  <c r="P1692" i="28"/>
  <c r="P1698" i="28"/>
  <c r="P1703" i="28"/>
  <c r="P1707" i="28"/>
  <c r="P1711" i="28"/>
  <c r="L1715" i="28"/>
  <c r="P1715" i="28"/>
  <c r="L1717" i="28"/>
  <c r="P1717" i="28"/>
  <c r="L1720" i="28"/>
  <c r="P1720" i="28"/>
  <c r="L1723" i="28"/>
  <c r="P1723" i="28"/>
  <c r="P1726" i="28"/>
  <c r="P1731" i="28"/>
  <c r="P1732" i="28"/>
  <c r="P1733" i="28"/>
  <c r="P1734" i="28"/>
  <c r="P1735" i="28"/>
  <c r="P1739" i="28"/>
  <c r="P1740" i="28"/>
  <c r="P1741" i="28"/>
  <c r="P1742" i="28"/>
  <c r="P1744" i="28"/>
  <c r="L1747" i="28"/>
  <c r="P1747" i="28" s="1"/>
  <c r="L1752" i="28"/>
  <c r="P1752" i="28" s="1"/>
  <c r="L1756" i="28"/>
  <c r="P1756" i="28" s="1"/>
  <c r="P1760" i="28"/>
  <c r="P1761" i="28"/>
  <c r="P1762" i="28"/>
  <c r="L1763" i="28"/>
  <c r="P1763" i="28"/>
  <c r="P1767" i="28"/>
  <c r="P1768" i="28"/>
  <c r="P1769" i="28"/>
  <c r="L1771" i="28"/>
  <c r="P1771" i="28" s="1"/>
  <c r="L1777" i="28"/>
  <c r="P1777" i="28" s="1"/>
  <c r="L1778" i="28"/>
  <c r="P1778" i="28" s="1"/>
  <c r="L1779" i="28"/>
  <c r="P1779" i="28" s="1"/>
  <c r="L1780" i="28"/>
  <c r="P1780" i="28" s="1"/>
  <c r="P1784" i="28"/>
  <c r="P1785" i="28"/>
  <c r="P1786" i="28"/>
  <c r="P1787" i="28"/>
  <c r="P1788" i="28"/>
  <c r="P1789" i="28"/>
  <c r="P1790" i="28"/>
  <c r="P1792" i="28"/>
  <c r="P1795" i="28"/>
  <c r="P1798" i="28"/>
  <c r="P1801" i="28"/>
  <c r="L1804" i="28"/>
  <c r="P1804" i="28"/>
  <c r="L1807" i="28"/>
  <c r="P1807" i="28"/>
  <c r="P1812" i="28"/>
  <c r="P1813" i="28"/>
  <c r="P1814" i="28"/>
  <c r="P1815" i="28"/>
  <c r="L1817" i="28"/>
  <c r="P1817" i="28"/>
  <c r="P1822" i="28"/>
  <c r="P1823" i="28"/>
  <c r="P1824" i="28"/>
  <c r="P1825" i="28"/>
  <c r="P1826" i="28"/>
  <c r="P1830" i="28"/>
  <c r="P1833" i="28"/>
  <c r="P1836" i="28"/>
  <c r="P1839" i="28"/>
  <c r="P1842" i="28"/>
  <c r="P1845" i="28"/>
  <c r="P1848" i="28"/>
  <c r="P1851" i="28"/>
  <c r="P1854" i="28"/>
  <c r="P1857" i="28"/>
  <c r="P1860" i="28"/>
  <c r="P1863" i="28"/>
  <c r="P1868" i="28"/>
  <c r="P1871" i="28"/>
  <c r="P1874" i="28"/>
  <c r="P1877" i="28"/>
  <c r="P1880" i="28"/>
  <c r="P1883" i="28"/>
  <c r="P1886" i="28"/>
  <c r="P1891" i="28"/>
  <c r="P1894" i="28"/>
  <c r="P1897" i="28"/>
  <c r="P1900" i="28"/>
  <c r="P1903" i="28"/>
  <c r="P1906" i="28"/>
  <c r="P1909" i="28"/>
  <c r="P1912" i="28"/>
  <c r="P1915" i="28"/>
  <c r="P1918" i="28"/>
  <c r="P1921" i="28"/>
  <c r="P1924" i="28"/>
  <c r="R17" i="28"/>
  <c r="R18" i="28"/>
  <c r="R19" i="28"/>
  <c r="R20" i="28"/>
  <c r="R22" i="28"/>
  <c r="R23" i="28"/>
  <c r="R24" i="28"/>
  <c r="R25" i="28"/>
  <c r="R26" i="28"/>
  <c r="R29" i="28"/>
  <c r="R30" i="28"/>
  <c r="R31" i="28"/>
  <c r="R34" i="28"/>
  <c r="R36" i="28"/>
  <c r="R37" i="28"/>
  <c r="R40" i="28"/>
  <c r="R43" i="28"/>
  <c r="R44" i="28"/>
  <c r="R45" i="28"/>
  <c r="R46" i="28"/>
  <c r="R47" i="28"/>
  <c r="R49" i="28"/>
  <c r="R52" i="28"/>
  <c r="R53" i="28"/>
  <c r="R55" i="28"/>
  <c r="R57" i="28"/>
  <c r="R58" i="28"/>
  <c r="R59" i="28"/>
  <c r="R60" i="28"/>
  <c r="R61" i="28"/>
  <c r="R64" i="28"/>
  <c r="R65" i="28"/>
  <c r="R66" i="28"/>
  <c r="R68" i="28"/>
  <c r="R69" i="28"/>
  <c r="R71" i="28"/>
  <c r="R73" i="28"/>
  <c r="R75" i="28"/>
  <c r="R77" i="28"/>
  <c r="R79" i="28"/>
  <c r="R81" i="28"/>
  <c r="R84" i="28"/>
  <c r="R85" i="28"/>
  <c r="R86" i="28"/>
  <c r="R87" i="28"/>
  <c r="R90" i="28"/>
  <c r="R91" i="28"/>
  <c r="R93" i="28"/>
  <c r="R95" i="28"/>
  <c r="R96" i="28"/>
  <c r="R98" i="28"/>
  <c r="R100" i="28"/>
  <c r="R101" i="28"/>
  <c r="R102" i="28"/>
  <c r="R104" i="28"/>
  <c r="R110" i="28"/>
  <c r="R114" i="28"/>
  <c r="R117" i="28"/>
  <c r="R120" i="28"/>
  <c r="R123" i="28"/>
  <c r="R126" i="28"/>
  <c r="R129" i="28"/>
  <c r="R134" i="28"/>
  <c r="R143" i="28"/>
  <c r="R146" i="28"/>
  <c r="R149" i="28"/>
  <c r="R152" i="28"/>
  <c r="R155" i="28"/>
  <c r="R158" i="28"/>
  <c r="R161" i="28"/>
  <c r="R164" i="28"/>
  <c r="R167" i="28"/>
  <c r="R170" i="28"/>
  <c r="R173" i="28"/>
  <c r="R176" i="28"/>
  <c r="Q179" i="28"/>
  <c r="R179" i="28" s="1"/>
  <c r="R182" i="28"/>
  <c r="R185" i="28"/>
  <c r="R188" i="28"/>
  <c r="R198" i="28"/>
  <c r="Q208" i="28"/>
  <c r="R208" i="28" s="1"/>
  <c r="Q141" i="28"/>
  <c r="R141" i="28" s="1"/>
  <c r="Q219" i="28"/>
  <c r="R219" i="28"/>
  <c r="R221" i="28"/>
  <c r="R224" i="28"/>
  <c r="R227" i="28"/>
  <c r="R230" i="28"/>
  <c r="Q235" i="28"/>
  <c r="Q236" i="28"/>
  <c r="Q237" i="28"/>
  <c r="Q238" i="28"/>
  <c r="Q286" i="28" s="1"/>
  <c r="Q254" i="28"/>
  <c r="R254" i="28" s="1"/>
  <c r="R275" i="28"/>
  <c r="Q378" i="28"/>
  <c r="Q379" i="28"/>
  <c r="Q380" i="28"/>
  <c r="Q381" i="28"/>
  <c r="Q390" i="28"/>
  <c r="Q391" i="28"/>
  <c r="Q392" i="28"/>
  <c r="Q395" i="28"/>
  <c r="Q383" i="28" s="1"/>
  <c r="Q386" i="28" s="1"/>
  <c r="Q374" i="28"/>
  <c r="R374" i="28"/>
  <c r="Q283" i="28"/>
  <c r="Q285" i="28"/>
  <c r="R291" i="28"/>
  <c r="R294" i="28"/>
  <c r="Q307" i="28"/>
  <c r="R307" i="28"/>
  <c r="Q319" i="28"/>
  <c r="R319" i="28"/>
  <c r="R321" i="28"/>
  <c r="R324" i="28"/>
  <c r="R327" i="28"/>
  <c r="R330" i="28"/>
  <c r="Q333" i="28"/>
  <c r="R333" i="28"/>
  <c r="R336" i="28"/>
  <c r="R339" i="28"/>
  <c r="R342" i="28"/>
  <c r="R345" i="28"/>
  <c r="R348" i="28"/>
  <c r="R351" i="28"/>
  <c r="R354" i="28"/>
  <c r="R357" i="28"/>
  <c r="R360" i="28"/>
  <c r="R363" i="28"/>
  <c r="R397" i="28"/>
  <c r="Q402" i="28"/>
  <c r="Q403" i="28"/>
  <c r="Q404" i="28"/>
  <c r="Q405" i="28"/>
  <c r="Q418" i="28"/>
  <c r="R418" i="28" s="1"/>
  <c r="Q422" i="28"/>
  <c r="Q423" i="28"/>
  <c r="Q424" i="28"/>
  <c r="Q434" i="28"/>
  <c r="R434" i="28"/>
  <c r="R438" i="28"/>
  <c r="R440" i="28"/>
  <c r="Q445" i="28"/>
  <c r="Q446" i="28"/>
  <c r="Q447" i="28"/>
  <c r="Q448" i="28"/>
  <c r="Q455" i="28"/>
  <c r="Q456" i="28"/>
  <c r="Q457" i="28"/>
  <c r="Q458" i="28"/>
  <c r="R463" i="28"/>
  <c r="R469" i="28"/>
  <c r="R471" i="28"/>
  <c r="Q474" i="28"/>
  <c r="R474" i="28" s="1"/>
  <c r="R477" i="28"/>
  <c r="Q480" i="28"/>
  <c r="R480" i="28"/>
  <c r="R483" i="28"/>
  <c r="R492" i="28"/>
  <c r="R498" i="28"/>
  <c r="R501" i="28"/>
  <c r="R504" i="28"/>
  <c r="R507" i="28"/>
  <c r="R510" i="28"/>
  <c r="R513" i="28"/>
  <c r="R521" i="28"/>
  <c r="R523" i="28"/>
  <c r="R526" i="28"/>
  <c r="R529" i="28"/>
  <c r="R532" i="28"/>
  <c r="R535" i="28"/>
  <c r="R541" i="28"/>
  <c r="R544" i="28"/>
  <c r="R553" i="28" s="1"/>
  <c r="R547" i="28"/>
  <c r="R550" i="28"/>
  <c r="R556" i="28"/>
  <c r="R559" i="28"/>
  <c r="R562" i="28"/>
  <c r="R567" i="28"/>
  <c r="Q573" i="28"/>
  <c r="R573" i="28" s="1"/>
  <c r="Q580" i="28"/>
  <c r="R580" i="28" s="1"/>
  <c r="R582" i="28"/>
  <c r="R589" i="28"/>
  <c r="R593" i="28"/>
  <c r="R597" i="28"/>
  <c r="R602" i="28"/>
  <c r="R629" i="28" s="1"/>
  <c r="Q609" i="28"/>
  <c r="R609" i="28"/>
  <c r="R611" i="28"/>
  <c r="R614" i="28"/>
  <c r="R617" i="28"/>
  <c r="R620" i="28"/>
  <c r="R623" i="28"/>
  <c r="R626" i="28"/>
  <c r="R634" i="28"/>
  <c r="R647" i="28" s="1"/>
  <c r="R642" i="28"/>
  <c r="R644" i="28"/>
  <c r="R654" i="28"/>
  <c r="R671" i="28" s="1"/>
  <c r="R656" i="28"/>
  <c r="R663" i="28"/>
  <c r="Q669" i="28"/>
  <c r="R669" i="28"/>
  <c r="R676" i="28"/>
  <c r="R705" i="28" s="1"/>
  <c r="R679" i="28"/>
  <c r="R684" i="28"/>
  <c r="R687" i="28"/>
  <c r="R690" i="28"/>
  <c r="R695" i="28"/>
  <c r="R696" i="28"/>
  <c r="R697" i="28"/>
  <c r="R701" i="28"/>
  <c r="R702" i="28"/>
  <c r="R703" i="28"/>
  <c r="R1063" i="28"/>
  <c r="R1068" i="28"/>
  <c r="R1069" i="28"/>
  <c r="R1070" i="28"/>
  <c r="R1071" i="28"/>
  <c r="R1072" i="28"/>
  <c r="R1073" i="28"/>
  <c r="R1074" i="28"/>
  <c r="R1075" i="28"/>
  <c r="R1079" i="28"/>
  <c r="R1080" i="28"/>
  <c r="R1081" i="28"/>
  <c r="R1082" i="28"/>
  <c r="R1086" i="28"/>
  <c r="R1093" i="28"/>
  <c r="R1100" i="28"/>
  <c r="R1101" i="28"/>
  <c r="R1102" i="28"/>
  <c r="R1103" i="28"/>
  <c r="R1107" i="28"/>
  <c r="R1108" i="28"/>
  <c r="R1109" i="28"/>
  <c r="R1110" i="28"/>
  <c r="R1114" i="28"/>
  <c r="R1128" i="28"/>
  <c r="R1129" i="28"/>
  <c r="R1130" i="28"/>
  <c r="R1131" i="28"/>
  <c r="R1132" i="28"/>
  <c r="R1133" i="28"/>
  <c r="R1134" i="28"/>
  <c r="R1135" i="28"/>
  <c r="R1136" i="28"/>
  <c r="R1137" i="28"/>
  <c r="R1138" i="28"/>
  <c r="R1139" i="28"/>
  <c r="R1144" i="28"/>
  <c r="R1145" i="28"/>
  <c r="R1146" i="28"/>
  <c r="R1147" i="28"/>
  <c r="R1148" i="28"/>
  <c r="R1149" i="28"/>
  <c r="R1150" i="28"/>
  <c r="R1151" i="28"/>
  <c r="R1153" i="28"/>
  <c r="R1154" i="28"/>
  <c r="R1159" i="28"/>
  <c r="R1160" i="28"/>
  <c r="R1161" i="28"/>
  <c r="R1162" i="28"/>
  <c r="R1163" i="28"/>
  <c r="R1164" i="28"/>
  <c r="R1165" i="28"/>
  <c r="R1166" i="28"/>
  <c r="R1167" i="28"/>
  <c r="R1168" i="28"/>
  <c r="R1169" i="28"/>
  <c r="R1173" i="28"/>
  <c r="R1174" i="28"/>
  <c r="R1175" i="28"/>
  <c r="R1176" i="28"/>
  <c r="R1177" i="28"/>
  <c r="R1178" i="28"/>
  <c r="R1182" i="28"/>
  <c r="R1186" i="28"/>
  <c r="R1187" i="28"/>
  <c r="R1188" i="28"/>
  <c r="R1189" i="28"/>
  <c r="R1190" i="28"/>
  <c r="R1191" i="28"/>
  <c r="R1195" i="28"/>
  <c r="R1196" i="28"/>
  <c r="R1197" i="28"/>
  <c r="R1201" i="28"/>
  <c r="R1202" i="28"/>
  <c r="Q1203" i="28"/>
  <c r="R1203" i="28" s="1"/>
  <c r="R1204" i="28"/>
  <c r="R1205" i="28"/>
  <c r="Q1206" i="28"/>
  <c r="R1206" i="28" s="1"/>
  <c r="Q1207" i="28"/>
  <c r="R1207" i="28" s="1"/>
  <c r="Q1208" i="28"/>
  <c r="R1208" i="28" s="1"/>
  <c r="R1212" i="28"/>
  <c r="R1213" i="28"/>
  <c r="R1214" i="28"/>
  <c r="R1215" i="28"/>
  <c r="R1219" i="28"/>
  <c r="R1220" i="28"/>
  <c r="R1221" i="28"/>
  <c r="R1222" i="28"/>
  <c r="R1223" i="28"/>
  <c r="R1224" i="28"/>
  <c r="Q1226" i="28"/>
  <c r="R1226" i="28" s="1"/>
  <c r="R1229" i="28"/>
  <c r="R1232" i="28"/>
  <c r="R1235" i="28"/>
  <c r="Q1240" i="28"/>
  <c r="R1240" i="28"/>
  <c r="Q1241" i="28"/>
  <c r="R1241" i="28"/>
  <c r="R1242" i="28"/>
  <c r="R1244" i="28"/>
  <c r="R1247" i="28"/>
  <c r="R1253" i="28"/>
  <c r="R1256" i="28"/>
  <c r="R1259" i="28"/>
  <c r="Q1262" i="28"/>
  <c r="R1262" i="28"/>
  <c r="R1265" i="28"/>
  <c r="R1268" i="28"/>
  <c r="R1271" i="28"/>
  <c r="R1274" i="28"/>
  <c r="R1277" i="28"/>
  <c r="R1283" i="28"/>
  <c r="R1286" i="28"/>
  <c r="R1289" i="28"/>
  <c r="R1292" i="28"/>
  <c r="R1295" i="28"/>
  <c r="R1298" i="28"/>
  <c r="R1301" i="28"/>
  <c r="R1304" i="28"/>
  <c r="R1307" i="28"/>
  <c r="R1310" i="28"/>
  <c r="R1313" i="28"/>
  <c r="R1318" i="28"/>
  <c r="R1319" i="28"/>
  <c r="R1526" i="28" s="1"/>
  <c r="R1320" i="28"/>
  <c r="R1321" i="28"/>
  <c r="R1322" i="28"/>
  <c r="R1323" i="28"/>
  <c r="R1324" i="28"/>
  <c r="R1328" i="28"/>
  <c r="R1329" i="28"/>
  <c r="R1330" i="28"/>
  <c r="R1331" i="28"/>
  <c r="R1332" i="28"/>
  <c r="R1333" i="28"/>
  <c r="R1334" i="28"/>
  <c r="R1335" i="28"/>
  <c r="R1336" i="28"/>
  <c r="R1337" i="28"/>
  <c r="R1338" i="28"/>
  <c r="R1339" i="28"/>
  <c r="R1340" i="28"/>
  <c r="R1341" i="28"/>
  <c r="R1342" i="28"/>
  <c r="R1343" i="28"/>
  <c r="R1344" i="28"/>
  <c r="R1348" i="28"/>
  <c r="R1349" i="28"/>
  <c r="R1350" i="28"/>
  <c r="R1351" i="28"/>
  <c r="R1352" i="28"/>
  <c r="R1353" i="28"/>
  <c r="R1354" i="28"/>
  <c r="R1355" i="28"/>
  <c r="R1356" i="28"/>
  <c r="R1357" i="28"/>
  <c r="R1358" i="28"/>
  <c r="R1359" i="28"/>
  <c r="R1360" i="28"/>
  <c r="R1361" i="28"/>
  <c r="R1362" i="28"/>
  <c r="R1363" i="28"/>
  <c r="R1364" i="28"/>
  <c r="R1368" i="28"/>
  <c r="R1369" i="28"/>
  <c r="R1370" i="28"/>
  <c r="R1371" i="28"/>
  <c r="R1375" i="28"/>
  <c r="R1376" i="28"/>
  <c r="R1380" i="28"/>
  <c r="R1384" i="28"/>
  <c r="R1388" i="28"/>
  <c r="R1392" i="28"/>
  <c r="R1393" i="28"/>
  <c r="R1397" i="28"/>
  <c r="R1398" i="28"/>
  <c r="R1402" i="28"/>
  <c r="R1403" i="28"/>
  <c r="R1404" i="28"/>
  <c r="R1405" i="28"/>
  <c r="R1406" i="28"/>
  <c r="R1410" i="28"/>
  <c r="R1411" i="28"/>
  <c r="R1415" i="28"/>
  <c r="R1416" i="28"/>
  <c r="R1417" i="28"/>
  <c r="R1418" i="28"/>
  <c r="R1419" i="28"/>
  <c r="R1420" i="28"/>
  <c r="R1421" i="28"/>
  <c r="R1425" i="28"/>
  <c r="R1426" i="28"/>
  <c r="R1430" i="28"/>
  <c r="R1431" i="28"/>
  <c r="R1432" i="28"/>
  <c r="R1433" i="28"/>
  <c r="R1437" i="28"/>
  <c r="R1438" i="28"/>
  <c r="R1439" i="28"/>
  <c r="R1440" i="28"/>
  <c r="R1442" i="28"/>
  <c r="R1445" i="28"/>
  <c r="R1448" i="28"/>
  <c r="R1453" i="28"/>
  <c r="R1457" i="28"/>
  <c r="R1458" i="28"/>
  <c r="R1459" i="28"/>
  <c r="R1460" i="28"/>
  <c r="R1461" i="28"/>
  <c r="R1465" i="28"/>
  <c r="R1466" i="28"/>
  <c r="R1467" i="28"/>
  <c r="R1468" i="28"/>
  <c r="R1470" i="28"/>
  <c r="R1473" i="28"/>
  <c r="R1476" i="28"/>
  <c r="R1479" i="28"/>
  <c r="R1482" i="28"/>
  <c r="R1487" i="28"/>
  <c r="R1488" i="28"/>
  <c r="R1489" i="28"/>
  <c r="R1490" i="28"/>
  <c r="R1491" i="28"/>
  <c r="R1492" i="28"/>
  <c r="R1493" i="28"/>
  <c r="R1494" i="28"/>
  <c r="R1495" i="28"/>
  <c r="R1496" i="28"/>
  <c r="R1497" i="28"/>
  <c r="R1501" i="28"/>
  <c r="R1502" i="28"/>
  <c r="R1503" i="28"/>
  <c r="R1504" i="28"/>
  <c r="R1505" i="28"/>
  <c r="R1506" i="28"/>
  <c r="R1507" i="28"/>
  <c r="R1508" i="28"/>
  <c r="R1509" i="28"/>
  <c r="R1510" i="28"/>
  <c r="R1511" i="28"/>
  <c r="R1515" i="28"/>
  <c r="R1516" i="28"/>
  <c r="R1517" i="28"/>
  <c r="R1518" i="28"/>
  <c r="R1519" i="28"/>
  <c r="R1520" i="28"/>
  <c r="R1521" i="28"/>
  <c r="R1523" i="28"/>
  <c r="Q1535" i="28"/>
  <c r="R1535" i="28" s="1"/>
  <c r="Q1540" i="28"/>
  <c r="Q1541" i="28"/>
  <c r="Q1542" i="28"/>
  <c r="Q1543" i="28"/>
  <c r="Q1546" i="28"/>
  <c r="R1546" i="28" s="1"/>
  <c r="R1548" i="28"/>
  <c r="R1551" i="28"/>
  <c r="R1554" i="28"/>
  <c r="Q1559" i="28"/>
  <c r="Q1560" i="28"/>
  <c r="Q1565" i="28" s="1"/>
  <c r="Q1561" i="28"/>
  <c r="Q1562" i="28"/>
  <c r="R1567" i="28"/>
  <c r="R1573" i="28"/>
  <c r="Q1587" i="28"/>
  <c r="R1587" i="28" s="1"/>
  <c r="Q1601" i="28"/>
  <c r="R1601" i="28" s="1"/>
  <c r="R1615" i="28" s="1"/>
  <c r="R1603" i="28"/>
  <c r="R1606" i="28"/>
  <c r="R1609" i="28"/>
  <c r="R1612" i="28"/>
  <c r="R1622" i="28"/>
  <c r="R1628" i="28"/>
  <c r="R1630" i="28" s="1"/>
  <c r="R1635" i="28"/>
  <c r="R1637" i="28" s="1"/>
  <c r="R1645" i="28"/>
  <c r="R1651" i="28"/>
  <c r="R1657" i="28"/>
  <c r="R1661" i="28"/>
  <c r="R1663" i="28"/>
  <c r="R1666" i="28"/>
  <c r="R1670" i="28"/>
  <c r="R1673" i="28"/>
  <c r="R1676" i="28"/>
  <c r="R1681" i="28"/>
  <c r="R1683" i="28"/>
  <c r="R1686" i="28"/>
  <c r="R1689" i="28"/>
  <c r="R1692" i="28"/>
  <c r="R1695" i="28"/>
  <c r="R1698" i="28"/>
  <c r="R1703" i="28"/>
  <c r="R1926" i="28" s="1"/>
  <c r="R1707" i="28"/>
  <c r="R1711" i="28"/>
  <c r="R1715" i="28"/>
  <c r="R1717" i="28"/>
  <c r="R1720" i="28"/>
  <c r="R1723" i="28"/>
  <c r="R1726" i="28"/>
  <c r="R1731" i="28"/>
  <c r="R1732" i="28"/>
  <c r="R1733" i="28"/>
  <c r="R1734" i="28"/>
  <c r="R1735" i="28"/>
  <c r="R1739" i="28"/>
  <c r="R1740" i="28"/>
  <c r="R1741" i="28"/>
  <c r="R1742" i="28"/>
  <c r="R1744" i="28"/>
  <c r="R1747" i="28"/>
  <c r="R1752" i="28"/>
  <c r="R1756" i="28"/>
  <c r="R1760" i="28"/>
  <c r="R1761" i="28"/>
  <c r="R1762" i="28"/>
  <c r="R1763" i="28"/>
  <c r="R1767" i="28"/>
  <c r="R1768" i="28"/>
  <c r="R1769" i="28"/>
  <c r="R1771" i="28"/>
  <c r="R1777" i="28"/>
  <c r="R1778" i="28"/>
  <c r="R1779" i="28"/>
  <c r="R1780" i="28"/>
  <c r="R1784" i="28"/>
  <c r="R1785" i="28"/>
  <c r="R1786" i="28"/>
  <c r="R1787" i="28"/>
  <c r="R1788" i="28"/>
  <c r="R1789" i="28"/>
  <c r="R1790" i="28"/>
  <c r="R1792" i="28"/>
  <c r="R1795" i="28"/>
  <c r="R1798" i="28"/>
  <c r="R1801" i="28"/>
  <c r="R1804" i="28"/>
  <c r="R1807" i="28"/>
  <c r="R1812" i="28"/>
  <c r="R1813" i="28"/>
  <c r="R1814" i="28"/>
  <c r="R1815" i="28"/>
  <c r="R1817" i="28"/>
  <c r="R1822" i="28"/>
  <c r="R1823" i="28"/>
  <c r="R1824" i="28"/>
  <c r="R1825" i="28"/>
  <c r="R1826" i="28"/>
  <c r="R1830" i="28"/>
  <c r="R1833" i="28"/>
  <c r="R1836" i="28"/>
  <c r="R1839" i="28"/>
  <c r="R1842" i="28"/>
  <c r="R1845" i="28"/>
  <c r="R1848" i="28"/>
  <c r="R1851" i="28"/>
  <c r="R1854" i="28"/>
  <c r="R1857" i="28"/>
  <c r="R1860" i="28"/>
  <c r="R1863" i="28"/>
  <c r="R1868" i="28"/>
  <c r="R1871" i="28"/>
  <c r="R1874" i="28"/>
  <c r="R1877" i="28"/>
  <c r="R1880" i="28"/>
  <c r="R1883" i="28"/>
  <c r="R1886" i="28"/>
  <c r="R1891" i="28"/>
  <c r="R1894" i="28"/>
  <c r="R1897" i="28"/>
  <c r="R1900" i="28"/>
  <c r="R1903" i="28"/>
  <c r="R1906" i="28"/>
  <c r="R1909" i="28"/>
  <c r="R1912" i="28"/>
  <c r="R1915" i="28"/>
  <c r="R1918" i="28"/>
  <c r="R1921" i="28"/>
  <c r="R1924" i="28"/>
  <c r="T17" i="28"/>
  <c r="T18" i="28"/>
  <c r="T19" i="28"/>
  <c r="T20" i="28"/>
  <c r="T22" i="28"/>
  <c r="T23" i="28"/>
  <c r="T24" i="28"/>
  <c r="T25" i="28"/>
  <c r="T26" i="28"/>
  <c r="T29" i="28"/>
  <c r="T30" i="28"/>
  <c r="T31" i="28"/>
  <c r="T34" i="28"/>
  <c r="T36" i="28"/>
  <c r="T37" i="28"/>
  <c r="T40" i="28"/>
  <c r="T43" i="28"/>
  <c r="T44" i="28"/>
  <c r="T45" i="28"/>
  <c r="T46" i="28"/>
  <c r="T47" i="28"/>
  <c r="T49" i="28"/>
  <c r="T52" i="28"/>
  <c r="T53" i="28"/>
  <c r="T55" i="28"/>
  <c r="T57" i="28"/>
  <c r="T58" i="28"/>
  <c r="T59" i="28"/>
  <c r="T60" i="28"/>
  <c r="T61" i="28"/>
  <c r="T64" i="28"/>
  <c r="T65" i="28"/>
  <c r="T66" i="28"/>
  <c r="T68" i="28"/>
  <c r="T69" i="28"/>
  <c r="T71" i="28"/>
  <c r="T73" i="28"/>
  <c r="T75" i="28"/>
  <c r="T77" i="28"/>
  <c r="T79" i="28"/>
  <c r="T81" i="28"/>
  <c r="T84" i="28"/>
  <c r="T85" i="28"/>
  <c r="T86" i="28"/>
  <c r="T87" i="28"/>
  <c r="T90" i="28"/>
  <c r="T91" i="28"/>
  <c r="T93" i="28"/>
  <c r="T95" i="28"/>
  <c r="T96" i="28"/>
  <c r="T98" i="28"/>
  <c r="T100" i="28"/>
  <c r="T101" i="28"/>
  <c r="T102" i="28"/>
  <c r="T104" i="28"/>
  <c r="T110" i="28"/>
  <c r="T114" i="28"/>
  <c r="T117" i="28"/>
  <c r="T120" i="28"/>
  <c r="T123" i="28"/>
  <c r="T126" i="28"/>
  <c r="T129" i="28"/>
  <c r="T134" i="28"/>
  <c r="T141" i="28"/>
  <c r="T143" i="28"/>
  <c r="T146" i="28"/>
  <c r="T149" i="28"/>
  <c r="T152" i="28"/>
  <c r="T155" i="28"/>
  <c r="T158" i="28"/>
  <c r="T161" i="28"/>
  <c r="T164" i="28"/>
  <c r="T167" i="28"/>
  <c r="T170" i="28"/>
  <c r="T173" i="28"/>
  <c r="T176" i="28"/>
  <c r="S179" i="28"/>
  <c r="T179" i="28" s="1"/>
  <c r="T182" i="28"/>
  <c r="T185" i="28"/>
  <c r="T188" i="28"/>
  <c r="T198" i="28"/>
  <c r="S208" i="28"/>
  <c r="T208" i="28" s="1"/>
  <c r="S219" i="28"/>
  <c r="T219" i="28" s="1"/>
  <c r="T221" i="28"/>
  <c r="T224" i="28"/>
  <c r="T227" i="28"/>
  <c r="T230" i="28"/>
  <c r="S239" i="28"/>
  <c r="S243" i="28" s="1"/>
  <c r="S254" i="28"/>
  <c r="T254" i="28"/>
  <c r="T275" i="28"/>
  <c r="S386" i="28"/>
  <c r="S374" i="28"/>
  <c r="S278" i="28"/>
  <c r="T278" i="28" s="1"/>
  <c r="S289" i="28"/>
  <c r="T289" i="28" s="1"/>
  <c r="T291" i="28"/>
  <c r="T294" i="28"/>
  <c r="S307" i="28"/>
  <c r="T307" i="28" s="1"/>
  <c r="S319" i="28"/>
  <c r="T319" i="28" s="1"/>
  <c r="T321" i="28"/>
  <c r="T324" i="28"/>
  <c r="T327" i="28"/>
  <c r="T330" i="28"/>
  <c r="T333" i="28"/>
  <c r="T336" i="28"/>
  <c r="T339" i="28"/>
  <c r="T342" i="28"/>
  <c r="T345" i="28"/>
  <c r="T348" i="28"/>
  <c r="T351" i="28"/>
  <c r="T354" i="28"/>
  <c r="T357" i="28"/>
  <c r="T360" i="28"/>
  <c r="T363" i="28"/>
  <c r="T374" i="28"/>
  <c r="T386" i="28"/>
  <c r="S395" i="28"/>
  <c r="T395" i="28"/>
  <c r="T397" i="28"/>
  <c r="S408" i="28"/>
  <c r="T408" i="28" s="1"/>
  <c r="S418" i="28"/>
  <c r="T418" i="28" s="1"/>
  <c r="S428" i="28"/>
  <c r="T428" i="28" s="1"/>
  <c r="S434" i="28"/>
  <c r="T434" i="28" s="1"/>
  <c r="T438" i="28"/>
  <c r="T440" i="28"/>
  <c r="S451" i="28"/>
  <c r="T451" i="28" s="1"/>
  <c r="S461" i="28"/>
  <c r="T461" i="28" s="1"/>
  <c r="S463" i="28"/>
  <c r="T463" i="28" s="1"/>
  <c r="S469" i="28"/>
  <c r="T469" i="28" s="1"/>
  <c r="T471" i="28"/>
  <c r="S474" i="28"/>
  <c r="T474" i="28"/>
  <c r="T477" i="28"/>
  <c r="S480" i="28"/>
  <c r="T480" i="28" s="1"/>
  <c r="T483" i="28"/>
  <c r="T492" i="28"/>
  <c r="S495" i="28"/>
  <c r="T495" i="28" s="1"/>
  <c r="T498" i="28"/>
  <c r="T501" i="28"/>
  <c r="T504" i="28"/>
  <c r="T507" i="28"/>
  <c r="T510" i="28"/>
  <c r="T513" i="28"/>
  <c r="T521" i="28"/>
  <c r="T535" i="28" s="1"/>
  <c r="T523" i="28"/>
  <c r="T526" i="28"/>
  <c r="T529" i="28"/>
  <c r="T532" i="28"/>
  <c r="T541" i="28"/>
  <c r="T544" i="28"/>
  <c r="T547" i="28"/>
  <c r="T550" i="28"/>
  <c r="S556" i="28"/>
  <c r="T556" i="28" s="1"/>
  <c r="T559" i="28"/>
  <c r="T562" i="28"/>
  <c r="S567" i="28"/>
  <c r="T567" i="28" s="1"/>
  <c r="S573" i="28"/>
  <c r="T573" i="28" s="1"/>
  <c r="S578" i="28"/>
  <c r="S580" i="28" s="1"/>
  <c r="T580" i="28" s="1"/>
  <c r="T582" i="28"/>
  <c r="T589" i="28"/>
  <c r="S593" i="28"/>
  <c r="T593" i="28"/>
  <c r="T597" i="28"/>
  <c r="T602" i="28"/>
  <c r="T629" i="28" s="1"/>
  <c r="S609" i="28"/>
  <c r="T609" i="28"/>
  <c r="T611" i="28"/>
  <c r="T614" i="28"/>
  <c r="T617" i="28"/>
  <c r="T620" i="28"/>
  <c r="T623" i="28"/>
  <c r="T626" i="28"/>
  <c r="T634" i="28"/>
  <c r="T647" i="28" s="1"/>
  <c r="T642" i="28"/>
  <c r="T644" i="28"/>
  <c r="T654" i="28"/>
  <c r="T671" i="28" s="1"/>
  <c r="T656" i="28"/>
  <c r="T663" i="28"/>
  <c r="S669" i="28"/>
  <c r="T669" i="28"/>
  <c r="T676" i="28"/>
  <c r="T705" i="28" s="1"/>
  <c r="T679" i="28"/>
  <c r="T684" i="28"/>
  <c r="T687" i="28"/>
  <c r="T690" i="28"/>
  <c r="T695" i="28"/>
  <c r="T696" i="28"/>
  <c r="T697" i="28"/>
  <c r="T701" i="28"/>
  <c r="T702" i="28"/>
  <c r="T703" i="28"/>
  <c r="T1063" i="28"/>
  <c r="T1068" i="28"/>
  <c r="T1069" i="28"/>
  <c r="T1070" i="28"/>
  <c r="T1071" i="28"/>
  <c r="T1072" i="28"/>
  <c r="T1073" i="28"/>
  <c r="T1074" i="28"/>
  <c r="T1075" i="28"/>
  <c r="T1079" i="28"/>
  <c r="T1080" i="28"/>
  <c r="T1081" i="28"/>
  <c r="T1082" i="28"/>
  <c r="T1086" i="28"/>
  <c r="T1093" i="28"/>
  <c r="T1100" i="28"/>
  <c r="T1101" i="28"/>
  <c r="T1102" i="28"/>
  <c r="T1103" i="28"/>
  <c r="T1107" i="28"/>
  <c r="T1108" i="28"/>
  <c r="T1109" i="28"/>
  <c r="T1110" i="28"/>
  <c r="T1114" i="28"/>
  <c r="T1128" i="28"/>
  <c r="T1129" i="28"/>
  <c r="T1130" i="28"/>
  <c r="T1131" i="28"/>
  <c r="T1132" i="28"/>
  <c r="T1133" i="28"/>
  <c r="T1134" i="28"/>
  <c r="T1135" i="28"/>
  <c r="T1136" i="28"/>
  <c r="T1137" i="28"/>
  <c r="T1138" i="28"/>
  <c r="T1139" i="28"/>
  <c r="T1144" i="28"/>
  <c r="T1145" i="28"/>
  <c r="T1146" i="28"/>
  <c r="T1147" i="28"/>
  <c r="T1148" i="28"/>
  <c r="T1149" i="28"/>
  <c r="T1150" i="28"/>
  <c r="T1151" i="28"/>
  <c r="T1153" i="28"/>
  <c r="T1154" i="28"/>
  <c r="T1159" i="28"/>
  <c r="T1160" i="28"/>
  <c r="T1161" i="28"/>
  <c r="T1162" i="28"/>
  <c r="T1163" i="28"/>
  <c r="T1164" i="28"/>
  <c r="T1165" i="28"/>
  <c r="T1166" i="28"/>
  <c r="T1167" i="28"/>
  <c r="T1168" i="28"/>
  <c r="T1169" i="28"/>
  <c r="T1173" i="28"/>
  <c r="S1174" i="28"/>
  <c r="T1174" i="28"/>
  <c r="T1175" i="28"/>
  <c r="T1176" i="28"/>
  <c r="T1177" i="28"/>
  <c r="T1178" i="28"/>
  <c r="T1182" i="28"/>
  <c r="T1186" i="28"/>
  <c r="T1187" i="28"/>
  <c r="T1188" i="28"/>
  <c r="T1189" i="28"/>
  <c r="T1190" i="28"/>
  <c r="T1191" i="28"/>
  <c r="T1195" i="28"/>
  <c r="T1196" i="28"/>
  <c r="T1197" i="28"/>
  <c r="T1201" i="28"/>
  <c r="T1202" i="28"/>
  <c r="T1203" i="28"/>
  <c r="T1204" i="28"/>
  <c r="T1205" i="28"/>
  <c r="T1206" i="28"/>
  <c r="T1207" i="28"/>
  <c r="T1208" i="28"/>
  <c r="T1212" i="28"/>
  <c r="T1213" i="28"/>
  <c r="T1214" i="28"/>
  <c r="T1215" i="28"/>
  <c r="T1219" i="28"/>
  <c r="T1220" i="28"/>
  <c r="T1221" i="28"/>
  <c r="T1222" i="28"/>
  <c r="T1223" i="28"/>
  <c r="T1224" i="28"/>
  <c r="T1226" i="28"/>
  <c r="T1229" i="28"/>
  <c r="T1232" i="28"/>
  <c r="T1235" i="28"/>
  <c r="T1240" i="28"/>
  <c r="T1241" i="28"/>
  <c r="T1242" i="28"/>
  <c r="T1244" i="28"/>
  <c r="T1247" i="28"/>
  <c r="T1253" i="28"/>
  <c r="T1256" i="28"/>
  <c r="T1259" i="28"/>
  <c r="T1262" i="28"/>
  <c r="T1265" i="28"/>
  <c r="T1268" i="28"/>
  <c r="T1271" i="28"/>
  <c r="T1274" i="28"/>
  <c r="T1277" i="28"/>
  <c r="T1283" i="28"/>
  <c r="T1286" i="28"/>
  <c r="T1289" i="28"/>
  <c r="T1292" i="28"/>
  <c r="T1295" i="28"/>
  <c r="T1298" i="28"/>
  <c r="T1301" i="28"/>
  <c r="T1304" i="28"/>
  <c r="T1307" i="28"/>
  <c r="T1310" i="28"/>
  <c r="T1318" i="28"/>
  <c r="T1319" i="28"/>
  <c r="T1320" i="28"/>
  <c r="T1321" i="28"/>
  <c r="T1322" i="28"/>
  <c r="T1323" i="28"/>
  <c r="T1324" i="28"/>
  <c r="T1328" i="28"/>
  <c r="T1329" i="28"/>
  <c r="T1330" i="28"/>
  <c r="T1331" i="28"/>
  <c r="T1332" i="28"/>
  <c r="T1333" i="28"/>
  <c r="T1334" i="28"/>
  <c r="T1335" i="28"/>
  <c r="T1336" i="28"/>
  <c r="T1337" i="28"/>
  <c r="T1338" i="28"/>
  <c r="T1339" i="28"/>
  <c r="T1340" i="28"/>
  <c r="T1341" i="28"/>
  <c r="T1342" i="28"/>
  <c r="T1343" i="28"/>
  <c r="T1344" i="28"/>
  <c r="T1348" i="28"/>
  <c r="T1349" i="28"/>
  <c r="T1350" i="28"/>
  <c r="T1351" i="28"/>
  <c r="T1352" i="28"/>
  <c r="T1353" i="28"/>
  <c r="T1354" i="28"/>
  <c r="T1355" i="28"/>
  <c r="T1356" i="28"/>
  <c r="T1357" i="28"/>
  <c r="T1358" i="28"/>
  <c r="T1359" i="28"/>
  <c r="T1360" i="28"/>
  <c r="T1361" i="28"/>
  <c r="T1362" i="28"/>
  <c r="T1363" i="28"/>
  <c r="T1364" i="28"/>
  <c r="T1368" i="28"/>
  <c r="T1369" i="28"/>
  <c r="T1370" i="28"/>
  <c r="T1371" i="28"/>
  <c r="T1375" i="28"/>
  <c r="T1376" i="28"/>
  <c r="T1380" i="28"/>
  <c r="T1384" i="28"/>
  <c r="T1388" i="28"/>
  <c r="T1392" i="28"/>
  <c r="T1393" i="28"/>
  <c r="T1397" i="28"/>
  <c r="T1398" i="28"/>
  <c r="T1402" i="28"/>
  <c r="T1403" i="28"/>
  <c r="T1404" i="28"/>
  <c r="T1405" i="28"/>
  <c r="T1406" i="28"/>
  <c r="T1410" i="28"/>
  <c r="T1411" i="28"/>
  <c r="T1415" i="28"/>
  <c r="T1416" i="28"/>
  <c r="T1417" i="28"/>
  <c r="T1418" i="28"/>
  <c r="T1419" i="28"/>
  <c r="T1420" i="28"/>
  <c r="T1421" i="28"/>
  <c r="T1425" i="28"/>
  <c r="T1426" i="28"/>
  <c r="T1430" i="28"/>
  <c r="T1431" i="28"/>
  <c r="T1432" i="28"/>
  <c r="T1433" i="28"/>
  <c r="T1437" i="28"/>
  <c r="T1438" i="28"/>
  <c r="T1439" i="28"/>
  <c r="T1440" i="28"/>
  <c r="T1442" i="28"/>
  <c r="T1445" i="28"/>
  <c r="T1448" i="28"/>
  <c r="T1453" i="28"/>
  <c r="T1457" i="28"/>
  <c r="T1458" i="28"/>
  <c r="T1459" i="28"/>
  <c r="T1460" i="28"/>
  <c r="T1461" i="28"/>
  <c r="T1465" i="28"/>
  <c r="T1466" i="28"/>
  <c r="T1467" i="28"/>
  <c r="T1468" i="28"/>
  <c r="T1470" i="28"/>
  <c r="T1473" i="28"/>
  <c r="T1476" i="28"/>
  <c r="T1479" i="28"/>
  <c r="T1482" i="28"/>
  <c r="T1487" i="28"/>
  <c r="T1488" i="28"/>
  <c r="T1489" i="28"/>
  <c r="T1490" i="28"/>
  <c r="T1491" i="28"/>
  <c r="T1492" i="28"/>
  <c r="T1493" i="28"/>
  <c r="T1494" i="28"/>
  <c r="T1495" i="28"/>
  <c r="T1496" i="28"/>
  <c r="T1497" i="28"/>
  <c r="T1501" i="28"/>
  <c r="T1502" i="28"/>
  <c r="T1503" i="28"/>
  <c r="T1504" i="28"/>
  <c r="T1505" i="28"/>
  <c r="T1506" i="28"/>
  <c r="T1507" i="28"/>
  <c r="T1508" i="28"/>
  <c r="T1509" i="28"/>
  <c r="T1510" i="28"/>
  <c r="T1511" i="28"/>
  <c r="T1515" i="28"/>
  <c r="T1516" i="28"/>
  <c r="T1517" i="28"/>
  <c r="T1518" i="28"/>
  <c r="T1519" i="28"/>
  <c r="T1520" i="28"/>
  <c r="T1521" i="28"/>
  <c r="T1523" i="28"/>
  <c r="T1526" i="28"/>
  <c r="S1532" i="28"/>
  <c r="T1532" i="28"/>
  <c r="S1535" i="28"/>
  <c r="T1535" i="28"/>
  <c r="S1546" i="28"/>
  <c r="T1546" i="28"/>
  <c r="T1548" i="28"/>
  <c r="T1551" i="28"/>
  <c r="T1554" i="28"/>
  <c r="S1565" i="28"/>
  <c r="T1565" i="28" s="1"/>
  <c r="S1567" i="28"/>
  <c r="T1567" i="28" s="1"/>
  <c r="T1573" i="28"/>
  <c r="S1576" i="28"/>
  <c r="T1576" i="28"/>
  <c r="S1587" i="28"/>
  <c r="T1587" i="28"/>
  <c r="S1601" i="28"/>
  <c r="T1601" i="28"/>
  <c r="T1603" i="28"/>
  <c r="T1606" i="28"/>
  <c r="T1609" i="28"/>
  <c r="T1612" i="28"/>
  <c r="S1622" i="28"/>
  <c r="T1622" i="28" s="1"/>
  <c r="T1630" i="28" s="1"/>
  <c r="T1628" i="28"/>
  <c r="T1635" i="28"/>
  <c r="T1637" i="28" s="1"/>
  <c r="T1645" i="28"/>
  <c r="T1651" i="28"/>
  <c r="T1657" i="28"/>
  <c r="T1661" i="28"/>
  <c r="T1663" i="28"/>
  <c r="T1666" i="28"/>
  <c r="T1670" i="28"/>
  <c r="T1673" i="28"/>
  <c r="T1676" i="28"/>
  <c r="T1681" i="28"/>
  <c r="T1683" i="28"/>
  <c r="T1686" i="28"/>
  <c r="T1689" i="28"/>
  <c r="T1692" i="28"/>
  <c r="T1698" i="28"/>
  <c r="T1703" i="28"/>
  <c r="T1707" i="28"/>
  <c r="T1711" i="28"/>
  <c r="T1715" i="28"/>
  <c r="T1717" i="28"/>
  <c r="T1720" i="28"/>
  <c r="T1723" i="28"/>
  <c r="T1726" i="28"/>
  <c r="T1731" i="28"/>
  <c r="T1732" i="28"/>
  <c r="T1733" i="28"/>
  <c r="T1734" i="28"/>
  <c r="T1735" i="28"/>
  <c r="T1739" i="28"/>
  <c r="T1740" i="28"/>
  <c r="T1741" i="28"/>
  <c r="T1742" i="28"/>
  <c r="T1744" i="28"/>
  <c r="T1747" i="28"/>
  <c r="T1752" i="28"/>
  <c r="T1756" i="28"/>
  <c r="T1760" i="28"/>
  <c r="T1761" i="28"/>
  <c r="T1762" i="28"/>
  <c r="T1763" i="28"/>
  <c r="T1767" i="28"/>
  <c r="T1768" i="28"/>
  <c r="T1769" i="28"/>
  <c r="T1771" i="28"/>
  <c r="T1777" i="28"/>
  <c r="T1778" i="28"/>
  <c r="T1779" i="28"/>
  <c r="T1780" i="28"/>
  <c r="T1784" i="28"/>
  <c r="T1785" i="28"/>
  <c r="T1786" i="28"/>
  <c r="T1787" i="28"/>
  <c r="T1788" i="28"/>
  <c r="T1789" i="28"/>
  <c r="T1790" i="28"/>
  <c r="T1792" i="28"/>
  <c r="T1795" i="28"/>
  <c r="T1798" i="28"/>
  <c r="T1801" i="28"/>
  <c r="T1804" i="28"/>
  <c r="T1807" i="28"/>
  <c r="T1812" i="28"/>
  <c r="T1813" i="28"/>
  <c r="T1814" i="28"/>
  <c r="T1815" i="28"/>
  <c r="T1817" i="28"/>
  <c r="T1822" i="28"/>
  <c r="T1823" i="28"/>
  <c r="T1824" i="28"/>
  <c r="T1825" i="28"/>
  <c r="T1826" i="28"/>
  <c r="T1830" i="28"/>
  <c r="T1833" i="28"/>
  <c r="T1836" i="28"/>
  <c r="T1839" i="28"/>
  <c r="T1842" i="28"/>
  <c r="T1845" i="28"/>
  <c r="T1848" i="28"/>
  <c r="T1851" i="28"/>
  <c r="T1854" i="28"/>
  <c r="T1857" i="28"/>
  <c r="T1860" i="28"/>
  <c r="T1863" i="28"/>
  <c r="T1868" i="28"/>
  <c r="T1871" i="28"/>
  <c r="T1874" i="28"/>
  <c r="T1877" i="28"/>
  <c r="T1880" i="28"/>
  <c r="T1883" i="28"/>
  <c r="T1886" i="28"/>
  <c r="T1891" i="28"/>
  <c r="T1894" i="28"/>
  <c r="T1897" i="28"/>
  <c r="T1900" i="28"/>
  <c r="T1903" i="28"/>
  <c r="T1906" i="28"/>
  <c r="T1909" i="28"/>
  <c r="T1912" i="28"/>
  <c r="T1915" i="28"/>
  <c r="T1918" i="28"/>
  <c r="T1921" i="28"/>
  <c r="T1924" i="28"/>
  <c r="T1926" i="28"/>
  <c r="V17" i="28"/>
  <c r="V18" i="28"/>
  <c r="V19" i="28"/>
  <c r="V20" i="28"/>
  <c r="V22" i="28"/>
  <c r="V23" i="28"/>
  <c r="V24" i="28"/>
  <c r="V25" i="28"/>
  <c r="V26" i="28"/>
  <c r="V29" i="28"/>
  <c r="V30" i="28"/>
  <c r="V31" i="28"/>
  <c r="V34" i="28"/>
  <c r="V36" i="28"/>
  <c r="V37" i="28"/>
  <c r="V40" i="28"/>
  <c r="V43" i="28"/>
  <c r="V44" i="28"/>
  <c r="V45" i="28"/>
  <c r="V46" i="28"/>
  <c r="V47" i="28"/>
  <c r="V49" i="28"/>
  <c r="V52" i="28"/>
  <c r="V53" i="28"/>
  <c r="V55" i="28"/>
  <c r="V57" i="28"/>
  <c r="V58" i="28"/>
  <c r="V59" i="28"/>
  <c r="V60" i="28"/>
  <c r="V61" i="28"/>
  <c r="V64" i="28"/>
  <c r="V65" i="28"/>
  <c r="V66" i="28"/>
  <c r="V68" i="28"/>
  <c r="V69" i="28"/>
  <c r="V71" i="28"/>
  <c r="V73" i="28"/>
  <c r="V75" i="28"/>
  <c r="V77" i="28"/>
  <c r="V79" i="28"/>
  <c r="V81" i="28"/>
  <c r="V84" i="28"/>
  <c r="V85" i="28"/>
  <c r="V86" i="28"/>
  <c r="V87" i="28"/>
  <c r="V90" i="28"/>
  <c r="V91" i="28"/>
  <c r="V93" i="28"/>
  <c r="V95" i="28"/>
  <c r="V96" i="28"/>
  <c r="V98" i="28"/>
  <c r="V100" i="28"/>
  <c r="V101" i="28"/>
  <c r="V102" i="28"/>
  <c r="V104" i="28"/>
  <c r="V110" i="28"/>
  <c r="V114" i="28"/>
  <c r="V117" i="28"/>
  <c r="V120" i="28"/>
  <c r="V123" i="28"/>
  <c r="V126" i="28"/>
  <c r="V129" i="28"/>
  <c r="V134" i="28"/>
  <c r="V141" i="28"/>
  <c r="U143" i="28"/>
  <c r="V143" i="28"/>
  <c r="V146" i="28"/>
  <c r="V149" i="28"/>
  <c r="V152" i="28"/>
  <c r="V155" i="28"/>
  <c r="V158" i="28"/>
  <c r="V161" i="28"/>
  <c r="V164" i="28"/>
  <c r="V167" i="28"/>
  <c r="U170" i="28"/>
  <c r="V170" i="28"/>
  <c r="V173" i="28"/>
  <c r="V176" i="28"/>
  <c r="U179" i="28"/>
  <c r="V179" i="28"/>
  <c r="V182" i="28"/>
  <c r="V185" i="28"/>
  <c r="V188" i="28"/>
  <c r="V198" i="28"/>
  <c r="U202" i="28"/>
  <c r="U203" i="28"/>
  <c r="U204" i="28"/>
  <c r="U208" i="28"/>
  <c r="V208" i="28" s="1"/>
  <c r="U219" i="28"/>
  <c r="V219" i="28" s="1"/>
  <c r="V221" i="28"/>
  <c r="V224" i="28"/>
  <c r="V227" i="28"/>
  <c r="V230" i="28"/>
  <c r="U235" i="28"/>
  <c r="U236" i="28"/>
  <c r="U237" i="28"/>
  <c r="U285" i="28"/>
  <c r="U254" i="28"/>
  <c r="V254" i="28"/>
  <c r="V275" i="28"/>
  <c r="U386" i="28"/>
  <c r="U368" i="28"/>
  <c r="U369" i="28"/>
  <c r="U370" i="28"/>
  <c r="W371" i="28"/>
  <c r="W374" i="28" s="1"/>
  <c r="U284" i="28"/>
  <c r="U286" i="28"/>
  <c r="V291" i="28"/>
  <c r="V294" i="28"/>
  <c r="U307" i="28"/>
  <c r="V307" i="28" s="1"/>
  <c r="U319" i="28"/>
  <c r="V319" i="28" s="1"/>
  <c r="V321" i="28"/>
  <c r="V324" i="28"/>
  <c r="V327" i="28"/>
  <c r="V330" i="28"/>
  <c r="V333" i="28"/>
  <c r="V336" i="28"/>
  <c r="V339" i="28"/>
  <c r="V342" i="28"/>
  <c r="V345" i="28"/>
  <c r="V348" i="28"/>
  <c r="V351" i="28"/>
  <c r="V354" i="28"/>
  <c r="V357" i="28"/>
  <c r="V360" i="28"/>
  <c r="V363" i="28"/>
  <c r="U390" i="28"/>
  <c r="U395" i="28"/>
  <c r="V397" i="28"/>
  <c r="U408" i="28"/>
  <c r="V408" i="28" s="1"/>
  <c r="U418" i="28"/>
  <c r="V418" i="28" s="1"/>
  <c r="U428" i="28"/>
  <c r="V428" i="28" s="1"/>
  <c r="U434" i="28"/>
  <c r="V434" i="28" s="1"/>
  <c r="V440" i="28"/>
  <c r="U451" i="28"/>
  <c r="V451" i="28"/>
  <c r="U455" i="28"/>
  <c r="U456" i="28"/>
  <c r="U457" i="28"/>
  <c r="U461" i="28"/>
  <c r="V461" i="28" s="1"/>
  <c r="V463" i="28"/>
  <c r="U469" i="28"/>
  <c r="V469" i="28"/>
  <c r="V471" i="28"/>
  <c r="U474" i="28"/>
  <c r="V474" i="28" s="1"/>
  <c r="V477" i="28"/>
  <c r="U480" i="28"/>
  <c r="V480" i="28"/>
  <c r="V483" i="28"/>
  <c r="V492" i="28"/>
  <c r="V498" i="28"/>
  <c r="V501" i="28"/>
  <c r="V504" i="28"/>
  <c r="V507" i="28"/>
  <c r="V510" i="28"/>
  <c r="V513" i="28"/>
  <c r="V521" i="28"/>
  <c r="V523" i="28"/>
  <c r="V526" i="28"/>
  <c r="V529" i="28"/>
  <c r="V532" i="28"/>
  <c r="V535" i="28"/>
  <c r="V541" i="28"/>
  <c r="V544" i="28"/>
  <c r="V547" i="28"/>
  <c r="V550" i="28"/>
  <c r="U556" i="28"/>
  <c r="V556" i="28" s="1"/>
  <c r="U559" i="28"/>
  <c r="V562" i="28"/>
  <c r="V567" i="28"/>
  <c r="U573" i="28"/>
  <c r="V573" i="28" s="1"/>
  <c r="U579" i="28"/>
  <c r="U580" i="28" s="1"/>
  <c r="V580" i="28"/>
  <c r="V582" i="28"/>
  <c r="V589" i="28"/>
  <c r="V602" i="28"/>
  <c r="U609" i="28"/>
  <c r="V611" i="28"/>
  <c r="V614" i="28"/>
  <c r="V617" i="28"/>
  <c r="V620" i="28"/>
  <c r="V623" i="28"/>
  <c r="V626" i="28"/>
  <c r="V634" i="28"/>
  <c r="V642" i="28"/>
  <c r="V644" i="28"/>
  <c r="V647" i="28"/>
  <c r="V654" i="28"/>
  <c r="V656" i="28"/>
  <c r="V663" i="28"/>
  <c r="U669" i="28"/>
  <c r="V676" i="28"/>
  <c r="V679" i="28"/>
  <c r="V684" i="28"/>
  <c r="V687" i="28"/>
  <c r="V690" i="28"/>
  <c r="V695" i="28"/>
  <c r="V696" i="28"/>
  <c r="V697" i="28"/>
  <c r="V701" i="28"/>
  <c r="V702" i="28"/>
  <c r="V703" i="28"/>
  <c r="V705" i="28"/>
  <c r="V1063" i="28"/>
  <c r="V1068" i="28"/>
  <c r="V1069" i="28"/>
  <c r="V1070" i="28"/>
  <c r="V1071" i="28"/>
  <c r="V1072" i="28"/>
  <c r="V1073" i="28"/>
  <c r="V1074" i="28"/>
  <c r="V1075" i="28"/>
  <c r="V1079" i="28"/>
  <c r="V1080" i="28"/>
  <c r="V1081" i="28"/>
  <c r="V1082" i="28"/>
  <c r="V1086" i="28"/>
  <c r="V1087" i="28"/>
  <c r="V1093" i="28"/>
  <c r="V1100" i="28"/>
  <c r="V1101" i="28"/>
  <c r="V1102" i="28"/>
  <c r="V1103" i="28"/>
  <c r="V1107" i="28"/>
  <c r="V1108" i="28"/>
  <c r="V1109" i="28"/>
  <c r="V1110" i="28"/>
  <c r="V1114" i="28"/>
  <c r="V1117" i="28"/>
  <c r="V1128" i="28"/>
  <c r="V1129" i="28"/>
  <c r="V1130" i="28"/>
  <c r="V1131" i="28"/>
  <c r="V1132" i="28"/>
  <c r="V1133" i="28"/>
  <c r="V1134" i="28"/>
  <c r="V1135" i="28"/>
  <c r="V1136" i="28"/>
  <c r="V1137" i="28"/>
  <c r="V1138" i="28"/>
  <c r="V1139" i="28"/>
  <c r="V1144" i="28"/>
  <c r="V1145" i="28"/>
  <c r="V1146" i="28"/>
  <c r="V1147" i="28"/>
  <c r="V1148" i="28"/>
  <c r="V1149" i="28"/>
  <c r="V1150" i="28"/>
  <c r="V1151" i="28"/>
  <c r="V1153" i="28"/>
  <c r="V1154" i="28"/>
  <c r="V1159" i="28"/>
  <c r="V1160" i="28"/>
  <c r="V1161" i="28"/>
  <c r="V1162" i="28"/>
  <c r="V1163" i="28"/>
  <c r="V1164" i="28"/>
  <c r="V1165" i="28"/>
  <c r="V1166" i="28"/>
  <c r="V1167" i="28"/>
  <c r="V1168" i="28"/>
  <c r="V1169" i="28"/>
  <c r="V1173" i="28"/>
  <c r="V1174" i="28"/>
  <c r="V1175" i="28"/>
  <c r="V1176" i="28"/>
  <c r="V1177" i="28"/>
  <c r="V1178" i="28"/>
  <c r="V1182" i="28"/>
  <c r="V1186" i="28"/>
  <c r="V1187" i="28"/>
  <c r="V1188" i="28"/>
  <c r="V1189" i="28"/>
  <c r="V1190" i="28"/>
  <c r="V1191" i="28"/>
  <c r="V1195" i="28"/>
  <c r="V1196" i="28"/>
  <c r="V1197" i="28"/>
  <c r="V1201" i="28"/>
  <c r="V1202" i="28"/>
  <c r="V1203" i="28"/>
  <c r="V1204" i="28"/>
  <c r="V1205" i="28"/>
  <c r="V1206" i="28"/>
  <c r="V1207" i="28"/>
  <c r="V1208" i="28"/>
  <c r="V1212" i="28"/>
  <c r="V1213" i="28"/>
  <c r="V1214" i="28"/>
  <c r="V1215" i="28"/>
  <c r="V1219" i="28"/>
  <c r="V1220" i="28"/>
  <c r="V1221" i="28"/>
  <c r="V1222" i="28"/>
  <c r="V1223" i="28"/>
  <c r="V1224" i="28"/>
  <c r="V1226" i="28"/>
  <c r="V1229" i="28"/>
  <c r="V1232" i="28"/>
  <c r="V1235" i="28"/>
  <c r="V1240" i="28"/>
  <c r="V1241" i="28"/>
  <c r="V1242" i="28"/>
  <c r="V1244" i="28"/>
  <c r="V1247" i="28"/>
  <c r="V1253" i="28"/>
  <c r="V1256" i="28"/>
  <c r="V1259" i="28"/>
  <c r="V1262" i="28"/>
  <c r="V1265" i="28"/>
  <c r="V1268" i="28"/>
  <c r="V1271" i="28"/>
  <c r="V1274" i="28"/>
  <c r="V1277" i="28"/>
  <c r="V1283" i="28"/>
  <c r="V1286" i="28"/>
  <c r="V1289" i="28"/>
  <c r="V1292" i="28"/>
  <c r="V1295" i="28"/>
  <c r="V1298" i="28"/>
  <c r="V1301" i="28"/>
  <c r="V1304" i="28"/>
  <c r="V1307" i="28"/>
  <c r="V1310" i="28"/>
  <c r="V1313" i="28"/>
  <c r="V1318" i="28"/>
  <c r="V1319" i="28"/>
  <c r="V1320" i="28"/>
  <c r="V1321" i="28"/>
  <c r="V1322" i="28"/>
  <c r="V1323" i="28"/>
  <c r="V1324" i="28"/>
  <c r="V1328" i="28"/>
  <c r="V1329" i="28"/>
  <c r="V1330" i="28"/>
  <c r="V1331" i="28"/>
  <c r="V1332" i="28"/>
  <c r="V1333" i="28"/>
  <c r="V1334" i="28"/>
  <c r="V1335" i="28"/>
  <c r="V1336" i="28"/>
  <c r="V1337" i="28"/>
  <c r="V1338" i="28"/>
  <c r="V1339" i="28"/>
  <c r="V1340" i="28"/>
  <c r="V1341" i="28"/>
  <c r="V1342" i="28"/>
  <c r="V1343" i="28"/>
  <c r="V1344" i="28"/>
  <c r="V1348" i="28"/>
  <c r="V1349" i="28"/>
  <c r="V1350" i="28"/>
  <c r="V1351" i="28"/>
  <c r="V1352" i="28"/>
  <c r="V1353" i="28"/>
  <c r="V1354" i="28"/>
  <c r="V1355" i="28"/>
  <c r="V1356" i="28"/>
  <c r="V1357" i="28"/>
  <c r="V1358" i="28"/>
  <c r="V1359" i="28"/>
  <c r="V1360" i="28"/>
  <c r="V1361" i="28"/>
  <c r="V1362" i="28"/>
  <c r="V1363" i="28"/>
  <c r="V1364" i="28"/>
  <c r="V1368" i="28"/>
  <c r="V1369" i="28"/>
  <c r="V1370" i="28"/>
  <c r="V1371" i="28"/>
  <c r="V1375" i="28"/>
  <c r="V1376" i="28"/>
  <c r="V1380" i="28"/>
  <c r="V1384" i="28"/>
  <c r="V1388" i="28"/>
  <c r="V1392" i="28"/>
  <c r="V1393" i="28"/>
  <c r="V1397" i="28"/>
  <c r="V1398" i="28"/>
  <c r="V1402" i="28"/>
  <c r="V1403" i="28"/>
  <c r="V1404" i="28"/>
  <c r="V1405" i="28"/>
  <c r="V1406" i="28"/>
  <c r="V1410" i="28"/>
  <c r="V1411" i="28"/>
  <c r="V1415" i="28"/>
  <c r="V1416" i="28"/>
  <c r="V1417" i="28"/>
  <c r="V1418" i="28"/>
  <c r="V1419" i="28"/>
  <c r="V1420" i="28"/>
  <c r="V1421" i="28"/>
  <c r="V1425" i="28"/>
  <c r="V1426" i="28"/>
  <c r="V1430" i="28"/>
  <c r="V1431" i="28"/>
  <c r="V1432" i="28"/>
  <c r="V1433" i="28"/>
  <c r="V1437" i="28"/>
  <c r="V1438" i="28"/>
  <c r="V1439" i="28"/>
  <c r="V1440" i="28"/>
  <c r="V1442" i="28"/>
  <c r="V1445" i="28"/>
  <c r="V1448" i="28"/>
  <c r="V1453" i="28"/>
  <c r="V1457" i="28"/>
  <c r="V1458" i="28"/>
  <c r="V1459" i="28"/>
  <c r="V1460" i="28"/>
  <c r="V1461" i="28"/>
  <c r="V1465" i="28"/>
  <c r="V1466" i="28"/>
  <c r="V1467" i="28"/>
  <c r="V1468" i="28"/>
  <c r="V1470" i="28"/>
  <c r="V1473" i="28"/>
  <c r="V1476" i="28"/>
  <c r="V1479" i="28"/>
  <c r="V1482" i="28"/>
  <c r="V1487" i="28"/>
  <c r="V1488" i="28"/>
  <c r="V1489" i="28"/>
  <c r="V1490" i="28"/>
  <c r="V1491" i="28"/>
  <c r="V1492" i="28"/>
  <c r="V1493" i="28"/>
  <c r="V1494" i="28"/>
  <c r="V1495" i="28"/>
  <c r="V1496" i="28"/>
  <c r="V1497" i="28"/>
  <c r="V1501" i="28"/>
  <c r="V1502" i="28"/>
  <c r="V1503" i="28"/>
  <c r="V1504" i="28"/>
  <c r="V1505" i="28"/>
  <c r="V1506" i="28"/>
  <c r="V1507" i="28"/>
  <c r="V1508" i="28"/>
  <c r="V1509" i="28"/>
  <c r="V1510" i="28"/>
  <c r="V1511" i="28"/>
  <c r="V1515" i="28"/>
  <c r="V1516" i="28"/>
  <c r="V1517" i="28"/>
  <c r="V1518" i="28"/>
  <c r="V1519" i="28"/>
  <c r="V1520" i="28"/>
  <c r="V1521" i="28"/>
  <c r="V1523" i="28"/>
  <c r="U1535" i="28"/>
  <c r="V1535" i="28" s="1"/>
  <c r="U1540" i="28"/>
  <c r="U1542" i="28"/>
  <c r="V1548" i="28"/>
  <c r="V1551" i="28"/>
  <c r="V1554" i="28"/>
  <c r="U1559" i="28"/>
  <c r="U1561" i="28"/>
  <c r="V1567" i="28"/>
  <c r="V1573" i="28"/>
  <c r="U1587" i="28"/>
  <c r="V1587" i="28"/>
  <c r="U1595" i="28"/>
  <c r="U1596" i="28"/>
  <c r="U1597" i="28"/>
  <c r="U1598" i="28"/>
  <c r="V1603" i="28"/>
  <c r="V1606" i="28"/>
  <c r="V1609" i="28"/>
  <c r="V1612" i="28"/>
  <c r="V1622" i="28"/>
  <c r="V1628" i="28"/>
  <c r="V1630" i="28"/>
  <c r="V1635" i="28"/>
  <c r="V1637" i="28"/>
  <c r="V1645" i="28"/>
  <c r="V1651" i="28"/>
  <c r="V1657" i="28"/>
  <c r="V1661" i="28"/>
  <c r="V1663" i="28"/>
  <c r="V1666" i="28"/>
  <c r="V1670" i="28"/>
  <c r="V1673" i="28"/>
  <c r="V1676" i="28"/>
  <c r="V1681" i="28"/>
  <c r="V1683" i="28"/>
  <c r="V1686" i="28"/>
  <c r="V1689" i="28"/>
  <c r="V1692" i="28"/>
  <c r="V1698" i="28"/>
  <c r="V1703" i="28"/>
  <c r="V1707" i="28"/>
  <c r="V1711" i="28"/>
  <c r="V1715" i="28"/>
  <c r="V1717" i="28"/>
  <c r="V1720" i="28"/>
  <c r="V1723" i="28"/>
  <c r="V1726" i="28"/>
  <c r="V1731" i="28"/>
  <c r="V1732" i="28"/>
  <c r="V1733" i="28"/>
  <c r="V1734" i="28"/>
  <c r="V1735" i="28"/>
  <c r="V1739" i="28"/>
  <c r="V1740" i="28"/>
  <c r="V1741" i="28"/>
  <c r="V1742" i="28"/>
  <c r="V1744" i="28"/>
  <c r="V1747" i="28"/>
  <c r="V1752" i="28"/>
  <c r="V1756" i="28"/>
  <c r="V1760" i="28"/>
  <c r="V1761" i="28"/>
  <c r="V1762" i="28"/>
  <c r="V1763" i="28"/>
  <c r="V1767" i="28"/>
  <c r="V1768" i="28"/>
  <c r="V1769" i="28"/>
  <c r="V1771" i="28"/>
  <c r="V1777" i="28"/>
  <c r="V1778" i="28"/>
  <c r="V1779" i="28"/>
  <c r="V1780" i="28"/>
  <c r="V1784" i="28"/>
  <c r="V1785" i="28"/>
  <c r="V1786" i="28"/>
  <c r="V1787" i="28"/>
  <c r="V1788" i="28"/>
  <c r="V1789" i="28"/>
  <c r="V1790" i="28"/>
  <c r="V1792" i="28"/>
  <c r="V1795" i="28"/>
  <c r="V1798" i="28"/>
  <c r="V1801" i="28"/>
  <c r="V1804" i="28"/>
  <c r="V1807" i="28"/>
  <c r="V1812" i="28"/>
  <c r="V1813" i="28"/>
  <c r="V1814" i="28"/>
  <c r="V1815" i="28"/>
  <c r="V1817" i="28"/>
  <c r="V1822" i="28"/>
  <c r="V1823" i="28"/>
  <c r="V1824" i="28"/>
  <c r="V1825" i="28"/>
  <c r="V1826" i="28"/>
  <c r="V1830" i="28"/>
  <c r="V1833" i="28"/>
  <c r="V1836" i="28"/>
  <c r="V1839" i="28"/>
  <c r="V1842" i="28"/>
  <c r="V1845" i="28"/>
  <c r="V1848" i="28"/>
  <c r="V1851" i="28"/>
  <c r="V1854" i="28"/>
  <c r="V1857" i="28"/>
  <c r="V1860" i="28"/>
  <c r="V1863" i="28"/>
  <c r="V1868" i="28"/>
  <c r="V1871" i="28"/>
  <c r="V1874" i="28"/>
  <c r="V1877" i="28"/>
  <c r="V1880" i="28"/>
  <c r="V1883" i="28"/>
  <c r="V1886" i="28"/>
  <c r="V1891" i="28"/>
  <c r="V1894" i="28"/>
  <c r="V1897" i="28"/>
  <c r="V1900" i="28"/>
  <c r="V1903" i="28"/>
  <c r="V1906" i="28"/>
  <c r="V1909" i="28"/>
  <c r="V1912" i="28"/>
  <c r="V1915" i="28"/>
  <c r="V1918" i="28"/>
  <c r="V1921" i="28"/>
  <c r="V1924" i="28"/>
  <c r="V1926" i="28"/>
  <c r="X17" i="28"/>
  <c r="X18" i="28"/>
  <c r="X19" i="28"/>
  <c r="X20" i="28"/>
  <c r="X22" i="28"/>
  <c r="X23" i="28"/>
  <c r="X24" i="28"/>
  <c r="X25" i="28"/>
  <c r="X26" i="28"/>
  <c r="X29" i="28"/>
  <c r="X30" i="28"/>
  <c r="X31" i="28"/>
  <c r="X34" i="28"/>
  <c r="X36" i="28"/>
  <c r="X37" i="28"/>
  <c r="X40" i="28"/>
  <c r="X43" i="28"/>
  <c r="X44" i="28"/>
  <c r="X45" i="28"/>
  <c r="X46" i="28"/>
  <c r="X47" i="28"/>
  <c r="X49" i="28"/>
  <c r="X52" i="28"/>
  <c r="X53" i="28"/>
  <c r="X55" i="28"/>
  <c r="X57" i="28"/>
  <c r="X58" i="28"/>
  <c r="X59" i="28"/>
  <c r="X60" i="28"/>
  <c r="X61" i="28"/>
  <c r="X64" i="28"/>
  <c r="X65" i="28"/>
  <c r="X66" i="28"/>
  <c r="X68" i="28"/>
  <c r="X69" i="28"/>
  <c r="X71" i="28"/>
  <c r="X73" i="28"/>
  <c r="X75" i="28"/>
  <c r="X77" i="28"/>
  <c r="X79" i="28"/>
  <c r="X81" i="28"/>
  <c r="X84" i="28"/>
  <c r="X85" i="28"/>
  <c r="X86" i="28"/>
  <c r="X87" i="28"/>
  <c r="X90" i="28"/>
  <c r="X91" i="28"/>
  <c r="X93" i="28"/>
  <c r="X95" i="28"/>
  <c r="X96" i="28"/>
  <c r="X98" i="28"/>
  <c r="X100" i="28"/>
  <c r="X101" i="28"/>
  <c r="X102" i="28"/>
  <c r="X104" i="28"/>
  <c r="X110" i="28"/>
  <c r="X114" i="28"/>
  <c r="X117" i="28"/>
  <c r="X120" i="28"/>
  <c r="X123" i="28"/>
  <c r="X126" i="28"/>
  <c r="X129" i="28"/>
  <c r="X134" i="28"/>
  <c r="X143" i="28"/>
  <c r="X146" i="28"/>
  <c r="X149" i="28"/>
  <c r="X152" i="28"/>
  <c r="X155" i="28"/>
  <c r="X158" i="28"/>
  <c r="X161" i="28"/>
  <c r="X164" i="28"/>
  <c r="X167" i="28"/>
  <c r="X170" i="28"/>
  <c r="X173" i="28"/>
  <c r="X176" i="28"/>
  <c r="X179" i="28"/>
  <c r="X182" i="28"/>
  <c r="X185" i="28"/>
  <c r="X188" i="28"/>
  <c r="X198" i="28"/>
  <c r="W208" i="28"/>
  <c r="X208" i="28"/>
  <c r="X141" i="28"/>
  <c r="X210" i="28"/>
  <c r="W219" i="28"/>
  <c r="X219" i="28"/>
  <c r="X221" i="28"/>
  <c r="X224" i="28"/>
  <c r="X227" i="28"/>
  <c r="X230" i="28"/>
  <c r="W240" i="28"/>
  <c r="W243" i="28"/>
  <c r="W254" i="28"/>
  <c r="X254" i="28"/>
  <c r="X275" i="28"/>
  <c r="W386" i="28"/>
  <c r="X291" i="28"/>
  <c r="X294" i="28"/>
  <c r="W307" i="28"/>
  <c r="X307" i="28"/>
  <c r="W319" i="28"/>
  <c r="X319" i="28"/>
  <c r="X321" i="28"/>
  <c r="X324" i="28"/>
  <c r="X327" i="28"/>
  <c r="X330" i="28"/>
  <c r="X336" i="28"/>
  <c r="X339" i="28"/>
  <c r="X342" i="28"/>
  <c r="X345" i="28"/>
  <c r="X348" i="28"/>
  <c r="X351" i="28"/>
  <c r="X354" i="28"/>
  <c r="X357" i="28"/>
  <c r="X360" i="28"/>
  <c r="X363" i="28"/>
  <c r="W395" i="28"/>
  <c r="X395" i="28" s="1"/>
  <c r="X397" i="28"/>
  <c r="W408" i="28"/>
  <c r="X408" i="28"/>
  <c r="W418" i="28"/>
  <c r="X418" i="28"/>
  <c r="W428" i="28"/>
  <c r="X428" i="28"/>
  <c r="W434" i="28"/>
  <c r="X434" i="28"/>
  <c r="X438" i="28"/>
  <c r="X440" i="28"/>
  <c r="W451" i="28"/>
  <c r="X451" i="28"/>
  <c r="W461" i="28"/>
  <c r="X461" i="28"/>
  <c r="X463" i="28"/>
  <c r="W469" i="28"/>
  <c r="X469" i="28" s="1"/>
  <c r="X471" i="28"/>
  <c r="W474" i="28"/>
  <c r="X474" i="28"/>
  <c r="X477" i="28"/>
  <c r="W480" i="28"/>
  <c r="X480" i="28" s="1"/>
  <c r="X483" i="28"/>
  <c r="X492" i="28"/>
  <c r="X498" i="28"/>
  <c r="X501" i="28"/>
  <c r="X504" i="28"/>
  <c r="X507" i="28"/>
  <c r="X510" i="28"/>
  <c r="X513" i="28"/>
  <c r="X521" i="28"/>
  <c r="X523" i="28"/>
  <c r="X526" i="28"/>
  <c r="X529" i="28"/>
  <c r="X532" i="28"/>
  <c r="X541" i="28"/>
  <c r="X544" i="28"/>
  <c r="X547" i="28"/>
  <c r="X550" i="28"/>
  <c r="X553" i="28"/>
  <c r="X556" i="28"/>
  <c r="X559" i="28"/>
  <c r="X562" i="28"/>
  <c r="X567" i="28"/>
  <c r="W573" i="28"/>
  <c r="X573" i="28"/>
  <c r="W580" i="28"/>
  <c r="X580" i="28"/>
  <c r="X582" i="28"/>
  <c r="X589" i="28"/>
  <c r="X593" i="28"/>
  <c r="X597" i="28"/>
  <c r="X602" i="28"/>
  <c r="W609" i="28"/>
  <c r="X609" i="28" s="1"/>
  <c r="X629" i="28" s="1"/>
  <c r="X611" i="28"/>
  <c r="X614" i="28"/>
  <c r="X617" i="28"/>
  <c r="X620" i="28"/>
  <c r="X623" i="28"/>
  <c r="X626" i="28"/>
  <c r="X634" i="28"/>
  <c r="X642" i="28"/>
  <c r="X644" i="28"/>
  <c r="X647" i="28"/>
  <c r="X654" i="28"/>
  <c r="X656" i="28"/>
  <c r="X663" i="28"/>
  <c r="W669" i="28"/>
  <c r="X669" i="28" s="1"/>
  <c r="X671" i="28"/>
  <c r="X676" i="28"/>
  <c r="X679" i="28"/>
  <c r="X684" i="28"/>
  <c r="X687" i="28"/>
  <c r="X690" i="28"/>
  <c r="X695" i="28"/>
  <c r="X696" i="28"/>
  <c r="X697" i="28"/>
  <c r="X701" i="28"/>
  <c r="X702" i="28"/>
  <c r="X703" i="28"/>
  <c r="X705" i="28"/>
  <c r="X1063" i="28"/>
  <c r="X1068" i="28"/>
  <c r="X1069" i="28"/>
  <c r="X1070" i="28"/>
  <c r="X1071" i="28"/>
  <c r="X1072" i="28"/>
  <c r="X1073" i="28"/>
  <c r="X1074" i="28"/>
  <c r="X1075" i="28"/>
  <c r="X1079" i="28"/>
  <c r="X1080" i="28"/>
  <c r="X1081" i="28"/>
  <c r="X1082" i="28"/>
  <c r="X1086" i="28"/>
  <c r="X1087" i="28"/>
  <c r="X1093" i="28"/>
  <c r="X1100" i="28"/>
  <c r="X1101" i="28"/>
  <c r="X1102" i="28"/>
  <c r="X1103" i="28"/>
  <c r="X1107" i="28"/>
  <c r="X1108" i="28"/>
  <c r="X1109" i="28"/>
  <c r="X1110" i="28"/>
  <c r="X1114" i="28"/>
  <c r="X1117" i="28"/>
  <c r="X1128" i="28"/>
  <c r="X1129" i="28"/>
  <c r="X1130" i="28"/>
  <c r="X1131" i="28"/>
  <c r="X1132" i="28"/>
  <c r="X1133" i="28"/>
  <c r="X1134" i="28"/>
  <c r="X1135" i="28"/>
  <c r="X1136" i="28"/>
  <c r="X1137" i="28"/>
  <c r="X1138" i="28"/>
  <c r="X1139" i="28"/>
  <c r="X1144" i="28"/>
  <c r="X1145" i="28"/>
  <c r="X1146" i="28"/>
  <c r="X1147" i="28"/>
  <c r="X1148" i="28"/>
  <c r="X1149" i="28"/>
  <c r="X1150" i="28"/>
  <c r="X1151" i="28"/>
  <c r="X1153" i="28"/>
  <c r="X1154" i="28"/>
  <c r="X1159" i="28"/>
  <c r="X1160" i="28"/>
  <c r="X1161" i="28"/>
  <c r="X1162" i="28"/>
  <c r="X1163" i="28"/>
  <c r="X1164" i="28"/>
  <c r="X1165" i="28"/>
  <c r="X1166" i="28"/>
  <c r="X1167" i="28"/>
  <c r="X1168" i="28"/>
  <c r="X1169" i="28"/>
  <c r="X1173" i="28"/>
  <c r="X1174" i="28"/>
  <c r="X1175" i="28"/>
  <c r="X1176" i="28"/>
  <c r="X1177" i="28"/>
  <c r="X1178" i="28"/>
  <c r="X1182" i="28"/>
  <c r="X1186" i="28"/>
  <c r="X1187" i="28"/>
  <c r="X1188" i="28"/>
  <c r="X1189" i="28"/>
  <c r="X1190" i="28"/>
  <c r="X1191" i="28"/>
  <c r="X1195" i="28"/>
  <c r="X1196" i="28"/>
  <c r="X1197" i="28"/>
  <c r="X1201" i="28"/>
  <c r="X1202" i="28"/>
  <c r="X1203" i="28"/>
  <c r="X1204" i="28"/>
  <c r="X1205" i="28"/>
  <c r="X1206" i="28"/>
  <c r="X1207" i="28"/>
  <c r="X1208" i="28"/>
  <c r="X1212" i="28"/>
  <c r="X1213" i="28"/>
  <c r="X1214" i="28"/>
  <c r="X1215" i="28"/>
  <c r="X1219" i="28"/>
  <c r="X1220" i="28"/>
  <c r="X1221" i="28"/>
  <c r="X1222" i="28"/>
  <c r="X1223" i="28"/>
  <c r="X1224" i="28"/>
  <c r="X1226" i="28"/>
  <c r="X1229" i="28"/>
  <c r="X1232" i="28"/>
  <c r="X1235" i="28"/>
  <c r="X1240" i="28"/>
  <c r="X1241" i="28"/>
  <c r="X1242" i="28"/>
  <c r="X1244" i="28"/>
  <c r="X1247" i="28"/>
  <c r="X1253" i="28"/>
  <c r="X1256" i="28"/>
  <c r="X1259" i="28"/>
  <c r="X1262" i="28"/>
  <c r="X1265" i="28"/>
  <c r="X1268" i="28"/>
  <c r="X1271" i="28"/>
  <c r="X1274" i="28"/>
  <c r="X1277" i="28"/>
  <c r="X1283" i="28"/>
  <c r="X1286" i="28"/>
  <c r="X1289" i="28"/>
  <c r="X1292" i="28"/>
  <c r="X1295" i="28"/>
  <c r="X1298" i="28"/>
  <c r="X1301" i="28"/>
  <c r="X1304" i="28"/>
  <c r="X1307" i="28"/>
  <c r="X1310" i="28"/>
  <c r="X1313" i="28"/>
  <c r="X1318" i="28"/>
  <c r="X1319" i="28"/>
  <c r="X1320" i="28"/>
  <c r="X1321" i="28"/>
  <c r="X1322" i="28"/>
  <c r="X1323" i="28"/>
  <c r="X1324" i="28"/>
  <c r="X1328" i="28"/>
  <c r="X1329" i="28"/>
  <c r="X1330" i="28"/>
  <c r="X1331" i="28"/>
  <c r="X1332" i="28"/>
  <c r="X1333" i="28"/>
  <c r="X1334" i="28"/>
  <c r="X1335" i="28"/>
  <c r="X1336" i="28"/>
  <c r="X1337" i="28"/>
  <c r="X1338" i="28"/>
  <c r="X1339" i="28"/>
  <c r="X1340" i="28"/>
  <c r="X1341" i="28"/>
  <c r="X1342" i="28"/>
  <c r="X1343" i="28"/>
  <c r="X1344" i="28"/>
  <c r="X1348" i="28"/>
  <c r="X1349" i="28"/>
  <c r="X1350" i="28"/>
  <c r="X1351" i="28"/>
  <c r="X1352" i="28"/>
  <c r="X1353" i="28"/>
  <c r="X1354" i="28"/>
  <c r="X1355" i="28"/>
  <c r="X1356" i="28"/>
  <c r="X1357" i="28"/>
  <c r="X1358" i="28"/>
  <c r="X1359" i="28"/>
  <c r="X1360" i="28"/>
  <c r="X1361" i="28"/>
  <c r="X1362" i="28"/>
  <c r="X1363" i="28"/>
  <c r="X1364" i="28"/>
  <c r="X1368" i="28"/>
  <c r="X1369" i="28"/>
  <c r="X1370" i="28"/>
  <c r="X1371" i="28"/>
  <c r="X1375" i="28"/>
  <c r="X1376" i="28"/>
  <c r="X1380" i="28"/>
  <c r="X1384" i="28"/>
  <c r="X1388" i="28"/>
  <c r="X1392" i="28"/>
  <c r="X1393" i="28"/>
  <c r="X1397" i="28"/>
  <c r="X1398" i="28"/>
  <c r="X1402" i="28"/>
  <c r="X1403" i="28"/>
  <c r="X1404" i="28"/>
  <c r="X1405" i="28"/>
  <c r="X1406" i="28"/>
  <c r="X1410" i="28"/>
  <c r="X1411" i="28"/>
  <c r="X1415" i="28"/>
  <c r="X1416" i="28"/>
  <c r="X1417" i="28"/>
  <c r="X1418" i="28"/>
  <c r="X1419" i="28"/>
  <c r="X1420" i="28"/>
  <c r="X1421" i="28"/>
  <c r="X1425" i="28"/>
  <c r="X1426" i="28"/>
  <c r="X1430" i="28"/>
  <c r="X1431" i="28"/>
  <c r="X1432" i="28"/>
  <c r="X1433" i="28"/>
  <c r="X1437" i="28"/>
  <c r="X1438" i="28"/>
  <c r="X1439" i="28"/>
  <c r="X1440" i="28"/>
  <c r="X1442" i="28"/>
  <c r="X1445" i="28"/>
  <c r="X1448" i="28"/>
  <c r="X1453" i="28"/>
  <c r="X1457" i="28"/>
  <c r="X1458" i="28"/>
  <c r="X1459" i="28"/>
  <c r="X1460" i="28"/>
  <c r="X1461" i="28"/>
  <c r="X1465" i="28"/>
  <c r="X1466" i="28"/>
  <c r="X1467" i="28"/>
  <c r="X1468" i="28"/>
  <c r="X1470" i="28"/>
  <c r="X1473" i="28"/>
  <c r="X1476" i="28"/>
  <c r="X1479" i="28"/>
  <c r="X1482" i="28"/>
  <c r="X1487" i="28"/>
  <c r="X1488" i="28"/>
  <c r="X1489" i="28"/>
  <c r="X1490" i="28"/>
  <c r="X1491" i="28"/>
  <c r="X1492" i="28"/>
  <c r="X1493" i="28"/>
  <c r="X1494" i="28"/>
  <c r="X1495" i="28"/>
  <c r="X1496" i="28"/>
  <c r="X1497" i="28"/>
  <c r="X1501" i="28"/>
  <c r="X1502" i="28"/>
  <c r="X1503" i="28"/>
  <c r="X1504" i="28"/>
  <c r="X1505" i="28"/>
  <c r="X1506" i="28"/>
  <c r="X1507" i="28"/>
  <c r="X1508" i="28"/>
  <c r="X1509" i="28"/>
  <c r="X1510" i="28"/>
  <c r="X1511" i="28"/>
  <c r="X1515" i="28"/>
  <c r="X1516" i="28"/>
  <c r="X1517" i="28"/>
  <c r="X1518" i="28"/>
  <c r="X1519" i="28"/>
  <c r="X1520" i="28"/>
  <c r="X1521" i="28"/>
  <c r="X1523" i="28"/>
  <c r="W1532" i="28"/>
  <c r="X1532" i="28" s="1"/>
  <c r="W1535" i="28"/>
  <c r="X1535" i="28" s="1"/>
  <c r="W1546" i="28"/>
  <c r="X1546" i="28" s="1"/>
  <c r="X1548" i="28"/>
  <c r="X1551" i="28"/>
  <c r="X1554" i="28"/>
  <c r="X1567" i="28"/>
  <c r="X1570" i="28"/>
  <c r="X1573" i="28"/>
  <c r="X1576" i="28"/>
  <c r="W1584" i="28"/>
  <c r="W1587" i="28"/>
  <c r="X1587" i="28" s="1"/>
  <c r="W1601" i="28"/>
  <c r="X1601" i="28" s="1"/>
  <c r="X1603" i="28"/>
  <c r="X1606" i="28"/>
  <c r="X1609" i="28"/>
  <c r="X1612" i="28"/>
  <c r="X1615" i="28"/>
  <c r="X1622" i="28"/>
  <c r="X1628" i="28"/>
  <c r="X1630" i="28" s="1"/>
  <c r="X1635" i="28"/>
  <c r="X1637" i="28" s="1"/>
  <c r="X1645" i="28"/>
  <c r="X1651" i="28"/>
  <c r="X1657" i="28"/>
  <c r="X1661" i="28"/>
  <c r="X1663" i="28"/>
  <c r="X1666" i="28"/>
  <c r="X1670" i="28"/>
  <c r="X1673" i="28"/>
  <c r="X1676" i="28"/>
  <c r="X1681" i="28"/>
  <c r="X1683" i="28"/>
  <c r="X1686" i="28"/>
  <c r="X1689" i="28"/>
  <c r="X1692" i="28"/>
  <c r="X1695" i="28"/>
  <c r="X1698" i="28"/>
  <c r="X1703" i="28"/>
  <c r="X1707" i="28"/>
  <c r="X1711" i="28"/>
  <c r="X1715" i="28"/>
  <c r="X1717" i="28"/>
  <c r="X1720" i="28"/>
  <c r="X1723" i="28"/>
  <c r="X1726" i="28"/>
  <c r="X1731" i="28"/>
  <c r="X1732" i="28"/>
  <c r="X1733" i="28"/>
  <c r="X1734" i="28"/>
  <c r="X1735" i="28"/>
  <c r="X1739" i="28"/>
  <c r="X1740" i="28"/>
  <c r="X1741" i="28"/>
  <c r="X1742" i="28"/>
  <c r="X1744" i="28"/>
  <c r="X1747" i="28"/>
  <c r="X1752" i="28"/>
  <c r="X1756" i="28"/>
  <c r="X1760" i="28"/>
  <c r="X1761" i="28"/>
  <c r="X1762" i="28"/>
  <c r="X1763" i="28"/>
  <c r="X1767" i="28"/>
  <c r="X1768" i="28"/>
  <c r="X1769" i="28"/>
  <c r="X1771" i="28"/>
  <c r="X1777" i="28"/>
  <c r="X1778" i="28"/>
  <c r="X1779" i="28"/>
  <c r="X1780" i="28"/>
  <c r="X1784" i="28"/>
  <c r="X1785" i="28"/>
  <c r="X1786" i="28"/>
  <c r="X1787" i="28"/>
  <c r="X1788" i="28"/>
  <c r="X1789" i="28"/>
  <c r="X1790" i="28"/>
  <c r="X1792" i="28"/>
  <c r="X1795" i="28"/>
  <c r="X1798" i="28"/>
  <c r="X1801" i="28"/>
  <c r="X1804" i="28"/>
  <c r="X1807" i="28"/>
  <c r="X1812" i="28"/>
  <c r="X1813" i="28"/>
  <c r="X1814" i="28"/>
  <c r="X1815" i="28"/>
  <c r="X1817" i="28"/>
  <c r="X1822" i="28"/>
  <c r="X1823" i="28"/>
  <c r="X1824" i="28"/>
  <c r="X1825" i="28"/>
  <c r="X1826" i="28"/>
  <c r="X1830" i="28"/>
  <c r="X1833" i="28"/>
  <c r="X1836" i="28"/>
  <c r="X1839" i="28"/>
  <c r="X1842" i="28"/>
  <c r="X1845" i="28"/>
  <c r="X1848" i="28"/>
  <c r="X1851" i="28"/>
  <c r="X1854" i="28"/>
  <c r="X1857" i="28"/>
  <c r="X1860" i="28"/>
  <c r="X1863" i="28"/>
  <c r="X1868" i="28"/>
  <c r="X1871" i="28"/>
  <c r="X1874" i="28"/>
  <c r="X1877" i="28"/>
  <c r="X1880" i="28"/>
  <c r="X1883" i="28"/>
  <c r="X1886" i="28"/>
  <c r="X1891" i="28"/>
  <c r="X1894" i="28"/>
  <c r="X1897" i="28"/>
  <c r="X1900" i="28"/>
  <c r="X1903" i="28"/>
  <c r="X1906" i="28"/>
  <c r="X1909" i="28"/>
  <c r="X1912" i="28"/>
  <c r="X1915" i="28"/>
  <c r="X1918" i="28"/>
  <c r="X1921" i="28"/>
  <c r="X1924" i="28"/>
  <c r="Z17" i="28"/>
  <c r="Z18" i="28"/>
  <c r="Z19" i="28"/>
  <c r="Z20" i="28"/>
  <c r="Z22" i="28"/>
  <c r="Z23" i="28"/>
  <c r="Z24" i="28"/>
  <c r="Z25" i="28"/>
  <c r="Z26" i="28"/>
  <c r="Z29" i="28"/>
  <c r="Z30" i="28"/>
  <c r="Z31" i="28"/>
  <c r="Z34" i="28"/>
  <c r="Z36" i="28"/>
  <c r="Z37" i="28"/>
  <c r="Z40" i="28"/>
  <c r="Z43" i="28"/>
  <c r="Z44" i="28"/>
  <c r="Z45" i="28"/>
  <c r="Z46" i="28"/>
  <c r="Z47" i="28"/>
  <c r="Z49" i="28"/>
  <c r="Z52" i="28"/>
  <c r="Z53" i="28"/>
  <c r="Z55" i="28"/>
  <c r="Z57" i="28"/>
  <c r="Z58" i="28"/>
  <c r="Z59" i="28"/>
  <c r="Z60" i="28"/>
  <c r="Z61" i="28"/>
  <c r="Z64" i="28"/>
  <c r="Z65" i="28"/>
  <c r="Z66" i="28"/>
  <c r="Z68" i="28"/>
  <c r="Z69" i="28"/>
  <c r="Z71" i="28"/>
  <c r="Z73" i="28"/>
  <c r="Z75" i="28"/>
  <c r="Z77" i="28"/>
  <c r="Z79" i="28"/>
  <c r="Z81" i="28"/>
  <c r="Z84" i="28"/>
  <c r="Z85" i="28"/>
  <c r="Z86" i="28"/>
  <c r="Z87" i="28"/>
  <c r="Z90" i="28"/>
  <c r="Z91" i="28"/>
  <c r="Z93" i="28"/>
  <c r="Z95" i="28"/>
  <c r="Z96" i="28"/>
  <c r="Z98" i="28"/>
  <c r="Z100" i="28"/>
  <c r="Z101" i="28"/>
  <c r="Z102" i="28"/>
  <c r="Z104" i="28"/>
  <c r="Z110" i="28"/>
  <c r="Z114" i="28"/>
  <c r="Z117" i="28"/>
  <c r="Z120" i="28"/>
  <c r="Z123" i="28"/>
  <c r="Z126" i="28"/>
  <c r="Z129" i="28"/>
  <c r="Z134" i="28"/>
  <c r="Z141" i="28"/>
  <c r="Z143" i="28"/>
  <c r="Z146" i="28"/>
  <c r="Z149" i="28"/>
  <c r="Z152" i="28"/>
  <c r="Z155" i="28"/>
  <c r="Z158" i="28"/>
  <c r="Z161" i="28"/>
  <c r="Z164" i="28"/>
  <c r="Z167" i="28"/>
  <c r="Z170" i="28"/>
  <c r="Z173" i="28"/>
  <c r="Z176" i="28"/>
  <c r="Z179" i="28"/>
  <c r="Z182" i="28"/>
  <c r="Z185" i="28"/>
  <c r="Z188" i="28"/>
  <c r="Z198" i="28"/>
  <c r="Y204" i="28"/>
  <c r="Y208" i="28"/>
  <c r="Y219" i="28"/>
  <c r="Z219" i="28" s="1"/>
  <c r="Z221" i="28"/>
  <c r="Z224" i="28"/>
  <c r="Z227" i="28"/>
  <c r="Z230" i="28"/>
  <c r="Y235" i="28"/>
  <c r="Y236" i="28"/>
  <c r="Y237" i="28"/>
  <c r="Y240" i="28"/>
  <c r="Y243" i="28"/>
  <c r="Y448" i="28"/>
  <c r="M445" i="28"/>
  <c r="M446" i="28"/>
  <c r="Y446" i="28" s="1"/>
  <c r="M447" i="28"/>
  <c r="Y447" i="28" s="1"/>
  <c r="Y254" i="28"/>
  <c r="Z254" i="28" s="1"/>
  <c r="Z275" i="28"/>
  <c r="M378" i="28"/>
  <c r="Y378" i="28"/>
  <c r="Y1559" i="28" s="1"/>
  <c r="M379" i="28"/>
  <c r="Y379" i="28" s="1"/>
  <c r="Y1560" i="28"/>
  <c r="M380" i="28"/>
  <c r="Y380" i="28"/>
  <c r="Y1542" i="28" s="1"/>
  <c r="M390" i="28"/>
  <c r="Y390" i="28" s="1"/>
  <c r="M391" i="28"/>
  <c r="Y391" i="28" s="1"/>
  <c r="M392" i="28"/>
  <c r="Y392" i="28" s="1"/>
  <c r="Y393" i="28"/>
  <c r="Y374" i="28"/>
  <c r="Z374" i="28"/>
  <c r="Y289" i="28"/>
  <c r="Z289" i="28"/>
  <c r="Z291" i="28"/>
  <c r="Z294" i="28"/>
  <c r="Y307" i="28"/>
  <c r="Z307" i="28"/>
  <c r="Y319" i="28"/>
  <c r="Z319" i="28"/>
  <c r="Z321" i="28"/>
  <c r="Z324" i="28"/>
  <c r="Z327" i="28"/>
  <c r="Z330" i="28"/>
  <c r="Y333" i="28"/>
  <c r="Z333" i="28"/>
  <c r="Z336" i="28"/>
  <c r="Z339" i="28"/>
  <c r="Z342" i="28"/>
  <c r="Z345" i="28"/>
  <c r="Z348" i="28"/>
  <c r="Z351" i="28"/>
  <c r="Z354" i="28"/>
  <c r="Z357" i="28"/>
  <c r="Z360" i="28"/>
  <c r="Z363" i="28"/>
  <c r="Z397" i="28"/>
  <c r="Y408" i="28"/>
  <c r="Z408" i="28" s="1"/>
  <c r="Y418" i="28"/>
  <c r="Z418" i="28" s="1"/>
  <c r="Y428" i="28"/>
  <c r="Z428" i="28" s="1"/>
  <c r="Y434" i="28"/>
  <c r="Z434" i="28" s="1"/>
  <c r="Z438" i="28"/>
  <c r="Z440" i="28"/>
  <c r="M455" i="28"/>
  <c r="M456" i="28"/>
  <c r="Y456" i="28" s="1"/>
  <c r="M457" i="28"/>
  <c r="Y457" i="28" s="1"/>
  <c r="Z463" i="28"/>
  <c r="Y469" i="28"/>
  <c r="Z469" i="28"/>
  <c r="Z471" i="28"/>
  <c r="Y474" i="28"/>
  <c r="Z474" i="28" s="1"/>
  <c r="Z477" i="28"/>
  <c r="Y480" i="28"/>
  <c r="Z480" i="28"/>
  <c r="Z483" i="28"/>
  <c r="Z492" i="28"/>
  <c r="Z498" i="28"/>
  <c r="Z501" i="28"/>
  <c r="Z504" i="28"/>
  <c r="Z507" i="28"/>
  <c r="Z510" i="28"/>
  <c r="Z513" i="28"/>
  <c r="Z521" i="28"/>
  <c r="Z523" i="28"/>
  <c r="Z526" i="28"/>
  <c r="Z529" i="28"/>
  <c r="Z532" i="28"/>
  <c r="Z535" i="28"/>
  <c r="Z541" i="28"/>
  <c r="Z544" i="28"/>
  <c r="Z547" i="28"/>
  <c r="Z550" i="28"/>
  <c r="Z556" i="28"/>
  <c r="Z559" i="28"/>
  <c r="Z562" i="28"/>
  <c r="Z567" i="28"/>
  <c r="Y573" i="28"/>
  <c r="Z573" i="28" s="1"/>
  <c r="Y580" i="28"/>
  <c r="Z580" i="28" s="1"/>
  <c r="Z599" i="28" s="1"/>
  <c r="Z582" i="28"/>
  <c r="Z589" i="28"/>
  <c r="Z593" i="28"/>
  <c r="Z597" i="28"/>
  <c r="Z602" i="28"/>
  <c r="Y609" i="28"/>
  <c r="Z609" i="28" s="1"/>
  <c r="Z611" i="28"/>
  <c r="Z614" i="28"/>
  <c r="Z617" i="28"/>
  <c r="Z620" i="28"/>
  <c r="Z623" i="28"/>
  <c r="Z626" i="28"/>
  <c r="Z629" i="28"/>
  <c r="Z634" i="28"/>
  <c r="Z642" i="28"/>
  <c r="Z644" i="28"/>
  <c r="Z647" i="28"/>
  <c r="Z654" i="28"/>
  <c r="Z656" i="28"/>
  <c r="Z671" i="28" s="1"/>
  <c r="Z663" i="28"/>
  <c r="Y669" i="28"/>
  <c r="Z669" i="28" s="1"/>
  <c r="Z676" i="28"/>
  <c r="Z679" i="28"/>
  <c r="Z684" i="28"/>
  <c r="Z687" i="28"/>
  <c r="Z690" i="28"/>
  <c r="Z695" i="28"/>
  <c r="Z696" i="28"/>
  <c r="Z697" i="28"/>
  <c r="Z701" i="28"/>
  <c r="Z702" i="28"/>
  <c r="Z703" i="28"/>
  <c r="Z705" i="28"/>
  <c r="Z1063" i="28"/>
  <c r="Z1068" i="28"/>
  <c r="Z1069" i="28"/>
  <c r="Z1070" i="28"/>
  <c r="Z1071" i="28"/>
  <c r="Z1072" i="28"/>
  <c r="Z1073" i="28"/>
  <c r="Z1074" i="28"/>
  <c r="Z1075" i="28"/>
  <c r="Z1079" i="28"/>
  <c r="Z1080" i="28"/>
  <c r="Z1081" i="28"/>
  <c r="Z1082" i="28"/>
  <c r="Z1086" i="28"/>
  <c r="Z1087" i="28"/>
  <c r="Z1093" i="28"/>
  <c r="Z1100" i="28"/>
  <c r="Z1101" i="28"/>
  <c r="Z1102" i="28"/>
  <c r="Z1103" i="28"/>
  <c r="Z1107" i="28"/>
  <c r="Z1108" i="28"/>
  <c r="Z1109" i="28"/>
  <c r="Z1110" i="28"/>
  <c r="Z1114" i="28"/>
  <c r="Z1117" i="28"/>
  <c r="Z1128" i="28"/>
  <c r="Z1129" i="28"/>
  <c r="Z1130" i="28"/>
  <c r="Z1131" i="28"/>
  <c r="Z1132" i="28"/>
  <c r="Z1133" i="28"/>
  <c r="Z1134" i="28"/>
  <c r="Z1135" i="28"/>
  <c r="Z1136" i="28"/>
  <c r="Z1137" i="28"/>
  <c r="Z1138" i="28"/>
  <c r="Z1139" i="28"/>
  <c r="Z1144" i="28"/>
  <c r="Z1145" i="28"/>
  <c r="Z1146" i="28"/>
  <c r="Z1147" i="28"/>
  <c r="Z1148" i="28"/>
  <c r="Z1149" i="28"/>
  <c r="Z1150" i="28"/>
  <c r="Z1151" i="28"/>
  <c r="Z1153" i="28"/>
  <c r="Z1154" i="28"/>
  <c r="Z1159" i="28"/>
  <c r="Z1160" i="28"/>
  <c r="Z1161" i="28"/>
  <c r="Z1162" i="28"/>
  <c r="Z1163" i="28"/>
  <c r="Z1164" i="28"/>
  <c r="Z1165" i="28"/>
  <c r="Z1166" i="28"/>
  <c r="Z1167" i="28"/>
  <c r="Z1168" i="28"/>
  <c r="Z1169" i="28"/>
  <c r="Z1173" i="28"/>
  <c r="Z1174" i="28"/>
  <c r="Z1175" i="28"/>
  <c r="Z1176" i="28"/>
  <c r="Z1177" i="28"/>
  <c r="Z1178" i="28"/>
  <c r="Z1182" i="28"/>
  <c r="Z1186" i="28"/>
  <c r="Z1187" i="28"/>
  <c r="Z1188" i="28"/>
  <c r="Z1189" i="28"/>
  <c r="Z1190" i="28"/>
  <c r="Z1191" i="28"/>
  <c r="Z1195" i="28"/>
  <c r="Z1196" i="28"/>
  <c r="Z1197" i="28"/>
  <c r="Z1201" i="28"/>
  <c r="Z1202" i="28"/>
  <c r="Z1203" i="28"/>
  <c r="Z1204" i="28"/>
  <c r="Z1205" i="28"/>
  <c r="Z1206" i="28"/>
  <c r="Z1207" i="28"/>
  <c r="Z1208" i="28"/>
  <c r="Z1212" i="28"/>
  <c r="Z1213" i="28"/>
  <c r="Z1214" i="28"/>
  <c r="Z1215" i="28"/>
  <c r="Z1219" i="28"/>
  <c r="Z1220" i="28"/>
  <c r="Z1221" i="28"/>
  <c r="Z1222" i="28"/>
  <c r="Z1223" i="28"/>
  <c r="Z1224" i="28"/>
  <c r="Z1226" i="28"/>
  <c r="Z1229" i="28"/>
  <c r="Z1232" i="28"/>
  <c r="Z1235" i="28"/>
  <c r="Z1240" i="28"/>
  <c r="Z1241" i="28"/>
  <c r="Z1242" i="28"/>
  <c r="Z1244" i="28"/>
  <c r="Z1247" i="28"/>
  <c r="Z1253" i="28"/>
  <c r="Z1256" i="28"/>
  <c r="Z1259" i="28"/>
  <c r="Z1262" i="28"/>
  <c r="Z1265" i="28"/>
  <c r="Z1268" i="28"/>
  <c r="Z1271" i="28"/>
  <c r="Z1274" i="28"/>
  <c r="Z1277" i="28"/>
  <c r="Z1283" i="28"/>
  <c r="Z1286" i="28"/>
  <c r="Z1289" i="28"/>
  <c r="Z1292" i="28"/>
  <c r="Z1295" i="28"/>
  <c r="Z1298" i="28"/>
  <c r="Z1301" i="28"/>
  <c r="Z1304" i="28"/>
  <c r="Z1307" i="28"/>
  <c r="Z1310" i="28"/>
  <c r="Z1313" i="28"/>
  <c r="Z1318" i="28"/>
  <c r="Z1319" i="28"/>
  <c r="Z1320" i="28"/>
  <c r="Z1321" i="28"/>
  <c r="Z1322" i="28"/>
  <c r="Z1323" i="28"/>
  <c r="Z1324" i="28"/>
  <c r="Z1328" i="28"/>
  <c r="Z1329" i="28"/>
  <c r="Z1330" i="28"/>
  <c r="Z1331" i="28"/>
  <c r="Z1332" i="28"/>
  <c r="Z1333" i="28"/>
  <c r="Z1334" i="28"/>
  <c r="Z1335" i="28"/>
  <c r="Z1336" i="28"/>
  <c r="Z1337" i="28"/>
  <c r="Z1338" i="28"/>
  <c r="Z1339" i="28"/>
  <c r="Z1340" i="28"/>
  <c r="Z1341" i="28"/>
  <c r="Z1342" i="28"/>
  <c r="Z1343" i="28"/>
  <c r="Z1344" i="28"/>
  <c r="Z1348" i="28"/>
  <c r="Z1349" i="28"/>
  <c r="Z1350" i="28"/>
  <c r="Z1351" i="28"/>
  <c r="Z1352" i="28"/>
  <c r="Z1353" i="28"/>
  <c r="Z1354" i="28"/>
  <c r="Z1355" i="28"/>
  <c r="Z1356" i="28"/>
  <c r="Z1357" i="28"/>
  <c r="Z1358" i="28"/>
  <c r="Z1359" i="28"/>
  <c r="Z1360" i="28"/>
  <c r="Z1361" i="28"/>
  <c r="Z1362" i="28"/>
  <c r="Z1363" i="28"/>
  <c r="Z1364" i="28"/>
  <c r="Z1368" i="28"/>
  <c r="Z1369" i="28"/>
  <c r="Z1370" i="28"/>
  <c r="Z1371" i="28"/>
  <c r="Z1375" i="28"/>
  <c r="Z1376" i="28"/>
  <c r="Z1380" i="28"/>
  <c r="Z1384" i="28"/>
  <c r="Z1388" i="28"/>
  <c r="Z1392" i="28"/>
  <c r="Z1393" i="28"/>
  <c r="Z1397" i="28"/>
  <c r="Z1398" i="28"/>
  <c r="Z1402" i="28"/>
  <c r="Z1403" i="28"/>
  <c r="Z1404" i="28"/>
  <c r="Z1405" i="28"/>
  <c r="Z1406" i="28"/>
  <c r="Z1410" i="28"/>
  <c r="Z1411" i="28"/>
  <c r="Z1415" i="28"/>
  <c r="Z1416" i="28"/>
  <c r="Z1417" i="28"/>
  <c r="Z1418" i="28"/>
  <c r="Z1419" i="28"/>
  <c r="Z1420" i="28"/>
  <c r="Z1421" i="28"/>
  <c r="Z1425" i="28"/>
  <c r="Z1426" i="28"/>
  <c r="Z1430" i="28"/>
  <c r="Z1431" i="28"/>
  <c r="Z1432" i="28"/>
  <c r="Z1433" i="28"/>
  <c r="Z1437" i="28"/>
  <c r="Z1438" i="28"/>
  <c r="Z1439" i="28"/>
  <c r="Z1440" i="28"/>
  <c r="Z1442" i="28"/>
  <c r="Z1445" i="28"/>
  <c r="Z1448" i="28"/>
  <c r="Z1453" i="28"/>
  <c r="Z1457" i="28"/>
  <c r="Z1458" i="28"/>
  <c r="Z1459" i="28"/>
  <c r="Z1460" i="28"/>
  <c r="Z1461" i="28"/>
  <c r="Z1465" i="28"/>
  <c r="Z1466" i="28"/>
  <c r="Z1467" i="28"/>
  <c r="Z1468" i="28"/>
  <c r="Z1470" i="28"/>
  <c r="Z1473" i="28"/>
  <c r="Z1476" i="28"/>
  <c r="Z1479" i="28"/>
  <c r="Z1482" i="28"/>
  <c r="Z1487" i="28"/>
  <c r="Z1488" i="28"/>
  <c r="Z1489" i="28"/>
  <c r="Z1490" i="28"/>
  <c r="Z1491" i="28"/>
  <c r="Z1492" i="28"/>
  <c r="Z1493" i="28"/>
  <c r="Z1494" i="28"/>
  <c r="Z1495" i="28"/>
  <c r="Z1496" i="28"/>
  <c r="Z1497" i="28"/>
  <c r="Z1501" i="28"/>
  <c r="Z1502" i="28"/>
  <c r="Z1503" i="28"/>
  <c r="Z1504" i="28"/>
  <c r="Z1505" i="28"/>
  <c r="Z1506" i="28"/>
  <c r="Z1507" i="28"/>
  <c r="Z1508" i="28"/>
  <c r="Z1509" i="28"/>
  <c r="Z1510" i="28"/>
  <c r="Z1511" i="28"/>
  <c r="Z1515" i="28"/>
  <c r="Z1516" i="28"/>
  <c r="Z1517" i="28"/>
  <c r="Z1518" i="28"/>
  <c r="Z1519" i="28"/>
  <c r="Z1520" i="28"/>
  <c r="Z1521" i="28"/>
  <c r="Z1523" i="28"/>
  <c r="Y1532" i="28"/>
  <c r="Z1532" i="28"/>
  <c r="Y1535" i="28"/>
  <c r="Z1535" i="28"/>
  <c r="Z1548" i="28"/>
  <c r="Z1551" i="28"/>
  <c r="Z1554" i="28"/>
  <c r="Y1561" i="28"/>
  <c r="Z1567" i="28"/>
  <c r="Z1573" i="28"/>
  <c r="Y1587" i="28"/>
  <c r="Z1587" i="28"/>
  <c r="Y1601" i="28"/>
  <c r="Z1601" i="28"/>
  <c r="Z1603" i="28"/>
  <c r="Z1606" i="28"/>
  <c r="Z1609" i="28"/>
  <c r="Z1612" i="28"/>
  <c r="Z1622" i="28"/>
  <c r="Z1628" i="28"/>
  <c r="Z1630" i="28" s="1"/>
  <c r="Z1635" i="28"/>
  <c r="Z1637" i="28" s="1"/>
  <c r="Z1645" i="28"/>
  <c r="Z1651" i="28"/>
  <c r="Z1657" i="28"/>
  <c r="Z1661" i="28"/>
  <c r="Z1663" i="28"/>
  <c r="Z1666" i="28"/>
  <c r="Z1670" i="28"/>
  <c r="Z1673" i="28"/>
  <c r="Z1676" i="28"/>
  <c r="Z1681" i="28"/>
  <c r="Z1683" i="28"/>
  <c r="Z1686" i="28"/>
  <c r="Z1689" i="28"/>
  <c r="Z1692" i="28"/>
  <c r="Z1698" i="28"/>
  <c r="Z1703" i="28"/>
  <c r="Z1707" i="28"/>
  <c r="Z1711" i="28"/>
  <c r="Z1715" i="28"/>
  <c r="Z1717" i="28"/>
  <c r="Z1720" i="28"/>
  <c r="Z1723" i="28"/>
  <c r="Z1726" i="28"/>
  <c r="Z1731" i="28"/>
  <c r="Z1732" i="28"/>
  <c r="Z1733" i="28"/>
  <c r="Z1734" i="28"/>
  <c r="Z1735" i="28"/>
  <c r="Z1739" i="28"/>
  <c r="Z1740" i="28"/>
  <c r="Z1741" i="28"/>
  <c r="Z1742" i="28"/>
  <c r="Z1744" i="28"/>
  <c r="Z1747" i="28"/>
  <c r="Z1752" i="28"/>
  <c r="Z1756" i="28"/>
  <c r="Z1760" i="28"/>
  <c r="Z1761" i="28"/>
  <c r="Z1762" i="28"/>
  <c r="Z1763" i="28"/>
  <c r="Z1767" i="28"/>
  <c r="Z1768" i="28"/>
  <c r="Z1769" i="28"/>
  <c r="Z1771" i="28"/>
  <c r="Z1777" i="28"/>
  <c r="Z1778" i="28"/>
  <c r="Z1779" i="28"/>
  <c r="Z1780" i="28"/>
  <c r="Z1784" i="28"/>
  <c r="Z1785" i="28"/>
  <c r="Z1786" i="28"/>
  <c r="Z1787" i="28"/>
  <c r="Z1788" i="28"/>
  <c r="Z1789" i="28"/>
  <c r="Z1790" i="28"/>
  <c r="Z1792" i="28"/>
  <c r="Z1795" i="28"/>
  <c r="Z1798" i="28"/>
  <c r="Z1801" i="28"/>
  <c r="Z1804" i="28"/>
  <c r="Z1807" i="28"/>
  <c r="Z1812" i="28"/>
  <c r="Z1813" i="28"/>
  <c r="Z1814" i="28"/>
  <c r="Z1815" i="28"/>
  <c r="Z1817" i="28"/>
  <c r="Z1822" i="28"/>
  <c r="Z1823" i="28"/>
  <c r="Z1824" i="28"/>
  <c r="Z1825" i="28"/>
  <c r="Z1826" i="28"/>
  <c r="Z1830" i="28"/>
  <c r="Z1833" i="28"/>
  <c r="Z1836" i="28"/>
  <c r="Z1839" i="28"/>
  <c r="Z1842" i="28"/>
  <c r="Z1845" i="28"/>
  <c r="Z1848" i="28"/>
  <c r="Z1851" i="28"/>
  <c r="Z1854" i="28"/>
  <c r="Z1857" i="28"/>
  <c r="Z1860" i="28"/>
  <c r="Z1863" i="28"/>
  <c r="Z1868" i="28"/>
  <c r="Z1871" i="28"/>
  <c r="Z1874" i="28"/>
  <c r="Z1877" i="28"/>
  <c r="Z1880" i="28"/>
  <c r="Z1883" i="28"/>
  <c r="Z1886" i="28"/>
  <c r="Z1891" i="28"/>
  <c r="Z1894" i="28"/>
  <c r="Z1897" i="28"/>
  <c r="Z1900" i="28"/>
  <c r="Z1903" i="28"/>
  <c r="Z1906" i="28"/>
  <c r="Z1909" i="28"/>
  <c r="Z1912" i="28"/>
  <c r="Z1915" i="28"/>
  <c r="Z1918" i="28"/>
  <c r="Z1921" i="28"/>
  <c r="Z1924" i="28"/>
  <c r="Z1926" i="28"/>
  <c r="R1933" i="28"/>
  <c r="R1934" i="28"/>
  <c r="R1935" i="28"/>
  <c r="R1937" i="28"/>
  <c r="R1938" i="28"/>
  <c r="R1939" i="28"/>
  <c r="R1940" i="28"/>
  <c r="R1941" i="28"/>
  <c r="R1942" i="28"/>
  <c r="R1943" i="28"/>
  <c r="R1944" i="28"/>
  <c r="R1946" i="28"/>
  <c r="R1947" i="28"/>
  <c r="R1948" i="28"/>
  <c r="R1949" i="28"/>
  <c r="R1950" i="28"/>
  <c r="R1951" i="28"/>
  <c r="R1952" i="28"/>
  <c r="R1953" i="28"/>
  <c r="R1954" i="28"/>
  <c r="V1933" i="28"/>
  <c r="V1934" i="28"/>
  <c r="V1935" i="28"/>
  <c r="V1937" i="28"/>
  <c r="V1938" i="28"/>
  <c r="V1939" i="28"/>
  <c r="V1940" i="28"/>
  <c r="V1941" i="28"/>
  <c r="V1942" i="28"/>
  <c r="V1943" i="28"/>
  <c r="V1944" i="28"/>
  <c r="V1946" i="28"/>
  <c r="V1947" i="28"/>
  <c r="V1948" i="28"/>
  <c r="V1949" i="28"/>
  <c r="V1950" i="28"/>
  <c r="V1951" i="28"/>
  <c r="V1952" i="28"/>
  <c r="V1953" i="28"/>
  <c r="V1954" i="28"/>
  <c r="X1933" i="28"/>
  <c r="X1934" i="28"/>
  <c r="X1935" i="28"/>
  <c r="X1937" i="28"/>
  <c r="X1938" i="28"/>
  <c r="X1939" i="28"/>
  <c r="X1940" i="28"/>
  <c r="X1941" i="28"/>
  <c r="X1942" i="28"/>
  <c r="X1943" i="28"/>
  <c r="X1944" i="28"/>
  <c r="X1946" i="28"/>
  <c r="X1947" i="28"/>
  <c r="X1948" i="28"/>
  <c r="X1949" i="28"/>
  <c r="X1950" i="28"/>
  <c r="X1951" i="28"/>
  <c r="X1952" i="28"/>
  <c r="X1953" i="28"/>
  <c r="X1954" i="28"/>
  <c r="Z1933" i="28"/>
  <c r="Z1934" i="28"/>
  <c r="Z1935" i="28"/>
  <c r="Z1937" i="28"/>
  <c r="Z1938" i="28"/>
  <c r="Z1939" i="28"/>
  <c r="Z1940" i="28"/>
  <c r="Z1941" i="28"/>
  <c r="Z1942" i="28"/>
  <c r="Z1943" i="28"/>
  <c r="Z1944" i="28"/>
  <c r="Z1946" i="28"/>
  <c r="Z1947" i="28"/>
  <c r="Z1948" i="28"/>
  <c r="Z1949" i="28"/>
  <c r="Z1950" i="28"/>
  <c r="Z1951" i="28"/>
  <c r="Z1952" i="28"/>
  <c r="Z1953" i="28"/>
  <c r="Z1954" i="28"/>
  <c r="I1987" i="28"/>
  <c r="T1933" i="28"/>
  <c r="T1934" i="28"/>
  <c r="T1935" i="28"/>
  <c r="T1937" i="28"/>
  <c r="T1938" i="28"/>
  <c r="T1939" i="28"/>
  <c r="T1940" i="28"/>
  <c r="T1941" i="28"/>
  <c r="T1942" i="28"/>
  <c r="T1943" i="28"/>
  <c r="T1944" i="28"/>
  <c r="T1946" i="28"/>
  <c r="T1947" i="28"/>
  <c r="T1948" i="28"/>
  <c r="T1949" i="28"/>
  <c r="T1950" i="28"/>
  <c r="T1951" i="28"/>
  <c r="T1952" i="28"/>
  <c r="T1953" i="28"/>
  <c r="M235" i="28"/>
  <c r="M236" i="28"/>
  <c r="M237" i="28"/>
  <c r="M254" i="28"/>
  <c r="M374" i="28"/>
  <c r="M395" i="28"/>
  <c r="M383" i="28" s="1"/>
  <c r="M386" i="28" s="1"/>
  <c r="N17" i="28"/>
  <c r="N18" i="28"/>
  <c r="N19" i="28"/>
  <c r="N20" i="28"/>
  <c r="N22" i="28"/>
  <c r="N23" i="28"/>
  <c r="N24" i="28"/>
  <c r="N25" i="28"/>
  <c r="N26" i="28"/>
  <c r="N29" i="28"/>
  <c r="N30" i="28"/>
  <c r="N31" i="28"/>
  <c r="N34" i="28"/>
  <c r="N36" i="28"/>
  <c r="N37" i="28"/>
  <c r="N40" i="28"/>
  <c r="N43" i="28"/>
  <c r="N44" i="28"/>
  <c r="N45" i="28"/>
  <c r="N46" i="28"/>
  <c r="N47" i="28"/>
  <c r="N49" i="28"/>
  <c r="N52" i="28"/>
  <c r="N53" i="28"/>
  <c r="N55" i="28"/>
  <c r="N57" i="28"/>
  <c r="N58" i="28"/>
  <c r="N59" i="28"/>
  <c r="N60" i="28"/>
  <c r="N61" i="28"/>
  <c r="N64" i="28"/>
  <c r="N65" i="28"/>
  <c r="N66" i="28"/>
  <c r="N68" i="28"/>
  <c r="N69" i="28"/>
  <c r="N71" i="28"/>
  <c r="N73" i="28"/>
  <c r="N75" i="28"/>
  <c r="N77" i="28"/>
  <c r="N79" i="28"/>
  <c r="N81" i="28"/>
  <c r="N84" i="28"/>
  <c r="N85" i="28"/>
  <c r="N86" i="28"/>
  <c r="N87" i="28"/>
  <c r="N90" i="28"/>
  <c r="N91" i="28"/>
  <c r="N93" i="28"/>
  <c r="N95" i="28"/>
  <c r="N96" i="28"/>
  <c r="N98" i="28"/>
  <c r="N100" i="28"/>
  <c r="N101" i="28"/>
  <c r="N102" i="28"/>
  <c r="N104" i="28"/>
  <c r="N110" i="28"/>
  <c r="N114" i="28"/>
  <c r="N117" i="28"/>
  <c r="N120" i="28"/>
  <c r="N123" i="28"/>
  <c r="N126" i="28"/>
  <c r="N129" i="28"/>
  <c r="N134" i="28"/>
  <c r="M141" i="28"/>
  <c r="N143" i="28"/>
  <c r="N146" i="28"/>
  <c r="N149" i="28"/>
  <c r="N152" i="28"/>
  <c r="N155" i="28"/>
  <c r="N158" i="28"/>
  <c r="N161" i="28"/>
  <c r="N164" i="28"/>
  <c r="M196" i="28"/>
  <c r="M197" i="28"/>
  <c r="M198" i="28"/>
  <c r="F198" i="28" s="1"/>
  <c r="H198" i="28" s="1"/>
  <c r="N170" i="28"/>
  <c r="N173" i="28"/>
  <c r="N176" i="28"/>
  <c r="M179" i="28"/>
  <c r="N179" i="28" s="1"/>
  <c r="N182" i="28"/>
  <c r="N185" i="28"/>
  <c r="N188" i="28"/>
  <c r="M208" i="28"/>
  <c r="N208" i="28"/>
  <c r="M219" i="28"/>
  <c r="N219" i="28"/>
  <c r="N221" i="28"/>
  <c r="N224" i="28"/>
  <c r="N227" i="28"/>
  <c r="N230" i="28"/>
  <c r="N275" i="28"/>
  <c r="M283" i="28"/>
  <c r="M285" i="28"/>
  <c r="M286" i="28"/>
  <c r="N291" i="28"/>
  <c r="N294" i="28"/>
  <c r="M299" i="28"/>
  <c r="M300" i="28"/>
  <c r="M301" i="28"/>
  <c r="M302" i="28"/>
  <c r="M303" i="28"/>
  <c r="M304" i="28"/>
  <c r="M311" i="28"/>
  <c r="M312" i="28"/>
  <c r="M313" i="28"/>
  <c r="M314" i="28"/>
  <c r="M315" i="28"/>
  <c r="M316" i="28"/>
  <c r="N321" i="28"/>
  <c r="N324" i="28"/>
  <c r="N327" i="28"/>
  <c r="N330" i="28"/>
  <c r="N333" i="28"/>
  <c r="N336" i="28"/>
  <c r="N339" i="28"/>
  <c r="M342" i="28"/>
  <c r="M345" i="28"/>
  <c r="N345" i="28" s="1"/>
  <c r="N348" i="28"/>
  <c r="N351" i="28"/>
  <c r="N354" i="28"/>
  <c r="N357" i="28"/>
  <c r="N360" i="28"/>
  <c r="N363" i="28"/>
  <c r="N374" i="28"/>
  <c r="N397" i="28"/>
  <c r="M402" i="28"/>
  <c r="M403" i="28"/>
  <c r="M404" i="28"/>
  <c r="M418" i="28"/>
  <c r="N418" i="28"/>
  <c r="M428" i="28"/>
  <c r="N428" i="28"/>
  <c r="M434" i="28"/>
  <c r="N434" i="28"/>
  <c r="N438" i="28"/>
  <c r="N440" i="28"/>
  <c r="N463" i="28"/>
  <c r="N469" i="28"/>
  <c r="N471" i="28"/>
  <c r="M474" i="28"/>
  <c r="N474" i="28" s="1"/>
  <c r="N477" i="28"/>
  <c r="M480" i="28"/>
  <c r="N480" i="28"/>
  <c r="N483" i="28"/>
  <c r="N492" i="28"/>
  <c r="N498" i="28"/>
  <c r="N501" i="28"/>
  <c r="N504" i="28"/>
  <c r="N507" i="28"/>
  <c r="N510" i="28"/>
  <c r="N513" i="28"/>
  <c r="N521" i="28"/>
  <c r="N523" i="28"/>
  <c r="N526" i="28"/>
  <c r="N529" i="28"/>
  <c r="N532" i="28"/>
  <c r="N535" i="28"/>
  <c r="M556" i="28"/>
  <c r="N556" i="28"/>
  <c r="M559" i="28"/>
  <c r="N559" i="28"/>
  <c r="N562" i="28"/>
  <c r="N567" i="28"/>
  <c r="M571" i="28"/>
  <c r="M573" i="28"/>
  <c r="N573" i="28" s="1"/>
  <c r="M577" i="28"/>
  <c r="M580" i="28" s="1"/>
  <c r="N580" i="28"/>
  <c r="N582" i="28"/>
  <c r="M589" i="28"/>
  <c r="M593" i="28"/>
  <c r="N593" i="28" s="1"/>
  <c r="M597" i="28"/>
  <c r="N602" i="28"/>
  <c r="M609" i="28"/>
  <c r="N609" i="28"/>
  <c r="N611" i="28"/>
  <c r="N614" i="28"/>
  <c r="N617" i="28"/>
  <c r="N620" i="28"/>
  <c r="N623" i="28"/>
  <c r="N626" i="28"/>
  <c r="M1068" i="28"/>
  <c r="N1068" i="28"/>
  <c r="N1069" i="28"/>
  <c r="N1070" i="28"/>
  <c r="N1071" i="28"/>
  <c r="M1072" i="28"/>
  <c r="N1072" i="28" s="1"/>
  <c r="N1073" i="28"/>
  <c r="N1074" i="28"/>
  <c r="N1075" i="28"/>
  <c r="N1079" i="28"/>
  <c r="N1080" i="28"/>
  <c r="N1081" i="28"/>
  <c r="N1082" i="28"/>
  <c r="N1086" i="28"/>
  <c r="N1087" i="28"/>
  <c r="N1093" i="28"/>
  <c r="N1094" i="28"/>
  <c r="N1100" i="28"/>
  <c r="N1101" i="28"/>
  <c r="N1102" i="28"/>
  <c r="N1103" i="28"/>
  <c r="N1107" i="28"/>
  <c r="N1108" i="28"/>
  <c r="N1109" i="28"/>
  <c r="N1110" i="28"/>
  <c r="N1114" i="28"/>
  <c r="M1117" i="28"/>
  <c r="N1117" i="28" s="1"/>
  <c r="N1128" i="28"/>
  <c r="N1129" i="28"/>
  <c r="N1130" i="28"/>
  <c r="N1131" i="28"/>
  <c r="N1132" i="28"/>
  <c r="N1133" i="28"/>
  <c r="N1134" i="28"/>
  <c r="N1135" i="28"/>
  <c r="N1136" i="28"/>
  <c r="N1137" i="28"/>
  <c r="N1138" i="28"/>
  <c r="N1139" i="28"/>
  <c r="N1144" i="28"/>
  <c r="N1145" i="28"/>
  <c r="N1146" i="28"/>
  <c r="N1147" i="28"/>
  <c r="N1148" i="28"/>
  <c r="N1149" i="28"/>
  <c r="N1150" i="28"/>
  <c r="N1151" i="28"/>
  <c r="N1153" i="28"/>
  <c r="N1154" i="28"/>
  <c r="N1159" i="28"/>
  <c r="N1160" i="28"/>
  <c r="N1161" i="28"/>
  <c r="N1162" i="28"/>
  <c r="N1163" i="28"/>
  <c r="N1164" i="28"/>
  <c r="N1165" i="28"/>
  <c r="N1166" i="28"/>
  <c r="N1167" i="28"/>
  <c r="N1168" i="28"/>
  <c r="N1169" i="28"/>
  <c r="N1173" i="28"/>
  <c r="N1174" i="28"/>
  <c r="N1175" i="28"/>
  <c r="N1176" i="28"/>
  <c r="N1177" i="28"/>
  <c r="N1178" i="28"/>
  <c r="M1182" i="28"/>
  <c r="N1182" i="28"/>
  <c r="N1186" i="28"/>
  <c r="N1187" i="28"/>
  <c r="N1188" i="28"/>
  <c r="N1189" i="28"/>
  <c r="N1190" i="28"/>
  <c r="N1191" i="28"/>
  <c r="N1195" i="28"/>
  <c r="N1196" i="28"/>
  <c r="N1197" i="28"/>
  <c r="N1201" i="28"/>
  <c r="N1202" i="28"/>
  <c r="N1203" i="28"/>
  <c r="N1204" i="28"/>
  <c r="N1205" i="28"/>
  <c r="N1206" i="28"/>
  <c r="N1207" i="28"/>
  <c r="N1208" i="28"/>
  <c r="N1212" i="28"/>
  <c r="N1213" i="28"/>
  <c r="N1214" i="28"/>
  <c r="N1215" i="28"/>
  <c r="N1219" i="28"/>
  <c r="N1220" i="28"/>
  <c r="N1221" i="28"/>
  <c r="N1222" i="28"/>
  <c r="N1223" i="28"/>
  <c r="N1224" i="28"/>
  <c r="M1226" i="28"/>
  <c r="N1226" i="28" s="1"/>
  <c r="N1229" i="28"/>
  <c r="N1232" i="28"/>
  <c r="N1235" i="28"/>
  <c r="N1240" i="28"/>
  <c r="N1241" i="28"/>
  <c r="N1242" i="28"/>
  <c r="N1244" i="28"/>
  <c r="N1247" i="28"/>
  <c r="N1253" i="28"/>
  <c r="N1256" i="28"/>
  <c r="N1259" i="28"/>
  <c r="N1262" i="28"/>
  <c r="M1265" i="28"/>
  <c r="N1265" i="28" s="1"/>
  <c r="N1268" i="28"/>
  <c r="N1271" i="28"/>
  <c r="N1274" i="28"/>
  <c r="N1277" i="28"/>
  <c r="N1280" i="28"/>
  <c r="N1283" i="28"/>
  <c r="N1286" i="28"/>
  <c r="N1289" i="28"/>
  <c r="N1292" i="28"/>
  <c r="N1295" i="28"/>
  <c r="N1298" i="28"/>
  <c r="N1301" i="28"/>
  <c r="N1304" i="28"/>
  <c r="N1307" i="28"/>
  <c r="N1310" i="28"/>
  <c r="M1535" i="28"/>
  <c r="N1535" i="28" s="1"/>
  <c r="M1540" i="28"/>
  <c r="M1541" i="28"/>
  <c r="M1542" i="28"/>
  <c r="M1543" i="28"/>
  <c r="M1546" i="28"/>
  <c r="N1546" i="28" s="1"/>
  <c r="N1548" i="28"/>
  <c r="N1551" i="28"/>
  <c r="N1554" i="28"/>
  <c r="M1559" i="28"/>
  <c r="M1560" i="28"/>
  <c r="M1561" i="28"/>
  <c r="M1562" i="28"/>
  <c r="N1567" i="28"/>
  <c r="M1573" i="28"/>
  <c r="N1573" i="28"/>
  <c r="M1587" i="28"/>
  <c r="N1587" i="28"/>
  <c r="M1622" i="28"/>
  <c r="N1622" i="28"/>
  <c r="M1628" i="28"/>
  <c r="N1628" i="28"/>
  <c r="N541" i="28"/>
  <c r="N544" i="28"/>
  <c r="N547" i="28"/>
  <c r="N550" i="28"/>
  <c r="N634" i="28"/>
  <c r="N642" i="28"/>
  <c r="N644" i="28"/>
  <c r="N654" i="28"/>
  <c r="N656" i="28"/>
  <c r="N663" i="28"/>
  <c r="M669" i="28"/>
  <c r="N669" i="28"/>
  <c r="N676" i="28"/>
  <c r="N679" i="28"/>
  <c r="N684" i="28"/>
  <c r="N687" i="28"/>
  <c r="N690" i="28"/>
  <c r="N695" i="28"/>
  <c r="N696" i="28"/>
  <c r="N697" i="28"/>
  <c r="N701" i="28"/>
  <c r="N702" i="28"/>
  <c r="N703" i="28"/>
  <c r="N1063" i="28"/>
  <c r="N1318" i="28"/>
  <c r="N1319" i="28"/>
  <c r="N1320" i="28"/>
  <c r="N1321" i="28"/>
  <c r="N1322" i="28"/>
  <c r="N1323" i="28"/>
  <c r="N1324" i="28"/>
  <c r="N1328" i="28"/>
  <c r="N1329" i="28"/>
  <c r="N1330" i="28"/>
  <c r="N1331" i="28"/>
  <c r="N1332" i="28"/>
  <c r="N1333" i="28"/>
  <c r="N1334" i="28"/>
  <c r="N1335" i="28"/>
  <c r="N1336" i="28"/>
  <c r="N1337" i="28"/>
  <c r="N1338" i="28"/>
  <c r="N1339" i="28"/>
  <c r="N1340" i="28"/>
  <c r="N1341" i="28"/>
  <c r="N1342" i="28"/>
  <c r="N1343" i="28"/>
  <c r="N1344" i="28"/>
  <c r="N1348" i="28"/>
  <c r="N1349" i="28"/>
  <c r="N1350" i="28"/>
  <c r="N1351" i="28"/>
  <c r="N1352" i="28"/>
  <c r="N1353" i="28"/>
  <c r="N1354" i="28"/>
  <c r="N1355" i="28"/>
  <c r="N1356" i="28"/>
  <c r="N1357" i="28"/>
  <c r="N1358" i="28"/>
  <c r="N1359" i="28"/>
  <c r="N1360" i="28"/>
  <c r="N1361" i="28"/>
  <c r="N1362" i="28"/>
  <c r="N1363" i="28"/>
  <c r="N1364" i="28"/>
  <c r="N1368" i="28"/>
  <c r="N1369" i="28"/>
  <c r="N1370" i="28"/>
  <c r="N1371" i="28"/>
  <c r="N1375" i="28"/>
  <c r="N1376" i="28"/>
  <c r="N1380" i="28"/>
  <c r="N1384" i="28"/>
  <c r="N1388" i="28"/>
  <c r="N1392" i="28"/>
  <c r="N1393" i="28"/>
  <c r="N1397" i="28"/>
  <c r="N1398" i="28"/>
  <c r="N1402" i="28"/>
  <c r="N1403" i="28"/>
  <c r="N1404" i="28"/>
  <c r="N1405" i="28"/>
  <c r="N1406" i="28"/>
  <c r="N1410" i="28"/>
  <c r="N1411" i="28"/>
  <c r="N1415" i="28"/>
  <c r="N1416" i="28"/>
  <c r="N1417" i="28"/>
  <c r="N1418" i="28"/>
  <c r="N1419" i="28"/>
  <c r="N1420" i="28"/>
  <c r="N1421" i="28"/>
  <c r="N1425" i="28"/>
  <c r="N1426" i="28"/>
  <c r="N1430" i="28"/>
  <c r="N1431" i="28"/>
  <c r="N1432" i="28"/>
  <c r="N1433" i="28"/>
  <c r="N1437" i="28"/>
  <c r="N1438" i="28"/>
  <c r="N1439" i="28"/>
  <c r="N1440" i="28"/>
  <c r="I1440" i="28" s="1"/>
  <c r="N1442" i="28"/>
  <c r="N1445" i="28"/>
  <c r="I1445" i="28" s="1"/>
  <c r="N1448" i="28"/>
  <c r="N1453" i="28"/>
  <c r="I1453" i="28" s="1"/>
  <c r="N1457" i="28"/>
  <c r="N1458" i="28"/>
  <c r="I1458" i="28" s="1"/>
  <c r="N1459" i="28"/>
  <c r="N1460" i="28"/>
  <c r="I1460" i="28" s="1"/>
  <c r="N1461" i="28"/>
  <c r="N1465" i="28"/>
  <c r="I1465" i="28" s="1"/>
  <c r="N1466" i="28"/>
  <c r="N1467" i="28"/>
  <c r="I1467" i="28" s="1"/>
  <c r="N1468" i="28"/>
  <c r="N1470" i="28"/>
  <c r="I1470" i="28" s="1"/>
  <c r="N1473" i="28"/>
  <c r="N1476" i="28"/>
  <c r="I1476" i="28" s="1"/>
  <c r="N1479" i="28"/>
  <c r="N1482" i="28"/>
  <c r="I1482" i="28" s="1"/>
  <c r="N1487" i="28"/>
  <c r="N1488" i="28"/>
  <c r="I1488" i="28" s="1"/>
  <c r="N1489" i="28"/>
  <c r="N1490" i="28"/>
  <c r="I1490" i="28" s="1"/>
  <c r="N1491" i="28"/>
  <c r="N1492" i="28"/>
  <c r="I1492" i="28" s="1"/>
  <c r="N1493" i="28"/>
  <c r="N1494" i="28"/>
  <c r="I1494" i="28" s="1"/>
  <c r="N1495" i="28"/>
  <c r="N1496" i="28"/>
  <c r="I1496" i="28" s="1"/>
  <c r="N1497" i="28"/>
  <c r="N1501" i="28"/>
  <c r="I1501" i="28" s="1"/>
  <c r="N1502" i="28"/>
  <c r="N1503" i="28"/>
  <c r="I1503" i="28" s="1"/>
  <c r="N1504" i="28"/>
  <c r="N1505" i="28"/>
  <c r="I1505" i="28" s="1"/>
  <c r="N1506" i="28"/>
  <c r="N1507" i="28"/>
  <c r="I1507" i="28" s="1"/>
  <c r="N1508" i="28"/>
  <c r="N1509" i="28"/>
  <c r="I1509" i="28" s="1"/>
  <c r="N1510" i="28"/>
  <c r="N1511" i="28"/>
  <c r="I1511" i="28" s="1"/>
  <c r="N1515" i="28"/>
  <c r="N1516" i="28"/>
  <c r="I1516" i="28" s="1"/>
  <c r="N1517" i="28"/>
  <c r="N1518" i="28"/>
  <c r="I1518" i="28" s="1"/>
  <c r="N1519" i="28"/>
  <c r="N1520" i="28"/>
  <c r="I1520" i="28" s="1"/>
  <c r="N1521" i="28"/>
  <c r="N1523" i="28"/>
  <c r="I1523" i="28" s="1"/>
  <c r="M1601" i="28"/>
  <c r="N1601" i="28" s="1"/>
  <c r="N1603" i="28"/>
  <c r="N1606" i="28"/>
  <c r="N1609" i="28"/>
  <c r="N1612" i="28"/>
  <c r="N1615" i="28"/>
  <c r="N1635" i="28"/>
  <c r="N1637" i="28"/>
  <c r="N1645" i="28"/>
  <c r="N1651" i="28"/>
  <c r="N1657" i="28"/>
  <c r="N1661" i="28"/>
  <c r="N1663" i="28"/>
  <c r="N1666" i="28"/>
  <c r="N1670" i="28"/>
  <c r="N1673" i="28"/>
  <c r="N1676" i="28"/>
  <c r="N1681" i="28"/>
  <c r="N1683" i="28"/>
  <c r="N1686" i="28"/>
  <c r="N1689" i="28"/>
  <c r="N1692" i="28"/>
  <c r="N1698" i="28"/>
  <c r="N1703" i="28"/>
  <c r="N1707" i="28"/>
  <c r="N1711" i="28"/>
  <c r="N1715" i="28"/>
  <c r="N1717" i="28"/>
  <c r="N1720" i="28"/>
  <c r="N1723" i="28"/>
  <c r="N1726" i="28"/>
  <c r="N1731" i="28"/>
  <c r="N1732" i="28"/>
  <c r="N1733" i="28"/>
  <c r="N1734" i="28"/>
  <c r="N1735" i="28"/>
  <c r="N1739" i="28"/>
  <c r="N1740" i="28"/>
  <c r="N1741" i="28"/>
  <c r="N1742" i="28"/>
  <c r="N1744" i="28"/>
  <c r="N1747" i="28"/>
  <c r="N1752" i="28"/>
  <c r="N1756" i="28"/>
  <c r="N1760" i="28"/>
  <c r="N1761" i="28"/>
  <c r="N1762" i="28"/>
  <c r="N1763" i="28"/>
  <c r="N1767" i="28"/>
  <c r="N1768" i="28"/>
  <c r="N1769" i="28"/>
  <c r="N1771" i="28"/>
  <c r="N1777" i="28"/>
  <c r="N1778" i="28"/>
  <c r="N1779" i="28"/>
  <c r="N1780" i="28"/>
  <c r="N1784" i="28"/>
  <c r="N1785" i="28"/>
  <c r="N1786" i="28"/>
  <c r="N1787" i="28"/>
  <c r="N1788" i="28"/>
  <c r="N1789" i="28"/>
  <c r="N1790" i="28"/>
  <c r="N1792" i="28"/>
  <c r="N1795" i="28"/>
  <c r="N1798" i="28"/>
  <c r="N1801" i="28"/>
  <c r="N1804" i="28"/>
  <c r="N1807" i="28"/>
  <c r="N1812" i="28"/>
  <c r="N1813" i="28"/>
  <c r="N1814" i="28"/>
  <c r="N1815" i="28"/>
  <c r="N1817" i="28"/>
  <c r="N1822" i="28"/>
  <c r="N1823" i="28"/>
  <c r="N1824" i="28"/>
  <c r="N1825" i="28"/>
  <c r="N1826" i="28"/>
  <c r="N1830" i="28"/>
  <c r="N1833" i="28"/>
  <c r="N1836" i="28"/>
  <c r="N1839" i="28"/>
  <c r="N1842" i="28"/>
  <c r="N1845" i="28"/>
  <c r="N1848" i="28"/>
  <c r="N1851" i="28"/>
  <c r="N1854" i="28"/>
  <c r="N1857" i="28"/>
  <c r="N1860" i="28"/>
  <c r="N1863" i="28"/>
  <c r="N1868" i="28"/>
  <c r="N1871" i="28"/>
  <c r="N1874" i="28"/>
  <c r="N1877" i="28"/>
  <c r="N1880" i="28"/>
  <c r="N1883" i="28"/>
  <c r="N1886" i="28"/>
  <c r="N1891" i="28"/>
  <c r="N1894" i="28"/>
  <c r="N1897" i="28"/>
  <c r="N1900" i="28"/>
  <c r="N1903" i="28"/>
  <c r="N1906" i="28"/>
  <c r="N1909" i="28"/>
  <c r="N1912" i="28"/>
  <c r="N1915" i="28"/>
  <c r="N1918" i="28"/>
  <c r="N1921" i="28"/>
  <c r="N1924" i="28"/>
  <c r="F17" i="28"/>
  <c r="G17" i="28"/>
  <c r="H17" i="28" s="1"/>
  <c r="F18" i="28"/>
  <c r="G18" i="28"/>
  <c r="H18" i="28"/>
  <c r="F19" i="28"/>
  <c r="G19" i="28"/>
  <c r="H19" i="28" s="1"/>
  <c r="F20" i="28"/>
  <c r="G20" i="28"/>
  <c r="H20" i="28"/>
  <c r="F22" i="28"/>
  <c r="G22" i="28"/>
  <c r="H22" i="28" s="1"/>
  <c r="F23" i="28"/>
  <c r="G23" i="28"/>
  <c r="H23" i="28"/>
  <c r="F24" i="28"/>
  <c r="G24" i="28"/>
  <c r="F25" i="28"/>
  <c r="G25" i="28"/>
  <c r="F26" i="28"/>
  <c r="G26" i="28"/>
  <c r="F29" i="28"/>
  <c r="G29" i="28"/>
  <c r="F30" i="28"/>
  <c r="G30" i="28"/>
  <c r="H30" i="28" s="1"/>
  <c r="F31" i="28"/>
  <c r="G31" i="28"/>
  <c r="H31" i="28"/>
  <c r="F34" i="28"/>
  <c r="G34" i="28"/>
  <c r="F36" i="28"/>
  <c r="G36" i="28"/>
  <c r="F37" i="28"/>
  <c r="G37" i="28"/>
  <c r="F40" i="28"/>
  <c r="G40" i="28"/>
  <c r="F43" i="28"/>
  <c r="G43" i="28"/>
  <c r="F44" i="28"/>
  <c r="G44" i="28"/>
  <c r="H44" i="28" s="1"/>
  <c r="F45" i="28"/>
  <c r="G45" i="28"/>
  <c r="H45" i="28"/>
  <c r="F46" i="28"/>
  <c r="G46" i="28"/>
  <c r="H46" i="28" s="1"/>
  <c r="F47" i="28"/>
  <c r="G47" i="28"/>
  <c r="H47" i="28"/>
  <c r="F49" i="28"/>
  <c r="G49" i="28"/>
  <c r="H49" i="28" s="1"/>
  <c r="F52" i="28"/>
  <c r="G52" i="28"/>
  <c r="F53" i="28"/>
  <c r="G53" i="28"/>
  <c r="F55" i="28"/>
  <c r="G55" i="28"/>
  <c r="F57" i="28"/>
  <c r="G57" i="28"/>
  <c r="F58" i="28"/>
  <c r="G58" i="28"/>
  <c r="H58" i="28"/>
  <c r="F59" i="28"/>
  <c r="G59" i="28"/>
  <c r="H59" i="28" s="1"/>
  <c r="F60" i="28"/>
  <c r="G60" i="28"/>
  <c r="F61" i="28"/>
  <c r="G61" i="28"/>
  <c r="F64" i="28"/>
  <c r="G64" i="28"/>
  <c r="H64" i="28"/>
  <c r="F65" i="28"/>
  <c r="G65" i="28"/>
  <c r="H65" i="28" s="1"/>
  <c r="F66" i="28"/>
  <c r="G66" i="28"/>
  <c r="H66" i="28"/>
  <c r="F68" i="28"/>
  <c r="G68" i="28"/>
  <c r="H68" i="28" s="1"/>
  <c r="F69" i="28"/>
  <c r="G69" i="28"/>
  <c r="H69" i="28"/>
  <c r="F71" i="28"/>
  <c r="G71" i="28"/>
  <c r="H71" i="28" s="1"/>
  <c r="F73" i="28"/>
  <c r="G73" i="28"/>
  <c r="H73" i="28"/>
  <c r="F75" i="28"/>
  <c r="G75" i="28"/>
  <c r="H75" i="28" s="1"/>
  <c r="F77" i="28"/>
  <c r="G77" i="28"/>
  <c r="H77" i="28"/>
  <c r="F79" i="28"/>
  <c r="G79" i="28"/>
  <c r="H79" i="28" s="1"/>
  <c r="F81" i="28"/>
  <c r="G81" i="28"/>
  <c r="H81" i="28"/>
  <c r="F84" i="28"/>
  <c r="G84" i="28"/>
  <c r="H84" i="28" s="1"/>
  <c r="F85" i="28"/>
  <c r="G85" i="28"/>
  <c r="H85" i="28"/>
  <c r="F86" i="28"/>
  <c r="G86" i="28"/>
  <c r="H86" i="28" s="1"/>
  <c r="F87" i="28"/>
  <c r="G87" i="28"/>
  <c r="H87" i="28"/>
  <c r="F90" i="28"/>
  <c r="G90" i="28"/>
  <c r="H90" i="28" s="1"/>
  <c r="F91" i="28"/>
  <c r="G91" i="28"/>
  <c r="H91" i="28"/>
  <c r="F93" i="28"/>
  <c r="G93" i="28"/>
  <c r="H93" i="28" s="1"/>
  <c r="F95" i="28"/>
  <c r="G95" i="28"/>
  <c r="H95" i="28"/>
  <c r="F96" i="28"/>
  <c r="G96" i="28"/>
  <c r="H96" i="28" s="1"/>
  <c r="F98" i="28"/>
  <c r="G98" i="28"/>
  <c r="H98" i="28"/>
  <c r="F100" i="28"/>
  <c r="G100" i="28"/>
  <c r="H100" i="28" s="1"/>
  <c r="F101" i="28"/>
  <c r="G101" i="28"/>
  <c r="H101" i="28"/>
  <c r="F102" i="28"/>
  <c r="G102" i="28"/>
  <c r="H102" i="28" s="1"/>
  <c r="F104" i="28"/>
  <c r="G104" i="28"/>
  <c r="H104" i="28"/>
  <c r="F110" i="28"/>
  <c r="G110" i="28"/>
  <c r="H110" i="28" s="1"/>
  <c r="F114" i="28"/>
  <c r="G114" i="28"/>
  <c r="H114" i="28"/>
  <c r="F117" i="28"/>
  <c r="G117" i="28"/>
  <c r="H117" i="28" s="1"/>
  <c r="F120" i="28"/>
  <c r="G120" i="28"/>
  <c r="H120" i="28"/>
  <c r="F123" i="28"/>
  <c r="G123" i="28"/>
  <c r="H123" i="28" s="1"/>
  <c r="F126" i="28"/>
  <c r="G126" i="28"/>
  <c r="H126" i="28"/>
  <c r="F129" i="28"/>
  <c r="G129" i="28"/>
  <c r="H129" i="28" s="1"/>
  <c r="F134" i="28"/>
  <c r="G134" i="28"/>
  <c r="H134" i="28"/>
  <c r="G141" i="28"/>
  <c r="F143" i="28"/>
  <c r="G143" i="28"/>
  <c r="H143" i="28"/>
  <c r="F146" i="28"/>
  <c r="G146" i="28"/>
  <c r="H146" i="28" s="1"/>
  <c r="F149" i="28"/>
  <c r="G149" i="28"/>
  <c r="H149" i="28"/>
  <c r="F152" i="28"/>
  <c r="G152" i="28"/>
  <c r="H152" i="28" s="1"/>
  <c r="F155" i="28"/>
  <c r="G155" i="28"/>
  <c r="H155" i="28"/>
  <c r="F158" i="28"/>
  <c r="G158" i="28"/>
  <c r="H158" i="28" s="1"/>
  <c r="F161" i="28"/>
  <c r="G161" i="28"/>
  <c r="H161" i="28"/>
  <c r="F164" i="28"/>
  <c r="G164" i="28"/>
  <c r="H164" i="28" s="1"/>
  <c r="G167" i="28"/>
  <c r="F170" i="28"/>
  <c r="G170" i="28"/>
  <c r="H170" i="28" s="1"/>
  <c r="F173" i="28"/>
  <c r="G173" i="28"/>
  <c r="H173" i="28"/>
  <c r="F176" i="28"/>
  <c r="G176" i="28"/>
  <c r="H176" i="28" s="1"/>
  <c r="G179" i="28"/>
  <c r="F182" i="28"/>
  <c r="G182" i="28"/>
  <c r="H182" i="28" s="1"/>
  <c r="F185" i="28"/>
  <c r="G185" i="28"/>
  <c r="H185" i="28"/>
  <c r="F188" i="28"/>
  <c r="G188" i="28"/>
  <c r="H188" i="28" s="1"/>
  <c r="G198" i="28"/>
  <c r="G208" i="28"/>
  <c r="G219" i="28"/>
  <c r="F221" i="28"/>
  <c r="G221" i="28"/>
  <c r="H221" i="28" s="1"/>
  <c r="F224" i="28"/>
  <c r="G224" i="28"/>
  <c r="H224" i="28"/>
  <c r="F227" i="28"/>
  <c r="G227" i="28"/>
  <c r="H227" i="28" s="1"/>
  <c r="F230" i="28"/>
  <c r="G230" i="28"/>
  <c r="H230" i="28"/>
  <c r="G243" i="28"/>
  <c r="G254" i="28"/>
  <c r="G258" i="28"/>
  <c r="G262" i="28"/>
  <c r="G266" i="28"/>
  <c r="G273" i="28"/>
  <c r="F275" i="28"/>
  <c r="G275" i="28"/>
  <c r="H275" i="28" s="1"/>
  <c r="G278" i="28"/>
  <c r="G289" i="28"/>
  <c r="F291" i="28"/>
  <c r="G291" i="28"/>
  <c r="H291" i="28"/>
  <c r="F294" i="28"/>
  <c r="G294" i="28"/>
  <c r="H294" i="28" s="1"/>
  <c r="G307" i="28"/>
  <c r="G319" i="28"/>
  <c r="F321" i="28"/>
  <c r="G321" i="28"/>
  <c r="H321" i="28"/>
  <c r="F324" i="28"/>
  <c r="G324" i="28"/>
  <c r="H324" i="28" s="1"/>
  <c r="F327" i="28"/>
  <c r="G327" i="28"/>
  <c r="H327" i="28"/>
  <c r="F330" i="28"/>
  <c r="G330" i="28"/>
  <c r="H330" i="28" s="1"/>
  <c r="G333" i="28"/>
  <c r="F336" i="28"/>
  <c r="G336" i="28"/>
  <c r="H336" i="28" s="1"/>
  <c r="F339" i="28"/>
  <c r="G339" i="28"/>
  <c r="H339" i="28"/>
  <c r="G342" i="28"/>
  <c r="F345" i="28"/>
  <c r="G345" i="28"/>
  <c r="H345" i="28"/>
  <c r="F348" i="28"/>
  <c r="G348" i="28"/>
  <c r="H348" i="28" s="1"/>
  <c r="F351" i="28"/>
  <c r="G351" i="28"/>
  <c r="H351" i="28"/>
  <c r="F354" i="28"/>
  <c r="G354" i="28"/>
  <c r="H354" i="28" s="1"/>
  <c r="F357" i="28"/>
  <c r="G357" i="28"/>
  <c r="H357" i="28"/>
  <c r="F360" i="28"/>
  <c r="G360" i="28"/>
  <c r="H360" i="28" s="1"/>
  <c r="F363" i="28"/>
  <c r="G363" i="28"/>
  <c r="H363" i="28"/>
  <c r="G374" i="28"/>
  <c r="G386" i="28"/>
  <c r="G395" i="28"/>
  <c r="F397" i="28"/>
  <c r="G397" i="28"/>
  <c r="H397" i="28"/>
  <c r="G408" i="28"/>
  <c r="F418" i="28"/>
  <c r="G418" i="28"/>
  <c r="H418" i="28"/>
  <c r="G428" i="28"/>
  <c r="F434" i="28"/>
  <c r="G434" i="28"/>
  <c r="H434" i="28"/>
  <c r="G438" i="28"/>
  <c r="F440" i="28"/>
  <c r="G440" i="28"/>
  <c r="H440" i="28"/>
  <c r="G451" i="28"/>
  <c r="G461" i="28"/>
  <c r="F463" i="28"/>
  <c r="G463" i="28"/>
  <c r="H463" i="28" s="1"/>
  <c r="F469" i="28"/>
  <c r="G469" i="28"/>
  <c r="H469" i="28"/>
  <c r="F471" i="28"/>
  <c r="G471" i="28"/>
  <c r="H471" i="28" s="1"/>
  <c r="F474" i="28"/>
  <c r="G474" i="28"/>
  <c r="H474" i="28"/>
  <c r="F477" i="28"/>
  <c r="G477" i="28"/>
  <c r="H477" i="28" s="1"/>
  <c r="F480" i="28"/>
  <c r="G480" i="28"/>
  <c r="H480" i="28"/>
  <c r="F483" i="28"/>
  <c r="G483" i="28"/>
  <c r="H483" i="28" s="1"/>
  <c r="G486" i="28"/>
  <c r="G489" i="28"/>
  <c r="F492" i="28"/>
  <c r="G492" i="28"/>
  <c r="H492" i="28"/>
  <c r="G495" i="28"/>
  <c r="F498" i="28"/>
  <c r="G498" i="28"/>
  <c r="H498" i="28"/>
  <c r="F501" i="28"/>
  <c r="G501" i="28"/>
  <c r="H501" i="28" s="1"/>
  <c r="F504" i="28"/>
  <c r="G504" i="28"/>
  <c r="H504" i="28"/>
  <c r="F507" i="28"/>
  <c r="G507" i="28"/>
  <c r="H507" i="28" s="1"/>
  <c r="F510" i="28"/>
  <c r="G510" i="28"/>
  <c r="H510" i="28"/>
  <c r="F513" i="28"/>
  <c r="G513" i="28"/>
  <c r="H513" i="28" s="1"/>
  <c r="F521" i="28"/>
  <c r="G521" i="28"/>
  <c r="H521" i="28"/>
  <c r="F526" i="28"/>
  <c r="G526" i="28"/>
  <c r="H526" i="28" s="1"/>
  <c r="F529" i="28"/>
  <c r="G529" i="28"/>
  <c r="H529" i="28"/>
  <c r="F532" i="28"/>
  <c r="G532" i="28"/>
  <c r="H532" i="28" s="1"/>
  <c r="F541" i="28"/>
  <c r="G541" i="28"/>
  <c r="H541" i="28"/>
  <c r="F544" i="28"/>
  <c r="G544" i="28"/>
  <c r="H544" i="28" s="1"/>
  <c r="F547" i="28"/>
  <c r="G547" i="28"/>
  <c r="H547" i="28"/>
  <c r="F550" i="28"/>
  <c r="G550" i="28"/>
  <c r="H550" i="28" s="1"/>
  <c r="F556" i="28"/>
  <c r="G556" i="28"/>
  <c r="H556" i="28"/>
  <c r="G559" i="28"/>
  <c r="F573" i="28"/>
  <c r="G573" i="28"/>
  <c r="H573" i="28"/>
  <c r="G580" i="28"/>
  <c r="F582" i="28"/>
  <c r="G582" i="28"/>
  <c r="H582" i="28"/>
  <c r="G589" i="28"/>
  <c r="G593" i="28"/>
  <c r="G597" i="28"/>
  <c r="F602" i="28"/>
  <c r="G602" i="28"/>
  <c r="H602" i="28"/>
  <c r="G609" i="28"/>
  <c r="F611" i="28"/>
  <c r="G611" i="28"/>
  <c r="H611" i="28"/>
  <c r="F614" i="28"/>
  <c r="G614" i="28"/>
  <c r="H614" i="28" s="1"/>
  <c r="F617" i="28"/>
  <c r="G617" i="28"/>
  <c r="H617" i="28"/>
  <c r="F620" i="28"/>
  <c r="G620" i="28"/>
  <c r="H620" i="28" s="1"/>
  <c r="F623" i="28"/>
  <c r="G623" i="28"/>
  <c r="H623" i="28"/>
  <c r="F626" i="28"/>
  <c r="G626" i="28"/>
  <c r="H626" i="28" s="1"/>
  <c r="F634" i="28"/>
  <c r="G634" i="28"/>
  <c r="H634" i="28"/>
  <c r="F644" i="28"/>
  <c r="G644" i="28"/>
  <c r="H644" i="28" s="1"/>
  <c r="F654" i="28"/>
  <c r="G654" i="28"/>
  <c r="H654" i="28"/>
  <c r="F656" i="28"/>
  <c r="G656" i="28"/>
  <c r="H656" i="28" s="1"/>
  <c r="F663" i="28"/>
  <c r="G663" i="28"/>
  <c r="H663" i="28"/>
  <c r="G669" i="28"/>
  <c r="F676" i="28"/>
  <c r="G676" i="28"/>
  <c r="H676" i="28"/>
  <c r="F679" i="28"/>
  <c r="G679" i="28"/>
  <c r="H679" i="28" s="1"/>
  <c r="F684" i="28"/>
  <c r="G684" i="28"/>
  <c r="H684" i="28"/>
  <c r="F687" i="28"/>
  <c r="G687" i="28"/>
  <c r="H687" i="28" s="1"/>
  <c r="F690" i="28"/>
  <c r="G690" i="28"/>
  <c r="H690" i="28"/>
  <c r="F695" i="28"/>
  <c r="G695" i="28"/>
  <c r="H695" i="28" s="1"/>
  <c r="F696" i="28"/>
  <c r="G696" i="28"/>
  <c r="H696" i="28"/>
  <c r="F697" i="28"/>
  <c r="G697" i="28"/>
  <c r="H697" i="28" s="1"/>
  <c r="F701" i="28"/>
  <c r="G701" i="28"/>
  <c r="H701" i="28"/>
  <c r="F702" i="28"/>
  <c r="G702" i="28"/>
  <c r="H702" i="28" s="1"/>
  <c r="F703" i="28"/>
  <c r="G703" i="28"/>
  <c r="H703" i="28"/>
  <c r="F708" i="28"/>
  <c r="G708" i="28"/>
  <c r="H708" i="28" s="1"/>
  <c r="F711" i="28"/>
  <c r="G711" i="28"/>
  <c r="H711" i="28"/>
  <c r="F712" i="28"/>
  <c r="G712" i="28"/>
  <c r="H712" i="28" s="1"/>
  <c r="F713" i="28"/>
  <c r="G713" i="28"/>
  <c r="H713" i="28"/>
  <c r="F714" i="28"/>
  <c r="G714" i="28"/>
  <c r="H714" i="28" s="1"/>
  <c r="F715" i="28"/>
  <c r="G715" i="28"/>
  <c r="H715" i="28"/>
  <c r="F716" i="28"/>
  <c r="G716" i="28"/>
  <c r="H716" i="28" s="1"/>
  <c r="F717" i="28"/>
  <c r="G717" i="28"/>
  <c r="H717" i="28"/>
  <c r="F718" i="28"/>
  <c r="G718" i="28"/>
  <c r="H718" i="28" s="1"/>
  <c r="F719" i="28"/>
  <c r="G719" i="28"/>
  <c r="H719" i="28"/>
  <c r="F720" i="28"/>
  <c r="G720" i="28"/>
  <c r="H720" i="28" s="1"/>
  <c r="F723" i="28"/>
  <c r="G723" i="28"/>
  <c r="H723" i="28"/>
  <c r="F724" i="28"/>
  <c r="G724" i="28"/>
  <c r="H724" i="28" s="1"/>
  <c r="F725" i="28"/>
  <c r="G725" i="28"/>
  <c r="H725" i="28"/>
  <c r="F726" i="28"/>
  <c r="G726" i="28"/>
  <c r="H726" i="28" s="1"/>
  <c r="F727" i="28"/>
  <c r="G727" i="28"/>
  <c r="H727" i="28"/>
  <c r="F728" i="28"/>
  <c r="G728" i="28"/>
  <c r="H728" i="28" s="1"/>
  <c r="F729" i="28"/>
  <c r="G729" i="28"/>
  <c r="H729" i="28"/>
  <c r="F730" i="28"/>
  <c r="G730" i="28"/>
  <c r="H730" i="28" s="1"/>
  <c r="F731" i="28"/>
  <c r="G731" i="28"/>
  <c r="H731" i="28"/>
  <c r="F732" i="28"/>
  <c r="G732" i="28"/>
  <c r="H732" i="28" s="1"/>
  <c r="F733" i="28"/>
  <c r="G733" i="28"/>
  <c r="H733" i="28"/>
  <c r="F734" i="28"/>
  <c r="G734" i="28"/>
  <c r="H734" i="28" s="1"/>
  <c r="F735" i="28"/>
  <c r="G735" i="28"/>
  <c r="H735" i="28"/>
  <c r="F738" i="28"/>
  <c r="G738" i="28"/>
  <c r="H738" i="28" s="1"/>
  <c r="F739" i="28"/>
  <c r="G739" i="28"/>
  <c r="H739" i="28"/>
  <c r="F740" i="28"/>
  <c r="G740" i="28"/>
  <c r="H740" i="28" s="1"/>
  <c r="F743" i="28"/>
  <c r="G743" i="28"/>
  <c r="H743" i="28"/>
  <c r="F744" i="28"/>
  <c r="G744" i="28"/>
  <c r="H744" i="28" s="1"/>
  <c r="F745" i="28"/>
  <c r="G745" i="28"/>
  <c r="H745" i="28"/>
  <c r="F746" i="28"/>
  <c r="G746" i="28"/>
  <c r="H746" i="28" s="1"/>
  <c r="F747" i="28"/>
  <c r="G747" i="28"/>
  <c r="H747" i="28"/>
  <c r="F748" i="28"/>
  <c r="G748" i="28"/>
  <c r="H748" i="28" s="1"/>
  <c r="F749" i="28"/>
  <c r="G749" i="28"/>
  <c r="H749" i="28"/>
  <c r="F750" i="28"/>
  <c r="G750" i="28"/>
  <c r="H750" i="28" s="1"/>
  <c r="F751" i="28"/>
  <c r="G751" i="28"/>
  <c r="H751" i="28"/>
  <c r="F752" i="28"/>
  <c r="G752" i="28"/>
  <c r="H752" i="28" s="1"/>
  <c r="F753" i="28"/>
  <c r="G753" i="28"/>
  <c r="H753" i="28"/>
  <c r="F754" i="28"/>
  <c r="G754" i="28"/>
  <c r="H754" i="28" s="1"/>
  <c r="F755" i="28"/>
  <c r="G755" i="28"/>
  <c r="H755" i="28"/>
  <c r="F838" i="28"/>
  <c r="G838" i="28"/>
  <c r="H838" i="28" s="1"/>
  <c r="F841" i="28"/>
  <c r="G841" i="28"/>
  <c r="H841" i="28"/>
  <c r="F842" i="28"/>
  <c r="G842" i="28"/>
  <c r="H842" i="28" s="1"/>
  <c r="F843" i="28"/>
  <c r="G843" i="28"/>
  <c r="H843" i="28"/>
  <c r="F844" i="28"/>
  <c r="G844" i="28"/>
  <c r="H844" i="28" s="1"/>
  <c r="F845" i="28"/>
  <c r="G845" i="28"/>
  <c r="H845" i="28"/>
  <c r="F846" i="28"/>
  <c r="G846" i="28"/>
  <c r="H846" i="28" s="1"/>
  <c r="F847" i="28"/>
  <c r="G847" i="28"/>
  <c r="H847" i="28"/>
  <c r="F848" i="28"/>
  <c r="G848" i="28"/>
  <c r="H848" i="28" s="1"/>
  <c r="F849" i="28"/>
  <c r="G849" i="28"/>
  <c r="H849" i="28"/>
  <c r="F852" i="28"/>
  <c r="G852" i="28"/>
  <c r="H852" i="28" s="1"/>
  <c r="F853" i="28"/>
  <c r="G853" i="28"/>
  <c r="H853" i="28"/>
  <c r="F854" i="28"/>
  <c r="G854" i="28"/>
  <c r="H854" i="28" s="1"/>
  <c r="F855" i="28"/>
  <c r="G855" i="28"/>
  <c r="H855" i="28"/>
  <c r="F856" i="28"/>
  <c r="G856" i="28"/>
  <c r="H856" i="28" s="1"/>
  <c r="F857" i="28"/>
  <c r="G857" i="28"/>
  <c r="H857" i="28"/>
  <c r="F858" i="28"/>
  <c r="G858" i="28"/>
  <c r="H858" i="28" s="1"/>
  <c r="F861" i="28"/>
  <c r="G861" i="28"/>
  <c r="H861" i="28"/>
  <c r="F862" i="28"/>
  <c r="G862" i="28"/>
  <c r="H862" i="28" s="1"/>
  <c r="F863" i="28"/>
  <c r="G863" i="28"/>
  <c r="H863" i="28"/>
  <c r="F864" i="28"/>
  <c r="G864" i="28"/>
  <c r="H864" i="28" s="1"/>
  <c r="F865" i="28"/>
  <c r="G865" i="28"/>
  <c r="H865" i="28"/>
  <c r="F866" i="28"/>
  <c r="G866" i="28"/>
  <c r="H866" i="28" s="1"/>
  <c r="F867" i="28"/>
  <c r="G867" i="28"/>
  <c r="H867" i="28"/>
  <c r="F868" i="28"/>
  <c r="G868" i="28"/>
  <c r="H868" i="28" s="1"/>
  <c r="F869" i="28"/>
  <c r="G869" i="28"/>
  <c r="H869" i="28"/>
  <c r="F872" i="28"/>
  <c r="G872" i="28"/>
  <c r="H872" i="28" s="1"/>
  <c r="F873" i="28"/>
  <c r="G873" i="28"/>
  <c r="H873" i="28"/>
  <c r="F874" i="28"/>
  <c r="G874" i="28"/>
  <c r="H874" i="28" s="1"/>
  <c r="F875" i="28"/>
  <c r="G875" i="28"/>
  <c r="H875" i="28"/>
  <c r="F876" i="28"/>
  <c r="G876" i="28"/>
  <c r="H876" i="28" s="1"/>
  <c r="F877" i="28"/>
  <c r="G877" i="28"/>
  <c r="H877" i="28"/>
  <c r="F880" i="28"/>
  <c r="G880" i="28"/>
  <c r="H880" i="28" s="1"/>
  <c r="F881" i="28"/>
  <c r="G881" i="28"/>
  <c r="H881" i="28"/>
  <c r="F882" i="28"/>
  <c r="G882" i="28"/>
  <c r="H882" i="28" s="1"/>
  <c r="F883" i="28"/>
  <c r="G883" i="28"/>
  <c r="H883" i="28"/>
  <c r="F884" i="28"/>
  <c r="G884" i="28"/>
  <c r="H884" i="28" s="1"/>
  <c r="F885" i="28"/>
  <c r="G885" i="28"/>
  <c r="H885" i="28"/>
  <c r="F886" i="28"/>
  <c r="G886" i="28"/>
  <c r="H886" i="28" s="1"/>
  <c r="F887" i="28"/>
  <c r="G887" i="28"/>
  <c r="H887" i="28"/>
  <c r="F890" i="28"/>
  <c r="G890" i="28"/>
  <c r="H890" i="28" s="1"/>
  <c r="F891" i="28"/>
  <c r="G891" i="28"/>
  <c r="H891" i="28"/>
  <c r="F892" i="28"/>
  <c r="G892" i="28"/>
  <c r="H892" i="28" s="1"/>
  <c r="F893" i="28"/>
  <c r="G893" i="28"/>
  <c r="H893" i="28"/>
  <c r="F894" i="28"/>
  <c r="G894" i="28"/>
  <c r="H894" i="28" s="1"/>
  <c r="F895" i="28"/>
  <c r="G895" i="28"/>
  <c r="H895" i="28"/>
  <c r="F896" i="28"/>
  <c r="G896" i="28"/>
  <c r="H896" i="28" s="1"/>
  <c r="F897" i="28"/>
  <c r="G897" i="28"/>
  <c r="H897" i="28"/>
  <c r="F900" i="28"/>
  <c r="G900" i="28"/>
  <c r="H900" i="28" s="1"/>
  <c r="F901" i="28"/>
  <c r="G901" i="28"/>
  <c r="H901" i="28"/>
  <c r="F902" i="28"/>
  <c r="G902" i="28"/>
  <c r="H902" i="28" s="1"/>
  <c r="F903" i="28"/>
  <c r="G903" i="28"/>
  <c r="H903" i="28"/>
  <c r="F904" i="28"/>
  <c r="G904" i="28"/>
  <c r="H904" i="28" s="1"/>
  <c r="F905" i="28"/>
  <c r="G905" i="28"/>
  <c r="H905" i="28"/>
  <c r="F906" i="28"/>
  <c r="G906" i="28"/>
  <c r="H906" i="28" s="1"/>
  <c r="F907" i="28"/>
  <c r="G907" i="28"/>
  <c r="H907" i="28"/>
  <c r="F908" i="28"/>
  <c r="G908" i="28"/>
  <c r="H908" i="28" s="1"/>
  <c r="F909" i="28"/>
  <c r="G909" i="28"/>
  <c r="H909" i="28"/>
  <c r="F910" i="28"/>
  <c r="G910" i="28"/>
  <c r="H910" i="28" s="1"/>
  <c r="F913" i="28"/>
  <c r="G913" i="28"/>
  <c r="H913" i="28"/>
  <c r="F914" i="28"/>
  <c r="G914" i="28"/>
  <c r="H914" i="28" s="1"/>
  <c r="F915" i="28"/>
  <c r="G915" i="28"/>
  <c r="H915" i="28"/>
  <c r="F916" i="28"/>
  <c r="G916" i="28"/>
  <c r="H916" i="28" s="1"/>
  <c r="F919" i="28"/>
  <c r="G919" i="28"/>
  <c r="H919" i="28"/>
  <c r="F920" i="28"/>
  <c r="G920" i="28"/>
  <c r="H920" i="28" s="1"/>
  <c r="F921" i="28"/>
  <c r="G921" i="28"/>
  <c r="H921" i="28"/>
  <c r="F922" i="28"/>
  <c r="G922" i="28"/>
  <c r="H922" i="28" s="1"/>
  <c r="F923" i="28"/>
  <c r="G923" i="28"/>
  <c r="H923" i="28"/>
  <c r="F924" i="28"/>
  <c r="G924" i="28"/>
  <c r="H924" i="28" s="1"/>
  <c r="F925" i="28"/>
  <c r="G925" i="28"/>
  <c r="H925" i="28"/>
  <c r="F926" i="28"/>
  <c r="G926" i="28"/>
  <c r="H926" i="28" s="1"/>
  <c r="F927" i="28"/>
  <c r="G927" i="28"/>
  <c r="H927" i="28"/>
  <c r="F928" i="28"/>
  <c r="G928" i="28"/>
  <c r="H928" i="28" s="1"/>
  <c r="F931" i="28"/>
  <c r="G931" i="28"/>
  <c r="H931" i="28"/>
  <c r="F932" i="28"/>
  <c r="G932" i="28"/>
  <c r="H932" i="28" s="1"/>
  <c r="F933" i="28"/>
  <c r="G933" i="28"/>
  <c r="H933" i="28"/>
  <c r="F934" i="28"/>
  <c r="G934" i="28"/>
  <c r="H934" i="28" s="1"/>
  <c r="F935" i="28"/>
  <c r="G935" i="28"/>
  <c r="H935" i="28"/>
  <c r="F936" i="28"/>
  <c r="G936" i="28"/>
  <c r="H936" i="28" s="1"/>
  <c r="F937" i="28"/>
  <c r="G937" i="28"/>
  <c r="H937" i="28"/>
  <c r="F938" i="28"/>
  <c r="G938" i="28"/>
  <c r="H938" i="28" s="1"/>
  <c r="F939" i="28"/>
  <c r="G939" i="28"/>
  <c r="H939" i="28"/>
  <c r="F940" i="28"/>
  <c r="G940" i="28"/>
  <c r="H940" i="28" s="1"/>
  <c r="F941" i="28"/>
  <c r="G941" i="28"/>
  <c r="H941" i="28"/>
  <c r="F942" i="28"/>
  <c r="G942" i="28"/>
  <c r="H942" i="28" s="1"/>
  <c r="F946" i="28"/>
  <c r="G946" i="28"/>
  <c r="H946" i="28"/>
  <c r="F949" i="28"/>
  <c r="G949" i="28"/>
  <c r="H949" i="28" s="1"/>
  <c r="F952" i="28"/>
  <c r="G952" i="28"/>
  <c r="H952" i="28"/>
  <c r="F953" i="28"/>
  <c r="G953" i="28"/>
  <c r="H953" i="28" s="1"/>
  <c r="F954" i="28"/>
  <c r="G954" i="28"/>
  <c r="H954" i="28"/>
  <c r="F955" i="28"/>
  <c r="G955" i="28"/>
  <c r="H955" i="28" s="1"/>
  <c r="F956" i="28"/>
  <c r="G956" i="28"/>
  <c r="H956" i="28"/>
  <c r="F957" i="28"/>
  <c r="G957" i="28"/>
  <c r="H957" i="28" s="1"/>
  <c r="F958" i="28"/>
  <c r="G958" i="28"/>
  <c r="H958" i="28"/>
  <c r="F959" i="28"/>
  <c r="G959" i="28"/>
  <c r="H959" i="28" s="1"/>
  <c r="F960" i="28"/>
  <c r="G960" i="28"/>
  <c r="H960" i="28"/>
  <c r="F961" i="28"/>
  <c r="G961" i="28"/>
  <c r="H961" i="28" s="1"/>
  <c r="F962" i="28"/>
  <c r="G962" i="28"/>
  <c r="H962" i="28"/>
  <c r="F963" i="28"/>
  <c r="G963" i="28"/>
  <c r="H963" i="28" s="1"/>
  <c r="F967" i="28"/>
  <c r="G967" i="28"/>
  <c r="H967" i="28"/>
  <c r="F968" i="28"/>
  <c r="G968" i="28"/>
  <c r="H968" i="28" s="1"/>
  <c r="F969" i="28"/>
  <c r="G969" i="28"/>
  <c r="H969" i="28"/>
  <c r="F970" i="28"/>
  <c r="G970" i="28"/>
  <c r="H970" i="28" s="1"/>
  <c r="F971" i="28"/>
  <c r="G971" i="28"/>
  <c r="H971" i="28"/>
  <c r="F972" i="28"/>
  <c r="G972" i="28"/>
  <c r="H972" i="28" s="1"/>
  <c r="F973" i="28"/>
  <c r="G973" i="28"/>
  <c r="H973" i="28"/>
  <c r="F974" i="28"/>
  <c r="G974" i="28"/>
  <c r="H974" i="28" s="1"/>
  <c r="F975" i="28"/>
  <c r="G975" i="28"/>
  <c r="H975" i="28"/>
  <c r="F976" i="28"/>
  <c r="G976" i="28"/>
  <c r="H976" i="28" s="1"/>
  <c r="F980" i="28"/>
  <c r="G980" i="28"/>
  <c r="H980" i="28"/>
  <c r="F981" i="28"/>
  <c r="G981" i="28"/>
  <c r="H981" i="28" s="1"/>
  <c r="F982" i="28"/>
  <c r="G982" i="28"/>
  <c r="H982" i="28"/>
  <c r="F983" i="28"/>
  <c r="G983" i="28"/>
  <c r="H983" i="28" s="1"/>
  <c r="F984" i="28"/>
  <c r="G984" i="28"/>
  <c r="H984" i="28"/>
  <c r="F985" i="28"/>
  <c r="G985" i="28"/>
  <c r="H985" i="28" s="1"/>
  <c r="F986" i="28"/>
  <c r="G986" i="28"/>
  <c r="H986" i="28"/>
  <c r="F987" i="28"/>
  <c r="G987" i="28"/>
  <c r="H987" i="28" s="1"/>
  <c r="F988" i="28"/>
  <c r="G988" i="28"/>
  <c r="H988" i="28"/>
  <c r="F992" i="28"/>
  <c r="G992" i="28"/>
  <c r="H992" i="28" s="1"/>
  <c r="F993" i="28"/>
  <c r="G993" i="28"/>
  <c r="H993" i="28"/>
  <c r="F994" i="28"/>
  <c r="G994" i="28"/>
  <c r="H994" i="28" s="1"/>
  <c r="F995" i="28"/>
  <c r="G995" i="28"/>
  <c r="H995" i="28"/>
  <c r="F996" i="28"/>
  <c r="G996" i="28"/>
  <c r="H996" i="28" s="1"/>
  <c r="F997" i="28"/>
  <c r="G997" i="28"/>
  <c r="H997" i="28"/>
  <c r="F998" i="28"/>
  <c r="G998" i="28"/>
  <c r="H998" i="28" s="1"/>
  <c r="F999" i="28"/>
  <c r="G999" i="28"/>
  <c r="H999" i="28"/>
  <c r="F1000" i="28"/>
  <c r="G1000" i="28"/>
  <c r="H1000" i="28" s="1"/>
  <c r="F1003" i="28"/>
  <c r="G1003" i="28"/>
  <c r="H1003" i="28"/>
  <c r="F1004" i="28"/>
  <c r="G1004" i="28"/>
  <c r="H1004" i="28" s="1"/>
  <c r="F1005" i="28"/>
  <c r="G1005" i="28"/>
  <c r="H1005" i="28"/>
  <c r="F1006" i="28"/>
  <c r="G1006" i="28"/>
  <c r="H1006" i="28" s="1"/>
  <c r="F1007" i="28"/>
  <c r="G1007" i="28"/>
  <c r="H1007" i="28"/>
  <c r="F1008" i="28"/>
  <c r="G1008" i="28"/>
  <c r="H1008" i="28" s="1"/>
  <c r="F1009" i="28"/>
  <c r="G1009" i="28"/>
  <c r="H1009" i="28"/>
  <c r="F1012" i="28"/>
  <c r="G1012" i="28"/>
  <c r="H1012" i="28" s="1"/>
  <c r="F1013" i="28"/>
  <c r="G1013" i="28"/>
  <c r="H1013" i="28"/>
  <c r="F1014" i="28"/>
  <c r="G1014" i="28"/>
  <c r="H1014" i="28" s="1"/>
  <c r="F1015" i="28"/>
  <c r="G1015" i="28"/>
  <c r="H1015" i="28"/>
  <c r="F1016" i="28"/>
  <c r="G1016" i="28"/>
  <c r="H1016" i="28" s="1"/>
  <c r="F1017" i="28"/>
  <c r="G1017" i="28"/>
  <c r="H1017" i="28"/>
  <c r="F1018" i="28"/>
  <c r="G1018" i="28"/>
  <c r="H1018" i="28" s="1"/>
  <c r="F1019" i="28"/>
  <c r="G1019" i="28"/>
  <c r="H1019" i="28"/>
  <c r="F1022" i="28"/>
  <c r="G1022" i="28"/>
  <c r="H1022" i="28" s="1"/>
  <c r="F1023" i="28"/>
  <c r="G1023" i="28"/>
  <c r="H1023" i="28"/>
  <c r="F1024" i="28"/>
  <c r="G1024" i="28"/>
  <c r="H1024" i="28" s="1"/>
  <c r="F1025" i="28"/>
  <c r="G1025" i="28"/>
  <c r="H1025" i="28"/>
  <c r="F1028" i="28"/>
  <c r="G1028" i="28"/>
  <c r="H1028" i="28" s="1"/>
  <c r="F1029" i="28"/>
  <c r="G1029" i="28"/>
  <c r="H1029" i="28"/>
  <c r="F1030" i="28"/>
  <c r="G1030" i="28"/>
  <c r="H1030" i="28" s="1"/>
  <c r="F1031" i="28"/>
  <c r="G1031" i="28"/>
  <c r="H1031" i="28"/>
  <c r="F1035" i="28"/>
  <c r="G1035" i="28"/>
  <c r="H1035" i="28" s="1"/>
  <c r="F1036" i="28"/>
  <c r="G1036" i="28"/>
  <c r="H1036" i="28"/>
  <c r="F1037" i="28"/>
  <c r="G1037" i="28"/>
  <c r="H1037" i="28" s="1"/>
  <c r="F1038" i="28"/>
  <c r="G1038" i="28"/>
  <c r="H1038" i="28"/>
  <c r="F1039" i="28"/>
  <c r="G1039" i="28"/>
  <c r="H1039" i="28" s="1"/>
  <c r="F1040" i="28"/>
  <c r="G1040" i="28"/>
  <c r="H1040" i="28"/>
  <c r="F1043" i="28"/>
  <c r="G1043" i="28"/>
  <c r="H1043" i="28" s="1"/>
  <c r="F1044" i="28"/>
  <c r="G1044" i="28"/>
  <c r="H1044" i="28"/>
  <c r="F1045" i="28"/>
  <c r="G1045" i="28"/>
  <c r="H1045" i="28" s="1"/>
  <c r="F1046" i="28"/>
  <c r="G1046" i="28"/>
  <c r="H1046" i="28"/>
  <c r="F1047" i="28"/>
  <c r="G1047" i="28"/>
  <c r="H1047" i="28" s="1"/>
  <c r="F1048" i="28"/>
  <c r="G1048" i="28"/>
  <c r="H1048" i="28"/>
  <c r="F1051" i="28"/>
  <c r="G1051" i="28"/>
  <c r="H1051" i="28" s="1"/>
  <c r="F1052" i="28"/>
  <c r="G1052" i="28"/>
  <c r="H1052" i="28"/>
  <c r="F1053" i="28"/>
  <c r="G1053" i="28"/>
  <c r="H1053" i="28" s="1"/>
  <c r="F1054" i="28"/>
  <c r="G1054" i="28"/>
  <c r="H1054" i="28"/>
  <c r="F1055" i="28"/>
  <c r="G1055" i="28"/>
  <c r="H1055" i="28" s="1"/>
  <c r="F1056" i="28"/>
  <c r="G1056" i="28"/>
  <c r="H1056" i="28"/>
  <c r="F1057" i="28"/>
  <c r="G1057" i="28"/>
  <c r="H1057" i="28" s="1"/>
  <c r="F1058" i="28"/>
  <c r="G1058" i="28"/>
  <c r="H1058" i="28"/>
  <c r="F1059" i="28"/>
  <c r="G1059" i="28"/>
  <c r="H1059" i="28" s="1"/>
  <c r="F1068" i="28"/>
  <c r="G1068" i="28"/>
  <c r="H1068" i="28"/>
  <c r="F1069" i="28"/>
  <c r="G1069" i="28"/>
  <c r="H1069" i="28" s="1"/>
  <c r="F1070" i="28"/>
  <c r="G1070" i="28"/>
  <c r="H1070" i="28"/>
  <c r="F1071" i="28"/>
  <c r="G1071" i="28"/>
  <c r="H1071" i="28" s="1"/>
  <c r="F1072" i="28"/>
  <c r="G1072" i="28"/>
  <c r="H1072" i="28"/>
  <c r="F1073" i="28"/>
  <c r="G1073" i="28"/>
  <c r="H1073" i="28" s="1"/>
  <c r="F1074" i="28"/>
  <c r="G1074" i="28"/>
  <c r="H1074" i="28"/>
  <c r="F1075" i="28"/>
  <c r="G1075" i="28"/>
  <c r="H1075" i="28" s="1"/>
  <c r="F1079" i="28"/>
  <c r="G1079" i="28"/>
  <c r="H1079" i="28"/>
  <c r="F1080" i="28"/>
  <c r="G1080" i="28"/>
  <c r="H1080" i="28" s="1"/>
  <c r="F1081" i="28"/>
  <c r="G1081" i="28"/>
  <c r="H1081" i="28"/>
  <c r="F1082" i="28"/>
  <c r="G1082" i="28"/>
  <c r="H1082" i="28" s="1"/>
  <c r="F1086" i="28"/>
  <c r="G1086" i="28"/>
  <c r="H1086" i="28"/>
  <c r="F1087" i="28"/>
  <c r="G1087" i="28"/>
  <c r="H1087" i="28" s="1"/>
  <c r="F1088" i="28"/>
  <c r="F1089" i="28"/>
  <c r="F1093" i="28"/>
  <c r="G1093" i="28"/>
  <c r="H1093" i="28"/>
  <c r="F1094" i="28"/>
  <c r="G1094" i="28"/>
  <c r="H1094" i="28" s="1"/>
  <c r="F1095" i="28"/>
  <c r="F1096" i="28"/>
  <c r="F1100" i="28"/>
  <c r="G1100" i="28"/>
  <c r="H1100" i="28"/>
  <c r="F1101" i="28"/>
  <c r="G1101" i="28"/>
  <c r="H1101" i="28" s="1"/>
  <c r="F1102" i="28"/>
  <c r="G1102" i="28"/>
  <c r="H1102" i="28"/>
  <c r="F1103" i="28"/>
  <c r="G1103" i="28"/>
  <c r="H1103" i="28" s="1"/>
  <c r="F1107" i="28"/>
  <c r="G1107" i="28"/>
  <c r="H1107" i="28"/>
  <c r="F1108" i="28"/>
  <c r="G1108" i="28"/>
  <c r="H1108" i="28" s="1"/>
  <c r="F1109" i="28"/>
  <c r="G1109" i="28"/>
  <c r="H1109" i="28" s="1"/>
  <c r="F1110" i="28"/>
  <c r="G1110" i="28"/>
  <c r="H1110" i="28"/>
  <c r="F1114" i="28"/>
  <c r="G1114" i="28"/>
  <c r="H1114" i="28" s="1"/>
  <c r="F1115" i="28"/>
  <c r="F1116" i="28"/>
  <c r="F1117" i="28"/>
  <c r="G1117" i="28"/>
  <c r="H1117" i="28"/>
  <c r="F1121" i="28"/>
  <c r="F1122" i="28"/>
  <c r="F1123" i="28"/>
  <c r="F1124" i="28"/>
  <c r="F1128" i="28"/>
  <c r="G1128" i="28"/>
  <c r="H1128" i="28" s="1"/>
  <c r="F1129" i="28"/>
  <c r="G1129" i="28"/>
  <c r="H1129" i="28"/>
  <c r="F1130" i="28"/>
  <c r="G1130" i="28"/>
  <c r="H1130" i="28" s="1"/>
  <c r="F1131" i="28"/>
  <c r="G1131" i="28"/>
  <c r="H1131" i="28"/>
  <c r="F1132" i="28"/>
  <c r="G1132" i="28"/>
  <c r="H1132" i="28" s="1"/>
  <c r="F1133" i="28"/>
  <c r="G1133" i="28"/>
  <c r="H1133" i="28"/>
  <c r="F1134" i="28"/>
  <c r="G1134" i="28"/>
  <c r="H1134" i="28" s="1"/>
  <c r="F1135" i="28"/>
  <c r="G1135" i="28"/>
  <c r="H1135" i="28"/>
  <c r="F1136" i="28"/>
  <c r="G1136" i="28"/>
  <c r="H1136" i="28" s="1"/>
  <c r="F1137" i="28"/>
  <c r="G1137" i="28"/>
  <c r="H1137" i="28"/>
  <c r="F1138" i="28"/>
  <c r="G1138" i="28"/>
  <c r="H1138" i="28" s="1"/>
  <c r="F1139" i="28"/>
  <c r="G1139" i="28"/>
  <c r="H1139" i="28"/>
  <c r="F1143" i="28"/>
  <c r="G1143" i="28"/>
  <c r="H1143" i="28" s="1"/>
  <c r="F1144" i="28"/>
  <c r="G1144" i="28"/>
  <c r="H1144" i="28"/>
  <c r="F1145" i="28"/>
  <c r="G1145" i="28"/>
  <c r="H1145" i="28" s="1"/>
  <c r="F1146" i="28"/>
  <c r="G1146" i="28"/>
  <c r="H1146" i="28"/>
  <c r="F1147" i="28"/>
  <c r="G1147" i="28"/>
  <c r="H1147" i="28" s="1"/>
  <c r="F1148" i="28"/>
  <c r="G1148" i="28"/>
  <c r="H1148" i="28"/>
  <c r="F1149" i="28"/>
  <c r="G1149" i="28"/>
  <c r="H1149" i="28" s="1"/>
  <c r="F1150" i="28"/>
  <c r="G1150" i="28"/>
  <c r="H1150" i="28"/>
  <c r="F1151" i="28"/>
  <c r="G1151" i="28"/>
  <c r="H1151" i="28" s="1"/>
  <c r="F1152" i="28"/>
  <c r="F1153" i="28"/>
  <c r="G1153" i="28"/>
  <c r="H1153" i="28" s="1"/>
  <c r="F1154" i="28"/>
  <c r="G1154" i="28"/>
  <c r="H1154" i="28"/>
  <c r="F1158" i="28"/>
  <c r="G1158" i="28"/>
  <c r="H1158" i="28" s="1"/>
  <c r="F1159" i="28"/>
  <c r="G1159" i="28"/>
  <c r="H1159" i="28"/>
  <c r="F1160" i="28"/>
  <c r="G1160" i="28"/>
  <c r="H1160" i="28" s="1"/>
  <c r="F1161" i="28"/>
  <c r="G1161" i="28"/>
  <c r="H1161" i="28"/>
  <c r="F1162" i="28"/>
  <c r="G1162" i="28"/>
  <c r="H1162" i="28" s="1"/>
  <c r="F1163" i="28"/>
  <c r="G1163" i="28"/>
  <c r="H1163" i="28"/>
  <c r="F1164" i="28"/>
  <c r="G1164" i="28"/>
  <c r="H1164" i="28" s="1"/>
  <c r="F1165" i="28"/>
  <c r="G1165" i="28"/>
  <c r="H1165" i="28"/>
  <c r="F1166" i="28"/>
  <c r="G1166" i="28"/>
  <c r="H1166" i="28" s="1"/>
  <c r="F1167" i="28"/>
  <c r="G1167" i="28"/>
  <c r="H1167" i="28"/>
  <c r="F1168" i="28"/>
  <c r="G1168" i="28"/>
  <c r="H1168" i="28" s="1"/>
  <c r="F1169" i="28"/>
  <c r="G1169" i="28"/>
  <c r="H1169" i="28"/>
  <c r="F1173" i="28"/>
  <c r="G1173" i="28"/>
  <c r="H1173" i="28" s="1"/>
  <c r="F1174" i="28"/>
  <c r="G1174" i="28"/>
  <c r="H1174" i="28"/>
  <c r="F1175" i="28"/>
  <c r="G1175" i="28"/>
  <c r="H1175" i="28" s="1"/>
  <c r="F1176" i="28"/>
  <c r="G1176" i="28"/>
  <c r="H1176" i="28"/>
  <c r="F1177" i="28"/>
  <c r="G1177" i="28"/>
  <c r="H1177" i="28" s="1"/>
  <c r="F1178" i="28"/>
  <c r="G1178" i="28"/>
  <c r="H1178" i="28"/>
  <c r="F1182" i="28"/>
  <c r="G1182" i="28"/>
  <c r="H1182" i="28" s="1"/>
  <c r="F1186" i="28"/>
  <c r="G1186" i="28"/>
  <c r="H1186" i="28"/>
  <c r="F1187" i="28"/>
  <c r="G1187" i="28"/>
  <c r="H1187" i="28" s="1"/>
  <c r="F1188" i="28"/>
  <c r="G1188" i="28"/>
  <c r="H1188" i="28"/>
  <c r="F1189" i="28"/>
  <c r="G1189" i="28"/>
  <c r="H1189" i="28" s="1"/>
  <c r="F1190" i="28"/>
  <c r="G1190" i="28"/>
  <c r="H1190" i="28"/>
  <c r="F1191" i="28"/>
  <c r="G1191" i="28"/>
  <c r="H1191" i="28" s="1"/>
  <c r="F1195" i="28"/>
  <c r="G1195" i="28"/>
  <c r="H1195" i="28"/>
  <c r="F1196" i="28"/>
  <c r="G1196" i="28"/>
  <c r="H1196" i="28" s="1"/>
  <c r="F1197" i="28"/>
  <c r="G1197" i="28"/>
  <c r="H1197" i="28"/>
  <c r="F1203" i="28"/>
  <c r="G1203" i="28"/>
  <c r="H1203" i="28" s="1"/>
  <c r="F1206" i="28"/>
  <c r="G1206" i="28"/>
  <c r="H1206" i="28"/>
  <c r="F1207" i="28"/>
  <c r="G1207" i="28"/>
  <c r="H1207" i="28" s="1"/>
  <c r="F1208" i="28"/>
  <c r="G1208" i="28"/>
  <c r="H1208" i="28"/>
  <c r="F1212" i="28"/>
  <c r="G1212" i="28"/>
  <c r="H1212" i="28" s="1"/>
  <c r="F1213" i="28"/>
  <c r="G1213" i="28"/>
  <c r="H1213" i="28"/>
  <c r="F1214" i="28"/>
  <c r="G1214" i="28"/>
  <c r="H1214" i="28" s="1"/>
  <c r="F1215" i="28"/>
  <c r="G1215" i="28"/>
  <c r="H1215" i="28"/>
  <c r="F1219" i="28"/>
  <c r="G1219" i="28"/>
  <c r="H1219" i="28" s="1"/>
  <c r="F1220" i="28"/>
  <c r="G1220" i="28"/>
  <c r="H1220" i="28"/>
  <c r="F1221" i="28"/>
  <c r="G1221" i="28"/>
  <c r="H1221" i="28" s="1"/>
  <c r="F1222" i="28"/>
  <c r="G1222" i="28"/>
  <c r="H1222" i="28"/>
  <c r="F1223" i="28"/>
  <c r="G1223" i="28"/>
  <c r="H1223" i="28" s="1"/>
  <c r="F1224" i="28"/>
  <c r="G1224" i="28"/>
  <c r="H1224" i="28"/>
  <c r="G1226" i="28"/>
  <c r="F1229" i="28"/>
  <c r="G1229" i="28"/>
  <c r="H1229" i="28"/>
  <c r="F1232" i="28"/>
  <c r="G1232" i="28"/>
  <c r="H1232" i="28" s="1"/>
  <c r="F1235" i="28"/>
  <c r="G1235" i="28"/>
  <c r="H1235" i="28"/>
  <c r="F1240" i="28"/>
  <c r="G1240" i="28"/>
  <c r="H1240" i="28" s="1"/>
  <c r="F1241" i="28"/>
  <c r="G1241" i="28"/>
  <c r="H1241" i="28"/>
  <c r="F1242" i="28"/>
  <c r="G1242" i="28"/>
  <c r="H1242" i="28" s="1"/>
  <c r="F1244" i="28"/>
  <c r="G1244" i="28"/>
  <c r="H1244" i="28"/>
  <c r="F1247" i="28"/>
  <c r="G1247" i="28"/>
  <c r="H1247" i="28" s="1"/>
  <c r="F1253" i="28"/>
  <c r="G1253" i="28"/>
  <c r="H1253" i="28"/>
  <c r="F1256" i="28"/>
  <c r="G1256" i="28"/>
  <c r="H1256" i="28" s="1"/>
  <c r="F1259" i="28"/>
  <c r="G1259" i="28"/>
  <c r="H1259" i="28"/>
  <c r="F1262" i="28"/>
  <c r="G1262" i="28"/>
  <c r="H1262" i="28" s="1"/>
  <c r="F1265" i="28"/>
  <c r="G1265" i="28"/>
  <c r="H1265" i="28"/>
  <c r="F1268" i="28"/>
  <c r="G1268" i="28"/>
  <c r="H1268" i="28" s="1"/>
  <c r="F1271" i="28"/>
  <c r="G1271" i="28"/>
  <c r="H1271" i="28"/>
  <c r="F1274" i="28"/>
  <c r="G1274" i="28"/>
  <c r="H1274" i="28" s="1"/>
  <c r="F1277" i="28"/>
  <c r="G1277" i="28"/>
  <c r="H1277" i="28"/>
  <c r="F1283" i="28"/>
  <c r="G1283" i="28"/>
  <c r="H1283" i="28" s="1"/>
  <c r="F1286" i="28"/>
  <c r="G1286" i="28"/>
  <c r="H1286" i="28"/>
  <c r="F1289" i="28"/>
  <c r="G1289" i="28"/>
  <c r="H1289" i="28" s="1"/>
  <c r="F1292" i="28"/>
  <c r="G1292" i="28"/>
  <c r="H1292" i="28"/>
  <c r="F1295" i="28"/>
  <c r="G1295" i="28"/>
  <c r="H1295" i="28" s="1"/>
  <c r="F1298" i="28"/>
  <c r="G1298" i="28"/>
  <c r="H1298" i="28"/>
  <c r="F1301" i="28"/>
  <c r="G1301" i="28"/>
  <c r="H1301" i="28" s="1"/>
  <c r="F1304" i="28"/>
  <c r="G1304" i="28"/>
  <c r="H1304" i="28"/>
  <c r="F1307" i="28"/>
  <c r="G1307" i="28"/>
  <c r="H1307" i="28" s="1"/>
  <c r="F1310" i="28"/>
  <c r="G1310" i="28"/>
  <c r="H1310" i="28"/>
  <c r="F1318" i="28"/>
  <c r="G1318" i="28"/>
  <c r="H1318" i="28" s="1"/>
  <c r="F1319" i="28"/>
  <c r="G1319" i="28"/>
  <c r="H1319" i="28"/>
  <c r="F1320" i="28"/>
  <c r="G1320" i="28"/>
  <c r="H1320" i="28" s="1"/>
  <c r="F1321" i="28"/>
  <c r="G1321" i="28"/>
  <c r="H1321" i="28"/>
  <c r="F1322" i="28"/>
  <c r="G1322" i="28"/>
  <c r="H1322" i="28" s="1"/>
  <c r="F1323" i="28"/>
  <c r="G1323" i="28"/>
  <c r="H1323" i="28"/>
  <c r="F1324" i="28"/>
  <c r="G1324" i="28"/>
  <c r="H1324" i="28" s="1"/>
  <c r="F1328" i="28"/>
  <c r="G1328" i="28"/>
  <c r="H1328" i="28"/>
  <c r="F1329" i="28"/>
  <c r="G1329" i="28"/>
  <c r="H1329" i="28" s="1"/>
  <c r="F1330" i="28"/>
  <c r="G1330" i="28"/>
  <c r="H1330" i="28"/>
  <c r="F1331" i="28"/>
  <c r="G1331" i="28"/>
  <c r="H1331" i="28" s="1"/>
  <c r="F1332" i="28"/>
  <c r="G1332" i="28"/>
  <c r="H1332" i="28"/>
  <c r="F1333" i="28"/>
  <c r="G1333" i="28"/>
  <c r="H1333" i="28" s="1"/>
  <c r="F1334" i="28"/>
  <c r="G1334" i="28"/>
  <c r="H1334" i="28"/>
  <c r="F1335" i="28"/>
  <c r="G1335" i="28"/>
  <c r="H1335" i="28" s="1"/>
  <c r="F1336" i="28"/>
  <c r="G1336" i="28"/>
  <c r="H1336" i="28"/>
  <c r="F1337" i="28"/>
  <c r="G1337" i="28"/>
  <c r="H1337" i="28" s="1"/>
  <c r="F1338" i="28"/>
  <c r="G1338" i="28"/>
  <c r="H1338" i="28"/>
  <c r="F1339" i="28"/>
  <c r="G1339" i="28"/>
  <c r="H1339" i="28" s="1"/>
  <c r="F1340" i="28"/>
  <c r="G1340" i="28"/>
  <c r="H1340" i="28"/>
  <c r="F1341" i="28"/>
  <c r="G1341" i="28"/>
  <c r="H1341" i="28" s="1"/>
  <c r="F1342" i="28"/>
  <c r="G1342" i="28"/>
  <c r="H1342" i="28"/>
  <c r="F1343" i="28"/>
  <c r="G1343" i="28"/>
  <c r="H1343" i="28" s="1"/>
  <c r="F1344" i="28"/>
  <c r="G1344" i="28"/>
  <c r="H1344" i="28"/>
  <c r="F1348" i="28"/>
  <c r="G1348" i="28"/>
  <c r="H1348" i="28" s="1"/>
  <c r="F1349" i="28"/>
  <c r="G1349" i="28"/>
  <c r="H1349" i="28"/>
  <c r="F1350" i="28"/>
  <c r="G1350" i="28"/>
  <c r="H1350" i="28" s="1"/>
  <c r="F1351" i="28"/>
  <c r="G1351" i="28"/>
  <c r="H1351" i="28"/>
  <c r="F1352" i="28"/>
  <c r="G1352" i="28"/>
  <c r="H1352" i="28" s="1"/>
  <c r="F1353" i="28"/>
  <c r="G1353" i="28"/>
  <c r="H1353" i="28"/>
  <c r="F1354" i="28"/>
  <c r="G1354" i="28"/>
  <c r="H1354" i="28" s="1"/>
  <c r="F1355" i="28"/>
  <c r="G1355" i="28"/>
  <c r="H1355" i="28"/>
  <c r="F1356" i="28"/>
  <c r="G1356" i="28"/>
  <c r="H1356" i="28" s="1"/>
  <c r="F1357" i="28"/>
  <c r="G1357" i="28"/>
  <c r="H1357" i="28"/>
  <c r="F1358" i="28"/>
  <c r="G1358" i="28"/>
  <c r="H1358" i="28" s="1"/>
  <c r="F1359" i="28"/>
  <c r="G1359" i="28"/>
  <c r="H1359" i="28"/>
  <c r="F1360" i="28"/>
  <c r="G1360" i="28"/>
  <c r="H1360" i="28" s="1"/>
  <c r="F1361" i="28"/>
  <c r="G1361" i="28"/>
  <c r="H1361" i="28"/>
  <c r="F1362" i="28"/>
  <c r="G1362" i="28"/>
  <c r="H1362" i="28" s="1"/>
  <c r="F1363" i="28"/>
  <c r="G1363" i="28"/>
  <c r="H1363" i="28"/>
  <c r="F1364" i="28"/>
  <c r="G1364" i="28"/>
  <c r="H1364" i="28" s="1"/>
  <c r="F1368" i="28"/>
  <c r="G1368" i="28"/>
  <c r="H1368" i="28"/>
  <c r="F1369" i="28"/>
  <c r="G1369" i="28"/>
  <c r="H1369" i="28" s="1"/>
  <c r="F1370" i="28"/>
  <c r="G1370" i="28"/>
  <c r="H1370" i="28"/>
  <c r="F1371" i="28"/>
  <c r="G1371" i="28"/>
  <c r="H1371" i="28" s="1"/>
  <c r="F1375" i="28"/>
  <c r="G1375" i="28"/>
  <c r="H1375" i="28"/>
  <c r="F1376" i="28"/>
  <c r="G1376" i="28"/>
  <c r="H1376" i="28" s="1"/>
  <c r="F1380" i="28"/>
  <c r="G1380" i="28"/>
  <c r="H1380" i="28"/>
  <c r="F1384" i="28"/>
  <c r="G1384" i="28"/>
  <c r="H1384" i="28" s="1"/>
  <c r="F1388" i="28"/>
  <c r="G1388" i="28"/>
  <c r="H1388" i="28"/>
  <c r="F1392" i="28"/>
  <c r="G1392" i="28"/>
  <c r="H1392" i="28" s="1"/>
  <c r="F1393" i="28"/>
  <c r="G1393" i="28"/>
  <c r="H1393" i="28"/>
  <c r="F1397" i="28"/>
  <c r="G1397" i="28"/>
  <c r="H1397" i="28" s="1"/>
  <c r="F1398" i="28"/>
  <c r="G1398" i="28"/>
  <c r="H1398" i="28"/>
  <c r="F1402" i="28"/>
  <c r="G1402" i="28"/>
  <c r="H1402" i="28" s="1"/>
  <c r="F1403" i="28"/>
  <c r="G1403" i="28"/>
  <c r="H1403" i="28"/>
  <c r="F1404" i="28"/>
  <c r="G1404" i="28"/>
  <c r="H1404" i="28" s="1"/>
  <c r="F1405" i="28"/>
  <c r="G1405" i="28"/>
  <c r="H1405" i="28"/>
  <c r="F1406" i="28"/>
  <c r="G1406" i="28"/>
  <c r="H1406" i="28" s="1"/>
  <c r="F1410" i="28"/>
  <c r="G1410" i="28"/>
  <c r="H1410" i="28"/>
  <c r="F1411" i="28"/>
  <c r="G1411" i="28"/>
  <c r="H1411" i="28" s="1"/>
  <c r="F1415" i="28"/>
  <c r="G1415" i="28"/>
  <c r="H1415" i="28"/>
  <c r="F1416" i="28"/>
  <c r="G1416" i="28"/>
  <c r="H1416" i="28" s="1"/>
  <c r="F1417" i="28"/>
  <c r="G1417" i="28"/>
  <c r="H1417" i="28"/>
  <c r="F1418" i="28"/>
  <c r="G1418" i="28"/>
  <c r="H1418" i="28" s="1"/>
  <c r="F1419" i="28"/>
  <c r="G1419" i="28"/>
  <c r="H1419" i="28"/>
  <c r="F1420" i="28"/>
  <c r="G1420" i="28"/>
  <c r="H1420" i="28" s="1"/>
  <c r="F1421" i="28"/>
  <c r="G1421" i="28"/>
  <c r="H1421" i="28"/>
  <c r="F1426" i="28"/>
  <c r="G1426" i="28"/>
  <c r="H1426" i="28" s="1"/>
  <c r="F1430" i="28"/>
  <c r="G1430" i="28"/>
  <c r="H1430" i="28"/>
  <c r="F1431" i="28"/>
  <c r="G1431" i="28"/>
  <c r="H1431" i="28" s="1"/>
  <c r="F1432" i="28"/>
  <c r="G1432" i="28"/>
  <c r="H1432" i="28"/>
  <c r="F1433" i="28"/>
  <c r="G1433" i="28"/>
  <c r="H1433" i="28" s="1"/>
  <c r="F1437" i="28"/>
  <c r="G1437" i="28"/>
  <c r="H1437" i="28"/>
  <c r="F1438" i="28"/>
  <c r="G1438" i="28"/>
  <c r="H1438" i="28" s="1"/>
  <c r="F1439" i="28"/>
  <c r="G1439" i="28"/>
  <c r="H1439" i="28"/>
  <c r="F1440" i="28"/>
  <c r="G1440" i="28"/>
  <c r="H1440" i="28" s="1"/>
  <c r="F1442" i="28"/>
  <c r="G1442" i="28"/>
  <c r="H1442" i="28"/>
  <c r="F1445" i="28"/>
  <c r="G1445" i="28"/>
  <c r="H1445" i="28" s="1"/>
  <c r="F1448" i="28"/>
  <c r="G1448" i="28"/>
  <c r="H1448" i="28"/>
  <c r="F1453" i="28"/>
  <c r="G1453" i="28"/>
  <c r="H1453" i="28" s="1"/>
  <c r="F1457" i="28"/>
  <c r="G1457" i="28"/>
  <c r="H1457" i="28"/>
  <c r="F1458" i="28"/>
  <c r="G1458" i="28"/>
  <c r="H1458" i="28" s="1"/>
  <c r="F1459" i="28"/>
  <c r="G1459" i="28"/>
  <c r="H1459" i="28"/>
  <c r="F1460" i="28"/>
  <c r="G1460" i="28"/>
  <c r="H1460" i="28" s="1"/>
  <c r="F1461" i="28"/>
  <c r="G1461" i="28"/>
  <c r="H1461" i="28"/>
  <c r="F1465" i="28"/>
  <c r="G1465" i="28"/>
  <c r="H1465" i="28" s="1"/>
  <c r="F1466" i="28"/>
  <c r="G1466" i="28"/>
  <c r="H1466" i="28"/>
  <c r="F1467" i="28"/>
  <c r="G1467" i="28"/>
  <c r="H1467" i="28" s="1"/>
  <c r="F1468" i="28"/>
  <c r="G1468" i="28"/>
  <c r="H1468" i="28"/>
  <c r="F1470" i="28"/>
  <c r="G1470" i="28"/>
  <c r="H1470" i="28" s="1"/>
  <c r="F1473" i="28"/>
  <c r="G1473" i="28"/>
  <c r="H1473" i="28"/>
  <c r="F1476" i="28"/>
  <c r="G1476" i="28"/>
  <c r="H1476" i="28" s="1"/>
  <c r="F1479" i="28"/>
  <c r="G1479" i="28"/>
  <c r="H1479" i="28"/>
  <c r="F1482" i="28"/>
  <c r="G1482" i="28"/>
  <c r="H1482" i="28" s="1"/>
  <c r="F1487" i="28"/>
  <c r="G1487" i="28"/>
  <c r="H1487" i="28"/>
  <c r="F1488" i="28"/>
  <c r="G1488" i="28"/>
  <c r="H1488" i="28" s="1"/>
  <c r="F1489" i="28"/>
  <c r="G1489" i="28"/>
  <c r="H1489" i="28"/>
  <c r="F1490" i="28"/>
  <c r="G1490" i="28"/>
  <c r="H1490" i="28" s="1"/>
  <c r="F1491" i="28"/>
  <c r="G1491" i="28"/>
  <c r="H1491" i="28"/>
  <c r="F1492" i="28"/>
  <c r="G1492" i="28"/>
  <c r="H1492" i="28" s="1"/>
  <c r="F1493" i="28"/>
  <c r="G1493" i="28"/>
  <c r="H1493" i="28"/>
  <c r="F1494" i="28"/>
  <c r="G1494" i="28"/>
  <c r="H1494" i="28" s="1"/>
  <c r="F1495" i="28"/>
  <c r="G1495" i="28"/>
  <c r="H1495" i="28"/>
  <c r="F1496" i="28"/>
  <c r="G1496" i="28"/>
  <c r="H1496" i="28" s="1"/>
  <c r="F1497" i="28"/>
  <c r="G1497" i="28"/>
  <c r="H1497" i="28"/>
  <c r="F1501" i="28"/>
  <c r="G1501" i="28"/>
  <c r="H1501" i="28" s="1"/>
  <c r="F1502" i="28"/>
  <c r="G1502" i="28"/>
  <c r="H1502" i="28"/>
  <c r="F1503" i="28"/>
  <c r="G1503" i="28"/>
  <c r="H1503" i="28" s="1"/>
  <c r="F1504" i="28"/>
  <c r="G1504" i="28"/>
  <c r="H1504" i="28"/>
  <c r="F1505" i="28"/>
  <c r="G1505" i="28"/>
  <c r="H1505" i="28" s="1"/>
  <c r="F1506" i="28"/>
  <c r="G1506" i="28"/>
  <c r="H1506" i="28"/>
  <c r="F1507" i="28"/>
  <c r="G1507" i="28"/>
  <c r="H1507" i="28" s="1"/>
  <c r="F1508" i="28"/>
  <c r="G1508" i="28"/>
  <c r="H1508" i="28"/>
  <c r="F1509" i="28"/>
  <c r="G1509" i="28"/>
  <c r="H1509" i="28" s="1"/>
  <c r="F1510" i="28"/>
  <c r="G1510" i="28"/>
  <c r="H1510" i="28"/>
  <c r="F1511" i="28"/>
  <c r="G1511" i="28"/>
  <c r="H1511" i="28" s="1"/>
  <c r="F1515" i="28"/>
  <c r="G1515" i="28"/>
  <c r="H1515" i="28"/>
  <c r="F1516" i="28"/>
  <c r="G1516" i="28"/>
  <c r="H1516" i="28" s="1"/>
  <c r="F1517" i="28"/>
  <c r="G1517" i="28"/>
  <c r="H1517" i="28"/>
  <c r="F1518" i="28"/>
  <c r="G1518" i="28"/>
  <c r="H1518" i="28" s="1"/>
  <c r="F1519" i="28"/>
  <c r="G1519" i="28"/>
  <c r="H1519" i="28"/>
  <c r="F1520" i="28"/>
  <c r="G1520" i="28"/>
  <c r="H1520" i="28" s="1"/>
  <c r="F1521" i="28"/>
  <c r="G1521" i="28"/>
  <c r="H1521" i="28"/>
  <c r="F1523" i="28"/>
  <c r="G1523" i="28"/>
  <c r="H1523" i="28" s="1"/>
  <c r="F1529" i="28"/>
  <c r="G1529" i="28"/>
  <c r="H1529" i="28"/>
  <c r="G1532" i="28"/>
  <c r="F1535" i="28"/>
  <c r="G1535" i="28"/>
  <c r="H1535" i="28"/>
  <c r="G1546" i="28"/>
  <c r="F1551" i="28"/>
  <c r="G1551" i="28"/>
  <c r="H1551" i="28"/>
  <c r="F1554" i="28"/>
  <c r="G1554" i="28"/>
  <c r="H1554" i="28" s="1"/>
  <c r="G1565" i="28"/>
  <c r="F1567" i="28"/>
  <c r="G1567" i="28"/>
  <c r="H1567" i="28" s="1"/>
  <c r="G1570" i="28"/>
  <c r="F1573" i="28"/>
  <c r="G1573" i="28"/>
  <c r="H1573" i="28" s="1"/>
  <c r="G1576" i="28"/>
  <c r="F1587" i="28"/>
  <c r="G1587" i="28"/>
  <c r="H1587" i="28" s="1"/>
  <c r="G1601" i="28"/>
  <c r="F1603" i="28"/>
  <c r="G1603" i="28"/>
  <c r="H1603" i="28" s="1"/>
  <c r="F1606" i="28"/>
  <c r="G1606" i="28"/>
  <c r="H1606" i="28"/>
  <c r="F1609" i="28"/>
  <c r="G1609" i="28"/>
  <c r="H1609" i="28" s="1"/>
  <c r="F1612" i="28"/>
  <c r="G1612" i="28"/>
  <c r="H1612" i="28"/>
  <c r="F1622" i="28"/>
  <c r="G1622" i="28"/>
  <c r="H1622" i="28" s="1"/>
  <c r="F1628" i="28"/>
  <c r="G1628" i="28"/>
  <c r="H1628" i="28"/>
  <c r="F1635" i="28"/>
  <c r="G1635" i="28"/>
  <c r="H1635" i="28" s="1"/>
  <c r="H1645" i="28"/>
  <c r="H1651" i="28"/>
  <c r="H1657" i="28"/>
  <c r="H1661" i="28"/>
  <c r="H1663" i="28"/>
  <c r="H1666" i="28"/>
  <c r="H1670" i="28"/>
  <c r="H1673" i="28"/>
  <c r="H1676" i="28"/>
  <c r="H1681" i="28"/>
  <c r="H1683" i="28"/>
  <c r="H1686" i="28"/>
  <c r="H1689" i="28"/>
  <c r="H1692" i="28"/>
  <c r="H1698" i="28"/>
  <c r="H1703" i="28"/>
  <c r="H1707" i="28"/>
  <c r="H1711" i="28"/>
  <c r="H1715" i="28"/>
  <c r="H1717" i="28"/>
  <c r="H1720" i="28"/>
  <c r="H1723" i="28"/>
  <c r="H1726" i="28"/>
  <c r="H1731" i="28"/>
  <c r="H1732" i="28"/>
  <c r="H1733" i="28"/>
  <c r="H1734" i="28"/>
  <c r="H1735" i="28"/>
  <c r="H1739" i="28"/>
  <c r="H1740" i="28"/>
  <c r="H1741" i="28"/>
  <c r="H1742" i="28"/>
  <c r="H1744" i="28"/>
  <c r="H1747" i="28"/>
  <c r="H1752" i="28"/>
  <c r="H1756" i="28"/>
  <c r="H1760" i="28"/>
  <c r="H1761" i="28"/>
  <c r="H1762" i="28"/>
  <c r="H1763" i="28"/>
  <c r="H1767" i="28"/>
  <c r="H1768" i="28"/>
  <c r="H1769" i="28"/>
  <c r="H1771" i="28"/>
  <c r="H1777" i="28"/>
  <c r="H1778" i="28"/>
  <c r="H1779" i="28"/>
  <c r="H1780" i="28"/>
  <c r="H1784" i="28"/>
  <c r="H1785" i="28"/>
  <c r="H1786" i="28"/>
  <c r="H1787" i="28"/>
  <c r="H1788" i="28"/>
  <c r="H1789" i="28"/>
  <c r="H1790" i="28"/>
  <c r="H1792" i="28"/>
  <c r="H1795" i="28"/>
  <c r="H1798" i="28"/>
  <c r="H1801" i="28"/>
  <c r="H1804" i="28"/>
  <c r="H1807" i="28"/>
  <c r="H1812" i="28"/>
  <c r="H1813" i="28"/>
  <c r="H1814" i="28"/>
  <c r="H1815" i="28"/>
  <c r="H1817" i="28"/>
  <c r="H1822" i="28"/>
  <c r="H1823" i="28"/>
  <c r="H1824" i="28"/>
  <c r="H1825" i="28"/>
  <c r="H1826" i="28"/>
  <c r="H1924" i="28"/>
  <c r="F1933" i="28"/>
  <c r="G1933" i="28"/>
  <c r="H1933" i="28"/>
  <c r="F1934" i="28"/>
  <c r="G1934" i="28"/>
  <c r="H1934" i="28" s="1"/>
  <c r="F1935" i="28"/>
  <c r="G1935" i="28"/>
  <c r="H1935" i="28"/>
  <c r="F1937" i="28"/>
  <c r="G1937" i="28"/>
  <c r="H1937" i="28" s="1"/>
  <c r="F1938" i="28"/>
  <c r="G1938" i="28"/>
  <c r="H1938" i="28"/>
  <c r="F1939" i="28"/>
  <c r="G1939" i="28"/>
  <c r="H1939" i="28" s="1"/>
  <c r="F1940" i="28"/>
  <c r="G1940" i="28"/>
  <c r="H1940" i="28"/>
  <c r="F1941" i="28"/>
  <c r="G1941" i="28"/>
  <c r="H1941" i="28" s="1"/>
  <c r="F1942" i="28"/>
  <c r="G1942" i="28"/>
  <c r="H1942" i="28"/>
  <c r="F1943" i="28"/>
  <c r="G1943" i="28"/>
  <c r="H1943" i="28" s="1"/>
  <c r="F1944" i="28"/>
  <c r="G1944" i="28"/>
  <c r="H1944" i="28"/>
  <c r="F1946" i="28"/>
  <c r="G1946" i="28"/>
  <c r="H1946" i="28" s="1"/>
  <c r="F1947" i="28"/>
  <c r="G1947" i="28"/>
  <c r="H1947" i="28"/>
  <c r="F1948" i="28"/>
  <c r="G1948" i="28"/>
  <c r="H1948" i="28" s="1"/>
  <c r="F1949" i="28"/>
  <c r="G1949" i="28"/>
  <c r="H1949" i="28"/>
  <c r="F1950" i="28"/>
  <c r="G1950" i="28"/>
  <c r="H1950" i="28" s="1"/>
  <c r="F1951" i="28"/>
  <c r="G1951" i="28"/>
  <c r="H1951" i="28"/>
  <c r="F1952" i="28"/>
  <c r="G1952" i="28"/>
  <c r="H1952" i="28" s="1"/>
  <c r="F1953" i="28"/>
  <c r="G1953" i="28"/>
  <c r="H1953" i="28"/>
  <c r="Z1958" i="28"/>
  <c r="X1958" i="28"/>
  <c r="V1958" i="28"/>
  <c r="R1958" i="28"/>
  <c r="P1958" i="28"/>
  <c r="N1958" i="28"/>
  <c r="I1953" i="28"/>
  <c r="I1952" i="28"/>
  <c r="I1951" i="28"/>
  <c r="I1950" i="28"/>
  <c r="I1949" i="28"/>
  <c r="I1948" i="28"/>
  <c r="I1947" i="28"/>
  <c r="I1946" i="28"/>
  <c r="I1945" i="28"/>
  <c r="G1945" i="28"/>
  <c r="F1945" i="28"/>
  <c r="I1944" i="28"/>
  <c r="I1943" i="28"/>
  <c r="I1942" i="28"/>
  <c r="I1941" i="28"/>
  <c r="I1940" i="28"/>
  <c r="I1939" i="28"/>
  <c r="I1938" i="28"/>
  <c r="I1937" i="28"/>
  <c r="I1935" i="28"/>
  <c r="I1934" i="28"/>
  <c r="I1933" i="28"/>
  <c r="I110" i="28"/>
  <c r="I111" i="29" s="1"/>
  <c r="I1635" i="28"/>
  <c r="I1637" i="28"/>
  <c r="J110" i="28"/>
  <c r="J1637" i="28"/>
  <c r="I1628" i="28"/>
  <c r="I1622" i="28"/>
  <c r="I1612" i="28"/>
  <c r="I1609" i="28"/>
  <c r="I1606" i="28"/>
  <c r="I1603" i="28"/>
  <c r="I1587" i="28"/>
  <c r="I1573" i="28"/>
  <c r="I1567" i="28"/>
  <c r="L1563" i="28"/>
  <c r="I1554" i="28"/>
  <c r="I1551" i="28"/>
  <c r="I1548" i="28"/>
  <c r="G1548" i="28"/>
  <c r="F1548" i="28"/>
  <c r="L1545" i="28"/>
  <c r="L1544" i="28"/>
  <c r="I1535" i="28"/>
  <c r="I1529" i="28"/>
  <c r="I1521" i="28"/>
  <c r="I1519" i="28"/>
  <c r="I1517" i="28"/>
  <c r="I1515" i="28"/>
  <c r="I1510" i="28"/>
  <c r="I1508" i="28"/>
  <c r="I1506" i="28"/>
  <c r="I1504" i="28"/>
  <c r="I1502" i="28"/>
  <c r="I1497" i="28"/>
  <c r="I1495" i="28"/>
  <c r="I1493" i="28"/>
  <c r="I1491" i="28"/>
  <c r="I1489" i="28"/>
  <c r="I1487" i="28"/>
  <c r="I1479" i="28"/>
  <c r="I1473" i="28"/>
  <c r="I1468" i="28"/>
  <c r="I1466" i="28"/>
  <c r="I1461" i="28"/>
  <c r="I1459" i="28"/>
  <c r="I1457" i="28"/>
  <c r="I1448" i="28"/>
  <c r="I1442" i="28"/>
  <c r="I1439" i="28"/>
  <c r="I1438" i="28"/>
  <c r="I1437" i="28"/>
  <c r="I1433" i="28"/>
  <c r="I1432" i="28"/>
  <c r="I1431" i="28"/>
  <c r="I1430" i="28"/>
  <c r="I1426" i="28"/>
  <c r="I1425" i="28"/>
  <c r="G1425" i="28"/>
  <c r="F1425" i="28"/>
  <c r="I1421" i="28"/>
  <c r="I1420" i="28"/>
  <c r="I1419" i="28"/>
  <c r="I1418" i="28"/>
  <c r="I1417" i="28"/>
  <c r="I1416" i="28"/>
  <c r="I1415" i="28"/>
  <c r="I1411" i="28"/>
  <c r="I1410" i="28"/>
  <c r="I1406" i="28"/>
  <c r="I1405" i="28"/>
  <c r="I1404" i="28"/>
  <c r="I1403" i="28"/>
  <c r="I1402" i="28"/>
  <c r="I1398" i="28"/>
  <c r="I1397" i="28"/>
  <c r="I1393" i="28"/>
  <c r="I1392" i="28"/>
  <c r="I1388" i="28"/>
  <c r="I1384" i="28"/>
  <c r="I1380" i="28"/>
  <c r="I1376" i="28"/>
  <c r="I1375" i="28"/>
  <c r="I1371" i="28"/>
  <c r="I1370" i="28"/>
  <c r="I1369" i="28"/>
  <c r="I1368" i="28"/>
  <c r="I1364" i="28"/>
  <c r="I1363" i="28"/>
  <c r="I1362" i="28"/>
  <c r="I1361" i="28"/>
  <c r="I1360" i="28"/>
  <c r="I1359" i="28"/>
  <c r="I1358" i="28"/>
  <c r="I1357" i="28"/>
  <c r="I1356" i="28"/>
  <c r="I1355" i="28"/>
  <c r="I1354" i="28"/>
  <c r="I1353" i="28"/>
  <c r="I1352" i="28"/>
  <c r="I1351" i="28"/>
  <c r="I1350" i="28"/>
  <c r="I1349" i="28"/>
  <c r="I1348" i="28"/>
  <c r="I1344" i="28"/>
  <c r="I1343" i="28"/>
  <c r="I1342" i="28"/>
  <c r="I1341" i="28"/>
  <c r="I1340" i="28"/>
  <c r="I1339" i="28"/>
  <c r="I1338" i="28"/>
  <c r="I1337" i="28"/>
  <c r="I1336" i="28"/>
  <c r="I1335" i="28"/>
  <c r="I1334" i="28"/>
  <c r="I1333" i="28"/>
  <c r="I1332" i="28"/>
  <c r="I1331" i="28"/>
  <c r="I1330" i="28"/>
  <c r="I1329" i="28"/>
  <c r="I1328" i="28"/>
  <c r="I1324" i="28"/>
  <c r="I1323" i="28"/>
  <c r="I1322" i="28"/>
  <c r="I1321" i="28"/>
  <c r="I1320" i="28"/>
  <c r="I1319" i="28"/>
  <c r="I1318" i="28"/>
  <c r="I1310" i="28"/>
  <c r="I1307" i="28"/>
  <c r="I1304" i="28"/>
  <c r="I1301" i="28"/>
  <c r="I1298" i="28"/>
  <c r="I1295" i="28"/>
  <c r="I1292" i="28"/>
  <c r="I1289" i="28"/>
  <c r="I1286" i="28"/>
  <c r="I1283" i="28"/>
  <c r="I1277" i="28"/>
  <c r="I1274" i="28"/>
  <c r="I1271" i="28"/>
  <c r="I1268" i="28"/>
  <c r="I1265" i="28"/>
  <c r="I1262" i="28"/>
  <c r="I1259" i="28"/>
  <c r="I1256" i="28"/>
  <c r="I1253" i="28"/>
  <c r="I1247" i="28"/>
  <c r="I1244" i="28"/>
  <c r="I1242" i="28"/>
  <c r="I1241" i="28"/>
  <c r="I1240" i="28"/>
  <c r="I1235" i="28"/>
  <c r="I1232" i="28"/>
  <c r="I1229" i="28"/>
  <c r="I1226" i="28"/>
  <c r="I1224" i="28"/>
  <c r="I1223" i="28"/>
  <c r="I1222" i="28"/>
  <c r="I1221" i="28"/>
  <c r="I1220" i="28"/>
  <c r="I1219" i="28"/>
  <c r="I1215" i="28"/>
  <c r="I1214" i="28"/>
  <c r="I1213" i="28"/>
  <c r="I1212" i="28"/>
  <c r="I1208" i="28"/>
  <c r="I1207" i="28"/>
  <c r="I1206" i="28"/>
  <c r="I1205" i="28"/>
  <c r="F1205" i="28"/>
  <c r="I1204" i="28"/>
  <c r="F1204" i="28"/>
  <c r="I1203" i="28"/>
  <c r="I1202" i="28"/>
  <c r="F1202" i="28"/>
  <c r="I1201" i="28"/>
  <c r="F1201" i="28"/>
  <c r="I1197" i="28"/>
  <c r="I1196" i="28"/>
  <c r="I1195" i="28"/>
  <c r="I1191" i="28"/>
  <c r="I1190" i="28"/>
  <c r="I1189" i="28"/>
  <c r="I1188" i="28"/>
  <c r="I1187" i="28"/>
  <c r="I1186" i="28"/>
  <c r="I1182" i="28"/>
  <c r="I1178" i="28"/>
  <c r="I1177" i="28"/>
  <c r="I1176" i="28"/>
  <c r="I1175" i="28"/>
  <c r="I1174" i="28"/>
  <c r="I1173" i="28"/>
  <c r="I1169" i="28"/>
  <c r="I1168" i="28"/>
  <c r="I1167" i="28"/>
  <c r="I1166" i="28"/>
  <c r="I1165" i="28"/>
  <c r="I1164" i="28"/>
  <c r="I1163" i="28"/>
  <c r="I1162" i="28"/>
  <c r="I1161" i="28"/>
  <c r="I1160" i="28"/>
  <c r="I1159" i="28"/>
  <c r="I1158" i="28"/>
  <c r="I1154" i="28"/>
  <c r="I1153" i="28"/>
  <c r="I1151" i="28"/>
  <c r="I1150" i="28"/>
  <c r="I1149" i="28"/>
  <c r="I1148" i="28"/>
  <c r="I1147" i="28"/>
  <c r="I1146" i="28"/>
  <c r="I1145" i="28"/>
  <c r="I1144" i="28"/>
  <c r="I1143" i="28"/>
  <c r="I1139" i="28"/>
  <c r="I1138" i="28"/>
  <c r="I1137" i="28"/>
  <c r="I1136" i="28"/>
  <c r="I1135" i="28"/>
  <c r="I1134" i="28"/>
  <c r="I1133" i="28"/>
  <c r="I1132" i="28"/>
  <c r="I1131" i="28"/>
  <c r="I1130" i="28"/>
  <c r="I1129" i="28"/>
  <c r="I1128" i="28"/>
  <c r="AI1082" i="28"/>
  <c r="AI1086" i="28"/>
  <c r="AI1087" i="28"/>
  <c r="AI1088" i="28"/>
  <c r="AI1089" i="28"/>
  <c r="AI1093" i="28"/>
  <c r="AI1094" i="28"/>
  <c r="AI1095" i="28"/>
  <c r="AI1096" i="28"/>
  <c r="AI1100" i="28"/>
  <c r="AI1101" i="28"/>
  <c r="AI1102" i="28"/>
  <c r="AI1103" i="28"/>
  <c r="AI1107" i="28"/>
  <c r="AI1108" i="28"/>
  <c r="AI1109" i="28"/>
  <c r="AI1110" i="28"/>
  <c r="AI1114" i="28"/>
  <c r="AI1115" i="28"/>
  <c r="AI1116" i="28"/>
  <c r="AH1117" i="28"/>
  <c r="AI1117" i="28" s="1"/>
  <c r="AI1126" i="28" s="1"/>
  <c r="AI1121" i="28"/>
  <c r="AI1122" i="28"/>
  <c r="AI1123" i="28"/>
  <c r="AI1124" i="28"/>
  <c r="I1082" i="28"/>
  <c r="I1100" i="28"/>
  <c r="I1101" i="28"/>
  <c r="I1102" i="28"/>
  <c r="I1103" i="28"/>
  <c r="I1107" i="28"/>
  <c r="I1108" i="28"/>
  <c r="I1109" i="28"/>
  <c r="I1110" i="28"/>
  <c r="I1068" i="28"/>
  <c r="I1069" i="28"/>
  <c r="I1070" i="28"/>
  <c r="I1071" i="28"/>
  <c r="I1072" i="28"/>
  <c r="I1081" i="28"/>
  <c r="I1080" i="28"/>
  <c r="I1079" i="28"/>
  <c r="I1075" i="28"/>
  <c r="I1074" i="28"/>
  <c r="I1073" i="28"/>
  <c r="I1059" i="28"/>
  <c r="I1058" i="28"/>
  <c r="I1057" i="28"/>
  <c r="I1056" i="28"/>
  <c r="I1055" i="28"/>
  <c r="I1054" i="28"/>
  <c r="I1053" i="28"/>
  <c r="I1052" i="28"/>
  <c r="I1051" i="28"/>
  <c r="I1048" i="28"/>
  <c r="I1047" i="28"/>
  <c r="I1046" i="28"/>
  <c r="I1045" i="28"/>
  <c r="I1044" i="28"/>
  <c r="I1043" i="28"/>
  <c r="I1040" i="28"/>
  <c r="I1039" i="28"/>
  <c r="I1038" i="28"/>
  <c r="I1037" i="28"/>
  <c r="I1036" i="28"/>
  <c r="I1035" i="28"/>
  <c r="I1031" i="28"/>
  <c r="I1030" i="28"/>
  <c r="I1029" i="28"/>
  <c r="I1028" i="28"/>
  <c r="I1025" i="28"/>
  <c r="I1024" i="28"/>
  <c r="I1023" i="28"/>
  <c r="I1022" i="28"/>
  <c r="I1019" i="28"/>
  <c r="I1018" i="28"/>
  <c r="I1017" i="28"/>
  <c r="I1016" i="28"/>
  <c r="I1015" i="28"/>
  <c r="I1014" i="28"/>
  <c r="I1013" i="28"/>
  <c r="I1012" i="28"/>
  <c r="I1009" i="28"/>
  <c r="I1008" i="28"/>
  <c r="I1007" i="28"/>
  <c r="I1006" i="28"/>
  <c r="I1005" i="28"/>
  <c r="I1004" i="28"/>
  <c r="I1003" i="28"/>
  <c r="I1000" i="28"/>
  <c r="I999" i="28"/>
  <c r="I998" i="28"/>
  <c r="I997" i="28"/>
  <c r="I996" i="28"/>
  <c r="I995" i="28"/>
  <c r="I994" i="28"/>
  <c r="I993" i="28"/>
  <c r="I992" i="28"/>
  <c r="I988" i="28"/>
  <c r="I987" i="28"/>
  <c r="I986" i="28"/>
  <c r="I985" i="28"/>
  <c r="I984" i="28"/>
  <c r="I983" i="28"/>
  <c r="I982" i="28"/>
  <c r="I981" i="28"/>
  <c r="I980" i="28"/>
  <c r="I976" i="28"/>
  <c r="I975" i="28"/>
  <c r="I974" i="28"/>
  <c r="I973" i="28"/>
  <c r="I972" i="28"/>
  <c r="I971" i="28"/>
  <c r="I970" i="28"/>
  <c r="I969" i="28"/>
  <c r="I968" i="28"/>
  <c r="I967" i="28"/>
  <c r="I963" i="28"/>
  <c r="I962" i="28"/>
  <c r="I961" i="28"/>
  <c r="I960" i="28"/>
  <c r="I959" i="28"/>
  <c r="I958" i="28"/>
  <c r="I957" i="28"/>
  <c r="I956" i="28"/>
  <c r="I955" i="28"/>
  <c r="I954" i="28"/>
  <c r="I953" i="28"/>
  <c r="I952" i="28"/>
  <c r="I949" i="28"/>
  <c r="I946" i="28"/>
  <c r="I942" i="28"/>
  <c r="I941" i="28"/>
  <c r="I940" i="28"/>
  <c r="I939" i="28"/>
  <c r="I938" i="28"/>
  <c r="I937" i="28"/>
  <c r="I936" i="28"/>
  <c r="I935" i="28"/>
  <c r="I934" i="28"/>
  <c r="I933" i="28"/>
  <c r="I932" i="28"/>
  <c r="I931" i="28"/>
  <c r="I928" i="28"/>
  <c r="I927" i="28"/>
  <c r="I926" i="28"/>
  <c r="I925" i="28"/>
  <c r="I924" i="28"/>
  <c r="I923" i="28"/>
  <c r="I922" i="28"/>
  <c r="I921" i="28"/>
  <c r="I920" i="28"/>
  <c r="I919" i="28"/>
  <c r="I916" i="28"/>
  <c r="I915" i="28"/>
  <c r="I914" i="28"/>
  <c r="I913" i="28"/>
  <c r="I910" i="28"/>
  <c r="I909" i="28"/>
  <c r="I908" i="28"/>
  <c r="I907" i="28"/>
  <c r="I906" i="28"/>
  <c r="I905" i="28"/>
  <c r="I904" i="28"/>
  <c r="I903" i="28"/>
  <c r="I902" i="28"/>
  <c r="I901" i="28"/>
  <c r="I900" i="28"/>
  <c r="I897" i="28"/>
  <c r="I896" i="28"/>
  <c r="I895" i="28"/>
  <c r="I894" i="28"/>
  <c r="I893" i="28"/>
  <c r="I892" i="28"/>
  <c r="I891" i="28"/>
  <c r="I890" i="28"/>
  <c r="I887" i="28"/>
  <c r="I886" i="28"/>
  <c r="I885" i="28"/>
  <c r="I884" i="28"/>
  <c r="I883" i="28"/>
  <c r="I882" i="28"/>
  <c r="I881" i="28"/>
  <c r="I880" i="28"/>
  <c r="I877" i="28"/>
  <c r="I876" i="28"/>
  <c r="I875" i="28"/>
  <c r="I874" i="28"/>
  <c r="I873" i="28"/>
  <c r="I872" i="28"/>
  <c r="I869" i="28"/>
  <c r="I868" i="28"/>
  <c r="I867" i="28"/>
  <c r="I866" i="28"/>
  <c r="I865" i="28"/>
  <c r="I864" i="28"/>
  <c r="I863" i="28"/>
  <c r="I862" i="28"/>
  <c r="I861" i="28"/>
  <c r="I858" i="28"/>
  <c r="I857" i="28"/>
  <c r="I856" i="28"/>
  <c r="I855" i="28"/>
  <c r="I854" i="28"/>
  <c r="I853" i="28"/>
  <c r="I852" i="28"/>
  <c r="I849" i="28"/>
  <c r="I848" i="28"/>
  <c r="I847" i="28"/>
  <c r="I846" i="28"/>
  <c r="I845" i="28"/>
  <c r="I844" i="28"/>
  <c r="I843" i="28"/>
  <c r="I842" i="28"/>
  <c r="I841" i="28"/>
  <c r="I838" i="28"/>
  <c r="I837" i="28"/>
  <c r="G837" i="28"/>
  <c r="F837" i="28"/>
  <c r="I836" i="28"/>
  <c r="G836" i="28"/>
  <c r="F836" i="28"/>
  <c r="I835" i="28"/>
  <c r="G835" i="28"/>
  <c r="F835" i="28"/>
  <c r="I834" i="28"/>
  <c r="G834" i="28"/>
  <c r="F834" i="28"/>
  <c r="I833" i="28"/>
  <c r="G833" i="28"/>
  <c r="F833" i="28"/>
  <c r="I832" i="28"/>
  <c r="G832" i="28"/>
  <c r="F832" i="28"/>
  <c r="I831" i="28"/>
  <c r="G831" i="28"/>
  <c r="F831" i="28"/>
  <c r="I830" i="28"/>
  <c r="G830" i="28"/>
  <c r="F830" i="28"/>
  <c r="I829" i="28"/>
  <c r="G829" i="28"/>
  <c r="F829" i="28"/>
  <c r="I828" i="28"/>
  <c r="G828" i="28"/>
  <c r="F828" i="28"/>
  <c r="I827" i="28"/>
  <c r="G827" i="28"/>
  <c r="F827" i="28"/>
  <c r="I826" i="28"/>
  <c r="G826" i="28"/>
  <c r="F826" i="28"/>
  <c r="I825" i="28"/>
  <c r="G825" i="28"/>
  <c r="F825" i="28"/>
  <c r="I824" i="28"/>
  <c r="G824" i="28"/>
  <c r="F824" i="28"/>
  <c r="I823" i="28"/>
  <c r="G823" i="28"/>
  <c r="F823" i="28"/>
  <c r="I822" i="28"/>
  <c r="G822" i="28"/>
  <c r="F822" i="28"/>
  <c r="I821" i="28"/>
  <c r="G821" i="28"/>
  <c r="F821" i="28"/>
  <c r="I820" i="28"/>
  <c r="G820" i="28"/>
  <c r="F820" i="28"/>
  <c r="I819" i="28"/>
  <c r="G819" i="28"/>
  <c r="F819" i="28"/>
  <c r="I818" i="28"/>
  <c r="G818" i="28"/>
  <c r="F818" i="28"/>
  <c r="I817" i="28"/>
  <c r="G817" i="28"/>
  <c r="F817" i="28"/>
  <c r="I816" i="28"/>
  <c r="G816" i="28"/>
  <c r="F816" i="28"/>
  <c r="I815" i="28"/>
  <c r="G815" i="28"/>
  <c r="F815" i="28"/>
  <c r="I814" i="28"/>
  <c r="G814" i="28"/>
  <c r="F814" i="28"/>
  <c r="I813" i="28"/>
  <c r="G813" i="28"/>
  <c r="F813" i="28"/>
  <c r="I812" i="28"/>
  <c r="G812" i="28"/>
  <c r="F812" i="28"/>
  <c r="I811" i="28"/>
  <c r="G811" i="28"/>
  <c r="F811" i="28"/>
  <c r="I810" i="28"/>
  <c r="G810" i="28"/>
  <c r="F810" i="28"/>
  <c r="I809" i="28"/>
  <c r="G809" i="28"/>
  <c r="F809" i="28"/>
  <c r="I808" i="28"/>
  <c r="G808" i="28"/>
  <c r="F808" i="28"/>
  <c r="I807" i="28"/>
  <c r="G807" i="28"/>
  <c r="F807" i="28"/>
  <c r="I806" i="28"/>
  <c r="G806" i="28"/>
  <c r="F806" i="28"/>
  <c r="I805" i="28"/>
  <c r="G805" i="28"/>
  <c r="F805" i="28"/>
  <c r="I804" i="28"/>
  <c r="G804" i="28"/>
  <c r="F804" i="28"/>
  <c r="I803" i="28"/>
  <c r="G803" i="28"/>
  <c r="F803" i="28"/>
  <c r="I802" i="28"/>
  <c r="G802" i="28"/>
  <c r="F802" i="28"/>
  <c r="I801" i="28"/>
  <c r="G801" i="28"/>
  <c r="F801" i="28"/>
  <c r="I800" i="28"/>
  <c r="G800" i="28"/>
  <c r="F800" i="28"/>
  <c r="I799" i="28"/>
  <c r="G799" i="28"/>
  <c r="F799" i="28"/>
  <c r="I798" i="28"/>
  <c r="G798" i="28"/>
  <c r="F798" i="28"/>
  <c r="I797" i="28"/>
  <c r="G797" i="28"/>
  <c r="F797" i="28"/>
  <c r="I796" i="28"/>
  <c r="G796" i="28"/>
  <c r="F796" i="28"/>
  <c r="I795" i="28"/>
  <c r="G795" i="28"/>
  <c r="F795" i="28"/>
  <c r="I794" i="28"/>
  <c r="G794" i="28"/>
  <c r="F794" i="28"/>
  <c r="I793" i="28"/>
  <c r="G793" i="28"/>
  <c r="F793" i="28"/>
  <c r="I792" i="28"/>
  <c r="G792" i="28"/>
  <c r="F792" i="28"/>
  <c r="I791" i="28"/>
  <c r="G791" i="28"/>
  <c r="F791" i="28"/>
  <c r="I790" i="28"/>
  <c r="G790" i="28"/>
  <c r="F790" i="28"/>
  <c r="I789" i="28"/>
  <c r="G789" i="28"/>
  <c r="F789" i="28"/>
  <c r="I788" i="28"/>
  <c r="G788" i="28"/>
  <c r="F788" i="28"/>
  <c r="I787" i="28"/>
  <c r="G787" i="28"/>
  <c r="F787" i="28"/>
  <c r="I786" i="28"/>
  <c r="G786" i="28"/>
  <c r="F786" i="28"/>
  <c r="I785" i="28"/>
  <c r="G785" i="28"/>
  <c r="F785" i="28"/>
  <c r="I784" i="28"/>
  <c r="G784" i="28"/>
  <c r="F784" i="28"/>
  <c r="I783" i="28"/>
  <c r="G783" i="28"/>
  <c r="F783" i="28"/>
  <c r="I782" i="28"/>
  <c r="G782" i="28"/>
  <c r="F782" i="28"/>
  <c r="I781" i="28"/>
  <c r="G781" i="28"/>
  <c r="F781" i="28"/>
  <c r="I780" i="28"/>
  <c r="G780" i="28"/>
  <c r="F780" i="28"/>
  <c r="I779" i="28"/>
  <c r="G779" i="28"/>
  <c r="F779" i="28"/>
  <c r="I778" i="28"/>
  <c r="G778" i="28"/>
  <c r="F778" i="28"/>
  <c r="I777" i="28"/>
  <c r="G777" i="28"/>
  <c r="F777" i="28"/>
  <c r="I776" i="28"/>
  <c r="G776" i="28"/>
  <c r="F776" i="28"/>
  <c r="I775" i="28"/>
  <c r="G775" i="28"/>
  <c r="F775" i="28"/>
  <c r="I774" i="28"/>
  <c r="G774" i="28"/>
  <c r="F774" i="28"/>
  <c r="I773" i="28"/>
  <c r="G773" i="28"/>
  <c r="F773" i="28"/>
  <c r="I772" i="28"/>
  <c r="G772" i="28"/>
  <c r="F772" i="28"/>
  <c r="I771" i="28"/>
  <c r="G771" i="28"/>
  <c r="F771" i="28"/>
  <c r="I770" i="28"/>
  <c r="G770" i="28"/>
  <c r="F770" i="28"/>
  <c r="I769" i="28"/>
  <c r="G769" i="28"/>
  <c r="F769" i="28"/>
  <c r="I768" i="28"/>
  <c r="G768" i="28"/>
  <c r="F768" i="28"/>
  <c r="I767" i="28"/>
  <c r="G767" i="28"/>
  <c r="F767" i="28"/>
  <c r="I766" i="28"/>
  <c r="G766" i="28"/>
  <c r="F766" i="28"/>
  <c r="I755" i="28"/>
  <c r="I754" i="28"/>
  <c r="I753" i="28"/>
  <c r="I752" i="28"/>
  <c r="I751" i="28"/>
  <c r="I750" i="28"/>
  <c r="I749" i="28"/>
  <c r="I748" i="28"/>
  <c r="I747" i="28"/>
  <c r="I746" i="28"/>
  <c r="I745" i="28"/>
  <c r="I744" i="28"/>
  <c r="I743" i="28"/>
  <c r="I740" i="28"/>
  <c r="I739" i="28"/>
  <c r="I738" i="28"/>
  <c r="I735" i="28"/>
  <c r="I734" i="28"/>
  <c r="I733" i="28"/>
  <c r="I732" i="28"/>
  <c r="I731" i="28"/>
  <c r="I730" i="28"/>
  <c r="I729" i="28"/>
  <c r="I728" i="28"/>
  <c r="I727" i="28"/>
  <c r="I726" i="28"/>
  <c r="I725" i="28"/>
  <c r="I724" i="28"/>
  <c r="I723" i="28"/>
  <c r="I720" i="28"/>
  <c r="I719" i="28"/>
  <c r="I718" i="28"/>
  <c r="I717" i="28"/>
  <c r="I716" i="28"/>
  <c r="I715" i="28"/>
  <c r="I714" i="28"/>
  <c r="I713" i="28"/>
  <c r="I712" i="28"/>
  <c r="I711" i="28"/>
  <c r="I708" i="28"/>
  <c r="I703" i="28"/>
  <c r="I702" i="28"/>
  <c r="I701" i="28"/>
  <c r="I697" i="28"/>
  <c r="I696" i="28"/>
  <c r="I695" i="28"/>
  <c r="I690" i="28"/>
  <c r="I687" i="28"/>
  <c r="I684" i="28"/>
  <c r="I679" i="28"/>
  <c r="I676" i="28"/>
  <c r="I663" i="28"/>
  <c r="I656" i="28"/>
  <c r="I654" i="28"/>
  <c r="I644" i="28"/>
  <c r="I642" i="28"/>
  <c r="G642" i="28"/>
  <c r="F642" i="28"/>
  <c r="I634" i="28"/>
  <c r="I626" i="28"/>
  <c r="I623" i="28"/>
  <c r="I620" i="28"/>
  <c r="I617" i="28"/>
  <c r="I614" i="28"/>
  <c r="I611" i="28"/>
  <c r="I602" i="28"/>
  <c r="I582" i="28"/>
  <c r="I580" i="28"/>
  <c r="I573" i="28"/>
  <c r="I567" i="28"/>
  <c r="G567" i="28"/>
  <c r="F567" i="28"/>
  <c r="I562" i="28"/>
  <c r="G562" i="28"/>
  <c r="F562" i="28"/>
  <c r="I556" i="28"/>
  <c r="I550" i="28"/>
  <c r="I547" i="28"/>
  <c r="I544" i="28"/>
  <c r="I541" i="28"/>
  <c r="I532" i="28"/>
  <c r="I529" i="28"/>
  <c r="I526" i="28"/>
  <c r="I523" i="28"/>
  <c r="G523" i="28"/>
  <c r="F523" i="28"/>
  <c r="I521" i="28"/>
  <c r="I513" i="28"/>
  <c r="I510" i="28"/>
  <c r="I507" i="28"/>
  <c r="I504" i="28"/>
  <c r="I501" i="28"/>
  <c r="I498" i="28"/>
  <c r="I492" i="28"/>
  <c r="I483" i="28"/>
  <c r="I480" i="28"/>
  <c r="I477" i="28"/>
  <c r="I474" i="28"/>
  <c r="I471" i="28"/>
  <c r="I469" i="28"/>
  <c r="I463" i="28"/>
  <c r="L460" i="28"/>
  <c r="L459" i="28"/>
  <c r="L450" i="28"/>
  <c r="L449" i="28"/>
  <c r="I440" i="28"/>
  <c r="I434" i="28"/>
  <c r="I418" i="28"/>
  <c r="L417" i="28"/>
  <c r="L416" i="28"/>
  <c r="L415" i="28"/>
  <c r="L414" i="28"/>
  <c r="L413" i="28"/>
  <c r="L412" i="28"/>
  <c r="L407" i="28"/>
  <c r="L406" i="28"/>
  <c r="I397" i="28"/>
  <c r="L394" i="28"/>
  <c r="L385" i="28"/>
  <c r="L384" i="28"/>
  <c r="I363" i="28"/>
  <c r="I360" i="28"/>
  <c r="I357" i="28"/>
  <c r="I354" i="28"/>
  <c r="I351" i="28"/>
  <c r="I348" i="28"/>
  <c r="I345" i="28"/>
  <c r="I339" i="28"/>
  <c r="I336" i="28"/>
  <c r="I330" i="28"/>
  <c r="I327" i="28"/>
  <c r="I324" i="28"/>
  <c r="I321" i="28"/>
  <c r="L318" i="28"/>
  <c r="L317" i="28"/>
  <c r="L306" i="28"/>
  <c r="L305" i="28"/>
  <c r="I294" i="28"/>
  <c r="I291" i="28"/>
  <c r="L288" i="28"/>
  <c r="L287" i="28"/>
  <c r="I275" i="28"/>
  <c r="L253" i="28"/>
  <c r="L252" i="28"/>
  <c r="L242" i="28"/>
  <c r="L241" i="28"/>
  <c r="I230" i="28"/>
  <c r="I227" i="28"/>
  <c r="I224" i="28"/>
  <c r="I221" i="28"/>
  <c r="I219" i="28"/>
  <c r="I188" i="28"/>
  <c r="I185" i="28"/>
  <c r="I182" i="28"/>
  <c r="I179" i="28"/>
  <c r="I176" i="28"/>
  <c r="I173" i="28"/>
  <c r="I170" i="28"/>
  <c r="I164" i="28"/>
  <c r="I161" i="28"/>
  <c r="I158" i="28"/>
  <c r="I155" i="28"/>
  <c r="I152" i="28"/>
  <c r="I149" i="28"/>
  <c r="I146" i="28"/>
  <c r="I143" i="28"/>
  <c r="I134" i="28"/>
  <c r="I129" i="28"/>
  <c r="I126" i="28"/>
  <c r="I123" i="28"/>
  <c r="I120" i="28"/>
  <c r="I117" i="28"/>
  <c r="I114" i="28"/>
  <c r="I104" i="28"/>
  <c r="I102" i="28"/>
  <c r="I101" i="28"/>
  <c r="I100" i="28"/>
  <c r="I98" i="28"/>
  <c r="I96" i="28"/>
  <c r="I95" i="28"/>
  <c r="I93" i="28"/>
  <c r="I91" i="28"/>
  <c r="I90" i="28"/>
  <c r="I87" i="28"/>
  <c r="I86" i="28"/>
  <c r="I85" i="28"/>
  <c r="I84" i="28"/>
  <c r="I81" i="28"/>
  <c r="I79" i="28"/>
  <c r="I77" i="28"/>
  <c r="I75" i="28"/>
  <c r="I73" i="28"/>
  <c r="I71" i="28"/>
  <c r="I69" i="28"/>
  <c r="I68" i="28"/>
  <c r="I66" i="28"/>
  <c r="I65" i="28"/>
  <c r="I64" i="28"/>
  <c r="I61" i="28"/>
  <c r="I60" i="28"/>
  <c r="I59" i="28"/>
  <c r="I58" i="28"/>
  <c r="I57" i="28"/>
  <c r="I55" i="28"/>
  <c r="I53" i="28"/>
  <c r="I52" i="28"/>
  <c r="I49" i="28"/>
  <c r="I47" i="28"/>
  <c r="I46" i="28"/>
  <c r="I45" i="28"/>
  <c r="I44" i="28"/>
  <c r="I43" i="28"/>
  <c r="I40" i="28"/>
  <c r="I37" i="28"/>
  <c r="I36" i="28"/>
  <c r="I34" i="28"/>
  <c r="I31" i="28"/>
  <c r="I30" i="28"/>
  <c r="I29" i="28"/>
  <c r="I26" i="28"/>
  <c r="I25" i="28"/>
  <c r="I24" i="28"/>
  <c r="I23" i="28"/>
  <c r="I22" i="28"/>
  <c r="I20" i="28"/>
  <c r="I19" i="28"/>
  <c r="I18" i="28"/>
  <c r="I17" i="28"/>
  <c r="F248" i="18"/>
  <c r="F245" i="18"/>
  <c r="F246" i="18" s="1"/>
  <c r="F243" i="18"/>
  <c r="F233" i="18"/>
  <c r="E234" i="18"/>
  <c r="F234" i="18" s="1"/>
  <c r="F235" i="18"/>
  <c r="F237" i="18"/>
  <c r="E238" i="18"/>
  <c r="F238" i="18" s="1"/>
  <c r="E239" i="18"/>
  <c r="F239" i="18" s="1"/>
  <c r="F230" i="18"/>
  <c r="F227" i="18"/>
  <c r="F228" i="18"/>
  <c r="F229" i="18" s="1"/>
  <c r="F225" i="18"/>
  <c r="F217" i="18"/>
  <c r="F214" i="18"/>
  <c r="F215" i="18" s="1"/>
  <c r="F196" i="18"/>
  <c r="F200" i="18" s="1"/>
  <c r="F207" i="18" s="1"/>
  <c r="F14" i="18"/>
  <c r="F28" i="18"/>
  <c r="F43" i="18"/>
  <c r="F57" i="18"/>
  <c r="F80" i="18"/>
  <c r="F94" i="18"/>
  <c r="E117" i="18"/>
  <c r="F119" i="18"/>
  <c r="E118" i="18"/>
  <c r="F136" i="18"/>
  <c r="D149" i="18"/>
  <c r="D150" i="18"/>
  <c r="D151" i="18"/>
  <c r="D152" i="18"/>
  <c r="F161" i="18"/>
  <c r="F165" i="18"/>
  <c r="F162" i="18"/>
  <c r="F163" i="18"/>
  <c r="F164" i="18" s="1"/>
  <c r="F125" i="18"/>
  <c r="F127" i="18" s="1"/>
  <c r="F63" i="18"/>
  <c r="F67" i="18"/>
  <c r="F64" i="18"/>
  <c r="F65" i="18"/>
  <c r="F66" i="18" s="1"/>
  <c r="F61" i="18"/>
  <c r="F49" i="18"/>
  <c r="F50" i="18"/>
  <c r="F51" i="18" s="1"/>
  <c r="F52" i="18" s="1"/>
  <c r="F54" i="18" s="1"/>
  <c r="F35" i="18"/>
  <c r="F21" i="18"/>
  <c r="F53" i="18"/>
  <c r="H562" i="28"/>
  <c r="H567" i="28"/>
  <c r="N1926" i="28"/>
  <c r="N1570" i="28"/>
  <c r="I1570" i="28" s="1"/>
  <c r="F254" i="28"/>
  <c r="H254" i="28"/>
  <c r="N254" i="28"/>
  <c r="I1954" i="28"/>
  <c r="Z1695" i="28"/>
  <c r="Y395" i="28"/>
  <c r="Y383" i="28" s="1"/>
  <c r="T1954" i="28"/>
  <c r="T1958" i="28" s="1"/>
  <c r="Z1615" i="28"/>
  <c r="Y1541" i="28"/>
  <c r="Y1540" i="28"/>
  <c r="Y1546" i="28" s="1"/>
  <c r="Z1546" i="28" s="1"/>
  <c r="X243" i="28"/>
  <c r="W273" i="28"/>
  <c r="X273" i="28" s="1"/>
  <c r="W333" i="28"/>
  <c r="W258" i="28"/>
  <c r="W266" i="28"/>
  <c r="X266" i="28" s="1"/>
  <c r="W286" i="28"/>
  <c r="W289" i="28" s="1"/>
  <c r="X289" i="28" s="1"/>
  <c r="W486" i="28"/>
  <c r="X486" i="28"/>
  <c r="W489" i="28"/>
  <c r="X489" i="28"/>
  <c r="V395" i="28"/>
  <c r="U1576" i="28"/>
  <c r="V1576" i="28"/>
  <c r="Y273" i="28"/>
  <c r="Z273" i="28" s="1"/>
  <c r="V386" i="28"/>
  <c r="T1570" i="28"/>
  <c r="T1590" i="28"/>
  <c r="T553" i="28"/>
  <c r="T210" i="28"/>
  <c r="R599" i="28"/>
  <c r="R386" i="28"/>
  <c r="Q278" i="28"/>
  <c r="R278" i="28" s="1"/>
  <c r="Q495" i="28"/>
  <c r="R495" i="28" s="1"/>
  <c r="Q1532" i="28"/>
  <c r="R1532" i="28" s="1"/>
  <c r="V106" i="28"/>
  <c r="T1695" i="28"/>
  <c r="T1313" i="28"/>
  <c r="R1565" i="28"/>
  <c r="R1570" i="28"/>
  <c r="R1280" i="28"/>
  <c r="P1926" i="28"/>
  <c r="S489" i="28"/>
  <c r="T489" i="28"/>
  <c r="S486" i="28"/>
  <c r="T486" i="28"/>
  <c r="S273" i="28"/>
  <c r="T273" i="28"/>
  <c r="Q1576" i="28"/>
  <c r="R1576" i="28" s="1"/>
  <c r="R395" i="28"/>
  <c r="Q243" i="28"/>
  <c r="Q266" i="28" s="1"/>
  <c r="R266" i="28" s="1"/>
  <c r="Q284" i="28"/>
  <c r="Q289" i="28"/>
  <c r="R289" i="28" s="1"/>
  <c r="R106" i="28"/>
  <c r="P599" i="28"/>
  <c r="O495" i="28"/>
  <c r="P495" i="28" s="1"/>
  <c r="O278" i="28"/>
  <c r="P278" i="28" s="1"/>
  <c r="P386" i="28"/>
  <c r="O1532" i="28"/>
  <c r="P1532" i="28" s="1"/>
  <c r="O273" i="28"/>
  <c r="P273" i="28"/>
  <c r="O258" i="28"/>
  <c r="P258" i="28"/>
  <c r="O262" i="28"/>
  <c r="P262" i="28"/>
  <c r="Q258" i="28"/>
  <c r="Q262" i="28" s="1"/>
  <c r="Q273" i="28"/>
  <c r="R273" i="28" s="1"/>
  <c r="Q486" i="28"/>
  <c r="R243" i="28"/>
  <c r="X333" i="28"/>
  <c r="I333" i="28" s="1"/>
  <c r="F333" i="28"/>
  <c r="H333" i="28" s="1"/>
  <c r="I254" i="28"/>
  <c r="V1570" i="28"/>
  <c r="X258" i="28"/>
  <c r="W262" i="28"/>
  <c r="X262" i="28"/>
  <c r="R486" i="28"/>
  <c r="R258" i="28"/>
  <c r="F25" i="18"/>
  <c r="F129" i="18"/>
  <c r="F22" i="18"/>
  <c r="F23" i="18" s="1"/>
  <c r="F126" i="18"/>
  <c r="A23" i="28"/>
  <c r="N1630" i="28"/>
  <c r="H61" i="28"/>
  <c r="H60" i="28"/>
  <c r="H57" i="28"/>
  <c r="H55" i="28"/>
  <c r="H53" i="28"/>
  <c r="H52" i="28"/>
  <c r="H43" i="28"/>
  <c r="H40" i="28"/>
  <c r="H37" i="28"/>
  <c r="H36" i="28"/>
  <c r="H34" i="28"/>
  <c r="H29" i="28"/>
  <c r="H26" i="28"/>
  <c r="H25" i="28"/>
  <c r="H24" i="28"/>
  <c r="M1576" i="28"/>
  <c r="M408" i="28"/>
  <c r="N408" i="28" s="1"/>
  <c r="N395" i="28"/>
  <c r="Z1526" i="28"/>
  <c r="Z243" i="28"/>
  <c r="Y486" i="28"/>
  <c r="Z486" i="28"/>
  <c r="Y489" i="28"/>
  <c r="Z489" i="28"/>
  <c r="Y258" i="28"/>
  <c r="Y266" i="28"/>
  <c r="Z266" i="28" s="1"/>
  <c r="X599" i="28"/>
  <c r="N629" i="28"/>
  <c r="M167" i="28"/>
  <c r="N198" i="28"/>
  <c r="I198" i="28"/>
  <c r="M284" i="28"/>
  <c r="M289" i="28"/>
  <c r="M243" i="28"/>
  <c r="V210" i="28"/>
  <c r="T599" i="28"/>
  <c r="U283" i="28"/>
  <c r="U289" i="28" s="1"/>
  <c r="V289" i="28" s="1"/>
  <c r="Q461" i="28"/>
  <c r="P210" i="28"/>
  <c r="Q451" i="28"/>
  <c r="Q408" i="28"/>
  <c r="R408" i="28" s="1"/>
  <c r="H28" i="28"/>
  <c r="I28" i="28"/>
  <c r="I50" i="28"/>
  <c r="H50" i="28"/>
  <c r="H41" i="28"/>
  <c r="I38" i="28"/>
  <c r="N106" i="28"/>
  <c r="Z106" i="28"/>
  <c r="T106" i="28"/>
  <c r="X106" i="28"/>
  <c r="P106" i="28"/>
  <c r="R451" i="28"/>
  <c r="R461" i="28"/>
  <c r="N289" i="28"/>
  <c r="F167" i="28"/>
  <c r="H167" i="28" s="1"/>
  <c r="N167" i="28"/>
  <c r="I167" i="28" s="1"/>
  <c r="Y1562" i="28"/>
  <c r="Y1565" i="28" s="1"/>
  <c r="Z1565" i="28" s="1"/>
  <c r="Y1543" i="28"/>
  <c r="Y386" i="28"/>
  <c r="Y495" i="28" s="1"/>
  <c r="Z495" i="28" s="1"/>
  <c r="M258" i="28"/>
  <c r="M266" i="28"/>
  <c r="N266" i="28" s="1"/>
  <c r="M489" i="28"/>
  <c r="N243" i="28"/>
  <c r="M486" i="28"/>
  <c r="M273" i="28"/>
  <c r="Z258" i="28"/>
  <c r="Y262" i="28"/>
  <c r="Z262" i="28" s="1"/>
  <c r="N1576" i="28"/>
  <c r="I1630" i="28"/>
  <c r="J1630" i="28"/>
  <c r="A28" i="28"/>
  <c r="J106" i="28"/>
  <c r="Z386" i="28"/>
  <c r="Y278" i="28"/>
  <c r="Z278" i="28" s="1"/>
  <c r="N273" i="28"/>
  <c r="N486" i="28"/>
  <c r="N489" i="28"/>
  <c r="N258" i="28"/>
  <c r="M262" i="28"/>
  <c r="Z1570" i="28"/>
  <c r="F1570" i="28"/>
  <c r="H1570" i="28" s="1"/>
  <c r="N262" i="28"/>
  <c r="A68" i="28"/>
  <c r="A95" i="28"/>
  <c r="A96" i="28"/>
  <c r="A98" i="28" s="1"/>
  <c r="A100" i="28" s="1"/>
  <c r="A101" i="28" s="1"/>
  <c r="A102" i="28" s="1"/>
  <c r="A104" i="28" s="1"/>
  <c r="A110" i="28" s="1"/>
  <c r="A114" i="28" s="1"/>
  <c r="A117" i="28" s="1"/>
  <c r="A120" i="28" s="1"/>
  <c r="A123" i="28"/>
  <c r="A126" i="28" s="1"/>
  <c r="A129" i="28" s="1"/>
  <c r="A132" i="28" s="1"/>
  <c r="A136" i="28" s="1"/>
  <c r="A143" i="28" s="1"/>
  <c r="A146" i="28" s="1"/>
  <c r="A149" i="28" s="1"/>
  <c r="A152" i="28" s="1"/>
  <c r="A155" i="28" s="1"/>
  <c r="A158" i="28" s="1"/>
  <c r="A161" i="28" s="1"/>
  <c r="A164" i="28" s="1"/>
  <c r="A167" i="28" s="1"/>
  <c r="A170" i="28" s="1"/>
  <c r="A173" i="28" s="1"/>
  <c r="A176" i="28" s="1"/>
  <c r="A179" i="28" s="1"/>
  <c r="A182" i="28" s="1"/>
  <c r="A185" i="28" s="1"/>
  <c r="A188" i="28" s="1"/>
  <c r="A191" i="28" s="1"/>
  <c r="A200" i="28" s="1"/>
  <c r="A214" i="28" s="1"/>
  <c r="A221" i="28" s="1"/>
  <c r="A224" i="28" s="1"/>
  <c r="A227" i="28" s="1"/>
  <c r="A230" i="28" s="1"/>
  <c r="A233" i="28" s="1"/>
  <c r="A246" i="28" s="1"/>
  <c r="A256" i="28" s="1"/>
  <c r="A260" i="28" s="1"/>
  <c r="A264" i="28" s="1"/>
  <c r="A268" i="28" s="1"/>
  <c r="A271" i="28" s="1"/>
  <c r="A275" i="28" s="1"/>
  <c r="A278" i="28" s="1"/>
  <c r="A281" i="28" s="1"/>
  <c r="A291" i="28" s="1"/>
  <c r="A294" i="28" s="1"/>
  <c r="A297" i="28" s="1"/>
  <c r="A309" i="28" s="1"/>
  <c r="A321" i="28" s="1"/>
  <c r="A324" i="28" s="1"/>
  <c r="A327" i="28" s="1"/>
  <c r="A330" i="28" s="1"/>
  <c r="A333" i="28" s="1"/>
  <c r="A336" i="28" s="1"/>
  <c r="A339" i="28" s="1"/>
  <c r="A342" i="28" s="1"/>
  <c r="A345" i="28" s="1"/>
  <c r="A348" i="28" s="1"/>
  <c r="A351" i="28" s="1"/>
  <c r="A354" i="28" s="1"/>
  <c r="A357" i="28" s="1"/>
  <c r="A360" i="28" s="1"/>
  <c r="A363" i="28" s="1"/>
  <c r="A366" i="28" s="1"/>
  <c r="A376" i="28" s="1"/>
  <c r="A388" i="28" s="1"/>
  <c r="A397" i="28" s="1"/>
  <c r="A400" i="28" s="1"/>
  <c r="A410" i="28" s="1"/>
  <c r="A420" i="28" s="1"/>
  <c r="A430" i="28" s="1"/>
  <c r="A436" i="28" s="1"/>
  <c r="A440" i="28" s="1"/>
  <c r="A443" i="28" s="1"/>
  <c r="A453" i="28" s="1"/>
  <c r="A463" i="28" s="1"/>
  <c r="A466" i="28" s="1"/>
  <c r="A471" i="28" s="1"/>
  <c r="A474" i="28" s="1"/>
  <c r="A477" i="28" s="1"/>
  <c r="A480" i="28" s="1"/>
  <c r="A483" i="28" s="1"/>
  <c r="A486" i="28" s="1"/>
  <c r="A489" i="28" s="1"/>
  <c r="A492" i="28" s="1"/>
  <c r="A495" i="28" s="1"/>
  <c r="A498" i="28" s="1"/>
  <c r="A501" i="28" s="1"/>
  <c r="A504" i="28" s="1"/>
  <c r="A507" i="28" s="1"/>
  <c r="A510" i="28" s="1"/>
  <c r="A513" i="28" s="1"/>
  <c r="A519" i="28" s="1"/>
  <c r="A523" i="28" s="1"/>
  <c r="A526" i="28" s="1"/>
  <c r="A529" i="28" s="1"/>
  <c r="A532" i="28" s="1"/>
  <c r="A538" i="28" s="1"/>
  <c r="A541" i="28" s="1"/>
  <c r="A544" i="28" s="1"/>
  <c r="A547" i="28" s="1"/>
  <c r="A550" i="28" s="1"/>
  <c r="A556" i="28" s="1"/>
  <c r="A559" i="28" s="1"/>
  <c r="A562" i="28" s="1"/>
  <c r="H1966" i="29" l="1"/>
  <c r="H1948" i="29"/>
  <c r="H1957" i="29"/>
  <c r="H1965" i="29"/>
  <c r="H1949" i="29"/>
  <c r="AI1137" i="29"/>
  <c r="H1959" i="29"/>
  <c r="H1950" i="29"/>
  <c r="H1625" i="29"/>
  <c r="H1540" i="29"/>
  <c r="H1526" i="29"/>
  <c r="H1515" i="29"/>
  <c r="H1504" i="29"/>
  <c r="H1490" i="29"/>
  <c r="H1472" i="29"/>
  <c r="H1453" i="29"/>
  <c r="H1441" i="29"/>
  <c r="H1426" i="29"/>
  <c r="H1409" i="29"/>
  <c r="H1386" i="29"/>
  <c r="H1372" i="29"/>
  <c r="H1364" i="29"/>
  <c r="H1353" i="29"/>
  <c r="H1345" i="29"/>
  <c r="H1334" i="29"/>
  <c r="H1315" i="29"/>
  <c r="H1246" i="29"/>
  <c r="H1226" i="29"/>
  <c r="H1179" i="29"/>
  <c r="H1172" i="29"/>
  <c r="H1142" i="29"/>
  <c r="H1139" i="29"/>
  <c r="H1084" i="29"/>
  <c r="H1050" i="29"/>
  <c r="H1047" i="29"/>
  <c r="H1035" i="29"/>
  <c r="H1005" i="29"/>
  <c r="H983" i="29"/>
  <c r="H964" i="29"/>
  <c r="H939" i="29"/>
  <c r="H579" i="29"/>
  <c r="H574" i="29"/>
  <c r="N1708" i="29"/>
  <c r="N311" i="29"/>
  <c r="F311" i="29"/>
  <c r="I550" i="29"/>
  <c r="N1939" i="29"/>
  <c r="H1963" i="29"/>
  <c r="H1954" i="29"/>
  <c r="H1946" i="29"/>
  <c r="H1614" i="29"/>
  <c r="H1563" i="29"/>
  <c r="H1530" i="29"/>
  <c r="H1519" i="29"/>
  <c r="H1508" i="29"/>
  <c r="H1500" i="29"/>
  <c r="H1479" i="29"/>
  <c r="H1468" i="29"/>
  <c r="H1448" i="29"/>
  <c r="H1430" i="29"/>
  <c r="H1416" i="29"/>
  <c r="H1399" i="29"/>
  <c r="H1379" i="29"/>
  <c r="H1368" i="29"/>
  <c r="H1360" i="29"/>
  <c r="H1349" i="29"/>
  <c r="H1341" i="29"/>
  <c r="H1297" i="29"/>
  <c r="H1285" i="29"/>
  <c r="H1264" i="29"/>
  <c r="H1217" i="29"/>
  <c r="H1207" i="29"/>
  <c r="H1197" i="29"/>
  <c r="H1161" i="29"/>
  <c r="H1158" i="29"/>
  <c r="H1148" i="29"/>
  <c r="H1125" i="29"/>
  <c r="H1112" i="29"/>
  <c r="H1070" i="29"/>
  <c r="H1067" i="29"/>
  <c r="H1058" i="29"/>
  <c r="H1027" i="29"/>
  <c r="H1024" i="29"/>
  <c r="H1015" i="29"/>
  <c r="H994" i="29"/>
  <c r="H972" i="29"/>
  <c r="H949" i="29"/>
  <c r="H931" i="29"/>
  <c r="H1330" i="29"/>
  <c r="H1303" i="29"/>
  <c r="H1276" i="29"/>
  <c r="H1252" i="29"/>
  <c r="H1233" i="29"/>
  <c r="H1219" i="29"/>
  <c r="H1201" i="29"/>
  <c r="H1187" i="29"/>
  <c r="H1176" i="29"/>
  <c r="H1165" i="29"/>
  <c r="H1155" i="29"/>
  <c r="H1144" i="29"/>
  <c r="H1119" i="29"/>
  <c r="H1091" i="29"/>
  <c r="H1064" i="29"/>
  <c r="H1054" i="29"/>
  <c r="H1041" i="29"/>
  <c r="H1029" i="29"/>
  <c r="H1019" i="29"/>
  <c r="H1009" i="29"/>
  <c r="H998" i="29"/>
  <c r="H987" i="29"/>
  <c r="H979" i="29"/>
  <c r="H968" i="29"/>
  <c r="H953" i="29"/>
  <c r="H945" i="29"/>
  <c r="H935" i="29"/>
  <c r="H925" i="29"/>
  <c r="H915" i="29"/>
  <c r="H905" i="29"/>
  <c r="H895" i="29"/>
  <c r="H885" i="29"/>
  <c r="H875" i="29"/>
  <c r="H865" i="29"/>
  <c r="H855" i="29"/>
  <c r="H763" i="29"/>
  <c r="H755" i="29"/>
  <c r="H743" i="29"/>
  <c r="H735" i="29"/>
  <c r="H725" i="29"/>
  <c r="H708" i="29"/>
  <c r="H667" i="29"/>
  <c r="H626" i="29"/>
  <c r="H592" i="29"/>
  <c r="H568" i="29"/>
  <c r="H541" i="29"/>
  <c r="H510" i="29"/>
  <c r="H481" i="29"/>
  <c r="H350" i="29"/>
  <c r="H110" i="29"/>
  <c r="H101" i="29"/>
  <c r="H91" i="29"/>
  <c r="H58" i="29"/>
  <c r="H53" i="29"/>
  <c r="H44" i="29"/>
  <c r="M1589" i="29"/>
  <c r="N1589" i="29" s="1"/>
  <c r="N180" i="29"/>
  <c r="I180" i="29" s="1"/>
  <c r="F180" i="29"/>
  <c r="H180" i="29" s="1"/>
  <c r="Z1939" i="29"/>
  <c r="Z245" i="29"/>
  <c r="Y260" i="29"/>
  <c r="Z260" i="29" s="1"/>
  <c r="X245" i="29"/>
  <c r="W289" i="29"/>
  <c r="W292" i="29" s="1"/>
  <c r="X292" i="29" s="1"/>
  <c r="W501" i="29"/>
  <c r="X501" i="29" s="1"/>
  <c r="W260" i="29"/>
  <c r="X260" i="29" s="1"/>
  <c r="W268" i="29"/>
  <c r="X268" i="29" s="1"/>
  <c r="U1558" i="29"/>
  <c r="V1558" i="29" s="1"/>
  <c r="H1007" i="29"/>
  <c r="H996" i="29"/>
  <c r="H985" i="29"/>
  <c r="H974" i="29"/>
  <c r="H966" i="29"/>
  <c r="H951" i="29"/>
  <c r="H943" i="29"/>
  <c r="H933" i="29"/>
  <c r="H921" i="29"/>
  <c r="H913" i="29"/>
  <c r="H903" i="29"/>
  <c r="H893" i="29"/>
  <c r="H883" i="29"/>
  <c r="H873" i="29"/>
  <c r="H863" i="29"/>
  <c r="H853" i="29"/>
  <c r="H761" i="29"/>
  <c r="H751" i="29"/>
  <c r="H741" i="29"/>
  <c r="H731" i="29"/>
  <c r="H723" i="29"/>
  <c r="H706" i="29"/>
  <c r="H655" i="29"/>
  <c r="H621" i="29"/>
  <c r="H553" i="29"/>
  <c r="H533" i="29"/>
  <c r="H368" i="29"/>
  <c r="H344" i="29"/>
  <c r="H294" i="29"/>
  <c r="H189" i="29"/>
  <c r="H102" i="29"/>
  <c r="H69" i="29"/>
  <c r="H55" i="29"/>
  <c r="H25" i="29"/>
  <c r="N402" i="29"/>
  <c r="H919" i="29"/>
  <c r="H911" i="29"/>
  <c r="H901" i="29"/>
  <c r="H891" i="29"/>
  <c r="H879" i="29"/>
  <c r="H869" i="29"/>
  <c r="H859" i="29"/>
  <c r="H849" i="29"/>
  <c r="H759" i="29"/>
  <c r="H749" i="29"/>
  <c r="H739" i="29"/>
  <c r="H729" i="29"/>
  <c r="H719" i="29"/>
  <c r="H698" i="29"/>
  <c r="H638" i="29"/>
  <c r="H609" i="29"/>
  <c r="H571" i="29"/>
  <c r="H562" i="29"/>
  <c r="H522" i="29"/>
  <c r="H492" i="29"/>
  <c r="H444" i="29"/>
  <c r="H404" i="29"/>
  <c r="H362" i="29"/>
  <c r="H332" i="29"/>
  <c r="N1324" i="29"/>
  <c r="N547" i="29"/>
  <c r="Z1708" i="29"/>
  <c r="P245" i="29"/>
  <c r="O260" i="29"/>
  <c r="O264" i="29" s="1"/>
  <c r="P264" i="29" s="1"/>
  <c r="H90" i="29"/>
  <c r="H43" i="29"/>
  <c r="N641" i="29"/>
  <c r="H183" i="29"/>
  <c r="H147" i="29"/>
  <c r="H117" i="29"/>
  <c r="H96" i="29"/>
  <c r="H86" i="29"/>
  <c r="H73" i="29"/>
  <c r="H60" i="29"/>
  <c r="H49" i="29"/>
  <c r="H38" i="29"/>
  <c r="H28" i="29"/>
  <c r="H18" i="29"/>
  <c r="N1628" i="29"/>
  <c r="N658" i="29"/>
  <c r="Z658" i="29"/>
  <c r="Z641" i="29"/>
  <c r="Z547" i="29"/>
  <c r="X1939" i="29"/>
  <c r="X211" i="29"/>
  <c r="V1939" i="29"/>
  <c r="U1575" i="29"/>
  <c r="U1578" i="29" s="1"/>
  <c r="V1578" i="29" s="1"/>
  <c r="U245" i="29"/>
  <c r="T1291" i="29"/>
  <c r="Q438" i="29"/>
  <c r="Q245" i="29"/>
  <c r="F245" i="29" s="1"/>
  <c r="R222" i="29"/>
  <c r="I222" i="29" s="1"/>
  <c r="L1097" i="29"/>
  <c r="O287" i="29"/>
  <c r="O292" i="29" s="1"/>
  <c r="P292" i="29" s="1"/>
  <c r="O402" i="29"/>
  <c r="X716" i="29"/>
  <c r="M1558" i="29"/>
  <c r="N1558" i="29" s="1"/>
  <c r="Y1574" i="29"/>
  <c r="Z106" i="29"/>
  <c r="X106" i="29"/>
  <c r="T611" i="29"/>
  <c r="Q292" i="29"/>
  <c r="R292" i="29" s="1"/>
  <c r="P106" i="29"/>
  <c r="Q416" i="29"/>
  <c r="Z1628" i="29"/>
  <c r="X1324" i="29"/>
  <c r="W507" i="29"/>
  <c r="X507" i="29" s="1"/>
  <c r="V1324" i="29"/>
  <c r="U605" i="29"/>
  <c r="U292" i="29"/>
  <c r="V292" i="29" s="1"/>
  <c r="U209" i="29"/>
  <c r="T1939" i="29"/>
  <c r="T1643" i="29"/>
  <c r="T658" i="29"/>
  <c r="T641" i="29"/>
  <c r="S268" i="29"/>
  <c r="T268" i="29" s="1"/>
  <c r="R1708" i="29"/>
  <c r="Q1237" i="29"/>
  <c r="R611" i="29"/>
  <c r="L1118" i="29"/>
  <c r="P260" i="29"/>
  <c r="P1324" i="29"/>
  <c r="P641" i="29"/>
  <c r="O462" i="29"/>
  <c r="P462" i="29" s="1"/>
  <c r="N106" i="29"/>
  <c r="Z1324" i="29"/>
  <c r="X1628" i="29"/>
  <c r="X658" i="29"/>
  <c r="X641" i="29"/>
  <c r="X547" i="29"/>
  <c r="V658" i="29"/>
  <c r="V641" i="29"/>
  <c r="V106" i="29"/>
  <c r="T1628" i="29"/>
  <c r="S498" i="29"/>
  <c r="T498" i="29" s="1"/>
  <c r="S507" i="29"/>
  <c r="T507" i="29" s="1"/>
  <c r="S260" i="29"/>
  <c r="T260" i="29" s="1"/>
  <c r="R1628" i="29"/>
  <c r="Q1578" i="29"/>
  <c r="R1578" i="29" s="1"/>
  <c r="R1324" i="29"/>
  <c r="R1291" i="29"/>
  <c r="J1291" i="29" s="1"/>
  <c r="R658" i="29"/>
  <c r="R641" i="29"/>
  <c r="R547" i="29"/>
  <c r="P1939" i="29"/>
  <c r="L1104" i="29"/>
  <c r="O1558" i="29"/>
  <c r="P1558" i="29" s="1"/>
  <c r="T716" i="29"/>
  <c r="I680" i="29"/>
  <c r="V682" i="29"/>
  <c r="T682" i="29"/>
  <c r="R682" i="29"/>
  <c r="H680" i="29"/>
  <c r="Z682" i="29"/>
  <c r="P682" i="29"/>
  <c r="N682" i="29"/>
  <c r="P611" i="29"/>
  <c r="H556" i="29"/>
  <c r="Z565" i="29"/>
  <c r="P565" i="29"/>
  <c r="N565" i="29"/>
  <c r="T565" i="29"/>
  <c r="S1580" i="29"/>
  <c r="O1578" i="29"/>
  <c r="P1578" i="29" s="1"/>
  <c r="H1185" i="29"/>
  <c r="H1080" i="29"/>
  <c r="R416" i="29"/>
  <c r="I416" i="29" s="1"/>
  <c r="F416" i="29"/>
  <c r="H416" i="29" s="1"/>
  <c r="X393" i="29"/>
  <c r="I324" i="29"/>
  <c r="I311" i="29"/>
  <c r="H311" i="29"/>
  <c r="Y268" i="29"/>
  <c r="Z268" i="29" s="1"/>
  <c r="W498" i="29"/>
  <c r="X498" i="29" s="1"/>
  <c r="W264" i="29"/>
  <c r="X264" i="29" s="1"/>
  <c r="U268" i="29"/>
  <c r="V268" i="29" s="1"/>
  <c r="O268" i="29"/>
  <c r="P268" i="29" s="1"/>
  <c r="Y264" i="29"/>
  <c r="Z264" i="29" s="1"/>
  <c r="U501" i="29"/>
  <c r="V501" i="29" s="1"/>
  <c r="U498" i="29"/>
  <c r="V498" i="29" s="1"/>
  <c r="S264" i="29"/>
  <c r="T264" i="29" s="1"/>
  <c r="R211" i="29"/>
  <c r="H142" i="29"/>
  <c r="A565" i="28"/>
  <c r="A569" i="28"/>
  <c r="A575" i="28" s="1"/>
  <c r="A582" i="28" s="1"/>
  <c r="A585" i="28" s="1"/>
  <c r="A591" i="28" s="1"/>
  <c r="A595" i="28" s="1"/>
  <c r="A602" i="28" s="1"/>
  <c r="A605" i="28" s="1"/>
  <c r="A611" i="28" s="1"/>
  <c r="A614" i="28" s="1"/>
  <c r="A617" i="28" s="1"/>
  <c r="A620" i="28" s="1"/>
  <c r="A623" i="28" s="1"/>
  <c r="A626" i="28" s="1"/>
  <c r="A632" i="28" s="1"/>
  <c r="A636" i="28" s="1"/>
  <c r="A640" i="28" s="1"/>
  <c r="A644" i="28" s="1"/>
  <c r="A650" i="28" s="1"/>
  <c r="A656" i="28" s="1"/>
  <c r="A659" i="28" s="1"/>
  <c r="A665" i="28" s="1"/>
  <c r="A676" i="28" s="1"/>
  <c r="A679" i="28" s="1"/>
  <c r="A684" i="28" s="1"/>
  <c r="A687" i="28" s="1"/>
  <c r="A690" i="28" s="1"/>
  <c r="A693" i="28" s="1"/>
  <c r="A699" i="28" s="1"/>
  <c r="A1066" i="28" s="1"/>
  <c r="A1077" i="28" s="1"/>
  <c r="A1084" i="28" s="1"/>
  <c r="A1091" i="28" s="1"/>
  <c r="A1098" i="28" s="1"/>
  <c r="A1105" i="28" s="1"/>
  <c r="A1112" i="28" s="1"/>
  <c r="A1119" i="28" s="1"/>
  <c r="A1126" i="28" s="1"/>
  <c r="A1141" i="28" s="1"/>
  <c r="A1156" i="28" s="1"/>
  <c r="A1171" i="28" s="1"/>
  <c r="A1180" i="28" s="1"/>
  <c r="A1184" i="28" s="1"/>
  <c r="A1193" i="28" s="1"/>
  <c r="A1199" i="28" s="1"/>
  <c r="A1210" i="28" s="1"/>
  <c r="A1217" i="28" s="1"/>
  <c r="A1226" i="28" s="1"/>
  <c r="A1229" i="28" s="1"/>
  <c r="A1232" i="28" s="1"/>
  <c r="A1235" i="28" s="1"/>
  <c r="A1238" i="28" s="1"/>
  <c r="A1244" i="28" s="1"/>
  <c r="A1247" i="28" s="1"/>
  <c r="A1253" i="28" s="1"/>
  <c r="A1256" i="28" s="1"/>
  <c r="A1259" i="28" s="1"/>
  <c r="A1262" i="28" s="1"/>
  <c r="A1265" i="28" s="1"/>
  <c r="A1268" i="28" s="1"/>
  <c r="A1271" i="28" s="1"/>
  <c r="A1274" i="28" s="1"/>
  <c r="A1277" i="28" s="1"/>
  <c r="A1283" i="28" s="1"/>
  <c r="A1286" i="28" s="1"/>
  <c r="A1289" i="28" s="1"/>
  <c r="A1292" i="28" s="1"/>
  <c r="A1295" i="28" s="1"/>
  <c r="A1298" i="28" s="1"/>
  <c r="A1301" i="28" s="1"/>
  <c r="A1304" i="28" s="1"/>
  <c r="A1307" i="28" s="1"/>
  <c r="A1310" i="28" s="1"/>
  <c r="A1316" i="28" s="1"/>
  <c r="A1326" i="28" s="1"/>
  <c r="A1346" i="28" s="1"/>
  <c r="A1366" i="28" s="1"/>
  <c r="A1373" i="28" s="1"/>
  <c r="A1378" i="28" s="1"/>
  <c r="A1382" i="28" s="1"/>
  <c r="A1386" i="28" s="1"/>
  <c r="A1390" i="28" s="1"/>
  <c r="A1395" i="28" s="1"/>
  <c r="A1400" i="28" s="1"/>
  <c r="A1408" i="28" s="1"/>
  <c r="A1413" i="28" s="1"/>
  <c r="A1423" i="28" s="1"/>
  <c r="A1428" i="28" s="1"/>
  <c r="A1435" i="28" s="1"/>
  <c r="A1442" i="28" s="1"/>
  <c r="A1445" i="28" s="1"/>
  <c r="A1448" i="28" s="1"/>
  <c r="A1451" i="28" s="1"/>
  <c r="A1455" i="28" s="1"/>
  <c r="A1463" i="28" s="1"/>
  <c r="A1470" i="28" s="1"/>
  <c r="A1473" i="28" s="1"/>
  <c r="A1476" i="28" s="1"/>
  <c r="A1479" i="28" s="1"/>
  <c r="A1482" i="28" s="1"/>
  <c r="A1485" i="28" s="1"/>
  <c r="A1499" i="28" s="1"/>
  <c r="A1513" i="28" s="1"/>
  <c r="A1523" i="28" s="1"/>
  <c r="A1529" i="28" s="1"/>
  <c r="A1532" i="28" s="1"/>
  <c r="A1535" i="28" s="1"/>
  <c r="A1538" i="28" s="1"/>
  <c r="A1548" i="28" s="1"/>
  <c r="A1551" i="28" s="1"/>
  <c r="A1554" i="28" s="1"/>
  <c r="A1557" i="28" s="1"/>
  <c r="A1567" i="28" s="1"/>
  <c r="A1570" i="28" s="1"/>
  <c r="A1573" i="28" s="1"/>
  <c r="A1576" i="28" s="1"/>
  <c r="A1579" i="28" s="1"/>
  <c r="A1593" i="28" s="1"/>
  <c r="A1603" i="28" s="1"/>
  <c r="A1606" i="28" s="1"/>
  <c r="A1609" i="28" s="1"/>
  <c r="A1612" i="28" s="1"/>
  <c r="A1618" i="28" s="1"/>
  <c r="A1624" i="28" s="1"/>
  <c r="A1633" i="28" s="1"/>
  <c r="A1640" i="28" s="1"/>
  <c r="A1647" i="28" s="1"/>
  <c r="A1653" i="28" s="1"/>
  <c r="R262" i="28"/>
  <c r="I408" i="28"/>
  <c r="R1590" i="28"/>
  <c r="F240" i="18"/>
  <c r="H1954" i="28"/>
  <c r="N386" i="28"/>
  <c r="M1532" i="28"/>
  <c r="F386" i="28"/>
  <c r="M495" i="28"/>
  <c r="M278" i="28"/>
  <c r="X374" i="28"/>
  <c r="W495" i="28"/>
  <c r="X495" i="28" s="1"/>
  <c r="I106" i="28"/>
  <c r="F128" i="18"/>
  <c r="F408" i="28"/>
  <c r="H408" i="28" s="1"/>
  <c r="F247" i="18"/>
  <c r="F216" i="18"/>
  <c r="F24" i="18"/>
  <c r="F395" i="28"/>
  <c r="H395" i="28" s="1"/>
  <c r="Y1576" i="28"/>
  <c r="Z395" i="28"/>
  <c r="I395" i="28" s="1"/>
  <c r="Q489" i="28"/>
  <c r="R489" i="28" s="1"/>
  <c r="I1958" i="28"/>
  <c r="F197" i="18"/>
  <c r="F1226" i="28"/>
  <c r="H1226" i="28" s="1"/>
  <c r="F219" i="28"/>
  <c r="H219" i="28" s="1"/>
  <c r="F179" i="28"/>
  <c r="H179" i="28" s="1"/>
  <c r="N705" i="28"/>
  <c r="N647" i="28"/>
  <c r="M1565" i="28"/>
  <c r="F580" i="28"/>
  <c r="H580" i="28" s="1"/>
  <c r="N342" i="28"/>
  <c r="I342" i="28" s="1"/>
  <c r="F342" i="28"/>
  <c r="H342" i="28" s="1"/>
  <c r="M307" i="28"/>
  <c r="N141" i="28"/>
  <c r="F141" i="28"/>
  <c r="H141" i="28" s="1"/>
  <c r="Z1280" i="28"/>
  <c r="Y445" i="28"/>
  <c r="Y451" i="28" s="1"/>
  <c r="Z451" i="28" s="1"/>
  <c r="M451" i="28"/>
  <c r="Z208" i="28"/>
  <c r="F208" i="28"/>
  <c r="H208" i="28" s="1"/>
  <c r="X1526" i="28"/>
  <c r="X535" i="28"/>
  <c r="V1695" i="28"/>
  <c r="U1601" i="28"/>
  <c r="V1526" i="28"/>
  <c r="V669" i="28"/>
  <c r="F669" i="28"/>
  <c r="H669" i="28" s="1"/>
  <c r="U593" i="28"/>
  <c r="U597" i="28"/>
  <c r="V597" i="28" s="1"/>
  <c r="V559" i="28"/>
  <c r="F559" i="28"/>
  <c r="H559" i="28" s="1"/>
  <c r="V553" i="28"/>
  <c r="U243" i="28"/>
  <c r="N1695" i="28"/>
  <c r="N1526" i="28"/>
  <c r="N671" i="28"/>
  <c r="N553" i="28"/>
  <c r="N1313" i="28"/>
  <c r="N597" i="28"/>
  <c r="I597" i="28" s="1"/>
  <c r="N589" i="28"/>
  <c r="F589" i="28"/>
  <c r="H589" i="28" s="1"/>
  <c r="M319" i="28"/>
  <c r="Z553" i="28"/>
  <c r="Y455" i="28"/>
  <c r="Y461" i="28" s="1"/>
  <c r="Z461" i="28" s="1"/>
  <c r="M461" i="28"/>
  <c r="X1926" i="28"/>
  <c r="I1926" i="28" s="1"/>
  <c r="X1280" i="28"/>
  <c r="X386" i="28"/>
  <c r="W278" i="28"/>
  <c r="X278" i="28" s="1"/>
  <c r="X516" i="28" s="1"/>
  <c r="V1280" i="28"/>
  <c r="V609" i="28"/>
  <c r="F609" i="28"/>
  <c r="H609" i="28" s="1"/>
  <c r="W1562" i="28"/>
  <c r="W1565" i="28" s="1"/>
  <c r="X1565" i="28" s="1"/>
  <c r="X1590" i="28" s="1"/>
  <c r="U371" i="28"/>
  <c r="U1541" i="28"/>
  <c r="U1560" i="28"/>
  <c r="T1280" i="28"/>
  <c r="J1280" i="28" s="1"/>
  <c r="P1526" i="28"/>
  <c r="L1095" i="28"/>
  <c r="P1094" i="28"/>
  <c r="R1094" i="28"/>
  <c r="T1094" i="28"/>
  <c r="V1094" i="28"/>
  <c r="X1094" i="28"/>
  <c r="Z1094" i="28"/>
  <c r="P1590" i="28"/>
  <c r="H1967" i="29"/>
  <c r="T1615" i="28"/>
  <c r="S258" i="28"/>
  <c r="S266" i="28"/>
  <c r="T266" i="28" s="1"/>
  <c r="T243" i="28"/>
  <c r="R210" i="28"/>
  <c r="O289" i="28"/>
  <c r="L1088" i="28"/>
  <c r="P1087" i="28"/>
  <c r="R1087" i="28"/>
  <c r="T1087" i="28"/>
  <c r="L1121" i="28"/>
  <c r="P1117" i="28"/>
  <c r="R1117" i="28"/>
  <c r="T1117" i="28"/>
  <c r="A23" i="29"/>
  <c r="A24" i="29"/>
  <c r="A25" i="29" s="1"/>
  <c r="A26" i="29" s="1"/>
  <c r="Q428" i="28"/>
  <c r="L1152" i="28"/>
  <c r="L1116" i="28"/>
  <c r="O489" i="28"/>
  <c r="O486" i="28"/>
  <c r="P1114" i="28"/>
  <c r="I1114" i="28" s="1"/>
  <c r="P1093" i="28"/>
  <c r="I1093" i="28" s="1"/>
  <c r="P1086" i="28"/>
  <c r="I1086" i="28" s="1"/>
  <c r="L1115" i="28"/>
  <c r="F52" i="30"/>
  <c r="F54" i="30" s="1"/>
  <c r="F165" i="30"/>
  <c r="F163" i="30"/>
  <c r="F164" i="30" s="1"/>
  <c r="F216" i="30"/>
  <c r="N611" i="29"/>
  <c r="M280" i="29"/>
  <c r="N393" i="29"/>
  <c r="M1543" i="29"/>
  <c r="M507" i="29"/>
  <c r="M260" i="29"/>
  <c r="M268" i="29"/>
  <c r="M498" i="29"/>
  <c r="M501" i="29"/>
  <c r="N245" i="29"/>
  <c r="M275" i="29"/>
  <c r="M168" i="29"/>
  <c r="N199" i="29"/>
  <c r="I199" i="29" s="1"/>
  <c r="I106" i="29"/>
  <c r="Z611" i="29"/>
  <c r="Z211" i="29"/>
  <c r="X611" i="29"/>
  <c r="F67" i="30"/>
  <c r="F65" i="30"/>
  <c r="F66" i="30" s="1"/>
  <c r="F240" i="30"/>
  <c r="N1643" i="29"/>
  <c r="X1603" i="29"/>
  <c r="V380" i="29"/>
  <c r="U280" i="29"/>
  <c r="V280" i="29" s="1"/>
  <c r="U448" i="29"/>
  <c r="U507" i="29"/>
  <c r="V507" i="29" s="1"/>
  <c r="U1543" i="29"/>
  <c r="V1543" i="29" s="1"/>
  <c r="Y398" i="29"/>
  <c r="M287" i="29"/>
  <c r="M292" i="29" s="1"/>
  <c r="Y501" i="29"/>
  <c r="Z501" i="29" s="1"/>
  <c r="Y498" i="29"/>
  <c r="Z498" i="29" s="1"/>
  <c r="Y275" i="29"/>
  <c r="Z275" i="29" s="1"/>
  <c r="W338" i="29"/>
  <c r="W275" i="29"/>
  <c r="X275" i="29" s="1"/>
  <c r="U275" i="29"/>
  <c r="V275" i="29" s="1"/>
  <c r="S275" i="29"/>
  <c r="T275" i="29" s="1"/>
  <c r="T528" i="29" s="1"/>
  <c r="Y468" i="29"/>
  <c r="Y457" i="29"/>
  <c r="Q260" i="29"/>
  <c r="Q268" i="29"/>
  <c r="R268" i="29" s="1"/>
  <c r="R245" i="29"/>
  <c r="Q275" i="29"/>
  <c r="R275" i="29" s="1"/>
  <c r="Q498" i="29"/>
  <c r="R498" i="29" s="1"/>
  <c r="Q501" i="29"/>
  <c r="R501" i="29" s="1"/>
  <c r="Y467" i="29"/>
  <c r="Y473" i="29" s="1"/>
  <c r="Z473" i="29" s="1"/>
  <c r="Y399" i="29"/>
  <c r="N1432" i="29"/>
  <c r="P1432" i="29"/>
  <c r="T1432" i="29"/>
  <c r="X1432" i="29"/>
  <c r="R1432" i="29"/>
  <c r="V1432" i="29"/>
  <c r="Z1432" i="29"/>
  <c r="N1428" i="29"/>
  <c r="P1428" i="29"/>
  <c r="T1428" i="29"/>
  <c r="X1428" i="29"/>
  <c r="R1428" i="29"/>
  <c r="V1428" i="29"/>
  <c r="Z1428" i="29"/>
  <c r="N1426" i="29"/>
  <c r="P1426" i="29"/>
  <c r="T1426" i="29"/>
  <c r="X1426" i="29"/>
  <c r="R1426" i="29"/>
  <c r="V1426" i="29"/>
  <c r="Z1426" i="29"/>
  <c r="R1408" i="29"/>
  <c r="V1408" i="29"/>
  <c r="Z1408" i="29"/>
  <c r="N1408" i="29"/>
  <c r="P1408" i="29"/>
  <c r="T1408" i="29"/>
  <c r="X1408" i="29"/>
  <c r="R1403" i="29"/>
  <c r="V1403" i="29"/>
  <c r="Z1403" i="29"/>
  <c r="N1403" i="29"/>
  <c r="P1403" i="29"/>
  <c r="T1403" i="29"/>
  <c r="X1403" i="29"/>
  <c r="R1395" i="29"/>
  <c r="V1395" i="29"/>
  <c r="Z1395" i="29"/>
  <c r="N1395" i="29"/>
  <c r="P1395" i="29"/>
  <c r="T1395" i="29"/>
  <c r="X1395" i="29"/>
  <c r="R1387" i="29"/>
  <c r="V1387" i="29"/>
  <c r="V1537" i="29" s="1"/>
  <c r="Z1387" i="29"/>
  <c r="N1387" i="29"/>
  <c r="P1387" i="29"/>
  <c r="T1387" i="29"/>
  <c r="X1387" i="29"/>
  <c r="Y385" i="29"/>
  <c r="P1708" i="29"/>
  <c r="P1628" i="29"/>
  <c r="J1628" i="29" s="1"/>
  <c r="P380" i="29"/>
  <c r="I380" i="29" s="1"/>
  <c r="Q473" i="29"/>
  <c r="Y456" i="29"/>
  <c r="Y462" i="29" s="1"/>
  <c r="Q402" i="29"/>
  <c r="Y386" i="29"/>
  <c r="R1431" i="29"/>
  <c r="V1431" i="29"/>
  <c r="Z1431" i="29"/>
  <c r="N1431" i="29"/>
  <c r="P1431" i="29"/>
  <c r="T1431" i="29"/>
  <c r="X1431" i="29"/>
  <c r="R1427" i="29"/>
  <c r="V1427" i="29"/>
  <c r="Z1427" i="29"/>
  <c r="N1427" i="29"/>
  <c r="P1427" i="29"/>
  <c r="T1427" i="29"/>
  <c r="X1427" i="29"/>
  <c r="N1409" i="29"/>
  <c r="P1409" i="29"/>
  <c r="T1409" i="29"/>
  <c r="X1409" i="29"/>
  <c r="R1409" i="29"/>
  <c r="V1409" i="29"/>
  <c r="Z1409" i="29"/>
  <c r="N1404" i="29"/>
  <c r="P1404" i="29"/>
  <c r="T1404" i="29"/>
  <c r="X1404" i="29"/>
  <c r="R1404" i="29"/>
  <c r="V1404" i="29"/>
  <c r="Z1404" i="29"/>
  <c r="N1399" i="29"/>
  <c r="P1399" i="29"/>
  <c r="T1399" i="29"/>
  <c r="X1399" i="29"/>
  <c r="R1399" i="29"/>
  <c r="V1399" i="29"/>
  <c r="Z1399" i="29"/>
  <c r="N1391" i="29"/>
  <c r="P1391" i="29"/>
  <c r="T1391" i="29"/>
  <c r="X1391" i="29"/>
  <c r="R1391" i="29"/>
  <c r="V1391" i="29"/>
  <c r="Z1391" i="29"/>
  <c r="N1386" i="29"/>
  <c r="P1386" i="29"/>
  <c r="T1386" i="29"/>
  <c r="X1386" i="29"/>
  <c r="R1386" i="29"/>
  <c r="V1386" i="29"/>
  <c r="Z1386" i="29"/>
  <c r="L1128" i="29"/>
  <c r="L1126" i="29"/>
  <c r="L1105" i="29"/>
  <c r="L1098" i="29"/>
  <c r="P1954" i="29"/>
  <c r="P1967" i="29" s="1"/>
  <c r="R1954" i="29"/>
  <c r="R1967" i="29" s="1"/>
  <c r="X1954" i="29"/>
  <c r="X1967" i="29" s="1"/>
  <c r="N1954" i="29"/>
  <c r="V1954" i="29"/>
  <c r="V1967" i="29" s="1"/>
  <c r="Z1954" i="29"/>
  <c r="Z1967" i="29" s="1"/>
  <c r="T1954" i="29"/>
  <c r="T1967" i="29" s="1"/>
  <c r="O390" i="29"/>
  <c r="O393" i="29" s="1"/>
  <c r="P402" i="29"/>
  <c r="O1589" i="29"/>
  <c r="P211" i="29"/>
  <c r="Z1537" i="29"/>
  <c r="X565" i="29"/>
  <c r="O501" i="29"/>
  <c r="P501" i="29" s="1"/>
  <c r="O498" i="29"/>
  <c r="P498" i="29" s="1"/>
  <c r="O275" i="29"/>
  <c r="P275" i="29" s="1"/>
  <c r="X682" i="29"/>
  <c r="L1163" i="29"/>
  <c r="F257" i="29" l="1"/>
  <c r="G258" i="29" s="1"/>
  <c r="H245" i="29"/>
  <c r="X1537" i="29"/>
  <c r="P1537" i="29"/>
  <c r="I1408" i="29"/>
  <c r="V1603" i="29"/>
  <c r="P1104" i="29"/>
  <c r="R1104" i="29"/>
  <c r="V1104" i="29"/>
  <c r="X1104" i="29"/>
  <c r="T1104" i="29"/>
  <c r="Z1104" i="29"/>
  <c r="N1104" i="29"/>
  <c r="G1104" i="29"/>
  <c r="H1104" i="29" s="1"/>
  <c r="V209" i="29"/>
  <c r="F209" i="29"/>
  <c r="H209" i="29" s="1"/>
  <c r="V245" i="29"/>
  <c r="U260" i="29"/>
  <c r="I658" i="29"/>
  <c r="J658" i="29"/>
  <c r="J106" i="29"/>
  <c r="R1237" i="29"/>
  <c r="I1237" i="29" s="1"/>
  <c r="F1237" i="29"/>
  <c r="H1237" i="29" s="1"/>
  <c r="I547" i="29"/>
  <c r="J547" i="29"/>
  <c r="I1939" i="29"/>
  <c r="R1537" i="29"/>
  <c r="I1395" i="29"/>
  <c r="J716" i="29"/>
  <c r="I716" i="29"/>
  <c r="V605" i="29"/>
  <c r="F605" i="29"/>
  <c r="H605" i="29" s="1"/>
  <c r="R438" i="29"/>
  <c r="I438" i="29" s="1"/>
  <c r="F438" i="29"/>
  <c r="H438" i="29" s="1"/>
  <c r="I1324" i="29"/>
  <c r="J1324" i="29"/>
  <c r="P1118" i="29"/>
  <c r="Z1118" i="29"/>
  <c r="R1118" i="29"/>
  <c r="V1118" i="29"/>
  <c r="X1118" i="29"/>
  <c r="T1118" i="29"/>
  <c r="N1118" i="29"/>
  <c r="I1118" i="29" s="1"/>
  <c r="G1118" i="29"/>
  <c r="H1118" i="29" s="1"/>
  <c r="P1097" i="29"/>
  <c r="T1097" i="29"/>
  <c r="Z1097" i="29"/>
  <c r="R1097" i="29"/>
  <c r="V1097" i="29"/>
  <c r="X1097" i="29"/>
  <c r="N1097" i="29"/>
  <c r="I1097" i="29" s="1"/>
  <c r="G1097" i="29"/>
  <c r="H1097" i="29" s="1"/>
  <c r="I641" i="29"/>
  <c r="J641" i="29"/>
  <c r="I1291" i="29"/>
  <c r="T1580" i="29"/>
  <c r="F1580" i="29"/>
  <c r="H1580" i="29" s="1"/>
  <c r="R1971" i="29"/>
  <c r="X1971" i="29"/>
  <c r="N292" i="29"/>
  <c r="I292" i="29" s="1"/>
  <c r="F292" i="29"/>
  <c r="H292" i="29" s="1"/>
  <c r="V1971" i="29"/>
  <c r="I1391" i="29"/>
  <c r="Z462" i="29"/>
  <c r="I462" i="29" s="1"/>
  <c r="F462" i="29"/>
  <c r="H462" i="29" s="1"/>
  <c r="Y1572" i="29"/>
  <c r="Y1552" i="29"/>
  <c r="I1426" i="29"/>
  <c r="I1432" i="29"/>
  <c r="Q264" i="29"/>
  <c r="R264" i="29" s="1"/>
  <c r="R260" i="29"/>
  <c r="Y402" i="29"/>
  <c r="I1643" i="29"/>
  <c r="I1644" i="29" s="1"/>
  <c r="J1643" i="29"/>
  <c r="N168" i="29"/>
  <c r="F168" i="29"/>
  <c r="H168" i="29" s="1"/>
  <c r="I245" i="29"/>
  <c r="N498" i="29"/>
  <c r="I498" i="29" s="1"/>
  <c r="F498" i="29"/>
  <c r="H498" i="29" s="1"/>
  <c r="M264" i="29"/>
  <c r="N260" i="29"/>
  <c r="F260" i="29"/>
  <c r="H260" i="29" s="1"/>
  <c r="N1543" i="29"/>
  <c r="N280" i="29"/>
  <c r="I1628" i="29"/>
  <c r="P489" i="28"/>
  <c r="P1116" i="28"/>
  <c r="R1116" i="28"/>
  <c r="T1116" i="28"/>
  <c r="N1116" i="28"/>
  <c r="V1116" i="28"/>
  <c r="X1116" i="28"/>
  <c r="G1116" i="28"/>
  <c r="H1116" i="28" s="1"/>
  <c r="Z1116" i="28"/>
  <c r="L1122" i="28"/>
  <c r="P1121" i="28"/>
  <c r="R1121" i="28"/>
  <c r="T1121" i="28"/>
  <c r="V1121" i="28"/>
  <c r="X1121" i="28"/>
  <c r="N1121" i="28"/>
  <c r="G1121" i="28"/>
  <c r="H1121" i="28" s="1"/>
  <c r="Z1121" i="28"/>
  <c r="L1089" i="28"/>
  <c r="P1088" i="28"/>
  <c r="R1088" i="28"/>
  <c r="T1088" i="28"/>
  <c r="N1088" i="28"/>
  <c r="G1088" i="28"/>
  <c r="H1088" i="28" s="1"/>
  <c r="V1088" i="28"/>
  <c r="X1088" i="28"/>
  <c r="Z1088" i="28"/>
  <c r="P289" i="28"/>
  <c r="F289" i="28"/>
  <c r="H289" i="28" s="1"/>
  <c r="S262" i="28"/>
  <c r="T258" i="28"/>
  <c r="L1096" i="28"/>
  <c r="P1095" i="28"/>
  <c r="R1095" i="28"/>
  <c r="T1095" i="28"/>
  <c r="N1095" i="28"/>
  <c r="G1095" i="28"/>
  <c r="H1095" i="28" s="1"/>
  <c r="V1095" i="28"/>
  <c r="X1095" i="28"/>
  <c r="Z1095" i="28"/>
  <c r="U1565" i="28"/>
  <c r="V1565" i="28" s="1"/>
  <c r="U374" i="28"/>
  <c r="U1543" i="28"/>
  <c r="U1562" i="28"/>
  <c r="F319" i="28"/>
  <c r="H319" i="28" s="1"/>
  <c r="N319" i="28"/>
  <c r="I319" i="28" s="1"/>
  <c r="I589" i="28"/>
  <c r="N599" i="28"/>
  <c r="J553" i="28"/>
  <c r="I553" i="28"/>
  <c r="I1526" i="28"/>
  <c r="J1526" i="28"/>
  <c r="U258" i="28"/>
  <c r="F243" i="28"/>
  <c r="U273" i="28"/>
  <c r="V243" i="28"/>
  <c r="U266" i="28"/>
  <c r="V266" i="28" s="1"/>
  <c r="I266" i="28" s="1"/>
  <c r="U486" i="28"/>
  <c r="V486" i="28" s="1"/>
  <c r="U489" i="28"/>
  <c r="V489" i="28" s="1"/>
  <c r="Z210" i="28"/>
  <c r="I208" i="28"/>
  <c r="N307" i="28"/>
  <c r="I307" i="28" s="1"/>
  <c r="F307" i="28"/>
  <c r="H307" i="28" s="1"/>
  <c r="N1565" i="28"/>
  <c r="F1565" i="28"/>
  <c r="H1565" i="28" s="1"/>
  <c r="I705" i="28"/>
  <c r="J705" i="28"/>
  <c r="F199" i="18"/>
  <c r="F198" i="18"/>
  <c r="Z1576" i="28"/>
  <c r="F1576" i="28"/>
  <c r="H1576" i="28" s="1"/>
  <c r="F266" i="28"/>
  <c r="H266" i="28" s="1"/>
  <c r="N495" i="28"/>
  <c r="N1532" i="28"/>
  <c r="Z516" i="28"/>
  <c r="A1659" i="28"/>
  <c r="A1663" i="28" s="1"/>
  <c r="A1666" i="28"/>
  <c r="A1670" i="28" s="1"/>
  <c r="A1673" i="28" s="1"/>
  <c r="A1676" i="28" s="1"/>
  <c r="A1681" i="28" s="1"/>
  <c r="A1683" i="28" s="1"/>
  <c r="A1686" i="28" s="1"/>
  <c r="A1689" i="28" s="1"/>
  <c r="A1692" i="28" s="1"/>
  <c r="A1698" i="28" s="1"/>
  <c r="A1701" i="28" s="1"/>
  <c r="A1705" i="28" s="1"/>
  <c r="A1709" i="28" s="1"/>
  <c r="A1713" i="28" s="1"/>
  <c r="A1717" i="28" s="1"/>
  <c r="A1720" i="28" s="1"/>
  <c r="A1723" i="28" s="1"/>
  <c r="A1726" i="28" s="1"/>
  <c r="A1729" i="28" s="1"/>
  <c r="A1737" i="28" s="1"/>
  <c r="A1744" i="28" s="1"/>
  <c r="A1747" i="28" s="1"/>
  <c r="A1752" i="28" s="1"/>
  <c r="A1756" i="28" s="1"/>
  <c r="A1758" i="28" s="1"/>
  <c r="A1765" i="28" s="1"/>
  <c r="A1771" i="28" s="1"/>
  <c r="A1775" i="28" s="1"/>
  <c r="A1782" i="28" s="1"/>
  <c r="A1792" i="28" s="1"/>
  <c r="A1795" i="28" s="1"/>
  <c r="A1798" i="28" s="1"/>
  <c r="A1801" i="28" s="1"/>
  <c r="A1804" i="28" s="1"/>
  <c r="A1807" i="28" s="1"/>
  <c r="A1810" i="28" s="1"/>
  <c r="A1817" i="28" s="1"/>
  <c r="A1820" i="28" s="1"/>
  <c r="A1830" i="28" s="1"/>
  <c r="A1833" i="28" s="1"/>
  <c r="A1836" i="28" s="1"/>
  <c r="A1839" i="28" s="1"/>
  <c r="A1842" i="28" s="1"/>
  <c r="A1845" i="28" s="1"/>
  <c r="A1848" i="28" s="1"/>
  <c r="A1851" i="28" s="1"/>
  <c r="A1854" i="28" s="1"/>
  <c r="A1857" i="28" s="1"/>
  <c r="A1860" i="28" s="1"/>
  <c r="A1863" i="28" s="1"/>
  <c r="A1868" i="28" s="1"/>
  <c r="A1871" i="28" s="1"/>
  <c r="A1874" i="28" s="1"/>
  <c r="A1877" i="28" s="1"/>
  <c r="A1880" i="28" s="1"/>
  <c r="A1883" i="28" s="1"/>
  <c r="A1886" i="28" s="1"/>
  <c r="A1891" i="28" s="1"/>
  <c r="A1894" i="28" s="1"/>
  <c r="A1897" i="28" s="1"/>
  <c r="A1900" i="28" s="1"/>
  <c r="A1903" i="28" s="1"/>
  <c r="A1906" i="28" s="1"/>
  <c r="A1909" i="28" s="1"/>
  <c r="A1912" i="28" s="1"/>
  <c r="A1915" i="28" s="1"/>
  <c r="A1918" i="28" s="1"/>
  <c r="A1921" i="28" s="1"/>
  <c r="A1924" i="28" s="1"/>
  <c r="P1163" i="29"/>
  <c r="T1163" i="29"/>
  <c r="X1163" i="29"/>
  <c r="N1163" i="29"/>
  <c r="R1163" i="29"/>
  <c r="V1163" i="29"/>
  <c r="Z1163" i="29"/>
  <c r="G1163" i="29"/>
  <c r="H1163" i="29" s="1"/>
  <c r="P393" i="29"/>
  <c r="O280" i="29"/>
  <c r="P280" i="29" s="1"/>
  <c r="O1543" i="29"/>
  <c r="P1543" i="29" s="1"/>
  <c r="T1971" i="29"/>
  <c r="P1971" i="29"/>
  <c r="P1105" i="29"/>
  <c r="R1105" i="29"/>
  <c r="L1106" i="29"/>
  <c r="T1105" i="29"/>
  <c r="V1105" i="29"/>
  <c r="X1105" i="29"/>
  <c r="Z1105" i="29"/>
  <c r="N1105" i="29"/>
  <c r="I1105" i="29" s="1"/>
  <c r="G1105" i="29"/>
  <c r="H1105" i="29" s="1"/>
  <c r="P1128" i="29"/>
  <c r="R1128" i="29"/>
  <c r="L1132" i="29"/>
  <c r="T1128" i="29"/>
  <c r="V1128" i="29"/>
  <c r="X1128" i="29"/>
  <c r="Z1128" i="29"/>
  <c r="N1128" i="29"/>
  <c r="G1128" i="29"/>
  <c r="H1128" i="29" s="1"/>
  <c r="I1404" i="29"/>
  <c r="I1431" i="29"/>
  <c r="Y1553" i="29"/>
  <c r="Y1573" i="29"/>
  <c r="J682" i="29"/>
  <c r="I682" i="29"/>
  <c r="N1537" i="29"/>
  <c r="J565" i="29"/>
  <c r="I565" i="29"/>
  <c r="P1589" i="29"/>
  <c r="Z1971" i="29"/>
  <c r="I1954" i="29"/>
  <c r="P1098" i="29"/>
  <c r="R1098" i="29"/>
  <c r="L1099" i="29"/>
  <c r="T1098" i="29"/>
  <c r="V1098" i="29"/>
  <c r="X1098" i="29"/>
  <c r="Z1098" i="29"/>
  <c r="N1098" i="29"/>
  <c r="G1098" i="29"/>
  <c r="H1098" i="29" s="1"/>
  <c r="P1126" i="29"/>
  <c r="R1126" i="29"/>
  <c r="T1126" i="29"/>
  <c r="V1126" i="29"/>
  <c r="X1126" i="29"/>
  <c r="Z1126" i="29"/>
  <c r="N1126" i="29"/>
  <c r="G1126" i="29"/>
  <c r="H1126" i="29" s="1"/>
  <c r="T1537" i="29"/>
  <c r="I1386" i="29"/>
  <c r="I1399" i="29"/>
  <c r="I1409" i="29"/>
  <c r="I1427" i="29"/>
  <c r="R402" i="29"/>
  <c r="Q390" i="29"/>
  <c r="Q393" i="29" s="1"/>
  <c r="Q1589" i="29"/>
  <c r="R1589" i="29" s="1"/>
  <c r="F402" i="29"/>
  <c r="H402" i="29" s="1"/>
  <c r="R473" i="29"/>
  <c r="I473" i="29" s="1"/>
  <c r="F473" i="29"/>
  <c r="H473" i="29" s="1"/>
  <c r="O507" i="29"/>
  <c r="P507" i="29" s="1"/>
  <c r="I1387" i="29"/>
  <c r="I1403" i="29"/>
  <c r="I1428" i="29"/>
  <c r="X338" i="29"/>
  <c r="I338" i="29" s="1"/>
  <c r="F338" i="29"/>
  <c r="H338" i="29" s="1"/>
  <c r="V448" i="29"/>
  <c r="F448" i="29"/>
  <c r="H448" i="29" s="1"/>
  <c r="I107" i="29"/>
  <c r="N275" i="29"/>
  <c r="I275" i="29" s="1"/>
  <c r="F275" i="29"/>
  <c r="H275" i="29" s="1"/>
  <c r="N501" i="29"/>
  <c r="I501" i="29" s="1"/>
  <c r="F501" i="29"/>
  <c r="H501" i="29" s="1"/>
  <c r="N268" i="29"/>
  <c r="I268" i="29" s="1"/>
  <c r="F268" i="29"/>
  <c r="H268" i="29" s="1"/>
  <c r="N507" i="29"/>
  <c r="P1115" i="28"/>
  <c r="R1115" i="28"/>
  <c r="T1115" i="28"/>
  <c r="V1115" i="28"/>
  <c r="X1115" i="28"/>
  <c r="Z1115" i="28"/>
  <c r="N1115" i="28"/>
  <c r="G1115" i="28"/>
  <c r="H1115" i="28" s="1"/>
  <c r="P486" i="28"/>
  <c r="I486" i="28" s="1"/>
  <c r="F486" i="28"/>
  <c r="H486" i="28" s="1"/>
  <c r="P1152" i="28"/>
  <c r="V1152" i="28"/>
  <c r="Z1152" i="28"/>
  <c r="N1152" i="28"/>
  <c r="R1152" i="28"/>
  <c r="X1152" i="28"/>
  <c r="T1152" i="28"/>
  <c r="G1152" i="28"/>
  <c r="H1152" i="28" s="1"/>
  <c r="R428" i="28"/>
  <c r="F428" i="28"/>
  <c r="H428" i="28" s="1"/>
  <c r="A29" i="29"/>
  <c r="A30" i="29" s="1"/>
  <c r="A31" i="29" s="1"/>
  <c r="A33" i="29" s="1"/>
  <c r="A34" i="29" s="1"/>
  <c r="A36" i="29" s="1"/>
  <c r="A37" i="29" s="1"/>
  <c r="A38" i="29" s="1"/>
  <c r="A40" i="29" s="1"/>
  <c r="A41" i="29" s="1"/>
  <c r="A43" i="29" s="1"/>
  <c r="A44" i="29" s="1"/>
  <c r="A45" i="29" s="1"/>
  <c r="A46" i="29" s="1"/>
  <c r="A47" i="29" s="1"/>
  <c r="A49" i="29" s="1"/>
  <c r="A50" i="29" s="1"/>
  <c r="A52" i="29" s="1"/>
  <c r="A53" i="29" s="1"/>
  <c r="A55" i="29" s="1"/>
  <c r="A57" i="29" s="1"/>
  <c r="A58" i="29" s="1"/>
  <c r="A59" i="29" s="1"/>
  <c r="A60" i="29" s="1"/>
  <c r="A61" i="29" s="1"/>
  <c r="A64" i="29" s="1"/>
  <c r="A65" i="29" s="1"/>
  <c r="A28" i="29"/>
  <c r="I1117" i="28"/>
  <c r="I1087" i="28"/>
  <c r="I1094" i="28"/>
  <c r="U1546" i="28"/>
  <c r="V629" i="28"/>
  <c r="I609" i="28"/>
  <c r="N461" i="28"/>
  <c r="I461" i="28" s="1"/>
  <c r="F461" i="28"/>
  <c r="H461" i="28" s="1"/>
  <c r="F597" i="28"/>
  <c r="H597" i="28" s="1"/>
  <c r="J1313" i="28"/>
  <c r="I1313" i="28"/>
  <c r="I1325" i="29" s="1"/>
  <c r="I559" i="28"/>
  <c r="F593" i="28"/>
  <c r="H593" i="28" s="1"/>
  <c r="V593" i="28"/>
  <c r="I593" i="28" s="1"/>
  <c r="V671" i="28"/>
  <c r="J671" i="28" s="1"/>
  <c r="I669" i="28"/>
  <c r="V1601" i="28"/>
  <c r="F1601" i="28"/>
  <c r="H1601" i="28" s="1"/>
  <c r="J535" i="28"/>
  <c r="I535" i="28"/>
  <c r="I548" i="29" s="1"/>
  <c r="N451" i="28"/>
  <c r="I451" i="28" s="1"/>
  <c r="F451" i="28"/>
  <c r="H451" i="28" s="1"/>
  <c r="I141" i="28"/>
  <c r="N210" i="28"/>
  <c r="I647" i="28"/>
  <c r="I659" i="29" s="1"/>
  <c r="J647" i="28"/>
  <c r="I1280" i="28"/>
  <c r="I1292" i="29" s="1"/>
  <c r="N278" i="28"/>
  <c r="H386" i="28"/>
  <c r="F387" i="28"/>
  <c r="I386" i="28"/>
  <c r="P528" i="29" l="1"/>
  <c r="I605" i="29"/>
  <c r="V611" i="29"/>
  <c r="I209" i="29"/>
  <c r="V211" i="29"/>
  <c r="V260" i="29"/>
  <c r="I260" i="29" s="1"/>
  <c r="U264" i="29"/>
  <c r="V264" i="29" s="1"/>
  <c r="I1104" i="29"/>
  <c r="I1580" i="29"/>
  <c r="T1603" i="29"/>
  <c r="I210" i="28"/>
  <c r="J210" i="28"/>
  <c r="I671" i="28"/>
  <c r="I629" i="28"/>
  <c r="I642" i="29" s="1"/>
  <c r="J629" i="28"/>
  <c r="A66" i="29"/>
  <c r="I428" i="28"/>
  <c r="R516" i="28"/>
  <c r="I1115" i="28"/>
  <c r="I448" i="29"/>
  <c r="V528" i="29"/>
  <c r="P1099" i="29"/>
  <c r="L1100" i="29"/>
  <c r="R1099" i="29"/>
  <c r="T1099" i="29"/>
  <c r="V1099" i="29"/>
  <c r="X1099" i="29"/>
  <c r="Z1099" i="29"/>
  <c r="N1099" i="29"/>
  <c r="G1099" i="29"/>
  <c r="H1099" i="29" s="1"/>
  <c r="I1967" i="29"/>
  <c r="N1971" i="29"/>
  <c r="P1132" i="29"/>
  <c r="L1133" i="29"/>
  <c r="R1132" i="29"/>
  <c r="N1132" i="29"/>
  <c r="T1132" i="29"/>
  <c r="V1132" i="29"/>
  <c r="X1132" i="29"/>
  <c r="Z1132" i="29"/>
  <c r="G1132" i="29"/>
  <c r="H1132" i="29" s="1"/>
  <c r="I1163" i="29"/>
  <c r="N1590" i="28"/>
  <c r="Z1590" i="28"/>
  <c r="I1576" i="28"/>
  <c r="V273" i="28"/>
  <c r="I273" i="28" s="1"/>
  <c r="F273" i="28"/>
  <c r="H273" i="28" s="1"/>
  <c r="U262" i="28"/>
  <c r="V262" i="28" s="1"/>
  <c r="V258" i="28"/>
  <c r="F258" i="28"/>
  <c r="H258" i="28" s="1"/>
  <c r="T262" i="28"/>
  <c r="F262" i="28"/>
  <c r="H262" i="28" s="1"/>
  <c r="I289" i="28"/>
  <c r="P516" i="28"/>
  <c r="I1116" i="28"/>
  <c r="F489" i="28"/>
  <c r="H489" i="28" s="1"/>
  <c r="N1603" i="29"/>
  <c r="N516" i="28"/>
  <c r="V1615" i="28"/>
  <c r="I1601" i="28"/>
  <c r="V599" i="28"/>
  <c r="V1546" i="28"/>
  <c r="I1546" i="28" s="1"/>
  <c r="F1546" i="28"/>
  <c r="H1546" i="28" s="1"/>
  <c r="I1152" i="28"/>
  <c r="Q280" i="29"/>
  <c r="R280" i="29" s="1"/>
  <c r="R393" i="29"/>
  <c r="Q1543" i="29"/>
  <c r="R1543" i="29" s="1"/>
  <c r="R1603" i="29" s="1"/>
  <c r="Q507" i="29"/>
  <c r="I1126" i="29"/>
  <c r="I1098" i="29"/>
  <c r="J1537" i="29"/>
  <c r="I1537" i="29"/>
  <c r="I1128" i="29"/>
  <c r="P1106" i="29"/>
  <c r="L1107" i="29"/>
  <c r="R1106" i="29"/>
  <c r="T1106" i="29"/>
  <c r="V1106" i="29"/>
  <c r="X1106" i="29"/>
  <c r="Z1106" i="29"/>
  <c r="N1106" i="29"/>
  <c r="G1106" i="29"/>
  <c r="H1106" i="29" s="1"/>
  <c r="P1603" i="29"/>
  <c r="I1565" i="28"/>
  <c r="F255" i="28"/>
  <c r="G256" i="28" s="1"/>
  <c r="H243" i="28"/>
  <c r="J599" i="28"/>
  <c r="I599" i="28"/>
  <c r="U278" i="28"/>
  <c r="U1532" i="28"/>
  <c r="U495" i="28"/>
  <c r="F374" i="28"/>
  <c r="V374" i="28"/>
  <c r="I374" i="28" s="1"/>
  <c r="U438" i="28"/>
  <c r="I1095" i="28"/>
  <c r="P1096" i="28"/>
  <c r="R1096" i="28"/>
  <c r="T1096" i="28"/>
  <c r="V1096" i="28"/>
  <c r="X1096" i="28"/>
  <c r="Z1096" i="28"/>
  <c r="N1096" i="28"/>
  <c r="I1096" i="28" s="1"/>
  <c r="G1096" i="28"/>
  <c r="H1096" i="28" s="1"/>
  <c r="I258" i="28"/>
  <c r="I243" i="28"/>
  <c r="I1088" i="28"/>
  <c r="P1089" i="28"/>
  <c r="R1089" i="28"/>
  <c r="T1089" i="28"/>
  <c r="V1089" i="28"/>
  <c r="X1089" i="28"/>
  <c r="Z1089" i="28"/>
  <c r="G1089" i="28"/>
  <c r="H1089" i="28" s="1"/>
  <c r="N1089" i="28"/>
  <c r="I1121" i="28"/>
  <c r="L1123" i="28"/>
  <c r="P1122" i="28"/>
  <c r="R1122" i="28"/>
  <c r="T1122" i="28"/>
  <c r="V1122" i="28"/>
  <c r="X1122" i="28"/>
  <c r="Z1122" i="28"/>
  <c r="N1122" i="28"/>
  <c r="I1122" i="28" s="1"/>
  <c r="G1122" i="28"/>
  <c r="H1122" i="28" s="1"/>
  <c r="I489" i="28"/>
  <c r="N264" i="29"/>
  <c r="I264" i="29" s="1"/>
  <c r="F264" i="29"/>
  <c r="H264" i="29" s="1"/>
  <c r="N528" i="29"/>
  <c r="I168" i="29"/>
  <c r="N211" i="29"/>
  <c r="Y390" i="29"/>
  <c r="Z402" i="29"/>
  <c r="I402" i="29" s="1"/>
  <c r="Y1589" i="29"/>
  <c r="Z1589" i="29" s="1"/>
  <c r="I1589" i="29" s="1"/>
  <c r="X528" i="29"/>
  <c r="A68" i="29" l="1"/>
  <c r="A69" i="29" s="1"/>
  <c r="A71" i="29" s="1"/>
  <c r="A73" i="29" s="1"/>
  <c r="A75" i="29" s="1"/>
  <c r="A77" i="29" s="1"/>
  <c r="A79" i="29" s="1"/>
  <c r="A81" i="29" s="1"/>
  <c r="A82" i="29" s="1"/>
  <c r="A84" i="29" s="1"/>
  <c r="A85" i="29" s="1"/>
  <c r="A86" i="29" s="1"/>
  <c r="A87" i="29" s="1"/>
  <c r="A88" i="29" s="1"/>
  <c r="A90" i="29" s="1"/>
  <c r="A91" i="29" s="1"/>
  <c r="A92" i="29" s="1"/>
  <c r="A93" i="29" s="1"/>
  <c r="A95" i="29" s="1"/>
  <c r="A96" i="29" s="1"/>
  <c r="A98" i="29" s="1"/>
  <c r="A100" i="29" s="1"/>
  <c r="A101" i="29" s="1"/>
  <c r="A102" i="29" s="1"/>
  <c r="A104" i="29" s="1"/>
  <c r="A110" i="29" s="1"/>
  <c r="A114" i="29" s="1"/>
  <c r="A117" i="29" s="1"/>
  <c r="A120" i="29" s="1"/>
  <c r="A123" i="29" s="1"/>
  <c r="A126" i="29" s="1"/>
  <c r="A129" i="29" s="1"/>
  <c r="A132" i="29" s="1"/>
  <c r="A136" i="29" s="1"/>
  <c r="A144" i="29" s="1"/>
  <c r="A147" i="29" s="1"/>
  <c r="A150" i="29" s="1"/>
  <c r="A153" i="29" s="1"/>
  <c r="A156" i="29" s="1"/>
  <c r="A159" i="29" s="1"/>
  <c r="A162" i="29" s="1"/>
  <c r="A165" i="29" s="1"/>
  <c r="A168" i="29" s="1"/>
  <c r="A171" i="29" s="1"/>
  <c r="A174" i="29" s="1"/>
  <c r="A177" i="29" s="1"/>
  <c r="A180" i="29" s="1"/>
  <c r="A183" i="29" s="1"/>
  <c r="A186" i="29" s="1"/>
  <c r="A189" i="29" s="1"/>
  <c r="A192" i="29" s="1"/>
  <c r="A201" i="29" s="1"/>
  <c r="A215" i="29" s="1"/>
  <c r="A222" i="29" s="1"/>
  <c r="A225" i="29" s="1"/>
  <c r="A228" i="29" s="1"/>
  <c r="A231" i="29" s="1"/>
  <c r="A234" i="29" s="1"/>
  <c r="A248" i="29" s="1"/>
  <c r="A258" i="29" s="1"/>
  <c r="A262" i="29" s="1"/>
  <c r="A266" i="29" s="1"/>
  <c r="A270" i="29" s="1"/>
  <c r="A273" i="29" s="1"/>
  <c r="A277" i="29" s="1"/>
  <c r="A280" i="29" s="1"/>
  <c r="A283" i="29" s="1"/>
  <c r="A294" i="29" s="1"/>
  <c r="A297" i="29" s="1"/>
  <c r="A300" i="29" s="1"/>
  <c r="A313" i="29" s="1"/>
  <c r="A326" i="29" s="1"/>
  <c r="A329" i="29" s="1"/>
  <c r="A332" i="29" s="1"/>
  <c r="A335" i="29" s="1"/>
  <c r="A338" i="29" s="1"/>
  <c r="A341" i="29" s="1"/>
  <c r="A344" i="29" s="1"/>
  <c r="A347" i="29" s="1"/>
  <c r="A350" i="29" s="1"/>
  <c r="A353" i="29" s="1"/>
  <c r="A356" i="29" s="1"/>
  <c r="A359" i="29" s="1"/>
  <c r="A362" i="29" s="1"/>
  <c r="A365" i="29" s="1"/>
  <c r="A368" i="29" s="1"/>
  <c r="A371" i="29" s="1"/>
  <c r="A382" i="29" s="1"/>
  <c r="A395" i="29" s="1"/>
  <c r="A404" i="29" s="1"/>
  <c r="A407" i="29" s="1"/>
  <c r="A418" i="29" s="1"/>
  <c r="A429" i="29" s="1"/>
  <c r="A440" i="29" s="1"/>
  <c r="A446" i="29" s="1"/>
  <c r="A450" i="29" s="1"/>
  <c r="A453" i="29" s="1"/>
  <c r="A464" i="29" s="1"/>
  <c r="A475" i="29" s="1"/>
  <c r="A478" i="29" s="1"/>
  <c r="A483" i="29" s="1"/>
  <c r="A486" i="29" s="1"/>
  <c r="A489" i="29" s="1"/>
  <c r="A492" i="29" s="1"/>
  <c r="A495" i="29" s="1"/>
  <c r="A498" i="29" s="1"/>
  <c r="A501" i="29" s="1"/>
  <c r="A504" i="29" s="1"/>
  <c r="A507" i="29" s="1"/>
  <c r="A510" i="29" s="1"/>
  <c r="A513" i="29" s="1"/>
  <c r="A516" i="29" s="1"/>
  <c r="A519" i="29" s="1"/>
  <c r="A522" i="29" s="1"/>
  <c r="A525" i="29" s="1"/>
  <c r="A531" i="29" s="1"/>
  <c r="A535" i="29" s="1"/>
  <c r="A538" i="29" s="1"/>
  <c r="A541" i="29" s="1"/>
  <c r="A544" i="29" s="1"/>
  <c r="A550" i="29" s="1"/>
  <c r="A553" i="29" s="1"/>
  <c r="A556" i="29" s="1"/>
  <c r="A559" i="29" s="1"/>
  <c r="A562" i="29" s="1"/>
  <c r="A568" i="29" s="1"/>
  <c r="A571" i="29" s="1"/>
  <c r="A574" i="29" s="1"/>
  <c r="I611" i="29"/>
  <c r="I612" i="29" s="1"/>
  <c r="J611" i="29"/>
  <c r="I1099" i="29"/>
  <c r="F1543" i="29"/>
  <c r="H1543" i="29" s="1"/>
  <c r="I1543" i="29"/>
  <c r="Y1575" i="29"/>
  <c r="Y1578" i="29" s="1"/>
  <c r="Y1555" i="29"/>
  <c r="Y1558" i="29" s="1"/>
  <c r="Y393" i="29"/>
  <c r="I211" i="29"/>
  <c r="J211" i="29"/>
  <c r="L1124" i="28"/>
  <c r="P1123" i="28"/>
  <c r="R1123" i="28"/>
  <c r="T1123" i="28"/>
  <c r="Z1123" i="28"/>
  <c r="G1123" i="28"/>
  <c r="H1123" i="28" s="1"/>
  <c r="V1123" i="28"/>
  <c r="X1123" i="28"/>
  <c r="N1123" i="28"/>
  <c r="I1123" i="28" s="1"/>
  <c r="I1089" i="28"/>
  <c r="V495" i="28"/>
  <c r="I495" i="28" s="1"/>
  <c r="F495" i="28"/>
  <c r="H495" i="28" s="1"/>
  <c r="V278" i="28"/>
  <c r="F278" i="28"/>
  <c r="H278" i="28" s="1"/>
  <c r="I1106" i="29"/>
  <c r="P1107" i="29"/>
  <c r="R1107" i="29"/>
  <c r="T1107" i="29"/>
  <c r="V1107" i="29"/>
  <c r="X1107" i="29"/>
  <c r="Z1107" i="29"/>
  <c r="N1107" i="29"/>
  <c r="G1107" i="29"/>
  <c r="H1107" i="29" s="1"/>
  <c r="F1589" i="29"/>
  <c r="H1589" i="29" s="1"/>
  <c r="J1615" i="28"/>
  <c r="I1615" i="28"/>
  <c r="I1629" i="29" s="1"/>
  <c r="I1971" i="29"/>
  <c r="I1968" i="29"/>
  <c r="V438" i="28"/>
  <c r="I438" i="28" s="1"/>
  <c r="F438" i="28"/>
  <c r="H438" i="28" s="1"/>
  <c r="H374" i="28"/>
  <c r="F375" i="28"/>
  <c r="V1532" i="28"/>
  <c r="F1532" i="28"/>
  <c r="H1532" i="28" s="1"/>
  <c r="R507" i="29"/>
  <c r="I262" i="28"/>
  <c r="T516" i="28"/>
  <c r="I1132" i="29"/>
  <c r="P1133" i="29"/>
  <c r="R1133" i="29"/>
  <c r="L1134" i="29"/>
  <c r="T1133" i="29"/>
  <c r="V1133" i="29"/>
  <c r="X1133" i="29"/>
  <c r="Z1133" i="29"/>
  <c r="N1133" i="29"/>
  <c r="G1133" i="29"/>
  <c r="H1133" i="29" s="1"/>
  <c r="P1100" i="29"/>
  <c r="R1100" i="29"/>
  <c r="T1100" i="29"/>
  <c r="V1100" i="29"/>
  <c r="X1100" i="29"/>
  <c r="Z1100" i="29"/>
  <c r="N1100" i="29"/>
  <c r="G1100" i="29"/>
  <c r="H1100" i="29" s="1"/>
  <c r="A581" i="29" l="1"/>
  <c r="A587" i="29" s="1"/>
  <c r="A594" i="29" s="1"/>
  <c r="A597" i="29" s="1"/>
  <c r="A603" i="29" s="1"/>
  <c r="A607" i="29" s="1"/>
  <c r="A614" i="29" s="1"/>
  <c r="A617" i="29" s="1"/>
  <c r="A623" i="29" s="1"/>
  <c r="A626" i="29" s="1"/>
  <c r="A629" i="29" s="1"/>
  <c r="A632" i="29" s="1"/>
  <c r="A635" i="29" s="1"/>
  <c r="A638" i="29" s="1"/>
  <c r="A644" i="29" s="1"/>
  <c r="A648" i="29" s="1"/>
  <c r="A652" i="29" s="1"/>
  <c r="A655" i="29" s="1"/>
  <c r="A661" i="29" s="1"/>
  <c r="A667" i="29" s="1"/>
  <c r="A670" i="29" s="1"/>
  <c r="A676" i="29" s="1"/>
  <c r="A687" i="29" s="1"/>
  <c r="A690" i="29" s="1"/>
  <c r="A695" i="29" s="1"/>
  <c r="A698" i="29" s="1"/>
  <c r="A701" i="29" s="1"/>
  <c r="A704" i="29" s="1"/>
  <c r="A710" i="29" s="1"/>
  <c r="A1077" i="29" s="1"/>
  <c r="A1088" i="29" s="1"/>
  <c r="A1095" i="29" s="1"/>
  <c r="A1102" i="29" s="1"/>
  <c r="A1109" i="29" s="1"/>
  <c r="A1116" i="29" s="1"/>
  <c r="A1123" i="29" s="1"/>
  <c r="A1130" i="29" s="1"/>
  <c r="A1137" i="29" s="1"/>
  <c r="A1152" i="29" s="1"/>
  <c r="A1167" i="29" s="1"/>
  <c r="A1182" i="29" s="1"/>
  <c r="A1191" i="29" s="1"/>
  <c r="A1195" i="29" s="1"/>
  <c r="A1204" i="29" s="1"/>
  <c r="A1210" i="29" s="1"/>
  <c r="A1221" i="29" s="1"/>
  <c r="A1228" i="29" s="1"/>
  <c r="A1237" i="29" s="1"/>
  <c r="A1240" i="29" s="1"/>
  <c r="A1243" i="29" s="1"/>
  <c r="A1246" i="29" s="1"/>
  <c r="A1249" i="29" s="1"/>
  <c r="A1255" i="29" s="1"/>
  <c r="A1258" i="29" s="1"/>
  <c r="A1264" i="29" s="1"/>
  <c r="A1267" i="29" s="1"/>
  <c r="A1270" i="29" s="1"/>
  <c r="A1273" i="29" s="1"/>
  <c r="A1276" i="29" s="1"/>
  <c r="A1279" i="29" s="1"/>
  <c r="A1282" i="29" s="1"/>
  <c r="A1285" i="29" s="1"/>
  <c r="A1288" i="29" s="1"/>
  <c r="A1294" i="29" s="1"/>
  <c r="A1297" i="29" s="1"/>
  <c r="A1300" i="29" s="1"/>
  <c r="A1303" i="29" s="1"/>
  <c r="A1306" i="29" s="1"/>
  <c r="A1309" i="29" s="1"/>
  <c r="A1312" i="29" s="1"/>
  <c r="A1315" i="29" s="1"/>
  <c r="A1318" i="29" s="1"/>
  <c r="A1321" i="29" s="1"/>
  <c r="A1327" i="29" s="1"/>
  <c r="A1337" i="29" s="1"/>
  <c r="A1357" i="29" s="1"/>
  <c r="A1377" i="29" s="1"/>
  <c r="A1384" i="29" s="1"/>
  <c r="A1389" i="29" s="1"/>
  <c r="A1393" i="29" s="1"/>
  <c r="A1397" i="29" s="1"/>
  <c r="A1401" i="29" s="1"/>
  <c r="A1406" i="29" s="1"/>
  <c r="A1411" i="29" s="1"/>
  <c r="A1419" i="29" s="1"/>
  <c r="A1424" i="29" s="1"/>
  <c r="A1434" i="29" s="1"/>
  <c r="A1439" i="29" s="1"/>
  <c r="A1446" i="29" s="1"/>
  <c r="A1453" i="29" s="1"/>
  <c r="A1456" i="29" s="1"/>
  <c r="A1459" i="29" s="1"/>
  <c r="A1462" i="29" s="1"/>
  <c r="A1466" i="29" s="1"/>
  <c r="A1474" i="29" s="1"/>
  <c r="A1481" i="29" s="1"/>
  <c r="A1484" i="29" s="1"/>
  <c r="A1487" i="29" s="1"/>
  <c r="A1490" i="29" s="1"/>
  <c r="A1493" i="29" s="1"/>
  <c r="A1496" i="29" s="1"/>
  <c r="A1510" i="29" s="1"/>
  <c r="A1524" i="29" s="1"/>
  <c r="A1534" i="29" s="1"/>
  <c r="A1540" i="29" s="1"/>
  <c r="A1543" i="29" s="1"/>
  <c r="A1546" i="29" s="1"/>
  <c r="A1549" i="29" s="1"/>
  <c r="A1560" i="29" s="1"/>
  <c r="A1563" i="29" s="1"/>
  <c r="A1566" i="29" s="1"/>
  <c r="A1569" i="29" s="1"/>
  <c r="A1580" i="29" s="1"/>
  <c r="A1583" i="29" s="1"/>
  <c r="A1586" i="29" s="1"/>
  <c r="A1589" i="29" s="1"/>
  <c r="A1592" i="29" s="1"/>
  <c r="A1606" i="29" s="1"/>
  <c r="A1616" i="29" s="1"/>
  <c r="A1619" i="29" s="1"/>
  <c r="A1622" i="29" s="1"/>
  <c r="A1625" i="29" s="1"/>
  <c r="A1631" i="29" s="1"/>
  <c r="A1637" i="29" s="1"/>
  <c r="A1646" i="29" s="1"/>
  <c r="A1653" i="29" s="1"/>
  <c r="A1660" i="29" s="1"/>
  <c r="A1666" i="29" s="1"/>
  <c r="A1679" i="29" s="1"/>
  <c r="A1683" i="29" s="1"/>
  <c r="A1686" i="29" s="1"/>
  <c r="A1689" i="29" s="1"/>
  <c r="A1694" i="29" s="1"/>
  <c r="A1696" i="29" s="1"/>
  <c r="A1699" i="29" s="1"/>
  <c r="A1702" i="29" s="1"/>
  <c r="A1705" i="29" s="1"/>
  <c r="A1711" i="29" s="1"/>
  <c r="A1714" i="29" s="1"/>
  <c r="A1718" i="29" s="1"/>
  <c r="A1722" i="29" s="1"/>
  <c r="A1726" i="29" s="1"/>
  <c r="A1730" i="29" s="1"/>
  <c r="A1733" i="29" s="1"/>
  <c r="A1736" i="29" s="1"/>
  <c r="A1739" i="29" s="1"/>
  <c r="A1742" i="29" s="1"/>
  <c r="A1750" i="29" s="1"/>
  <c r="A1757" i="29" s="1"/>
  <c r="A1760" i="29" s="1"/>
  <c r="A1765" i="29" s="1"/>
  <c r="A1769" i="29" s="1"/>
  <c r="A1771" i="29" s="1"/>
  <c r="A1778" i="29" s="1"/>
  <c r="A1784" i="29" s="1"/>
  <c r="A1788" i="29" s="1"/>
  <c r="A1795" i="29" s="1"/>
  <c r="A1805" i="29" s="1"/>
  <c r="A1808" i="29" s="1"/>
  <c r="A1811" i="29" s="1"/>
  <c r="A1814" i="29" s="1"/>
  <c r="A1817" i="29" s="1"/>
  <c r="A1820" i="29" s="1"/>
  <c r="A1823" i="29" s="1"/>
  <c r="A1830" i="29" s="1"/>
  <c r="A1833" i="29" s="1"/>
  <c r="A1843" i="29" s="1"/>
  <c r="A1846" i="29" s="1"/>
  <c r="A1849" i="29" s="1"/>
  <c r="A1852" i="29" s="1"/>
  <c r="A1855" i="29" s="1"/>
  <c r="A1858" i="29" s="1"/>
  <c r="A1861" i="29" s="1"/>
  <c r="A1864" i="29" s="1"/>
  <c r="A1867" i="29" s="1"/>
  <c r="A1870" i="29" s="1"/>
  <c r="A1873" i="29" s="1"/>
  <c r="A1876" i="29" s="1"/>
  <c r="A1881" i="29" s="1"/>
  <c r="A1884" i="29" s="1"/>
  <c r="A1887" i="29" s="1"/>
  <c r="A1890" i="29" s="1"/>
  <c r="A1893" i="29" s="1"/>
  <c r="A1896" i="29" s="1"/>
  <c r="A1899" i="29" s="1"/>
  <c r="A1904" i="29" s="1"/>
  <c r="A1907" i="29" s="1"/>
  <c r="A1910" i="29" s="1"/>
  <c r="A1913" i="29" s="1"/>
  <c r="A1916" i="29" s="1"/>
  <c r="A1919" i="29" s="1"/>
  <c r="A1922" i="29" s="1"/>
  <c r="A1925" i="29" s="1"/>
  <c r="A1928" i="29" s="1"/>
  <c r="A1931" i="29" s="1"/>
  <c r="A1934" i="29" s="1"/>
  <c r="A1937" i="29" s="1"/>
  <c r="A577" i="29"/>
  <c r="I1107" i="29"/>
  <c r="X1250" i="28"/>
  <c r="X1928" i="28" s="1"/>
  <c r="P1124" i="28"/>
  <c r="P1250" i="28" s="1"/>
  <c r="P1927" i="28" s="1"/>
  <c r="R1124" i="28"/>
  <c r="R1250" i="28" s="1"/>
  <c r="R1928" i="28" s="1"/>
  <c r="T1124" i="28"/>
  <c r="T1250" i="28" s="1"/>
  <c r="T1928" i="28" s="1"/>
  <c r="V1124" i="28"/>
  <c r="V1250" i="28" s="1"/>
  <c r="X1124" i="28"/>
  <c r="Z1124" i="28"/>
  <c r="Z1250" i="28" s="1"/>
  <c r="Z1928" i="28" s="1"/>
  <c r="N1124" i="28"/>
  <c r="G1124" i="28"/>
  <c r="H1124" i="28" s="1"/>
  <c r="H1928" i="28" s="1"/>
  <c r="Z1558" i="29"/>
  <c r="F1558" i="29"/>
  <c r="H1558" i="29" s="1"/>
  <c r="P1134" i="29"/>
  <c r="L1135" i="29"/>
  <c r="R1134" i="29"/>
  <c r="N1134" i="29"/>
  <c r="T1134" i="29"/>
  <c r="V1134" i="29"/>
  <c r="X1134" i="29"/>
  <c r="Z1134" i="29"/>
  <c r="G1134" i="29"/>
  <c r="H1134" i="29" s="1"/>
  <c r="R528" i="29"/>
  <c r="V1590" i="28"/>
  <c r="I1532" i="28"/>
  <c r="I1100" i="29"/>
  <c r="I1133" i="29"/>
  <c r="I278" i="28"/>
  <c r="V516" i="28"/>
  <c r="I212" i="29"/>
  <c r="Y280" i="29"/>
  <c r="Z393" i="29"/>
  <c r="I393" i="29" s="1"/>
  <c r="Y507" i="29"/>
  <c r="F393" i="29"/>
  <c r="Z1578" i="29"/>
  <c r="I1578" i="29" s="1"/>
  <c r="F1578" i="29"/>
  <c r="H1578" i="29" s="1"/>
  <c r="A1672" i="29" l="1"/>
  <c r="A1676" i="29" s="1"/>
  <c r="T1961" i="28"/>
  <c r="T1956" i="28"/>
  <c r="T1959" i="28" s="1"/>
  <c r="T1955" i="28"/>
  <c r="Z1955" i="28"/>
  <c r="Z1961" i="28"/>
  <c r="Z1956" i="28"/>
  <c r="Z1959" i="28" s="1"/>
  <c r="I1590" i="28"/>
  <c r="J1590" i="28"/>
  <c r="I1134" i="29"/>
  <c r="P1135" i="29"/>
  <c r="P1261" i="29" s="1"/>
  <c r="P1940" i="29" s="1"/>
  <c r="P1072" i="29" s="1"/>
  <c r="R1135" i="29"/>
  <c r="R1261" i="29" s="1"/>
  <c r="R1941" i="29" s="1"/>
  <c r="T1135" i="29"/>
  <c r="T1261" i="29" s="1"/>
  <c r="T1941" i="29" s="1"/>
  <c r="V1135" i="29"/>
  <c r="V1261" i="29" s="1"/>
  <c r="V1941" i="29" s="1"/>
  <c r="X1135" i="29"/>
  <c r="X1261" i="29" s="1"/>
  <c r="X1941" i="29" s="1"/>
  <c r="Z1135" i="29"/>
  <c r="Z1261" i="29" s="1"/>
  <c r="N1135" i="29"/>
  <c r="G1135" i="29"/>
  <c r="H1135" i="29" s="1"/>
  <c r="Z507" i="29"/>
  <c r="I507" i="29" s="1"/>
  <c r="F507" i="29"/>
  <c r="H507" i="29" s="1"/>
  <c r="Z280" i="29"/>
  <c r="F280" i="29"/>
  <c r="H280" i="29" s="1"/>
  <c r="V1928" i="28"/>
  <c r="I516" i="28"/>
  <c r="J516" i="28"/>
  <c r="I1558" i="29"/>
  <c r="Z1603" i="29"/>
  <c r="I1124" i="28"/>
  <c r="N1250" i="28"/>
  <c r="O1927" i="28"/>
  <c r="P1061" i="28"/>
  <c r="H393" i="29"/>
  <c r="F394" i="29"/>
  <c r="R1961" i="28"/>
  <c r="R1956" i="28"/>
  <c r="R1959" i="28" s="1"/>
  <c r="R1955" i="28"/>
  <c r="X1955" i="28"/>
  <c r="X1961" i="28"/>
  <c r="X1956" i="28"/>
  <c r="X1959" i="28" s="1"/>
  <c r="I1135" i="29" l="1"/>
  <c r="R1974" i="29"/>
  <c r="R1969" i="29"/>
  <c r="R1972" i="29" s="1"/>
  <c r="R1968" i="29"/>
  <c r="X1969" i="28"/>
  <c r="X1989" i="28"/>
  <c r="R1989" i="28"/>
  <c r="R1969" i="28"/>
  <c r="P1063" i="28"/>
  <c r="I1061" i="28"/>
  <c r="J1250" i="28"/>
  <c r="I1250" i="28"/>
  <c r="N1928" i="28"/>
  <c r="I1603" i="29"/>
  <c r="I1604" i="29" s="1"/>
  <c r="J1603" i="29"/>
  <c r="N1261" i="29"/>
  <c r="H1941" i="29"/>
  <c r="V1974" i="29"/>
  <c r="V1969" i="29"/>
  <c r="V1972" i="29" s="1"/>
  <c r="V1968" i="29"/>
  <c r="V1956" i="28"/>
  <c r="V1959" i="28" s="1"/>
  <c r="V1961" i="28"/>
  <c r="V1955" i="28"/>
  <c r="Z528" i="29"/>
  <c r="I280" i="29"/>
  <c r="X1974" i="29"/>
  <c r="X1969" i="29"/>
  <c r="X1972" i="29" s="1"/>
  <c r="X1968" i="29"/>
  <c r="T1974" i="29"/>
  <c r="T1969" i="29"/>
  <c r="T1972" i="29" s="1"/>
  <c r="T1968" i="29"/>
  <c r="Z1989" i="28"/>
  <c r="Z1969" i="28"/>
  <c r="T1969" i="28"/>
  <c r="T1989" i="28"/>
  <c r="T1996" i="28" l="1"/>
  <c r="Z1996" i="28"/>
  <c r="X2002" i="29"/>
  <c r="X1982" i="29"/>
  <c r="Z1941" i="29"/>
  <c r="I528" i="29"/>
  <c r="J528" i="29"/>
  <c r="V1989" i="28"/>
  <c r="V1969" i="28"/>
  <c r="I1928" i="28"/>
  <c r="N1956" i="28"/>
  <c r="N1959" i="28" s="1"/>
  <c r="N1961" i="28"/>
  <c r="N111" i="28"/>
  <c r="N1064" i="28"/>
  <c r="N1616" i="28"/>
  <c r="N1955" i="28"/>
  <c r="N536" i="28"/>
  <c r="N1281" i="28"/>
  <c r="N630" i="28"/>
  <c r="N1631" i="28"/>
  <c r="N107" i="28"/>
  <c r="N1638" i="28"/>
  <c r="N1527" i="28"/>
  <c r="N1314" i="28"/>
  <c r="N554" i="28"/>
  <c r="N706" i="28"/>
  <c r="N672" i="28"/>
  <c r="N648" i="28"/>
  <c r="N600" i="28"/>
  <c r="N211" i="28"/>
  <c r="N517" i="28"/>
  <c r="N1591" i="28"/>
  <c r="N1251" i="28"/>
  <c r="R1996" i="28"/>
  <c r="X1996" i="28"/>
  <c r="R2002" i="29"/>
  <c r="R1982" i="29"/>
  <c r="I1072" i="29"/>
  <c r="P1074" i="29"/>
  <c r="T2002" i="29"/>
  <c r="T1982" i="29"/>
  <c r="V2002" i="29"/>
  <c r="V1982" i="29"/>
  <c r="I1261" i="29"/>
  <c r="I1262" i="29" s="1"/>
  <c r="J1261" i="29"/>
  <c r="N1941" i="29"/>
  <c r="I1063" i="28"/>
  <c r="I1927" i="28" s="1"/>
  <c r="J1063" i="28"/>
  <c r="J1929" i="28" s="1"/>
  <c r="P1928" i="28"/>
  <c r="R1970" i="28"/>
  <c r="Z107" i="29" l="1"/>
  <c r="V107" i="29"/>
  <c r="R107" i="29"/>
  <c r="N107" i="29"/>
  <c r="X107" i="29"/>
  <c r="T107" i="29"/>
  <c r="P107" i="29"/>
  <c r="N1974" i="29"/>
  <c r="N2002" i="29" s="1"/>
  <c r="N2009" i="29" s="1"/>
  <c r="N1969" i="29"/>
  <c r="N1972" i="29" s="1"/>
  <c r="N1973" i="29" s="1"/>
  <c r="N566" i="29"/>
  <c r="N683" i="29"/>
  <c r="N1075" i="29"/>
  <c r="N1651" i="29"/>
  <c r="N111" i="29"/>
  <c r="N717" i="29"/>
  <c r="N1629" i="29"/>
  <c r="N1325" i="29"/>
  <c r="N1292" i="29"/>
  <c r="N642" i="29"/>
  <c r="N659" i="29"/>
  <c r="N548" i="29"/>
  <c r="N612" i="29"/>
  <c r="N1644" i="29"/>
  <c r="N1538" i="29"/>
  <c r="N1968" i="29"/>
  <c r="N529" i="29"/>
  <c r="N1604" i="29"/>
  <c r="N212" i="29"/>
  <c r="T2009" i="29"/>
  <c r="T2017" i="29" s="1"/>
  <c r="N1989" i="28"/>
  <c r="N1967" i="28"/>
  <c r="I1956" i="28"/>
  <c r="I1961" i="28"/>
  <c r="V1996" i="28"/>
  <c r="I529" i="29"/>
  <c r="X2009" i="29"/>
  <c r="X2017" i="29" s="1"/>
  <c r="Z2004" i="28"/>
  <c r="P1955" i="28"/>
  <c r="P1961" i="28"/>
  <c r="P1956" i="28"/>
  <c r="P1959" i="28" s="1"/>
  <c r="O1959" i="28" s="1"/>
  <c r="O1929" i="28"/>
  <c r="H1929" i="28"/>
  <c r="N1262" i="29"/>
  <c r="V2009" i="29"/>
  <c r="I1074" i="29"/>
  <c r="I1075" i="29" s="1"/>
  <c r="J1074" i="29"/>
  <c r="J1942" i="29" s="1"/>
  <c r="P1941" i="29"/>
  <c r="R2009" i="29"/>
  <c r="X2004" i="28"/>
  <c r="R1991" i="28"/>
  <c r="R2004" i="28"/>
  <c r="N1929" i="28"/>
  <c r="Z1974" i="29"/>
  <c r="Z1969" i="29"/>
  <c r="Z1972" i="29" s="1"/>
  <c r="Z1968" i="29"/>
  <c r="T2004" i="28"/>
  <c r="O1942" i="29" l="1"/>
  <c r="P1974" i="29"/>
  <c r="I1979" i="29" s="1"/>
  <c r="I1980" i="29" s="1"/>
  <c r="P1969" i="29"/>
  <c r="P1972" i="29" s="1"/>
  <c r="O1972" i="29" s="1"/>
  <c r="P1968" i="29"/>
  <c r="H1942" i="29"/>
  <c r="Z2002" i="29"/>
  <c r="Z1982" i="29"/>
  <c r="R1983" i="29" s="1"/>
  <c r="R2017" i="29"/>
  <c r="V2017" i="29"/>
  <c r="P1989" i="28"/>
  <c r="P1968" i="28"/>
  <c r="P1962" i="28"/>
  <c r="V2004" i="28"/>
  <c r="I1959" i="28"/>
  <c r="I1955" i="28"/>
  <c r="I1966" i="28"/>
  <c r="N1971" i="28" s="1"/>
  <c r="I1941" i="29"/>
  <c r="H1961" i="28"/>
  <c r="H1956" i="28"/>
  <c r="H1958" i="28" s="1"/>
  <c r="I1940" i="29"/>
  <c r="I1989" i="28"/>
  <c r="X1962" i="28"/>
  <c r="Z1962" i="28"/>
  <c r="T1962" i="28"/>
  <c r="R1962" i="28"/>
  <c r="V1962" i="28"/>
  <c r="N1962" i="28"/>
  <c r="N1996" i="28"/>
  <c r="N1992" i="28"/>
  <c r="J1989" i="28"/>
  <c r="N1942" i="29"/>
  <c r="N1980" i="29"/>
  <c r="N1984" i="29" l="1"/>
  <c r="N2003" i="29"/>
  <c r="N2017" i="29"/>
  <c r="N1998" i="28"/>
  <c r="N2004" i="28"/>
  <c r="I1962" i="28"/>
  <c r="Z1990" i="28"/>
  <c r="Z1998" i="28" s="1"/>
  <c r="T1990" i="28"/>
  <c r="T1998" i="28" s="1"/>
  <c r="R1990" i="28"/>
  <c r="X1990" i="28"/>
  <c r="X1998" i="28" s="1"/>
  <c r="V1990" i="28"/>
  <c r="V1998" i="28" s="1"/>
  <c r="P1971" i="28"/>
  <c r="R1984" i="29"/>
  <c r="Z2009" i="29"/>
  <c r="Z2017" i="29" s="1"/>
  <c r="R2004" i="29"/>
  <c r="AA2004" i="29" s="1"/>
  <c r="H1974" i="29"/>
  <c r="H1969" i="29"/>
  <c r="H1971" i="29" s="1"/>
  <c r="I1969" i="29"/>
  <c r="I1974" i="29"/>
  <c r="P1975" i="29" s="1"/>
  <c r="I1942" i="29"/>
  <c r="R1971" i="28"/>
  <c r="P1992" i="28"/>
  <c r="P1998" i="28" s="1"/>
  <c r="P1996" i="28"/>
  <c r="P2002" i="29"/>
  <c r="J2002" i="29" s="1"/>
  <c r="P1981" i="29"/>
  <c r="P1984" i="29" s="1"/>
  <c r="P2009" i="29" l="1"/>
  <c r="P2017" i="29" s="1"/>
  <c r="P2003" i="29"/>
  <c r="P2004" i="28"/>
  <c r="I2002" i="29"/>
  <c r="I1975" i="29"/>
  <c r="X1975" i="29"/>
  <c r="R1975" i="29"/>
  <c r="T1975" i="29"/>
  <c r="V1975" i="29"/>
  <c r="Z1975" i="29"/>
  <c r="N1975" i="29"/>
  <c r="I1970" i="29"/>
  <c r="I1972" i="29" s="1"/>
  <c r="I1973" i="29" s="1"/>
  <c r="R1998" i="28"/>
  <c r="R1992" i="28"/>
  <c r="I1992" i="28" s="1"/>
  <c r="I1996" i="28"/>
  <c r="J1998" i="28"/>
  <c r="P2005" i="29" l="1"/>
  <c r="P2011" i="29" s="1"/>
  <c r="R2003" i="29"/>
  <c r="N2005" i="29"/>
  <c r="I2004" i="28"/>
  <c r="F5" i="18"/>
  <c r="K1975" i="29"/>
  <c r="I2009" i="29"/>
  <c r="I2003" i="29"/>
  <c r="T2003" i="29"/>
  <c r="T2011" i="29" s="1"/>
  <c r="X2003" i="29"/>
  <c r="X2011" i="29" s="1"/>
  <c r="V2003" i="29"/>
  <c r="V2011" i="29" s="1"/>
  <c r="Z2003" i="29"/>
  <c r="Z2011" i="29" s="1"/>
  <c r="N2011" i="29" l="1"/>
  <c r="F5" i="30"/>
  <c r="R2011" i="29"/>
  <c r="R2005" i="29"/>
  <c r="I2005" i="29" s="1"/>
  <c r="I2017" i="29"/>
  <c r="F12" i="18"/>
  <c r="F13" i="18"/>
  <c r="F15" i="18" s="1"/>
  <c r="F42" i="18"/>
  <c r="F108" i="18"/>
  <c r="F27" i="18"/>
  <c r="F29" i="18" s="1"/>
  <c r="F202" i="18"/>
  <c r="F140" i="18"/>
  <c r="F142" i="18" s="1"/>
  <c r="H131" i="18"/>
  <c r="F137" i="18" l="1"/>
  <c r="F170" i="18" s="1"/>
  <c r="B153" i="18"/>
  <c r="D153" i="18" s="1"/>
  <c r="D154" i="18" s="1"/>
  <c r="F154" i="18" s="1"/>
  <c r="F156" i="18" s="1"/>
  <c r="F209" i="18"/>
  <c r="F115" i="18"/>
  <c r="F120" i="18" s="1"/>
  <c r="F143" i="18"/>
  <c r="F146" i="18"/>
  <c r="F144" i="18"/>
  <c r="F145" i="18" s="1"/>
  <c r="F87" i="18"/>
  <c r="F31" i="18"/>
  <c r="F33" i="18" s="1"/>
  <c r="F34" i="18" s="1"/>
  <c r="F36" i="18" s="1"/>
  <c r="F44" i="18"/>
  <c r="F58" i="18"/>
  <c r="F89" i="18" s="1"/>
  <c r="H56" i="18"/>
  <c r="F12" i="30"/>
  <c r="F79" i="18"/>
  <c r="F82" i="18" s="1"/>
  <c r="F90" i="18" s="1"/>
  <c r="F13" i="30"/>
  <c r="F15" i="30" s="1"/>
  <c r="F27" i="30"/>
  <c r="F42" i="30"/>
  <c r="F108" i="30"/>
  <c r="F202" i="30"/>
  <c r="F140" i="30"/>
  <c r="F142" i="30" s="1"/>
  <c r="H131" i="30"/>
  <c r="F86" i="18"/>
  <c r="F17" i="18"/>
  <c r="J2011" i="29"/>
  <c r="F44" i="30" l="1"/>
  <c r="F58" i="30"/>
  <c r="F89" i="30" s="1"/>
  <c r="H56" i="30"/>
  <c r="F86" i="30"/>
  <c r="F17" i="30"/>
  <c r="F79" i="30"/>
  <c r="F82" i="30" s="1"/>
  <c r="F90" i="30" s="1"/>
  <c r="F115" i="30"/>
  <c r="F120" i="30" s="1"/>
  <c r="F40" i="18"/>
  <c r="F37" i="18"/>
  <c r="F38" i="18" s="1"/>
  <c r="F169" i="18"/>
  <c r="F122" i="18"/>
  <c r="F171" i="18"/>
  <c r="F158" i="18"/>
  <c r="F143" i="30"/>
  <c r="F144" i="30" s="1"/>
  <c r="F146" i="30"/>
  <c r="F137" i="30"/>
  <c r="F170" i="30" s="1"/>
  <c r="B153" i="30"/>
  <c r="D153" i="30" s="1"/>
  <c r="D154" i="30" s="1"/>
  <c r="F154" i="30" s="1"/>
  <c r="F156" i="30" s="1"/>
  <c r="F209" i="30"/>
  <c r="F29" i="30"/>
  <c r="F88" i="18"/>
  <c r="F91" i="18" s="1"/>
  <c r="F46" i="18"/>
  <c r="F212" i="18"/>
  <c r="F172" i="18" s="1"/>
  <c r="F210" i="18"/>
  <c r="F145" i="30" l="1"/>
  <c r="F96" i="18"/>
  <c r="F95" i="18"/>
  <c r="F210" i="30"/>
  <c r="F212" i="30" s="1"/>
  <c r="F172" i="30" s="1"/>
  <c r="F39" i="18"/>
  <c r="F169" i="30"/>
  <c r="F122" i="30"/>
  <c r="F88" i="30"/>
  <c r="F46" i="30"/>
  <c r="F87" i="30"/>
  <c r="F31" i="30"/>
  <c r="F33" i="30" s="1"/>
  <c r="F34" i="30" s="1"/>
  <c r="F36" i="30" s="1"/>
  <c r="F171" i="30"/>
  <c r="F158" i="30"/>
  <c r="F174" i="18"/>
  <c r="F91" i="30" l="1"/>
  <c r="F95" i="30" s="1"/>
  <c r="F96" i="30"/>
  <c r="F40" i="30"/>
  <c r="F37" i="30"/>
  <c r="F38" i="30" s="1"/>
  <c r="F98" i="18"/>
  <c r="F99" i="18" s="1"/>
  <c r="F178" i="18"/>
  <c r="F177" i="18"/>
  <c r="F174" i="30"/>
  <c r="F100" i="18" l="1"/>
  <c r="F101" i="18" s="1"/>
  <c r="F104" i="18"/>
  <c r="F39" i="30"/>
  <c r="F177" i="30"/>
  <c r="F178" i="30" s="1"/>
  <c r="F180" i="18"/>
  <c r="F181" i="18" s="1"/>
  <c r="F98" i="30"/>
  <c r="F99" i="30" s="1"/>
  <c r="F100" i="30" l="1"/>
  <c r="F101" i="30" s="1"/>
  <c r="F104" i="30"/>
  <c r="F182" i="18"/>
  <c r="F183" i="18" s="1"/>
  <c r="F186" i="18"/>
  <c r="F189" i="18"/>
  <c r="F190" i="18" s="1"/>
  <c r="F102" i="18"/>
  <c r="F103" i="18" s="1"/>
  <c r="F105" i="18" s="1"/>
  <c r="F180" i="30"/>
  <c r="F181" i="30" s="1"/>
  <c r="F182" i="30" l="1"/>
  <c r="F183" i="30" s="1"/>
  <c r="F186" i="30"/>
  <c r="F189" i="30"/>
  <c r="F190" i="30" s="1"/>
  <c r="F184" i="18"/>
  <c r="F185" i="18" s="1"/>
  <c r="F187" i="18" s="1"/>
  <c r="I1997" i="28"/>
  <c r="F191" i="18"/>
  <c r="H190" i="18"/>
  <c r="F102" i="30"/>
  <c r="F103" i="30" s="1"/>
  <c r="F105" i="30" s="1"/>
  <c r="F184" i="30" l="1"/>
  <c r="F185" i="30" s="1"/>
  <c r="F187" i="30" s="1"/>
  <c r="I2010" i="29"/>
  <c r="H190" i="30"/>
  <c r="F191" i="30"/>
  <c r="I2005" i="28"/>
  <c r="Z1997" i="28"/>
  <c r="X1997" i="28"/>
  <c r="V1997" i="28"/>
  <c r="T1997" i="28"/>
  <c r="R1997" i="28"/>
  <c r="P1997" i="28"/>
  <c r="N1997" i="28"/>
  <c r="I2000" i="28"/>
  <c r="I2002" i="28" s="1"/>
  <c r="I2008" i="28" s="1"/>
  <c r="P2005" i="28" l="1"/>
  <c r="P2000" i="28"/>
  <c r="P2002" i="28" s="1"/>
  <c r="P2008" i="28" s="1"/>
  <c r="P2012" i="28" s="1"/>
  <c r="T2005" i="28"/>
  <c r="T2000" i="28"/>
  <c r="T2002" i="28" s="1"/>
  <c r="T2008" i="28" s="1"/>
  <c r="X2005" i="28"/>
  <c r="X2000" i="28"/>
  <c r="X2002" i="28" s="1"/>
  <c r="X2008" i="28" s="1"/>
  <c r="N2005" i="28"/>
  <c r="J1997" i="28"/>
  <c r="N2000" i="28"/>
  <c r="N2002" i="28" s="1"/>
  <c r="N2008" i="28" s="1"/>
  <c r="R2005" i="28"/>
  <c r="R2000" i="28"/>
  <c r="R2002" i="28" s="1"/>
  <c r="R2008" i="28" s="1"/>
  <c r="V2005" i="28"/>
  <c r="V2000" i="28"/>
  <c r="V2002" i="28" s="1"/>
  <c r="V2008" i="28" s="1"/>
  <c r="Z2005" i="28"/>
  <c r="Z2000" i="28"/>
  <c r="Z2002" i="28" s="1"/>
  <c r="Z2008" i="28" s="1"/>
  <c r="I2018" i="29"/>
  <c r="P2010" i="29"/>
  <c r="N2010" i="29"/>
  <c r="R2010" i="29"/>
  <c r="T2010" i="29"/>
  <c r="V2010" i="29"/>
  <c r="X2010" i="29"/>
  <c r="Z2010" i="29"/>
  <c r="I2013" i="29"/>
  <c r="V2018" i="29" l="1"/>
  <c r="V2013" i="29"/>
  <c r="V2015" i="29" s="1"/>
  <c r="R2018" i="29"/>
  <c r="R2013" i="29"/>
  <c r="R2015" i="29" s="1"/>
  <c r="P2018" i="29"/>
  <c r="P2013" i="29"/>
  <c r="P2015" i="29" s="1"/>
  <c r="I2014" i="29"/>
  <c r="I2016" i="29"/>
  <c r="I2015" i="29"/>
  <c r="I2021" i="29" s="1"/>
  <c r="I2024" i="29" s="1"/>
  <c r="X2018" i="29"/>
  <c r="X2013" i="29"/>
  <c r="X2015" i="29" s="1"/>
  <c r="T2018" i="29"/>
  <c r="T2013" i="29"/>
  <c r="T2015" i="29" s="1"/>
  <c r="N2018" i="29"/>
  <c r="J2010" i="29"/>
  <c r="N2013" i="29"/>
  <c r="N2015" i="29" s="1"/>
  <c r="Z2018" i="29"/>
  <c r="Z2013" i="29"/>
  <c r="Z2015" i="29" s="1"/>
  <c r="Q2011" i="28"/>
  <c r="Q2012" i="28" s="1"/>
  <c r="N2012" i="28"/>
  <c r="J2008" i="28"/>
  <c r="J2005" i="28"/>
  <c r="N2021" i="29" l="1"/>
  <c r="N2025" i="29"/>
  <c r="T2021" i="29"/>
  <c r="P2021" i="29"/>
  <c r="R2021" i="29"/>
  <c r="X2021" i="29"/>
  <c r="Z2021" i="29"/>
  <c r="V2021" i="29"/>
  <c r="J2018" i="29"/>
  <c r="Q2024" i="29" l="1"/>
  <c r="Q2025" i="29" s="1"/>
  <c r="J2021" i="29"/>
  <c r="P2025" i="29"/>
  <c r="I2025" i="29" l="1"/>
</calcChain>
</file>

<file path=xl/comments1.xml><?xml version="1.0" encoding="utf-8"?>
<comments xmlns="http://schemas.openxmlformats.org/spreadsheetml/2006/main">
  <authors>
    <author>Montali Ing. Bruno</author>
    <author>bruno montali</author>
  </authors>
  <commentList>
    <comment ref="A1" authorId="0">
      <text>
        <r>
          <rPr>
            <b/>
            <sz val="12"/>
            <color indexed="81"/>
            <rFont val="Tahoma"/>
            <family val="2"/>
          </rPr>
          <t>Montali Ing. Bruno:</t>
        </r>
        <r>
          <rPr>
            <sz val="12"/>
            <color indexed="81"/>
            <rFont val="Tahoma"/>
            <family val="2"/>
          </rPr>
          <t xml:space="preserve">
IN QUESTA VERSIONE:
- ELIMINATA VIA DONIZZETTI
- TELERISCALDAMENTO STIMATO CON COSTO AL ML
- CORREZIONI DA RIUNIONE FAVERO+VILLA 02.09.2010</t>
        </r>
      </text>
    </comment>
    <comment ref="L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LE EVENTUALI MISURE IN QUESTA COLONNA SONO PRO-MEMORIA
</t>
        </r>
      </text>
    </comment>
    <comment ref="D1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Il 03.09 aggiungo alle economie già inserite:
44082 € (ca. 3,1% lavori) 15000 € per sistemazioni varie verso proprietà private)</t>
        </r>
      </text>
    </comment>
    <comment ref="M13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D1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Si può ipotizzare di non tagliare le fasce di asfalto ma di demolire tutto l'asfalto sia in strada che nei marcipiedi nella ipotesi di rifacimento totale: PER ORA LASCIO QUESTE VOCI</t>
        </r>
      </text>
    </comment>
    <comment ref="M138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detraendo i tratti con cubetti</t>
        </r>
      </text>
    </comment>
    <comment ref="M13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Q13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Attraversamenti acquebianche + caditoie</t>
        </r>
      </text>
    </comment>
    <comment ref="U14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D14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EP GADOTTI - COME APPLICARLO ? PER TUTTI I PALI LUCE SUI MARCIAPIEDI ?
</t>
        </r>
      </text>
    </comment>
    <comment ref="U14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U14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1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Mutuato da EP Gadotti
APPLICABILE - Verifica EP per lavori in viali cittadini</t>
        </r>
      </text>
    </comment>
    <comment ref="U1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208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Totale: 3094,00 in progetto 2008 - calcolo ??? Qui computate piccole quantità e poi inserita la voce per le 2 cordonate in demolizione e fep (attribuita a Marciapiedi)</t>
        </r>
      </text>
    </comment>
    <comment ref="Y23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Scavo a tutta larghezza con spessore 60 cm detraendo le fasce di TWL, TLR, H2O</t>
        </r>
      </text>
    </comment>
    <comment ref="M2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O2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29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1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2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2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28" authorId="0">
      <text>
        <r>
          <rPr>
            <b/>
            <sz val="8"/>
            <color indexed="81"/>
            <rFont val="Tahoma"/>
            <family val="2"/>
          </rPr>
          <t xml:space="preserve">Montali Ing. Bruno:
</t>
        </r>
        <r>
          <rPr>
            <sz val="8"/>
            <color indexed="81"/>
            <rFont val="Tahoma"/>
            <family val="2"/>
          </rPr>
          <t>Deriva dai computi Marco Giongo
Tipicamente compensato con lo scavo a mano
Qui lo lascio in considerazione soprattutto del parallelismo fra acquedotto e linea gas metano e per il TLR</t>
        </r>
      </text>
    </comment>
    <comment ref="D331" authorId="0">
      <text>
        <r>
          <rPr>
            <b/>
            <sz val="8"/>
            <color indexed="81"/>
            <rFont val="Tahoma"/>
            <family val="2"/>
          </rPr>
          <t xml:space="preserve">Montali Ing. Bruno:
Deriva dai computi Marco Giongo
Qui lo annullo perché compensato nel 10% di scavo a mano
</t>
        </r>
      </text>
    </comment>
    <comment ref="D37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 VIA VERDI IL DL NON HA RICONOSCIUTO QUESTA VOCE PERCHE' COMPRESA NELLO SCAVO
VEDI DESCRIZIONE ESTESA - IN PRATICA NON LO SI DOVREBBE RICONOSCERE SULLE FASCE DEGLI SCAVI A SEZIONE RISTRETTA MA COME FARE QUI CHE TUTTO VIENE DEMOLITO PRIMA ? - TUTTO DA CARICARE ALLA SUPERFICIE STRADALE O LASCIAMO COSI' SUDDIVISO FRA LE DIVERSE COMPETENZE ?
RICONOSCIUTO INVECE IN OGNI CASO L'ONERE DI DISCARICA</t>
        </r>
      </text>
    </comment>
    <comment ref="M382" authorId="1">
      <text>
        <r>
          <rPr>
            <b/>
            <sz val="8"/>
            <color indexed="81"/>
            <rFont val="Tahoma"/>
            <family val="2"/>
          </rPr>
          <t>bruno montali:
avevo computato:</t>
        </r>
        <r>
          <rPr>
            <sz val="8"/>
            <color indexed="81"/>
            <rFont val="Tahoma"/>
            <family val="2"/>
          </rPr>
          <t xml:space="preserve">
=21*5*(0,8)+11*(8,5-1,8-1,3)*(0,8)
metto ora a 0 ipotizzando strada e marciapiedi totalmente liberati dall'asfalto</t>
        </r>
      </text>
    </comment>
    <comment ref="M40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Avevo computato: 32*6*0,9*(1,3-0,4-0,4)
metto 0 per il prezzo allacciamenti al ml</t>
        </r>
      </text>
    </comment>
    <comment ref="O40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41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D42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Voce utilizzata per la tubazioni acque di superficie</t>
        </r>
      </text>
    </comment>
    <comment ref="M4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computato per la voce onnicomprensiva al metro lineare</t>
        </r>
      </text>
    </comment>
    <comment ref="O4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M45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=21*(0,8)*3,5*0,05+21*(0,8)*1,5*0,08+11*(0,8)*4,5*0,08+11*(0,8)*3,5*0,05
azzerato per prezzo al ml</t>
        </r>
      </text>
    </comment>
    <comment ref="D106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 MOMENTO NON UTILIZZATI I SINGOLI PREZZI PER TUBAZIONI ED ACCESSORI.
UNA VOLTA DETTAGLIATE TALI VOCI SI DOVRA' ELIMINARE QUESTA RIGA !!!!!
</t>
        </r>
      </text>
    </comment>
    <comment ref="D107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Sola posa in opera
Prezzo: LisProv2010 FeP - F</t>
        </r>
      </text>
    </comment>
    <comment ref="L112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Incidenza sola posa pezzi speciali su sola posa tutti i tubi MI SEMBRA POCO MA …….</t>
        </r>
      </text>
    </comment>
    <comment ref="D12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QUESTA VOCE VIENE ANNULLATA A SEGUITO EVIDENZIAZIONE MARTIN VILLA - In effetti non so a cosa serve visto che la ditta ha l'onere della sola posa delle condotte - era nel Computo di Marco 
Giongo</t>
        </r>
      </text>
    </comment>
    <comment ref="D156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Strada</t>
        </r>
      </text>
    </comment>
    <comment ref="U158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U159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D193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VERIFICARE - PER ORA INSERIT ASSOLUTAMENTE A STIMA</t>
        </r>
      </text>
    </comment>
  </commentList>
</comments>
</file>

<file path=xl/comments2.xml><?xml version="1.0" encoding="utf-8"?>
<comments xmlns="http://schemas.openxmlformats.org/spreadsheetml/2006/main">
  <authors>
    <author>Montali Ing. Bruno</author>
    <author>bruno montali</author>
  </authors>
  <commentList>
    <comment ref="A1" authorId="0">
      <text>
        <r>
          <rPr>
            <b/>
            <sz val="12"/>
            <color indexed="81"/>
            <rFont val="Tahoma"/>
            <family val="2"/>
          </rPr>
          <t>Montali Ing. Bruno:</t>
        </r>
        <r>
          <rPr>
            <sz val="12"/>
            <color indexed="81"/>
            <rFont val="Tahoma"/>
            <family val="2"/>
          </rPr>
          <t xml:space="preserve">
IN QUESTA VERSIONE:
- ELIMINATA VIA DONIZZETTI
- TELERISCALDAMENTO STIMATO CON COSTO AL ML
- CORREZIONI DA RIUNIONE FAVERO+VILLA 02.09.2010</t>
        </r>
      </text>
    </comment>
    <comment ref="L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LE EVENTUALI MISURE IN QUESTA COLONNA SONO PRO-MEMORIA
</t>
        </r>
      </text>
    </comment>
    <comment ref="D1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Il 03.09 aggiungo alle economie già inserite:
44082 € (ca. 3,1% lavori) 15000 € per sistemazioni varie verso proprietà private)</t>
        </r>
      </text>
    </comment>
    <comment ref="M13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D1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Si può ipotizzare di non tagliare le fasce di asfalto ma di demolire tutto l'asfalto sia in strada che nei marcipiedi nella ipotesi di rifacimento totale: PER ORA LASCIO QUESTE VOCI</t>
        </r>
      </text>
    </comment>
    <comment ref="M138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detraendo i tratti con cubetti</t>
        </r>
      </text>
    </comment>
    <comment ref="M1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Q1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Attraversamenti acquebianche + caditoie</t>
        </r>
      </text>
    </comment>
    <comment ref="U14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D14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EP GADOTTI - COME APPLICARLO ? PER TUTTI I PALI LUCE SUI MARCIAPIEDI ?
</t>
        </r>
      </text>
    </comment>
    <comment ref="U14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U1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1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Mutuato da EP Gadotti
APPLICABILE - Verifica EP per lavori in viali cittadini</t>
        </r>
      </text>
    </comment>
    <comment ref="U1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209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Totale: 3094,00 in progetto 2008 - calcolo ??? Qui computate piccole quantità e poi inserita la voce per le 2 cordonate in demolizione e fep (attribuita a Marciapiedi)</t>
        </r>
      </text>
    </comment>
    <comment ref="Y2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Scavo a tutta larghezza con spessore 60 cm detraendo le fasce di TWL, TLR, H2O</t>
        </r>
      </text>
    </comment>
    <comment ref="M24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O24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30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1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2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2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33" authorId="0">
      <text>
        <r>
          <rPr>
            <b/>
            <sz val="8"/>
            <color indexed="81"/>
            <rFont val="Tahoma"/>
            <family val="2"/>
          </rPr>
          <t xml:space="preserve">Montali Ing. Bruno:
</t>
        </r>
        <r>
          <rPr>
            <sz val="8"/>
            <color indexed="81"/>
            <rFont val="Tahoma"/>
            <family val="2"/>
          </rPr>
          <t>Deriva dai computi Marco Giongo
Tipicamente compensato con lo scavo a mano
Qui lo lascio in considerazione soprattutto del parallelismo fra acquedotto e linea gas metano e per il TLR</t>
        </r>
      </text>
    </comment>
    <comment ref="D336" authorId="0">
      <text>
        <r>
          <rPr>
            <b/>
            <sz val="8"/>
            <color indexed="81"/>
            <rFont val="Tahoma"/>
            <family val="2"/>
          </rPr>
          <t xml:space="preserve">Montali Ing. Bruno:
Deriva dai computi Marco Giongo
Qui lo annullo perché compensato nel 10% di scavo a mano
</t>
        </r>
      </text>
    </comment>
    <comment ref="D38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 VIA VERDI IL DL NON HA RICONOSCIUTO QUESTA VOCE PERCHE' COMPRESA NELLO SCAVO
VEDI DESCRIZIONE ESTESA - IN PRATICA NON LO SI DOVREBBE RICONOSCERE SULLE FASCE DEGLI SCAVI A SEZIONE RISTRETTA MA COME FARE QUI CHE TUTTO VIENE DEMOLITO PRIMA ? - TUTTO DA CARICARE ALLA SUPERFICIE STRADALE O LASCIAMO COSI' SUDDIVISO FRA LE DIVERSE COMPETENZE ?
RICONOSCIUTO INVECE IN OGNI CASO L'ONERE DI DISCARICA</t>
        </r>
      </text>
    </comment>
    <comment ref="M389" authorId="1">
      <text>
        <r>
          <rPr>
            <b/>
            <sz val="8"/>
            <color indexed="81"/>
            <rFont val="Tahoma"/>
            <family val="2"/>
          </rPr>
          <t>bruno montali:
avevo computato:</t>
        </r>
        <r>
          <rPr>
            <sz val="8"/>
            <color indexed="81"/>
            <rFont val="Tahoma"/>
            <family val="2"/>
          </rPr>
          <t xml:space="preserve">
=21*5*(0,8)+11*(8,5-1,8-1,3)*(0,8)
metto ora a 0 ipotizzando strada e marciapiedi totalmente liberati dall'asfalto</t>
        </r>
      </text>
    </comment>
    <comment ref="M41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Avevo computato: 32*6*0,9*(1,3-0,4-0,4)
metto 0 per il prezzo allacciamenti al ml</t>
        </r>
      </text>
    </comment>
    <comment ref="O41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41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D42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Voce utilizzata per la tubazioni acque di superficie</t>
        </r>
      </text>
    </comment>
    <comment ref="M45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computato per la voce onnicomprensiva al metro lineare</t>
        </r>
      </text>
    </comment>
    <comment ref="O45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M47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=21*(0,8)*3,5*0,05+21*(0,8)*1,5*0,08+11*(0,8)*4,5*0,08+11*(0,8)*3,5*0,05
azzerato per prezzo al ml</t>
        </r>
      </text>
    </comment>
    <comment ref="D107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 MOMENTO NON UTILIZZATI I SINGOLI PREZZI PER TUBAZIONI ED ACCESSORI.
UNA VOLTA DETTAGLIATE TALI VOCI SI DOVRA' ELIMINARE QUESTA RIGA !!!!!
</t>
        </r>
      </text>
    </comment>
    <comment ref="D108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Sola posa in opera
Prezzo: LisProv2010 FeP - F</t>
        </r>
      </text>
    </comment>
    <comment ref="L11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Incidenza sola posa pezzi speciali su sola posa tutti i tubi MI SEMBRA POCO MA …….</t>
        </r>
      </text>
    </comment>
    <comment ref="D12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QUESTA VOCE VIENE ANNULLATA A SEGUITO EVIDENZIAZIONE MARTIN VILLA - In effetti non so a cosa serve visto che la ditta ha l'onere della sola posa delle condotte - era nel Computo di Marco 
Giongo</t>
        </r>
      </text>
    </comment>
    <comment ref="D157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Strada</t>
        </r>
      </text>
    </comment>
    <comment ref="U159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U161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D194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VERIFICARE - PER ORA INSERIT ASSOLUTAMENTE A STIMA</t>
        </r>
      </text>
    </comment>
  </commentList>
</comments>
</file>

<file path=xl/comments3.xml><?xml version="1.0" encoding="utf-8"?>
<comments xmlns="http://schemas.openxmlformats.org/spreadsheetml/2006/main">
  <authors>
    <author>Montali Ing. Bruno</author>
    <author>User</author>
    <author>PcBr1</author>
    <author>bruno montali</author>
  </authors>
  <commentList>
    <comment ref="G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LE EVENTUALI MISURE IN QUESTA COLONNA SONO PRO-MEMORIA
</t>
        </r>
      </text>
    </comment>
    <comment ref="D1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Il 03.09 aggiungo alle economie già inserite:
44082 € (ca. 3,1% lavori) 15000 € per sistemazioni varie verso proprietà private)</t>
        </r>
      </text>
    </comment>
    <comment ref="D45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Gerotto Federico srl
Via Croce, 26
35011 Campodarsego
Padova - Italy
tel. +39 049 5564422
fax +39 049 5564784
info@gerotto.it - 
http://www.impresamandelliscavi.it/Articolo.aspx?IDMenu=3&amp;IDArti=9</t>
        </r>
      </text>
    </comment>
    <comment ref="E45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air-power Berlanda Stefan (via Campo Sportivo 19 - MERANO 335215800) - NOLO A CALDO 2200€/d+UI+SG 2€/Km trasferta - 15000 €/m nolo a freddo</t>
        </r>
      </text>
    </comment>
    <comment ref="T167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VEDI 97.XXXXX PREZZI GAS</t>
        </r>
      </text>
    </comment>
    <comment ref="D16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EP GADOTTI - COME APPLICARLO ? PER TUTTI I PALI LUCE SUI MARCIAPIEDI ?
</t>
        </r>
      </text>
    </comment>
    <comment ref="X16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X17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D17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EP GADOTTI - COME APPLICARLO ? PER TUTTI I PALI LUCE SUI MARCIAPIEDI ?
</t>
        </r>
      </text>
    </comment>
    <comment ref="X17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X17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17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Mutuato da EP Gadotti
APPLICABILE - Verifica EP per lavori in viali cittadini</t>
        </r>
      </text>
    </comment>
    <comment ref="X17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T176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VEDI 97.XXXXX PREZZI GAS</t>
        </r>
      </text>
    </comment>
    <comment ref="D178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Non inserisco demolizione pali luce perc hè già computato da von Lutz</t>
        </r>
      </text>
    </comment>
    <comment ref="N19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D20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Si può ipotizzare di non tagliare le fasce di asfalto ma di demolire tutto l'asfalto sia in strada che nei marciapiedi nella ipotesi di rifacimento totale: PER ORA LASCIO QUESTE VOCI PENSANDO A LASCIARE L'ASFALTO AI LATI PER LA TENUTA DEI FRONTI DI SCAVO</t>
        </r>
      </text>
    </comment>
    <comment ref="N20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P20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D214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Dei 22 cartelli di segnalazione 11 sono a sé stanti gli altri 11 sono su pali della luce - Dei 7 specchi (1 doppio) 4 sono a sé stanti e 1+2 su pali della luce CHE FARE CON LA NUOVA ILLUMINAZIONE ?
Intanto qui io li ho considerati tuttii</t>
        </r>
      </text>
    </comment>
    <comment ref="AB223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Per sostituzione vecchi 
chiusini fognatura </t>
        </r>
      </text>
    </comment>
    <comment ref="D229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IPOTESI DI DEPOSITO AL CANTIERE COMUNALE O IN LUOGO INDICATO DAL COMUNE</t>
        </r>
      </text>
    </comment>
    <comment ref="D235" authorId="3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Totale: 3094,00 in progetto 2008 - calcolo ??? Qui computata la voce per le 2 cordonate in demolizione e poi fep (attribuita a Marciapiedi)</t>
        </r>
      </text>
    </comment>
    <comment ref="D237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Presumo Non si smonti l'idrante davanti a Bar Doris - per avere il prezzo lo inserisco comunque</t>
        </r>
      </text>
    </comment>
    <comment ref="D255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OPERA ESEGUITA DA ASM? Sì ma assistenza da parte ditta e messa in quota ecc per cui lascio la voce</t>
        </r>
      </text>
    </comment>
    <comment ref="D270" authorId="3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Totale: 3094,00 in progetto 2008 - calcolo ??? Qui computate piccole quantità e poi inserita la voce per le 2 cordonate in demolizione e fep (attribuita a Marciapiedi)</t>
        </r>
      </text>
    </comment>
    <comment ref="N27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P27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N28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P28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N28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P28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AB28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Scavo a tutta larghezza con spessore 60 cm detraendo le fasce di TWL, TLR, H2O</t>
        </r>
      </text>
    </comment>
    <comment ref="N28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C314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Modifica 5/5 rispetto a Computo validato.
Prima era
=N415+N401 - ora lasciato solo una piccola quantità per avere il prezzo</t>
        </r>
      </text>
    </comment>
    <comment ref="D33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
NB2 sopra già considerato scavo e scavo a mano!!!! LEVARE?</t>
        </r>
      </text>
    </comment>
    <comment ref="D34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
MA E' IN ALTERNATIVA AL PRECEDENTE: O L'UNO O L'ALTRO POI C'E' IL PROBLEMA DELL'ANALISI PREZZI</t>
        </r>
      </text>
    </comment>
    <comment ref="D35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5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N359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considero una voce per TWL-TLR</t>
        </r>
      </text>
    </comment>
    <comment ref="P359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considero una voce per TLR-H2OSUP 1/2 per ciascuno</t>
        </r>
      </text>
    </comment>
    <comment ref="R359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considero una voce per TLR-H2OSUP 1/2 per ciascuno</t>
        </r>
      </text>
    </comment>
    <comment ref="D360" authorId="0">
      <text>
        <r>
          <rPr>
            <b/>
            <sz val="8"/>
            <color indexed="81"/>
            <rFont val="Tahoma"/>
            <family val="2"/>
          </rPr>
          <t xml:space="preserve">Montali Ing. Bruno:
</t>
        </r>
        <r>
          <rPr>
            <sz val="8"/>
            <color indexed="81"/>
            <rFont val="Tahoma"/>
            <family val="2"/>
          </rPr>
          <t>Deriva dai computi Marco Giongo
Tipicamente compensato con lo scavo a mano
Qui lo lascio in considerazione soprattutto del parallelismo fra acquedotto e linea gas metano e per il TLR</t>
        </r>
      </text>
    </comment>
    <comment ref="D363" authorId="0">
      <text>
        <r>
          <rPr>
            <b/>
            <sz val="8"/>
            <color indexed="81"/>
            <rFont val="Tahoma"/>
            <family val="2"/>
          </rPr>
          <t>Montali Ing. Bruno:
Deriva dai computi Marco Giongo</t>
        </r>
      </text>
    </comment>
    <comment ref="N37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Ipotesi carotaggio muretti di confine per allacciamenti - probabile che si sottopassino le fondazioni!</t>
        </r>
      </text>
    </comment>
    <comment ref="R37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Carotaggi  per ingresso allacciamento nelle cantine - centrali  termiche
</t>
        </r>
      </text>
    </comment>
    <comment ref="R380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Carotaggi  per ingresso allacciamento nelle cantine - centrali  termiche
</t>
        </r>
      </text>
    </comment>
    <comment ref="P383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Innesti nel DN600</t>
        </r>
      </text>
    </comment>
    <comment ref="V39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ALLACCIAMENTI DA UN LATO ALL'ALTRO STRADA E POZZETTI-FONDAZIONE PALI</t>
        </r>
      </text>
    </comment>
    <comment ref="Z39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GIA' CONSIDERATA NELLE NUOVE SUPERFICI MARCIAPIEDE RICAVATA DA AUTOCAD</t>
        </r>
      </text>
    </comment>
    <comment ref="D40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 VIA VERDI IL DL NON HA RICONOSCIUTO QUESTA VOCE PERCHE' COMPRESA NELLO SCAVO
VEDI DESCRIZIONE ESTESA - IN PRATICA NON LO SI DOVREBBE RICONOSCERE SULLE FASCE DEGLI SCAVI A SEZIONE RISTRETTA MA COME FARE QUI CHE TUTTO VIENE DEMOLITO PRIMA ? - TUTTO DA CARICARE ALLA SUPERFICIE STRADALE O LASCIAMO COSI' SUDDIVISO FRA LE DIVERSE COMPETENZE ?
RICONOSCIUTO INVECE IN OGNI CASO L'ONERE DI DISCARICA</t>
        </r>
      </text>
    </comment>
    <comment ref="N409" authorId="3">
      <text>
        <r>
          <rPr>
            <b/>
            <sz val="8"/>
            <color indexed="81"/>
            <rFont val="Tahoma"/>
            <family val="2"/>
          </rPr>
          <t>bruno montali:
avevo computato:</t>
        </r>
        <r>
          <rPr>
            <sz val="8"/>
            <color indexed="81"/>
            <rFont val="Tahoma"/>
            <family val="2"/>
          </rPr>
          <t xml:space="preserve">
=21*5*(0,8)+11*(8,5-1,8-1,3)*(0,8)
metto ora a 0 ipotizzando strada e marciapiedi totalmente liberati dall'asfalto</t>
        </r>
      </text>
    </comment>
    <comment ref="N433" authorId="0">
      <text/>
    </comment>
    <comment ref="P433" authorId="0">
      <text/>
    </comment>
    <comment ref="R433" authorId="0">
      <text/>
    </comment>
    <comment ref="P43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Detratto il tubo DN600</t>
        </r>
      </text>
    </comment>
    <comment ref="R43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Detratti i due tubi DNe250</t>
        </r>
      </text>
    </comment>
    <comment ref="D43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N448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Compresa nella posa dei tubi</t>
        </r>
      </text>
    </comment>
    <comment ref="D45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N456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Compresa nella posa dei tubi</t>
        </r>
      </text>
    </comment>
    <comment ref="D45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N464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Compresa nella posa dei tubi</t>
        </r>
      </text>
    </comment>
    <comment ref="D46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N47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Compresa nella posa dei tubi</t>
        </r>
      </text>
    </comment>
    <comment ref="X476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Totale superficie da Autocad, già depurata delle aiuole</t>
        </r>
      </text>
    </comment>
    <comment ref="N48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Superficie demolizione asfalto 10-20cm x 60cm</t>
        </r>
      </text>
    </comment>
    <comment ref="R48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Superficie demolizione asfalto 10-20cm x 60cm</t>
        </r>
      </text>
    </comment>
    <comment ref="N49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=21*(0,8)*3,5*0,05+21*(0,8)*1,5*0,08+11*(0,8)*4,5*0,08+11*(0,8)*3,5*0,05
azzerato per prezzo al ml</t>
        </r>
      </text>
    </comment>
    <comment ref="P49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=21*(0,8)*3,5*0,05+21*(0,8)*1,5*0,08+11*(0,8)*4,5*0,08+11*(0,8)*3,5*0,05
azzerato per prezzo al ml</t>
        </r>
      </text>
    </comment>
    <comment ref="D68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Sola posa in opera
Prezzo: LisProv2010 FeP - F</t>
        </r>
      </text>
    </comment>
    <comment ref="N744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Stacchi via Donizetti - via Bellini + 5 Idranti</t>
        </r>
      </text>
    </comment>
    <comment ref="N745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Stacco via Mozart</t>
        </r>
      </text>
    </comment>
    <comment ref="G74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Incidenza sola posa pezzi speciali su sola posa tutti i tubi MI SEMBRA POCO MA …….</t>
        </r>
      </text>
    </comment>
    <comment ref="G794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VEDI ANALISI (estrapolazione) NB ci sarebbe anche il prezzo aew= 8,35€/m
</t>
        </r>
      </text>
    </comment>
    <comment ref="G799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VEDERE CON ASM - PREZZO ECCESSIVO!!!!</t>
        </r>
      </text>
    </comment>
    <comment ref="D83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QUESTA VOCE VIENE ANNULLATA A SEGUITO EVIDENZIAZIONE MARTIN VILLA - In effetti non so a cosa serve visto che la ditta ha l'onere della sola posa delle condotte - era nel Computo di Marco 
Giongo</t>
        </r>
      </text>
    </comment>
    <comment ref="G871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Estrapolazione</t>
        </r>
      </text>
    </comment>
    <comment ref="G874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Estrapolazione</t>
        </r>
      </text>
    </comment>
    <comment ref="C912" authorId="2">
      <text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914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PcBr1:
21.06.2016 3
^/5 VARIAZIONE RISPETTO AL COMPUTO VALIDATO. Fresatura non prevista sui marciapiedi</t>
        </r>
      </text>
    </comment>
    <comment ref="C920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21.06.2016 1^/5 VARIAZIONE RISPETTO AL COMPUTO VALIDATO. 5 è distribuito su TWL - AB - TLR - MARC - STRADA. In realtà è inteso così: Bellini 1 - Bellini S.Franc 1 - S.Franc-Donnizz 1 - Donnizz-Mozart 1 - Tappeto 1 (si riconosce una volta sola presumendo che questa operazione anche in più giorni sia continuativa, con le macchine lasciate in cantiere)</t>
        </r>
      </text>
    </comment>
    <comment ref="D923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STRATO DI BASE 10cm</t>
        </r>
      </text>
    </comment>
    <comment ref="D926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BINDER 6+4cm FINO ALLA QUOTA FINALE FINITA: CHIUSINI E CADITOIE GIA' IN POSIZIONE DEFINITIVA
4 VERRANNO FRESATI PER FAR POSTO AL TAPPETO.
QUESTO COMPORTA UN SENSIBILE AUMENTO DI COSTI!!</t>
        </r>
      </text>
    </comment>
    <comment ref="N945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TUTTA LARGHEZZA: SI!</t>
        </r>
      </text>
    </comment>
    <comment ref="P945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TUTTA LARGHEZZA: SI!</t>
        </r>
      </text>
    </comment>
    <comment ref="R945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TUTTA LARGHEZZA: SI!</t>
        </r>
      </text>
    </comment>
    <comment ref="D95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Strada</t>
        </r>
      </text>
    </comment>
    <comment ref="D957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AIUOLE ALBERI</t>
        </r>
      </text>
    </comment>
    <comment ref="X96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D973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CORDONATE STRADALI NB VEDI TIPO INDICATO DA MITTERMAIR-WINTERHOLER E COLORE!!!</t>
        </r>
      </text>
    </comment>
    <comment ref="X97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D986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FONDAZIONI PALI LUCE IN PROGETTO VON LUTZ</t>
        </r>
      </text>
    </comment>
    <comment ref="D129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VA APPLICATA NEI TERMINALI DI FINE TRATTO CON POZZETTO</t>
        </r>
      </text>
    </comment>
    <comment ref="R1298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Eliminata quantità 2 dopo colloquio con Leonardi</t>
        </r>
      </text>
    </comment>
    <comment ref="R1301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Eliminata quantità 2 dopo colloquio con Leonardi</t>
        </r>
      </text>
    </comment>
    <comment ref="R1304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Quantità 2 per stacco via Mozart, dopo colloquio con Leonardi. Probabilmente via Mozart da Ospedale e via Wolf da direzione via Laurin verrà posata prima di questo progetto. Lasciamo però questa voce per riserva</t>
        </r>
      </text>
    </comment>
    <comment ref="R130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 terminale lato via Huber
2 terminale lato via Laurin (riserva, perché in teoria veine fatto prima quel tratto - vedi anche 243)</t>
        </r>
      </text>
    </comment>
    <comment ref="R1332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Si utilizza per terminali senza pozzetto quando poi eventualmente ci si collegherà dall'altro lato: è il caso di via Bellini </t>
        </r>
      </text>
    </comment>
    <comment ref="R1356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Sostanzialmente li inserisco per avere il prezzo: solo le quantità con Nota sono reali</t>
        </r>
      </text>
    </comment>
    <comment ref="R1372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Nr2 Terminali nord Via Bellini</t>
        </r>
      </text>
    </comment>
    <comment ref="R1375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Via Mozart Nr. 2 anche se forse non necessario (perche tubi già posati prima di noi)</t>
        </r>
      </text>
    </comment>
    <comment ref="R1378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Monte Via Mozart Nr. 2 anche se forse non necessario (perche tubi già posati prima di noi)+2 lato via Ottone Huber</t>
        </r>
      </text>
    </comment>
    <comment ref="R1386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Allacciamenti da Via Mozart a via Bellini =(0)+(13*2)+(8*2)+3(riserva)</t>
        </r>
      </text>
    </comment>
    <comment ref="R1389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Allacciamenti da Via Mozart a via Bellini =(6*2+7*2+3*2)+(7*2)+(4*2)+6(riserva)</t>
        </r>
      </text>
    </comment>
    <comment ref="R1392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Allacciamenti da Via Mozart a via Bellini =(0)+(11*2)+(0)+3(riserva)</t>
        </r>
      </text>
    </comment>
    <comment ref="R1395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Allacciamenti da Via Mozart a via Bellini =((8*2+1*2+1*2+1*2+1*2)+(6*2))+(0)+(0)+4(riserva)</t>
        </r>
      </text>
    </comment>
    <comment ref="R1401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Allacciamento Scuola Wenter =17*2+1(riserva)</t>
        </r>
      </text>
    </comment>
    <comment ref="R1404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Linea principale via Bellini =14*2+2</t>
        </r>
      </text>
    </comment>
    <comment ref="R1407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Stacco via Mozart =6*2+3riserva</t>
        </r>
      </text>
    </comment>
    <comment ref="R1410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Linea principale breve tratto lato via Laurin e tratto SanFrancesco-Bellini-verso Huber
=(2*2)+(20*2)+6riserva</t>
        </r>
      </text>
    </comment>
    <comment ref="R1413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linea principale Mozart-SanFrancesco =31*2+3riserva</t>
        </r>
      </text>
    </comment>
    <comment ref="R1418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Per allacciamento multiplo Wolf 24-26-28</t>
        </r>
      </text>
    </comment>
    <comment ref="R1421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Stacco via Mozart e cambio diametro verso via Laurin</t>
        </r>
      </text>
    </comment>
    <comment ref="R1458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Allacciamento civici 39-43</t>
        </r>
      </text>
    </comment>
    <comment ref="R1461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Allacciamenti civici 24-26-28</t>
        </r>
      </text>
    </comment>
    <comment ref="R1464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Allacciamento Bellini1</t>
        </r>
      </text>
    </comment>
    <comment ref="R1467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Allacciamento Bellini3</t>
        </r>
      </text>
    </comment>
    <comment ref="R1470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Allacciamento Wolf 39+43</t>
        </r>
      </text>
    </comment>
    <comment ref="R1473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 civ55 +ris</t>
        </r>
      </text>
    </comment>
    <comment ref="R1476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Allacciamento civ 16+18</t>
        </r>
      </text>
    </comment>
    <comment ref="R1479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Stacco via Bellini</t>
        </r>
      </text>
    </comment>
    <comment ref="R1482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Allacciamenti 24-26-28 e 15</t>
        </r>
      </text>
    </comment>
    <comment ref="R1485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Allacciamento Scuola Wenter</t>
        </r>
      </text>
    </comment>
    <comment ref="R1488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Stacco viaMozart</t>
        </r>
      </text>
    </comment>
    <comment ref="F1567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Terminali linea principale:
lato Quarazze - lato San Francesco 2 - lato via Huber</t>
        </r>
      </text>
    </comment>
    <comment ref="F1570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Dove ci si collega con linee esistenti)
Via San Francesco 2 - via Bellini 1</t>
        </r>
      </text>
    </comment>
    <comment ref="F1579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Terminali: verso Quarazze - via Mozart - via San Francesco (2 per riserva) - via Bellini - verso via O.Huber</t>
        </r>
      </text>
    </comment>
    <comment ref="H1880" authorId="2">
      <text>
        <r>
          <rPr>
            <b/>
            <sz val="9"/>
            <color indexed="81"/>
            <rFont val="Tahoma"/>
            <family val="2"/>
          </rPr>
          <t>PcBr1:</t>
        </r>
        <r>
          <rPr>
            <sz val="9"/>
            <color indexed="81"/>
            <rFont val="Tahoma"/>
            <family val="2"/>
          </rPr>
          <t xml:space="preserve">
Aggiunto 0,01 € per uniformare a stima PdSic Benussi</t>
        </r>
      </text>
    </comment>
  </commentList>
</comments>
</file>

<file path=xl/sharedStrings.xml><?xml version="1.0" encoding="utf-8"?>
<sst xmlns="http://schemas.openxmlformats.org/spreadsheetml/2006/main" count="14426" uniqueCount="3537">
  <si>
    <t>Rapporto con importo totale lavori completi (Galilei-Mozart)</t>
  </si>
  <si>
    <t>Ausbau von Zäunen mit waagrechtem Aufbau  h &lt;= 1,50</t>
  </si>
  <si>
    <t>Rimozione di steccati con orditura orizzontale  h &lt;= 1,50</t>
  </si>
  <si>
    <t>Demolizione di pavimentazione bituminosa spessore fino a 10 cm</t>
  </si>
  <si>
    <t>Abbruch von bituminöser Fahrbahndecke Stärke bis 10 cm</t>
  </si>
  <si>
    <t>Fornitura ed esecuzione di strati di base spessore finito: 40 cm</t>
  </si>
  <si>
    <t>Lieferung von Fremdmaterial und Ausführung von Tragschichten Schichtstärke im eingebauten Zustand: 40 cm</t>
  </si>
  <si>
    <t>Posa di steccati con orditura orizzontale h &lt;= 1,50</t>
  </si>
  <si>
    <t>Wiedereinbau von Holzzäunen mit waagrechtem Aufbau h &lt;= 1,50</t>
  </si>
  <si>
    <t>Fornitura e posa in opera di sabbia lavata</t>
  </si>
  <si>
    <t>Lieferung und Einbau von gewaschenem Sand</t>
  </si>
  <si>
    <t>54.10.03.10</t>
  </si>
  <si>
    <t>Materiale drenante senza stratificazioni fuso granulometrico (mm) 10/70</t>
  </si>
  <si>
    <t>DERIVAZIONE A T PREISOLATA CON DERIVAZIONE A   45° -  200/50</t>
  </si>
  <si>
    <t>B.1.4.le</t>
  </si>
  <si>
    <t>DERIVAZIONE A T PREISOLATA CON DERIVAZIONE A   45° -  200/65</t>
  </si>
  <si>
    <t>B.1.4.lf</t>
  </si>
  <si>
    <t>DERIVAZIONE A T PREISOLATA CON DERIVAZIONE A   45° -  200/80</t>
  </si>
  <si>
    <t>B.1.4.lg</t>
  </si>
  <si>
    <t>DERIVAZIONE A T PREISOLATA CON DERIVAZIONE A   45° -  200/100</t>
  </si>
  <si>
    <t>B.1.4.lh</t>
  </si>
  <si>
    <t>DERIVAZIONE A T PREISOLATA CON DERIVAZIONE A  45° -  200/125</t>
  </si>
  <si>
    <t>B.1.4.li</t>
  </si>
  <si>
    <t>ILLUM. PUBBLICA</t>
  </si>
  <si>
    <t>Ausbau von Einfriedungen - Höhe über Boden: bis 1,50 m</t>
  </si>
  <si>
    <t>Rimozione di recinzioni - altezza fuori terra: fino a 1,50 m</t>
  </si>
  <si>
    <t>Ausbau von elektrischen Leitungsmasten aus Stahlrohr, komplett mit Ausleger - Mastenlänge: bis 6,00 m</t>
  </si>
  <si>
    <t>Rimozione di palo tubolare in acciaio di linea elettrica, completo di bracci - lunghezza palo: fino a 6,00 m</t>
  </si>
  <si>
    <t>Ausbau von Straßenschildern, auch komplett mit eventuellem Fundamentblock.</t>
  </si>
  <si>
    <t>Fondazione nuovi pali per la illuminazione pubblica</t>
  </si>
  <si>
    <t>Schalung für Schächte mit polygonalem Grundriß - für Oberflächenstruktur S1</t>
  </si>
  <si>
    <t>Casseratura per pozzetti con pianta poligonale - per struttura superficiale S1</t>
  </si>
  <si>
    <t>Casseratura laterale per fondazioni - struttura superficiale S2</t>
  </si>
  <si>
    <t>Seitliche Abschalung für Streifenfundamente - für Oberflächenstruktur S2</t>
  </si>
  <si>
    <t>Pali illuminazione pubblica</t>
  </si>
  <si>
    <t>Attraversamenti illuminazione pubblica - plinti nuovi punti luce</t>
  </si>
  <si>
    <t>75.10.01.40</t>
  </si>
  <si>
    <t>B.1.A.15.ai</t>
  </si>
  <si>
    <t>GIUNTO SALDATO   DN 125</t>
  </si>
  <si>
    <t>B.1.A.15.aj</t>
  </si>
  <si>
    <t>GIUNTO SALDATO   DN 150</t>
  </si>
  <si>
    <t>B.1.A.15.ak</t>
  </si>
  <si>
    <t>GIUNTO SALDATO   DN 200</t>
  </si>
  <si>
    <t>B.1.A.15.al</t>
  </si>
  <si>
    <t>GIUNTO SALDATO   DN 250</t>
  </si>
  <si>
    <t>B.1.A.15.am</t>
  </si>
  <si>
    <t>GIUNTO SALDATO   DN 300</t>
  </si>
  <si>
    <t>B.1.A.16.a</t>
  </si>
  <si>
    <t>BLOCCHI DI APPOGGIO in POLIURETANO</t>
  </si>
  <si>
    <t>Fornitura e posa di  blocchi di schiuma rigida in poliuretano esente da freon, per l'appoggio</t>
  </si>
  <si>
    <t>dei tubi nello scavo: 100 cm x 10 cm x 10 cm</t>
  </si>
  <si>
    <t>B.1.A.17.a</t>
  </si>
  <si>
    <t>NASTRO di SEGNALAZIONE</t>
  </si>
  <si>
    <t>Fornitura e posa di  nastro di segnalazione con scritta:  TELERISCALDAMENTO</t>
  </si>
  <si>
    <t>B.1.A.18.a</t>
  </si>
  <si>
    <t>COIBENTAZIONE e TENUTA ESTERNA</t>
  </si>
  <si>
    <t>B.1.A.18.ab</t>
  </si>
  <si>
    <t>COIBENTAZIONE       - DN  25</t>
  </si>
  <si>
    <t>B.1.A.18.ac</t>
  </si>
  <si>
    <t>COIBENTAZIONE       - DN  32</t>
  </si>
  <si>
    <t>B.1.A.18.ad</t>
  </si>
  <si>
    <t>COIBENTAZIONE       - DN  40</t>
  </si>
  <si>
    <t>B.1.A.18.ae</t>
  </si>
  <si>
    <t>COIBENTAZIONE       - DN  50</t>
  </si>
  <si>
    <t>B.1.A.18.af</t>
  </si>
  <si>
    <t>COIBENTAZIONE       - DN  65</t>
  </si>
  <si>
    <t>B.1.A.18.ag</t>
  </si>
  <si>
    <t>COIBENTAZIONE       - DN  80</t>
  </si>
  <si>
    <t>B.1.A.18.ah</t>
  </si>
  <si>
    <t>COIBENTAZIONE       - DN  100</t>
  </si>
  <si>
    <t>B.1.A.18.ai</t>
  </si>
  <si>
    <t>COIBENTAZIONE       - DN  125</t>
  </si>
  <si>
    <t>B.1.A.18.aj</t>
  </si>
  <si>
    <t>COIBENTAZIONE       - DN  150</t>
  </si>
  <si>
    <t>B.1.A.18.ak</t>
  </si>
  <si>
    <t>COIBENTAZIONE       - DN  200</t>
  </si>
  <si>
    <t>B.1.A.18.al</t>
  </si>
  <si>
    <t>COIBENTAZIONE       - DN  250</t>
  </si>
  <si>
    <t>B.1.A.18.am</t>
  </si>
  <si>
    <t>COIBENTAZIONE       - DN  300</t>
  </si>
  <si>
    <t>B.1.A.19.a</t>
  </si>
  <si>
    <t>TUBAZIONI negli EDIFICI</t>
  </si>
  <si>
    <t>Sovrapprezzo per posa dei tubi preisolati negli edifici</t>
  </si>
  <si>
    <t>B.1.A.19.ab</t>
  </si>
  <si>
    <t>TUBAZION IN EDIFICI DN 32</t>
  </si>
  <si>
    <t>B.1.A.19.ac</t>
  </si>
  <si>
    <t>TUBAZION IN EDIFICI DN 40</t>
  </si>
  <si>
    <t>B.1.A.19.ad</t>
  </si>
  <si>
    <t>TUBAZION IN EDIFICI DN 50</t>
  </si>
  <si>
    <t>B.1.A.19.ae</t>
  </si>
  <si>
    <t>TUBAZION IN EDIFICI DN 65</t>
  </si>
  <si>
    <t>B.1.A.19.af</t>
  </si>
  <si>
    <t>TUBAZION IN EDIFICI DN 80</t>
  </si>
  <si>
    <t>B.1.A.19.ag</t>
  </si>
  <si>
    <t>TUBAZION IN EDIFICI DN 100</t>
  </si>
  <si>
    <t>B.1.A.19.ah</t>
  </si>
  <si>
    <t>TUBAZION IN EDIFICI DN 150</t>
  </si>
  <si>
    <t>B.1.A.19.ai</t>
  </si>
  <si>
    <t>TUBAZION IN EDIFICI DN 200</t>
  </si>
  <si>
    <t>B.1.A.19.aj</t>
  </si>
  <si>
    <t>TUBAZION IN EDIFICI DN 250</t>
  </si>
  <si>
    <t>B.1.A.19.ak</t>
  </si>
  <si>
    <t>TUBAZION IN EDIFICI - Ø 300</t>
  </si>
  <si>
    <t>B.1.A.20.a</t>
  </si>
  <si>
    <t>POSA TUBI IN CONTROTUBI</t>
  </si>
  <si>
    <t>Maggiorazione per posa di tubi in controtubi in acciaio</t>
  </si>
  <si>
    <t>B.1.A.20.ab</t>
  </si>
  <si>
    <t>POSA TUBI IN CONTROTUBI DN 50</t>
  </si>
  <si>
    <t>B.1.A.20.ac</t>
  </si>
  <si>
    <t>POSA TUBI IN CONTROTUBI DN 65</t>
  </si>
  <si>
    <t>B.1.A.20.ad</t>
  </si>
  <si>
    <t>POSA TUBI IN CONTROTUBI DN 80</t>
  </si>
  <si>
    <t>B.1.A.20.af</t>
  </si>
  <si>
    <t>POSA TUBI IN CONTROTUBI DN 100</t>
  </si>
  <si>
    <t>B.1.A.20.ag</t>
  </si>
  <si>
    <t>POSA TUBI IN CONTROTUBI DN 125</t>
  </si>
  <si>
    <t>B.1.A.20.ah</t>
  </si>
  <si>
    <t>POSA TUBI IN CONTROTUBI DN 150</t>
  </si>
  <si>
    <t>B.1.A.20.ai</t>
  </si>
  <si>
    <t>POSA TUBI IN CONTROTUBI DN 200</t>
  </si>
  <si>
    <t>B.1.A.20.aj</t>
  </si>
  <si>
    <t>POSA TUBI IN CONTROTUBI DN 250</t>
  </si>
  <si>
    <t>B.1.A.20.ak</t>
  </si>
  <si>
    <t>POSA TUBI IN CONTROTUBI DN 300</t>
  </si>
  <si>
    <t>B.1.A.21.a</t>
  </si>
  <si>
    <t>DISTANZIATORI</t>
  </si>
  <si>
    <t>COLLARI DISTANZIATORI in PVC</t>
  </si>
  <si>
    <t>B.1.A.21.ab</t>
  </si>
  <si>
    <t>DISTANZIATORI DN 125</t>
  </si>
  <si>
    <t>B.1.A.21.ac</t>
  </si>
  <si>
    <t>DISTANZIATORI DN 140</t>
  </si>
  <si>
    <t>B.1.A.21.ad</t>
  </si>
  <si>
    <t>DISTANZIATORI DN 160</t>
  </si>
  <si>
    <t>B.1.A.21.ae</t>
  </si>
  <si>
    <t>DISTANZIATORI DN 200</t>
  </si>
  <si>
    <t>B.1.A.21.af</t>
  </si>
  <si>
    <t>DISTANZIATORI DN 225</t>
  </si>
  <si>
    <t>B.1.A.21.ag</t>
  </si>
  <si>
    <t>DISTANZIATORI DN 300</t>
  </si>
  <si>
    <t>B.1.A.21.ah</t>
  </si>
  <si>
    <t>DISTANZIATORI DN 400</t>
  </si>
  <si>
    <t>B.1.A.21.ai</t>
  </si>
  <si>
    <t>DISTANZIATORI DN 450</t>
  </si>
  <si>
    <t>B.1.A.21.aj</t>
  </si>
  <si>
    <t>DISTANZIATORI DN 500</t>
  </si>
  <si>
    <t>B.1.A.22.a</t>
  </si>
  <si>
    <t>TUBI di PROTEZIONE in ACCIAIO</t>
  </si>
  <si>
    <t>B.1.A.22.ab</t>
  </si>
  <si>
    <t>TUBI di PROTEZIONE in ACCIAIO DN 219,10</t>
  </si>
  <si>
    <t>B.1.A.22.ac</t>
  </si>
  <si>
    <t>TUBI di PROTEZIONE in ACCIAIO DN 244,50</t>
  </si>
  <si>
    <t>B.1.A.22.ad</t>
  </si>
  <si>
    <t>TUBI di PROTEZIONE in ACCIAIO DN 323,90</t>
  </si>
  <si>
    <t>B.1.A.22.ae</t>
  </si>
  <si>
    <t>TUBI di PROTEZIONE in ACCIAIO DN 355,60</t>
  </si>
  <si>
    <t>B.1.A.22.af</t>
  </si>
  <si>
    <t>TUBI di PROTEZIONE in ACCIAIO DN 445,70</t>
  </si>
  <si>
    <t>B.1.A.22.ag</t>
  </si>
  <si>
    <t>TUBI di PROTEZIONE in ACCIAIO DN 508,00</t>
  </si>
  <si>
    <t>B.1.A.22.ah</t>
  </si>
  <si>
    <t>TUBI di PROTEZIONE in ACCIAIO DN 559,00</t>
  </si>
  <si>
    <t>B.1.A.23.a</t>
  </si>
  <si>
    <t>PRECARICA TERMICA</t>
  </si>
  <si>
    <t>B.1.A.23.aa</t>
  </si>
  <si>
    <t>PRECARICA TERMICA   DN 65</t>
  </si>
  <si>
    <t>B.1.A.23.ab</t>
  </si>
  <si>
    <t>PRECARICA TERMICA   DN 80</t>
  </si>
  <si>
    <t>B.1.A.23.ac</t>
  </si>
  <si>
    <t>PRECARICA TERMICA DN 100</t>
  </si>
  <si>
    <t>B.1.A.23.ad</t>
  </si>
  <si>
    <t>PRECARICA TERMICA DN 125</t>
  </si>
  <si>
    <t>B.1.A.23.af</t>
  </si>
  <si>
    <t>PRECARICA TERMICA DN 150</t>
  </si>
  <si>
    <t>B.1.A.23.ag</t>
  </si>
  <si>
    <t>PRECARICA TERMICA DN 200</t>
  </si>
  <si>
    <t>B.1.A.23.ah</t>
  </si>
  <si>
    <t>PRECARICA TERMICA DN 250</t>
  </si>
  <si>
    <t>B.1.A.23.ai</t>
  </si>
  <si>
    <t>PRECARICA TERMICA DN 300</t>
  </si>
  <si>
    <t>B.1.A.24.a</t>
  </si>
  <si>
    <t>VERIFICA DELLE SALDATURE</t>
  </si>
  <si>
    <t>B.1.A.24.aa</t>
  </si>
  <si>
    <t>VERIFICA della SALDATURA  DN 20-40</t>
  </si>
  <si>
    <t>B.1.A.24.ab</t>
  </si>
  <si>
    <t>VERIFICA della SALDATURA DN 50-80</t>
  </si>
  <si>
    <t>B.1.A.24.ac</t>
  </si>
  <si>
    <t>VERIFICA della SALDATURA DN 100-150</t>
  </si>
  <si>
    <t>B.1.A.24.ad</t>
  </si>
  <si>
    <t>VERIFICA della SALDATURA DN 200-300</t>
  </si>
  <si>
    <t>B.1.A.25.a</t>
  </si>
  <si>
    <t>PROVA A PRESSIONE CON ACQUA</t>
  </si>
  <si>
    <t>B.1.A.25.aa</t>
  </si>
  <si>
    <t>PROVA a PRESSIONE con ACQUA DN 20-40</t>
  </si>
  <si>
    <t>80.27.05.98.b*</t>
  </si>
  <si>
    <t>80.27.05.98.d*</t>
  </si>
  <si>
    <t>80.27.05.98.e*</t>
  </si>
  <si>
    <t>80.27.05.98.f*</t>
  </si>
  <si>
    <t>80.27.05.99.g*</t>
  </si>
  <si>
    <t>80.27.05.98.h*</t>
  </si>
  <si>
    <t>80.27.05.98.i*</t>
  </si>
  <si>
    <t>80.27.05.98.k*</t>
  </si>
  <si>
    <t>80.27.05.98.l*</t>
  </si>
  <si>
    <t>80.27.05.98.m*</t>
  </si>
  <si>
    <t>80.27.05.99.a*</t>
  </si>
  <si>
    <t>80.27.05.99.b*</t>
  </si>
  <si>
    <t>80.27.05.99.c*</t>
  </si>
  <si>
    <t>80.27.05.99.d*</t>
  </si>
  <si>
    <t>80.27.05.99.e*</t>
  </si>
  <si>
    <t>80.27.05.99.f*</t>
  </si>
  <si>
    <t>Wasserzähler geflanscht, Trockenläufer, PN 10/16 - mit Pulse-Geber</t>
  </si>
  <si>
    <t>97.01.02.21.a*</t>
  </si>
  <si>
    <t>97.01.02.21.b*</t>
  </si>
  <si>
    <t>97.01.02.21.c*</t>
  </si>
  <si>
    <t>97.01.02.21.d*</t>
  </si>
  <si>
    <t>97.01.02.21.e*</t>
  </si>
  <si>
    <t>97.01.02.21*</t>
  </si>
  <si>
    <t>15.10.02.02.e*</t>
  </si>
  <si>
    <t>Elektroanlage: Schalttaffeln in Feuchtraumausführung</t>
  </si>
  <si>
    <t>Stahlbetonstrukt. einschl. Schalung C 25/30</t>
  </si>
  <si>
    <t>Struttura c.a. compr. Casseri C 25/30</t>
  </si>
  <si>
    <t>Schmutzfänger mit Flanschanschluss aus Sphäroguss, PN16</t>
  </si>
  <si>
    <t>DN 50</t>
  </si>
  <si>
    <t>DN 65</t>
  </si>
  <si>
    <t>DN 80</t>
  </si>
  <si>
    <t>DN 100</t>
  </si>
  <si>
    <t>Filtro con attacco flangiato in ghisa sferoidale, PN 25</t>
  </si>
  <si>
    <t>Schmutzfänger mit Flanschanschluss aus Sphäroguss, PN25</t>
  </si>
  <si>
    <t>80.01.30.30</t>
  </si>
  <si>
    <t>cc</t>
  </si>
  <si>
    <t>DN 100/50 doppio indicatore</t>
  </si>
  <si>
    <t>DN 2 "1/2  PN 10</t>
  </si>
  <si>
    <t>Einflügelige oder zweiflügelige Eingangstür in rostfreiem Stahl AISI 304</t>
  </si>
  <si>
    <t>Porta d'accesso ad un battente o a due battenti in acciaio INOX AISI 304</t>
  </si>
  <si>
    <t>Filtro di presa in lamiera AISI 304, s = 1,5 mm, flange AISI 304</t>
  </si>
  <si>
    <t>Einlaufseiher aus Stahlblech AISI 304, s = 1,5 mm, Flanschen AISI 304</t>
  </si>
  <si>
    <t>DN 125</t>
  </si>
  <si>
    <t>DN 150</t>
  </si>
  <si>
    <t>80.25.14.02</t>
  </si>
  <si>
    <t>Serrande in acciaio inossidabile AISI 304</t>
  </si>
  <si>
    <t>Froschklappen aus rostfreiem Stahl AISI 304</t>
  </si>
  <si>
    <t>80.25.16.02</t>
  </si>
  <si>
    <t>DN 200</t>
  </si>
  <si>
    <t>Rubinetti di prelievo in acciaio inossidabile AISI 304</t>
  </si>
  <si>
    <t>Entnahmehahn aus rostfreiem Stahl AISI 304</t>
  </si>
  <si>
    <t>80.25.18.02</t>
  </si>
  <si>
    <t>Grigliato elettroforgiato in acciaio AISI 304</t>
  </si>
  <si>
    <t>Elektroverschweißte Abdeckroste in Stahl AISI 304</t>
  </si>
  <si>
    <t>Ringhiera - corrimano in acciaio INOX AISI 304</t>
  </si>
  <si>
    <t>Geländer - Handlauf in rostfreiem Stahl AISI 304</t>
  </si>
  <si>
    <t>AS1</t>
  </si>
  <si>
    <t>AS2</t>
  </si>
  <si>
    <t>AS3</t>
  </si>
  <si>
    <t>AS4</t>
  </si>
  <si>
    <t>AS5</t>
  </si>
  <si>
    <t>AS6</t>
  </si>
  <si>
    <t>AS7</t>
  </si>
  <si>
    <t>AS8</t>
  </si>
  <si>
    <t>AS9</t>
  </si>
  <si>
    <t>AS10</t>
  </si>
  <si>
    <t>AS11</t>
  </si>
  <si>
    <t>AS11.1</t>
  </si>
  <si>
    <t>AS11.2</t>
  </si>
  <si>
    <t>AS11.3</t>
  </si>
  <si>
    <t>AS11.4</t>
  </si>
  <si>
    <t>AS11.5</t>
  </si>
  <si>
    <t>AS11.6</t>
  </si>
  <si>
    <t>AS11.7</t>
  </si>
  <si>
    <t>AS11.8</t>
  </si>
  <si>
    <t>Pozzetto in conglomerato cementizio armato, a tenuta d'acqua 0,10 bar 80 x 80 cm</t>
  </si>
  <si>
    <t>Schacht aus Stahlbeton, wasserdicht 0,10 bar 80 x 80 cm</t>
  </si>
  <si>
    <t>Pozzetto in conglomerato cementizio armato, a tenuta d'acqua 0,10 bar 80 x 100 cm</t>
  </si>
  <si>
    <t>Schacht aus Stahlbeton, wasserdicht 0,10 bar 80 x 100 cm</t>
  </si>
  <si>
    <t>Pannelli di polistirene estruso per ogni mm di spessore oltre 20 mm</t>
  </si>
  <si>
    <t>Polystyrolhartschaumplatten für jeden mm über 20 mm</t>
  </si>
  <si>
    <t>Fornitura e posa in opera di fogli in PVC, 1,5 mm giunti saldati, saldatura doppia</t>
  </si>
  <si>
    <t>Mit *: Preise die in den Richtpreisverzeichnissen Tiefabuarbeiten oder Hochbauarbeiten nicht enthalten sind, oder mit Varianten in der Beschreibung oder im Betrag
Con *: prezzi che non sono compresi negli elenchi prezzi Opere civili non edili e Opere civili edili, oppure per i quali le descrizioni o l'importo sono variati rispetto ad essi</t>
  </si>
  <si>
    <t>DN 1", tipo A, filettato</t>
  </si>
  <si>
    <t>DN 2", tipo A, filettato</t>
  </si>
  <si>
    <t>DN 2", tipo A, flangiato</t>
  </si>
  <si>
    <t>DN 50, tipo B, flangiato</t>
  </si>
  <si>
    <t>DN 50, tipo B, a doppia sfera, flangiato</t>
  </si>
  <si>
    <t>DN 50      - qn= 15  m3/h - classe A</t>
  </si>
  <si>
    <t>DN 80      - qn= 40  m3/h - classe A</t>
  </si>
  <si>
    <t>DN 100     - qn= 60  m3/h - classe A</t>
  </si>
  <si>
    <t>DN 125     - qn= 100 m3/h - classe A</t>
  </si>
  <si>
    <t>DN 150     - qn= 150 m3/h - classe A</t>
  </si>
  <si>
    <t>80.01.25.15</t>
  </si>
  <si>
    <t>80.01.30.25</t>
  </si>
  <si>
    <t>Filtro con attacco flangiato in ghisa sferoidale, PN 16</t>
  </si>
  <si>
    <t>02.04.03.07.c*</t>
  </si>
  <si>
    <t>Rundstahl, gerippt, im Werk kontrolliert, Stahl B450C</t>
  </si>
  <si>
    <t>Barre ad aderenza migliorata, controllate in stabilimento, acciaio B450C</t>
  </si>
  <si>
    <t>02.09.01.05.b</t>
  </si>
  <si>
    <t>DN 80 - con flange UNI/DIN - mit Flanschen UNI/DIN</t>
  </si>
  <si>
    <t>DN 100 - con flange UNI/DIN - mit Flanschen UNI/DIN</t>
  </si>
  <si>
    <t>diametro Durchmesser   60 mm - PN 16</t>
  </si>
  <si>
    <t>Manometro in acciaio inossidabile</t>
  </si>
  <si>
    <t>Manometer aus rostfreiem Stahl</t>
  </si>
  <si>
    <t>diametro   Durchmesser 60 mm - PN 25</t>
  </si>
  <si>
    <t>Idrante soprassuolo in ghisa, PN 10/16 DN 80 mm  attacchi 1B + 2C</t>
  </si>
  <si>
    <t>Überflurhydrant aus Gußeisen, PN 10/16 DN 80 mm  Anschlüsse 1B + 2C</t>
  </si>
  <si>
    <t>80.05.01.01A</t>
  </si>
  <si>
    <t>Gruppo elettrogeno portabile potenza 1,0 - 5,0 KVA - Tragbares Stromaggregat Leistung über 1,0 - 5,0 KVA</t>
  </si>
  <si>
    <t>Pozzetto in conglomerato cementizio armato, a tenuta d'acqua 0,10 bar 120 x 150 cm</t>
  </si>
  <si>
    <t>Schacht aus Stahlbeton, wasserdicht 0,10 bar 120 x 150 cm</t>
  </si>
  <si>
    <t>Ø125 - con flange UNI/DIN - mit Flanschen UNI/DIN</t>
  </si>
  <si>
    <t>Ø150 - con flange UNI/DIN - mit Flanschen UNI/DIN</t>
  </si>
  <si>
    <t>Tubi di PVC in grosso spessore per drenaggio vasche filtri</t>
  </si>
  <si>
    <t>Dickwandige PVC-Rohre für Drainage der Filterbecken</t>
  </si>
  <si>
    <t>Ø100 D=5mm</t>
  </si>
  <si>
    <t>Ø125 D=8mm</t>
  </si>
  <si>
    <t>Ø150 D=9,5mm</t>
  </si>
  <si>
    <t>Ø200 D=13,0mm</t>
  </si>
  <si>
    <t>ATTREZZATURE IDRAULICHE - ARMATUREN</t>
  </si>
  <si>
    <t>Elettrovalvola a farfalla motorizzata PN 10/16</t>
  </si>
  <si>
    <t>Abschperrklappe PN10/16 mit Elektromotor</t>
  </si>
  <si>
    <t>aa</t>
  </si>
  <si>
    <t>DN 65 - con flange UNI/DIN - mit Flanschen UNI/DIN</t>
  </si>
  <si>
    <t>Conglomerato bituminoso 0/9 per strato d'usura di 1. Categoria, spessore variabile</t>
  </si>
  <si>
    <t>Bituminöses Mischgut, 0/9 für Verschleißschichten 1.Kategorie Schichtstärke, variable  Schichtstärke</t>
  </si>
  <si>
    <t>Bituminöses Mischgut, 0/9 für Verschleißschichten 2.Kategorie Schichtstärke, , variable  Schichtstärke</t>
  </si>
  <si>
    <t>Conglomerato bituminoso 0/9 per strato d'usura di 2. Categoria, spessore variabile</t>
  </si>
  <si>
    <t>Fornitura ed esecuzione di strati di base, a volume in opera</t>
  </si>
  <si>
    <t>Lieferung von Fremdmaterial und Ausführung von Tragschichten nach Volumen im eingebauten Zustand</t>
  </si>
  <si>
    <t>\</t>
  </si>
  <si>
    <t>Conglomerato cementizio per manufatti C 25/30 (Rck 30 N/mm2)</t>
  </si>
  <si>
    <t>Conglomerato cementizio per sottofondi, spianamenti e riempimenti C 12/15 (Rck 15 N/mm2)</t>
  </si>
  <si>
    <t>Impianto elettrico: Montanti e linee principali</t>
  </si>
  <si>
    <t>Transport und Vorbereitung f.d. Rohrvertrieb</t>
  </si>
  <si>
    <t>Trasporto e preparazione per sottopasso a spinta</t>
  </si>
  <si>
    <t>54.01.90.72*</t>
  </si>
  <si>
    <t>54.01.90.73*</t>
  </si>
  <si>
    <t>Vortrieb eines Eisenrohres mit Durchmesser 125-200 mm</t>
  </si>
  <si>
    <t>Pausc</t>
  </si>
  <si>
    <t>80.01.20.07*</t>
  </si>
  <si>
    <t>Valvola idraulica a galleggiante con pilota per sfioro sovrapressioni di monte</t>
  </si>
  <si>
    <t>Per edificio</t>
  </si>
  <si>
    <t>Per condotte di collegamento</t>
  </si>
  <si>
    <t>Sottofondo per edifici</t>
  </si>
  <si>
    <t>78.01.02.90*</t>
  </si>
  <si>
    <t>Pozzetto prefabbricato in cls vibrato 40x40x40(H)x4cm</t>
  </si>
  <si>
    <t>AIUOLE ALBERI</t>
  </si>
  <si>
    <t>TOTALE LAVORI DA APPALTARE
INSGESAMT FÜR AUSZUSCHREIBENDE ARBEITEN</t>
  </si>
  <si>
    <t>A.S.M. SpA</t>
  </si>
  <si>
    <t>AE SpA</t>
  </si>
  <si>
    <t>COMUNE MERANO</t>
  </si>
  <si>
    <t>TOTALE GENERALE LAVORI (senza IVA - senza SOMME A DISPOSIZIONE)</t>
  </si>
  <si>
    <t>Applicazione segnaletica orizzontale con compressore a spruzzo per strisce B=12cm</t>
  </si>
  <si>
    <t>Sola posa corda in rame a più fili, nuda, posta in opera nello scavo aperto, in tubi o sistemi simili, Q=25 mm2</t>
  </si>
  <si>
    <t>Linea principale</t>
  </si>
  <si>
    <t>attacco lampioni</t>
  </si>
  <si>
    <t>Fornitura e posa corda in rame a più fili, nuda, posta in opera nello scavo aperto, in tubi o sistemi simili, Q=25 mm2</t>
  </si>
  <si>
    <t>Kernbohrungen in Beton und Stahlbeton D 172 mm</t>
  </si>
  <si>
    <t>Perforazione a rotazione di conglomerato cementizio D 172 mm</t>
  </si>
  <si>
    <t>Kernbohrungen in Beton und Stahlbeton D 250 mm</t>
  </si>
  <si>
    <t>Perforazione a rotazione di conglomerato cementizio D 250 mm</t>
  </si>
  <si>
    <t>Scavo di terra vegetale con mezzo meccanico</t>
  </si>
  <si>
    <t>armadio da parete in poliestere  IP55  vuoto, dim 650x270x125 - 48mod.</t>
  </si>
  <si>
    <t>cass. IP55 700x650x30 per contat. o int.gen. Es. Ottotecnica spa R.E.</t>
  </si>
  <si>
    <t>quadretto tipo Gewiss 68001 con tre prese+ automatico</t>
  </si>
  <si>
    <t>int. m.t. tripolari + N  10kA  4md  4x40÷63A</t>
  </si>
  <si>
    <t>m.t.diff.  bipolare  10kA  Idn 0.03A  4md  2x6÷32A</t>
  </si>
  <si>
    <t>m.t.diff.  tetrapolare  10kA  Idn 0.3÷0.5A  6md  4x6÷32A</t>
  </si>
  <si>
    <t>termico, corrente di regolazione 22÷46A</t>
  </si>
  <si>
    <t>punto interrotto IP55</t>
  </si>
  <si>
    <t>punto presa 2P+T 10÷16A UNEL IP55</t>
  </si>
  <si>
    <t>punto uscita 2P+T 16A IP55</t>
  </si>
  <si>
    <t>punto luce singolo, a vista, IP55</t>
  </si>
  <si>
    <t>c.ill.soff. policarbonato, IP65  1x58W  elettronica</t>
  </si>
  <si>
    <t>c.ill.soff. policarbon., IP65  2x58W acc. elet. Es. 951 Hydro-Disano</t>
  </si>
  <si>
    <t>Röhre aus PEh PE100 für Trinkwasserleitungen beistellen und verlegen</t>
  </si>
  <si>
    <t>Ø25 PN10</t>
  </si>
  <si>
    <t>Ø25 PN16</t>
  </si>
  <si>
    <t>Röhre aus PEh100 für Trinkwasserleitungen beistellen und verlegen</t>
  </si>
  <si>
    <t>77.16.01.01.a</t>
  </si>
  <si>
    <t>77.16.01.01.b</t>
  </si>
  <si>
    <t>77.16.01.01.c</t>
  </si>
  <si>
    <t>77.16.01.01.d</t>
  </si>
  <si>
    <t xml:space="preserve">Viereckige Schachtabdeckung auf verzinktem Stahl Prüflast 400 kN 1,00x0,80 </t>
  </si>
  <si>
    <t>Chiusino rettangolare in acciaio zincato carico 400 kN 1,00x0,80</t>
  </si>
  <si>
    <t>Deckenleuchte in Polycarbonat IP65 2x58W mit Notleuchte Z.B. 952 Hydro Disano oder gleichwertig</t>
  </si>
  <si>
    <t>Display für Wasserzähler</t>
  </si>
  <si>
    <t>Display per contatori d'acqua</t>
  </si>
  <si>
    <t>Elektroanlage: Beleuchtung - Anschlüsse Spezialbauten und Geräte (Pumpe, Gebläse, Wasserzähler)</t>
  </si>
  <si>
    <t>Impianto elettrico: Impianto illuminazione - Allacciamenti impianti speciali (pompa lavaggi, ventilatore, contatori d'acqua)</t>
  </si>
  <si>
    <t>Verie e minori</t>
  </si>
  <si>
    <t>Liefern und Einbau, trocken verlegt, von PVC Folie, 1,5 mm, Stösse verschweisst, Doppelschweissnaht</t>
  </si>
  <si>
    <t>Esecuzione di impermeabilizzazione del terreno, per protezione delle captazioni di sorgente</t>
  </si>
  <si>
    <t>Abdichten des Geländes zum Schutz des Quellgebietes im Bereich des Fassungsstellen</t>
  </si>
  <si>
    <t>Protezione delle scarpate di scavo, con rete metallica a doppia torsione e telo di PE o di PVC</t>
  </si>
  <si>
    <t>Schutz von  Aushubsböschungen mit Metalldrahtnetz und Gleitfolie aus PE oder PVC</t>
  </si>
  <si>
    <t>Schutzschicht aus Geotextil (Vlies) Grab-Festigkeit: 300 - 350 N</t>
  </si>
  <si>
    <t>Strato di protezione in tessuto - nontessuto resistenza Grab: 300 - 350 N</t>
  </si>
  <si>
    <t>Fornitura e posa di membrana bugnata, di polietilene ad alta densità (HDPE) spessore 6/10 mm, peso 600 gr / m², resistenza alla compressione &gt; 250 kN / m2</t>
  </si>
  <si>
    <t>Liefern und Einbau von Noppenbahn, aus Polyethylen hoher Dichte (HDPE) Stärke 6/10 mm, Gewicht 600 gr / m², Druckfestigkeit &gt; 250 kN / m2</t>
  </si>
  <si>
    <t>Pannelli in polistirene estruso spessore 20 mm</t>
  </si>
  <si>
    <t>Polystyrolhartschaumplatten Schichtstärke 20 mm</t>
  </si>
  <si>
    <t>COIBENTAZIONE DI SUPERFICI PIANE, ORIZZONTALI ED INCLINATE FINO A 20°</t>
  </si>
  <si>
    <t>WÄRMEDÄMMUNG VON EBENEN, HORIZONTALEN UND BIS ZU 20° GENEIGTEN OBERFLÄCHEN</t>
  </si>
  <si>
    <t>COIBENTAZIONE DI SUPERFICI PIANE, VERTICALI ED INCLINATE FINO A 70° DALLA VERTICALE</t>
  </si>
  <si>
    <t>75.10.09.01.b</t>
  </si>
  <si>
    <t>Polypropylen- dreischichtrohre SN12</t>
  </si>
  <si>
    <t>Tubi in polipropilene a 3 strati SN12</t>
  </si>
  <si>
    <t>75.10.09.02</t>
  </si>
  <si>
    <t>75.10.09.02.a</t>
  </si>
  <si>
    <t>75.10.09.02.b</t>
  </si>
  <si>
    <t>75.10.09.02.c</t>
  </si>
  <si>
    <t>75.10.09.02.d</t>
  </si>
  <si>
    <t>75.80.05.05</t>
  </si>
  <si>
    <t>75.20.02.10</t>
  </si>
  <si>
    <t>Kreisrundes, zentrifugiertes Stahlbetonrohr mit Glockenmuffe</t>
  </si>
  <si>
    <t>Tubo circolare centrifugato di cemento armato con giunti a bicchiere</t>
  </si>
  <si>
    <t>75.20.02.10.a</t>
  </si>
  <si>
    <t>75.20.02.10.b</t>
  </si>
  <si>
    <t>75.20.02.10.c</t>
  </si>
  <si>
    <t>75.20.02.10.e</t>
  </si>
  <si>
    <t>75.20.02.10.f</t>
  </si>
  <si>
    <t>75.20.02.10.g</t>
  </si>
  <si>
    <t>Ø30</t>
  </si>
  <si>
    <t>Ø40</t>
  </si>
  <si>
    <t>Ø50</t>
  </si>
  <si>
    <t>Ø60</t>
  </si>
  <si>
    <t>Ø70</t>
  </si>
  <si>
    <t>75.90.01.03</t>
  </si>
  <si>
    <t>Basamento piano in cls s=15 cm</t>
  </si>
  <si>
    <t>Flaches Betonauflager s=15cm</t>
  </si>
  <si>
    <t>per tubi oltre Ø30 - 60 cm</t>
  </si>
  <si>
    <t>per tubi fino a Ø30 cm</t>
  </si>
  <si>
    <t>per tubi oltre Ø60 - 100 cm</t>
  </si>
  <si>
    <t>77.06.01.01.b</t>
  </si>
  <si>
    <t>Schacht aus Stahlbeton, wasserdicht 0,10 bar 40 x 40 cm</t>
  </si>
  <si>
    <t>Pozzetto in conglomerato cementizio armato, a tenuta d'acqua 0,10 bar 40 x 40 cm</t>
  </si>
  <si>
    <t>Sovrapprezzo per maniglioni rivestiti con materiale sintetico, nucleo : acciaio S235</t>
  </si>
  <si>
    <t>Aufpreis für Kunststoff- überzogene Steigbügel, Kern : Stahl  S235</t>
  </si>
  <si>
    <t>80.01.02.03.o*</t>
  </si>
  <si>
    <t>80.01.02.03.f*</t>
  </si>
  <si>
    <t>85.05.05.01</t>
  </si>
  <si>
    <t>Aufbringen eines kationischen Emulsionsfilmes</t>
  </si>
  <si>
    <t>Applicazione di una mano di emulsione cationica</t>
  </si>
  <si>
    <t>Voci a stima di riserva</t>
  </si>
  <si>
    <t>Voci dubbie da controllare</t>
  </si>
  <si>
    <t>Voci particolari</t>
  </si>
  <si>
    <t>20% dello scavo totale in sezione ristretta (10% marciapiedi-aiuole)</t>
  </si>
  <si>
    <t>30% dei massi estratti (0% marciapiedi-aiuole)</t>
  </si>
  <si>
    <t>Totale (10% dello scavo insezione ristretta)</t>
  </si>
  <si>
    <t>A detrarre superfici cubettate</t>
  </si>
  <si>
    <t>Allacciamenti - in detrazione aiuole alberi</t>
  </si>
  <si>
    <t>Edelstahlflanschen AISI 304</t>
  </si>
  <si>
    <t>Fornitura e posa pezzi speciali Inox AISI 304</t>
  </si>
  <si>
    <t>Spezialstücke aus Edelstahl AISI 304</t>
  </si>
  <si>
    <t>Fornitura e posa cappello tubo areatore in inox AISI 304</t>
  </si>
  <si>
    <t>Haube für Entlüftungsrohr aus Edelstahl AISI 304</t>
  </si>
  <si>
    <t>Rohrdurchfürungen aus Edelstahl AISI 304</t>
  </si>
  <si>
    <t>Giunti passamuro in acciaio Inox AISI 304</t>
  </si>
  <si>
    <t>80.25.16.90*</t>
  </si>
  <si>
    <t>Absperrventil aus Edelstahl AISI304 DN200</t>
  </si>
  <si>
    <t>Paratoia in acciaio inossidabile AISI 304 Ø200</t>
  </si>
  <si>
    <t>Entleerungen Ø2" PN16-25</t>
  </si>
  <si>
    <t>Esecuzione scarichi di linea Ø2" PN16-25</t>
  </si>
  <si>
    <t>Allgemeiner Aushub in Pickelfels, in natürlichen Konglomeraten, - in Steinhalden, inbegriffen Steinblöcke - Aufpreis</t>
  </si>
  <si>
    <t>Scavo di sbancamento in roccia compatta - sovrapprezzo</t>
  </si>
  <si>
    <t>Allgemeiner Aushub in kompaktem Fels - Aufpreis</t>
  </si>
  <si>
    <t>In Anl. 5</t>
  </si>
  <si>
    <t>Opere in terra per scarichi di linea</t>
  </si>
  <si>
    <t>Deviazione provvisoria di acquedotto con tubazioni del DN: 80 mm</t>
  </si>
  <si>
    <t>Provisorische Umleitung von Wasserleitungen, mit Rohren der Abmessungen DN: 80 mm</t>
  </si>
  <si>
    <t>GPS-Steuerungssystem</t>
  </si>
  <si>
    <t>WÄRMEDÄMMUNG VON EBENEN, VERTIKALEN UND BIS ZU 70° VON DER VERTIKALEN GENEIGTEN OBERFLÄCHEN</t>
  </si>
  <si>
    <t>Pannelli di polistirene estruso spessore 20 mm, fissati a punti o strisce</t>
  </si>
  <si>
    <t>Polystyrolhartschaumplatten Schichtstärke 20 mm, punktuell oder streifenweise befestigt</t>
  </si>
  <si>
    <t>MODULO PER OFFERTE/FATTURE progetti esecutivi, d.ll. contabilita',certificati regolare esecuzione</t>
  </si>
  <si>
    <t>LAVORO:</t>
  </si>
  <si>
    <t>PROGETTO</t>
  </si>
  <si>
    <t>TOTALE LAVORI PREVISTI</t>
  </si>
  <si>
    <t>????</t>
  </si>
  <si>
    <t>OPERE DI</t>
  </si>
  <si>
    <t>ACQUEDOTTI</t>
  </si>
  <si>
    <t>CATEGORIA</t>
  </si>
  <si>
    <t>VIII</t>
  </si>
  <si>
    <t>CIFRA INFERIORE</t>
  </si>
  <si>
    <t>CIFRA SUPERIORE</t>
  </si>
  <si>
    <t>TARIFFA INFERIORE %</t>
  </si>
  <si>
    <t>TARIFFA SUPERIORE %</t>
  </si>
  <si>
    <t>TARIFFA COMPLETA %</t>
  </si>
  <si>
    <t>=F10-((F5-F8)*(F10-F11)/(F9-F8))</t>
  </si>
  <si>
    <t>PROGETTO PRELIMINARE</t>
  </si>
  <si>
    <t>ALIQUOTE</t>
  </si>
  <si>
    <t>a+b</t>
  </si>
  <si>
    <t>=0.07+0.01</t>
  </si>
  <si>
    <t>SOLO ONORARIO</t>
  </si>
  <si>
    <t>SPESE FORFAITARIE %</t>
  </si>
  <si>
    <t>Parchi  ??</t>
  </si>
  <si>
    <t>ONORARIO PROGETTO E SPESE</t>
  </si>
  <si>
    <t>Ausbreiten und Verteilen von Muttererde, Kompost, Torf Schichtstärke bis 15 cm</t>
  </si>
  <si>
    <t>Spandimento e spianamento di terra vegetale, compost, torba spessore 16 - 25 cm</t>
  </si>
  <si>
    <t>Ausbreiten und Verteilen von Muttererde, Kompost, Torf Schichtstärke 16 - 25 cm</t>
  </si>
  <si>
    <t>Pozzetto in conglomerato cementizio armato, a tenuta d'acqua 0,10 bar 100 x 100 cm</t>
  </si>
  <si>
    <t>Schacht aus Stahlbeton, wasserdicht 0,10 bar 100 x 100 cm</t>
  </si>
  <si>
    <t>Pozzetto in conglomerato cementizio armato, a tenuta d'acqua 0,10 bar 100 x 120 cm</t>
  </si>
  <si>
    <t>Schacht aus Stahlbeton, wasserdicht 0,10 bar 100 x 120 cm</t>
  </si>
  <si>
    <t>Chiusino in ghisa circolare carico 250 kN  peso 140/150 kg</t>
  </si>
  <si>
    <t>Kreisförmige vollständig aus Guss Schachtabdeckung Prüflast 250 kN  Gewicht 140/150 kg</t>
  </si>
  <si>
    <t>IMPREVISTI 5% (10% TLR) SU LAVORI IN APPALTO E ACQUISTI/LAVORI IN DIRETTA AMMINISTRAZIONE</t>
  </si>
  <si>
    <t>PREZZI PARTICOLARI DERIVANTI DA APPALTI AE PER TELERISCALDAMENTO (da Guidotti)</t>
  </si>
  <si>
    <t xml:space="preserve">Gestione sicurezza  - Durchführungsbestimmungen </t>
  </si>
  <si>
    <t>Gestione sicurezza - Durchführungsbestimmungen</t>
  </si>
  <si>
    <t>78.01.01.01.d*</t>
  </si>
  <si>
    <t>Kreisförmige vollständig aus Guss Schachtabdeckung Prüflast 400 kN  Gewicht 170/180 kg Ø70,0 cm</t>
  </si>
  <si>
    <t>Chiusino in ghisa circolare carico 400 kN  peso 170/180 kg kg Ø70,0 cm</t>
  </si>
  <si>
    <t>97.01.02.08.d*</t>
  </si>
  <si>
    <t>D201-300 mm</t>
  </si>
  <si>
    <t>52.03.01.06*</t>
  </si>
  <si>
    <t>Idranti antincendio Estintori  - Feuerlöscher</t>
  </si>
  <si>
    <t>52.03.01.07A*</t>
  </si>
  <si>
    <t>52.03.01.07b*</t>
  </si>
  <si>
    <t>52.03.01.07C*</t>
  </si>
  <si>
    <t>52.03.01.07D*</t>
  </si>
  <si>
    <t>52.03.01.07E*</t>
  </si>
  <si>
    <t>52.03.01.07F*</t>
  </si>
  <si>
    <t>52.03.01.07G*</t>
  </si>
  <si>
    <t>52.03.01.07H*</t>
  </si>
  <si>
    <t>Sistema di comando e controllo via GPS</t>
  </si>
  <si>
    <t>Schacht aus Stahlbeton, wasserdicht 0,10 bar 50 x 50 cm</t>
  </si>
  <si>
    <t>Pozzetto in conglomerato cementizio armato, a tenuta d'acqua 0,10 bar 50 x 50 cm</t>
  </si>
  <si>
    <t>Schacht aus Stahlbeton, wasserdicht 0,10 bar 60 x 60 cm</t>
  </si>
  <si>
    <t>Pozzetto in conglomerato cementizio armato, a tenuta d'acqua 0,10 bar 60 x 60 cm</t>
  </si>
  <si>
    <t>77.06.01.01.c</t>
  </si>
  <si>
    <t>77.06.01.01.d</t>
  </si>
  <si>
    <t>IMPORTO COLLAUDO</t>
  </si>
  <si>
    <t>Inspektionsschacht in Verdichtbeton 40x40x40(H)x40mm</t>
  </si>
  <si>
    <t>Opere in terra per posa di idranti antincendio</t>
  </si>
  <si>
    <t>Erdarbeiten zur Montage der Feuerlöschhydrant</t>
  </si>
  <si>
    <t>Erdarbeiten für Entleerungen entlang der Leitung</t>
  </si>
  <si>
    <t>Operaio Specializzato - Spezialisierter Arbeiter</t>
  </si>
  <si>
    <t>h-St</t>
  </si>
  <si>
    <t>Operaio Qualificato - Qualifizierter Arbeiter</t>
  </si>
  <si>
    <t>Elektromagnetischer Wasserzähler PN 10/16</t>
  </si>
  <si>
    <t>Contatore elettromagnetico PN 10/16</t>
  </si>
  <si>
    <t>Contatore flangiato, quadrante asciutto, PN 10/16 - con testata lancia-impulsi</t>
  </si>
  <si>
    <t>a corpo</t>
  </si>
  <si>
    <t>Ø110</t>
  </si>
  <si>
    <t>Fornitura e posa condotte in PEad PE100 per acqua potabile</t>
  </si>
  <si>
    <t>e</t>
  </si>
  <si>
    <t>f</t>
  </si>
  <si>
    <t>g</t>
  </si>
  <si>
    <t>h</t>
  </si>
  <si>
    <t>Ø32 PN10</t>
  </si>
  <si>
    <t>Ø40 PN10</t>
  </si>
  <si>
    <t>Ø50 PN10</t>
  </si>
  <si>
    <t>Ø63 PN10</t>
  </si>
  <si>
    <t>Ø75 PN10</t>
  </si>
  <si>
    <t>Ø90 PN10</t>
  </si>
  <si>
    <t>=('CompSolo Wolf'!I1950+'CompSolo Wolf'!N1971+'CompSolo Wolf'!I1980)-'CompSolo Wolf'!N1969</t>
  </si>
  <si>
    <t>LAV</t>
  </si>
  <si>
    <t>Martello demolitore pneumatico, manuale peso fino a 10,00 kg -Pneumatischer, händischer Preßlufthammer Gewicht über 10,00 - 20,00 kg</t>
  </si>
  <si>
    <t>Gruppo elettrogeno diesel, trasportabile, silenziato, 15,0-25,0 kVA</t>
  </si>
  <si>
    <t>51.02.50.05</t>
  </si>
  <si>
    <t>Motosega trasportabile con motore a scoppio, barra 40cm (escluso l'operatore)</t>
  </si>
  <si>
    <t>51.02.50.10</t>
  </si>
  <si>
    <t>Trapano elettrico per calcestruzzo e muratura (0,75 kW) (escluso l'operatore)</t>
  </si>
  <si>
    <t>Martello demolitore con motore a scoppio per perforazioni e demolizioni, potenza fino a 2 kW</t>
  </si>
  <si>
    <t>Attrezzatura speciale per saldatura in cantiere, compresi elettrodi per saldatura elettrica</t>
  </si>
  <si>
    <t>MANO D'OPERA</t>
  </si>
  <si>
    <t>NOLI E TRASPORTI</t>
  </si>
  <si>
    <t>MATERIALI</t>
  </si>
  <si>
    <t>Sabbia lavata per calcestruzzo (UNI EN 12620) pezzatura 0,075-5,0 mm</t>
  </si>
  <si>
    <t>Componenti inerti misti per calcestruzzo pezzatura 0,075-31,5 mm</t>
  </si>
  <si>
    <t>Cemento ad alta resistenza R42.5 in sacchi</t>
  </si>
  <si>
    <t>Cemento speciale resistente ai solfati (Portland, pozzolanico, altoforno) UNI 9156 in sacchi</t>
  </si>
  <si>
    <t>51.04.09.49</t>
  </si>
  <si>
    <t>n-St</t>
  </si>
  <si>
    <t>51.04.14.30</t>
  </si>
  <si>
    <t>Legname spigolato (a 4 fili) di abete dimensioni oltre 12/12 cm</t>
  </si>
  <si>
    <t>Tavole grezze di abete per armatura spessore fino a 25 mm</t>
  </si>
  <si>
    <t>10% dello scavo totale in sezione ristretta</t>
  </si>
  <si>
    <t>Totale:</t>
  </si>
  <si>
    <t>Camion peso (eccez.) 33 t - LKW Gewicht (Sondergenehmigung) 33 t</t>
  </si>
  <si>
    <t>80.01.01.01</t>
  </si>
  <si>
    <t>Ø110 x Ø90</t>
  </si>
  <si>
    <t>Isolamento termico per tracciati aerei s=4 cm PU + 4 cm Polistirolo (comprese curve)</t>
  </si>
  <si>
    <t>Wärmedämmung für freiliegende Leitungen D=4 cm PU + 4 cm Polystyrol (Bögen inegriffen)</t>
  </si>
  <si>
    <t>80.01.20.04</t>
  </si>
  <si>
    <t>80.27.05.05</t>
  </si>
  <si>
    <t>l</t>
  </si>
  <si>
    <t>54.01.90.99*</t>
  </si>
  <si>
    <t>Taglioni di presa</t>
  </si>
  <si>
    <t>Platee di fondazione</t>
  </si>
  <si>
    <t>Pareti verticali</t>
  </si>
  <si>
    <t>Solai</t>
  </si>
  <si>
    <t>A lato edifici fuori terra</t>
  </si>
  <si>
    <t>Copertura drenaggio filtri neutralizzatori: = 3,5*3*3</t>
  </si>
  <si>
    <t>t</t>
  </si>
  <si>
    <t>Vorgefertigte Quellfassung aus Edelstahl AISI304</t>
  </si>
  <si>
    <t>min</t>
  </si>
  <si>
    <t>80.27.05.98*</t>
  </si>
  <si>
    <t>80.27.05.99*</t>
  </si>
  <si>
    <t>80.25.08.01*</t>
  </si>
  <si>
    <t>80.25.03.01.B*</t>
  </si>
  <si>
    <t>86.30.01*</t>
  </si>
  <si>
    <t>52.03.01.02*</t>
  </si>
  <si>
    <t>52.03.01.03*</t>
  </si>
  <si>
    <t>52.03.01.08*</t>
  </si>
  <si>
    <t>52.03.01.09*</t>
  </si>
  <si>
    <t>52.03.01.04*</t>
  </si>
  <si>
    <t>52.03.01.05*</t>
  </si>
  <si>
    <t>IMPORTO PROGETTO E SPESE ARROTONDATO</t>
  </si>
  <si>
    <t>ACCONTI GIA' FATTURATI</t>
  </si>
  <si>
    <t>TOTALE DA FATTURARE</t>
  </si>
  <si>
    <t>CASSA PREVIDENZA</t>
  </si>
  <si>
    <t>IVA 20%</t>
  </si>
  <si>
    <t>TOTALE</t>
  </si>
  <si>
    <t>RIT.ACC. 20%</t>
  </si>
  <si>
    <t>PROGETTO DEFINITIVO</t>
  </si>
  <si>
    <t>=0.15</t>
  </si>
  <si>
    <t>QOUTA PARTE %</t>
  </si>
  <si>
    <t>IMPORTO PROGETTO E SPESE ARROTONDATO CON ACCONTO</t>
  </si>
  <si>
    <t>PROGETTO ESECUTIVO</t>
  </si>
  <si>
    <t>f+g+h+i</t>
  </si>
  <si>
    <r>
      <t>=0.1+0.05+0.14</t>
    </r>
    <r>
      <rPr>
        <sz val="10"/>
        <rFont val="MS Sans Serif"/>
        <family val="2"/>
      </rPr>
      <t>+0.03</t>
    </r>
  </si>
  <si>
    <t>ONORARIO PROGETTO+COORDINAMENTO E SPESE</t>
  </si>
  <si>
    <t>TOTALE DA VERSARE</t>
  </si>
  <si>
    <t>COORDINAMENTO DELLA PROGETTAZIONE</t>
  </si>
  <si>
    <t>Maggiorazioni</t>
  </si>
  <si>
    <t>UxG &gt;&gt;</t>
  </si>
  <si>
    <t>Aliquota base</t>
  </si>
  <si>
    <t>(MINIMO 1290.00)</t>
  </si>
  <si>
    <t>SOLO ONORARIO ARROTONDATO</t>
  </si>
  <si>
    <t>IMPORTO COORD.PROGETTO E SPESE ARROTONDATO</t>
  </si>
  <si>
    <t>PROGETTO STATICO</t>
  </si>
  <si>
    <t>COSTR EDILI</t>
  </si>
  <si>
    <t>Ic</t>
  </si>
  <si>
    <t>a+b+c+e</t>
  </si>
  <si>
    <t>=0.1+0.03+0.15+0.12</t>
  </si>
  <si>
    <t>MAGGIORAZIONE %</t>
  </si>
  <si>
    <t>non calcolato</t>
  </si>
  <si>
    <t>PROGPRELIM+DEF+ESEC+COORDPR</t>
  </si>
  <si>
    <t>PROGPRELIM</t>
  </si>
  <si>
    <t>PROGDEF</t>
  </si>
  <si>
    <t>PROGESEC</t>
  </si>
  <si>
    <t>COORD PROG</t>
  </si>
  <si>
    <t>PROGSTATICO</t>
  </si>
  <si>
    <t>TOTALE ONORARI FASE PROGETTUALE</t>
  </si>
  <si>
    <t>SPESE %</t>
  </si>
  <si>
    <t>Riduzione %</t>
  </si>
  <si>
    <t>Spese</t>
  </si>
  <si>
    <t>TOTALE ONORARI E SPESE FASE PROGETTUALE</t>
  </si>
  <si>
    <t>SCONTO %</t>
  </si>
  <si>
    <t>Sconto</t>
  </si>
  <si>
    <t>IMPONIBILE (ONORARIO CON SPESE + CASSA)</t>
  </si>
  <si>
    <t>RIT ACC 20%</t>
  </si>
  <si>
    <t>TOTALE AVERE</t>
  </si>
  <si>
    <t>D.LL.</t>
  </si>
  <si>
    <t>TOTALE LAVORI EFFETTUATI (LORDO)</t>
  </si>
  <si>
    <t>TAB. B</t>
  </si>
  <si>
    <t>I</t>
  </si>
  <si>
    <t>I1</t>
  </si>
  <si>
    <t>ONORARIO D.LL</t>
  </si>
  <si>
    <t>ONORARIO D.LL. E SPESE</t>
  </si>
  <si>
    <t>IMPORTO D.LL. E SPESE ARROTONDATO</t>
  </si>
  <si>
    <t>RIT.ACC.</t>
  </si>
  <si>
    <t>COORDINAMENTO DELLA ESECUZIONE</t>
  </si>
  <si>
    <t>TABELLA B2</t>
  </si>
  <si>
    <t>Aliquote di base</t>
  </si>
  <si>
    <t>Incrementi</t>
  </si>
  <si>
    <t>Maggiorazioni per fattori di rischio</t>
  </si>
  <si>
    <t>Lavori con rischio seppellimento e sprofondamento, caduta dall'alto, ecc.</t>
  </si>
  <si>
    <t>MINIMO 1540.00</t>
  </si>
  <si>
    <t>ONORARIO COORDINAMENTO E SPESE</t>
  </si>
  <si>
    <t>COORD. ESEC.  E SPESE ARROTONDATO</t>
  </si>
  <si>
    <t>CONTABILITA' LAVORI</t>
  </si>
  <si>
    <t>0-2500.00 €</t>
  </si>
  <si>
    <t>2500.00-10000.00 €</t>
  </si>
  <si>
    <t>10000.00-25000.00 €</t>
  </si>
  <si>
    <t>25000.00-50000.00 €</t>
  </si>
  <si>
    <t>&gt;50000.00 €</t>
  </si>
  <si>
    <t>TOTALE CONTABILITA'</t>
  </si>
  <si>
    <t>?????</t>
  </si>
  <si>
    <t>Esecuzione nuovo steccato in legno di larice a 3 tavole</t>
  </si>
  <si>
    <t>Holzzaun aus 3 Reihen Lärchenbrettern</t>
  </si>
  <si>
    <t>Chiudenda in legno con filo di ferro a 4 ordini</t>
  </si>
  <si>
    <t>Zaun mit Eisendraht (Viererlagen)</t>
  </si>
  <si>
    <t>Stesura di ghiaione per base getti</t>
  </si>
  <si>
    <t>tubo PVC p. rigido, IP55, Ø25mm  (conf.20x3m)</t>
  </si>
  <si>
    <t>54.45.01.03</t>
  </si>
  <si>
    <t>56.12.01.01</t>
  </si>
  <si>
    <t>Einrichten und Räumen der Baustelle für die Herstellung von Kleinbohrpfählen</t>
  </si>
  <si>
    <t>Installazione e sgombero del cantiere per la realizzazione di micropali</t>
  </si>
  <si>
    <t>56.12.02.01.C</t>
  </si>
  <si>
    <t>56.12.02.05.E</t>
  </si>
  <si>
    <t>56.12.03.10.A</t>
  </si>
  <si>
    <t>56.80.05.01.B</t>
  </si>
  <si>
    <t>58.02.01.02.B</t>
  </si>
  <si>
    <t>58.02.02.02.B</t>
  </si>
  <si>
    <t>58.02.03.01.A</t>
  </si>
  <si>
    <t>58.02.08.01.A</t>
  </si>
  <si>
    <r>
      <t>Unterbeton, Ausgleichbeton, Fü</t>
    </r>
    <r>
      <rPr>
        <sz val="7.5"/>
        <rFont val="Ecofont Vera Sans"/>
        <family val="2"/>
      </rPr>
      <t>llbeton C12/15 Rck 15 N/mm2</t>
    </r>
  </si>
  <si>
    <t>58.03.01.01.B</t>
  </si>
  <si>
    <t>58.03.02.01.D</t>
  </si>
  <si>
    <t>58.03.90.01.B*</t>
  </si>
  <si>
    <t>58.10.02.02.B</t>
  </si>
  <si>
    <t>58.10.03.02.A</t>
  </si>
  <si>
    <t>59.05.01.05.D</t>
  </si>
  <si>
    <t>59.05.01.10.A</t>
  </si>
  <si>
    <t>59.07.01.01.A</t>
  </si>
  <si>
    <t>59.07.01.01.B</t>
  </si>
  <si>
    <t>59.07.01.05.A</t>
  </si>
  <si>
    <t>59.07.01.05.B</t>
  </si>
  <si>
    <t>59.07.05.01.A</t>
  </si>
  <si>
    <t>59.07.05.01.B</t>
  </si>
  <si>
    <t>67.05.05.02.C</t>
  </si>
  <si>
    <t>67.05.05.15.C*</t>
  </si>
  <si>
    <t>67.05.05.03.A</t>
  </si>
  <si>
    <t>Dünnschicht-Oberputz Kellenspritzputz</t>
  </si>
  <si>
    <t>Strato di finitura superficie scabra</t>
  </si>
  <si>
    <t>67.10.05.06.C</t>
  </si>
  <si>
    <t>70.10.05.15.D</t>
  </si>
  <si>
    <t>70.80.10.10.A</t>
  </si>
  <si>
    <t>70.80.10.22.B</t>
  </si>
  <si>
    <t>71.06.01.13.A</t>
  </si>
  <si>
    <t>71.06.01.13.B</t>
  </si>
  <si>
    <t>71.06.02.13.B</t>
  </si>
  <si>
    <t>71.06.02.13.D</t>
  </si>
  <si>
    <t>71.80.10.03.A</t>
  </si>
  <si>
    <t>71.80.20.01.A</t>
  </si>
  <si>
    <t>71.80.20.01.B</t>
  </si>
  <si>
    <t>71.80.20.01.C</t>
  </si>
  <si>
    <t>A</t>
  </si>
  <si>
    <t>B</t>
  </si>
  <si>
    <t>C</t>
  </si>
  <si>
    <t>71.80.20.02.A</t>
  </si>
  <si>
    <t>71.80.20.02.B</t>
  </si>
  <si>
    <t>71.80.20.02.C</t>
  </si>
  <si>
    <t>D</t>
  </si>
  <si>
    <t>E</t>
  </si>
  <si>
    <t>F</t>
  </si>
  <si>
    <t>G</t>
  </si>
  <si>
    <t>H</t>
  </si>
  <si>
    <t>J</t>
  </si>
  <si>
    <t>K</t>
  </si>
  <si>
    <t>L</t>
  </si>
  <si>
    <t>75.03.02.30.A</t>
  </si>
  <si>
    <t>75.03.02.30.B</t>
  </si>
  <si>
    <t>75.03.02.30.C</t>
  </si>
  <si>
    <t>75.03.02.30.D</t>
  </si>
  <si>
    <t>75.03.02.31.A</t>
  </si>
  <si>
    <t>75.03.02.31.B</t>
  </si>
  <si>
    <t>75.03.02.31.C</t>
  </si>
  <si>
    <t>75.03.02.31.D</t>
  </si>
  <si>
    <t>75.03.02.32.A</t>
  </si>
  <si>
    <t>75.03.02.32.B</t>
  </si>
  <si>
    <t>75.03.02.32.D</t>
  </si>
  <si>
    <t>75.03.02.32.C</t>
  </si>
  <si>
    <t>75.03.02.33.A</t>
  </si>
  <si>
    <t>75.03.02.33.B</t>
  </si>
  <si>
    <t>75.03.02.33.C</t>
  </si>
  <si>
    <t>75.03.02.33.D</t>
  </si>
  <si>
    <t>75.03.02.34.A</t>
  </si>
  <si>
    <t>75.03.02.34.B</t>
  </si>
  <si>
    <t>75.03.02.34.C</t>
  </si>
  <si>
    <t>75.03.02.34.D</t>
  </si>
  <si>
    <t>75.03.02.35.A</t>
  </si>
  <si>
    <t>75.03.02.35.B</t>
  </si>
  <si>
    <t>75.03.02.35.C</t>
  </si>
  <si>
    <t>75.03.02.35.D</t>
  </si>
  <si>
    <t>75.03.02.36.A</t>
  </si>
  <si>
    <t>75.03.02.36.B</t>
  </si>
  <si>
    <t>75.03.02.36.C</t>
  </si>
  <si>
    <t>75.03.02.36.D</t>
  </si>
  <si>
    <t>75.10.01.25.A*</t>
  </si>
  <si>
    <t>75.10.01.25.B*</t>
  </si>
  <si>
    <t>75.10.01.25.C*</t>
  </si>
  <si>
    <t>75.10.01.25.D*</t>
  </si>
  <si>
    <t>75.10.01.25.E*</t>
  </si>
  <si>
    <t>75.10.01.25.F*</t>
  </si>
  <si>
    <t>75.10.01.25.G*</t>
  </si>
  <si>
    <t>75.10.01.25.H*</t>
  </si>
  <si>
    <t>75.10.01.25.I*</t>
  </si>
  <si>
    <t>75.10.01.25.J*</t>
  </si>
  <si>
    <t>75.10.01.25.K*</t>
  </si>
  <si>
    <t>75.10.01.25.L*</t>
  </si>
  <si>
    <t>75.10.01.30.A*</t>
  </si>
  <si>
    <t>75.10.01.30.B*</t>
  </si>
  <si>
    <t>75.10.01.30.C*</t>
  </si>
  <si>
    <t>75.10.01.30.D*</t>
  </si>
  <si>
    <t>75.10.01.30.E*</t>
  </si>
  <si>
    <t>75.10.01.30.F*</t>
  </si>
  <si>
    <t>75.10.01.30.G*</t>
  </si>
  <si>
    <t>75.10.01.30.H*</t>
  </si>
  <si>
    <t>75.10.01.30.I*</t>
  </si>
  <si>
    <t>75.10.01.30.J*</t>
  </si>
  <si>
    <t>75.10.01.30.K*</t>
  </si>
  <si>
    <t>75.10.01.30.L*</t>
  </si>
  <si>
    <t>75.10.01.35.A*</t>
  </si>
  <si>
    <t>75.10.01.35.B*</t>
  </si>
  <si>
    <t>75.10.01.35.C*</t>
  </si>
  <si>
    <t>75.10.01.35.D*</t>
  </si>
  <si>
    <t>75.10.01.35.E*</t>
  </si>
  <si>
    <t>75.10.01.35.F*</t>
  </si>
  <si>
    <t>75.10.01.35.G*</t>
  </si>
  <si>
    <t>75.10.01.35.H*</t>
  </si>
  <si>
    <t>75.10.01.35.I*</t>
  </si>
  <si>
    <t>75.10.01.35.J*</t>
  </si>
  <si>
    <t>75.10.01.35.K*</t>
  </si>
  <si>
    <t>75.10.01.35.L*</t>
  </si>
  <si>
    <t>75.10.01.40.A</t>
  </si>
  <si>
    <t>75.10.01.40.B</t>
  </si>
  <si>
    <t>75.10.01.40.C</t>
  </si>
  <si>
    <t>75.10.01.40.D</t>
  </si>
  <si>
    <t>75.10.01.40.E</t>
  </si>
  <si>
    <t>75.10.01.40.F</t>
  </si>
  <si>
    <t>75.10.04.05.A</t>
  </si>
  <si>
    <t>75.10.04.05.B</t>
  </si>
  <si>
    <t>75.10.04.05.C</t>
  </si>
  <si>
    <t>75.10.04.05.D</t>
  </si>
  <si>
    <t>75.10.04.05.E</t>
  </si>
  <si>
    <t>75.10.04.05.F</t>
  </si>
  <si>
    <t>75.10.05.05.A</t>
  </si>
  <si>
    <t>75.10.05.05.B</t>
  </si>
  <si>
    <t>75.10.05.05.C</t>
  </si>
  <si>
    <t>75.10.09.01.A</t>
  </si>
  <si>
    <t>75.10.09.01.C</t>
  </si>
  <si>
    <t>75.10.09.01.G</t>
  </si>
  <si>
    <t>75.10.09.01.H</t>
  </si>
  <si>
    <t>75.10.09.01.I</t>
  </si>
  <si>
    <t>75.90.01.03.A</t>
  </si>
  <si>
    <t>75.90.01.03.B</t>
  </si>
  <si>
    <t>75.90.01.03.C</t>
  </si>
  <si>
    <t>75.99.01.01.A*</t>
  </si>
  <si>
    <t>75.99.01.02.A*</t>
  </si>
  <si>
    <t>Sola posa tubo di ghisa ISO K10, rivestimento normale a giunti antisfilamento (75.03.02.21-51.04.45.07)</t>
  </si>
  <si>
    <t>75.03.02.21.A*</t>
  </si>
  <si>
    <t>75.03.02.21.B*</t>
  </si>
  <si>
    <t>75.03.02.21.C*</t>
  </si>
  <si>
    <t>75.03.02.21.D*</t>
  </si>
  <si>
    <t>75.03.02.21.E*</t>
  </si>
  <si>
    <t>75.03.02.21.F*</t>
  </si>
  <si>
    <t>75.03.02.21.G*</t>
  </si>
  <si>
    <t>75.03.02.21</t>
  </si>
  <si>
    <t>Sola posa Curve a bicchieri, (MMK) 45°, PN 16 per acquedotto, giunto antisfilamento (75.03.02.33-51.04.45.53)</t>
  </si>
  <si>
    <t>Sola posa Curve a bicchieri, (MMK) 11,25°, PN 16 per acquedotto, giunto antisfilamento  (75.03.02.30-51.04.45.50)</t>
  </si>
  <si>
    <t>Sola posa Pezzo flangiato con o senza bicchiere, (EU o F), giunto antisfilamento o flangia PN10-16 (75.03.02.35-51.04.45.61)</t>
  </si>
  <si>
    <t>Sola posa Manicotto (U), giunto antisfilament</t>
  </si>
  <si>
    <t>Liefern und Einbau von Warnbändern</t>
  </si>
  <si>
    <t>Fornitura e posa in opera di nastri di avvertimento</t>
  </si>
  <si>
    <t>75.10.09.01.E</t>
  </si>
  <si>
    <t>75.10.09.01.F</t>
  </si>
  <si>
    <t>75.80.10.05.A</t>
  </si>
  <si>
    <t>77.06.01.01.F</t>
  </si>
  <si>
    <t>78.02.01.06.A</t>
  </si>
  <si>
    <t>78.02.90.01.A</t>
  </si>
  <si>
    <t>85.05.10.12.A</t>
  </si>
  <si>
    <t>85.05.10.21.A</t>
  </si>
  <si>
    <t>85.05.10.22.A</t>
  </si>
  <si>
    <t>85.05.10.22.B</t>
  </si>
  <si>
    <t>85.05.10.31.A</t>
  </si>
  <si>
    <t>85.05.10.31.B</t>
  </si>
  <si>
    <t>85.05.10.93.A</t>
  </si>
  <si>
    <t>86.01.01.01.A</t>
  </si>
  <si>
    <t>86.30.01.22.D</t>
  </si>
  <si>
    <t>86.30.01.80.A</t>
  </si>
  <si>
    <t>86.30.02.01.A</t>
  </si>
  <si>
    <t>86.30.02.01.B</t>
  </si>
  <si>
    <t>87.35.05.10.B*</t>
  </si>
  <si>
    <t>87.35.05.10.B</t>
  </si>
  <si>
    <t>52.01.03.01.C</t>
  </si>
  <si>
    <t>52.02.02.05.C</t>
  </si>
  <si>
    <t>52.02.02.05.B</t>
  </si>
  <si>
    <t>IVA 22% su SD2 + SD3</t>
  </si>
  <si>
    <t>Escavatore cingolato 102-152 kW - Hydraulik-Bagger mit Raupen von 102-152 kW</t>
  </si>
  <si>
    <t>Via Wolf 2° tratto - allacciamenti 13</t>
  </si>
  <si>
    <r>
      <t>Sovralzi incrocio</t>
    </r>
    <r>
      <rPr>
        <sz val="10"/>
        <color indexed="10"/>
        <rFont val="Ecofont Vera Sans"/>
        <family val="2"/>
      </rPr>
      <t xml:space="preserve"> Wolf - S.Francesco</t>
    </r>
  </si>
  <si>
    <t>NB levati acquisti dir amm ASM</t>
  </si>
  <si>
    <t>-----------------------------------------&gt;</t>
  </si>
  <si>
    <t>Sola posa Curve a bicchieri, (MMK) 30°, PN 16 per acquedotto, giunto antisfilamento</t>
  </si>
  <si>
    <t>80.01.02.03</t>
  </si>
  <si>
    <t>80.01.02.01.n*</t>
  </si>
  <si>
    <t>80.01.02.03.a</t>
  </si>
  <si>
    <t>80.01.02.03.b</t>
  </si>
  <si>
    <t>80.01.02.03.c</t>
  </si>
  <si>
    <t>80.01.02.03.d</t>
  </si>
  <si>
    <t>80.01.02.03.e</t>
  </si>
  <si>
    <t>80.01.02.03.g</t>
  </si>
  <si>
    <t>80.01.02.03.h</t>
  </si>
  <si>
    <t>80.01.02.03.k</t>
  </si>
  <si>
    <t>80.01.02.03.l</t>
  </si>
  <si>
    <t>80.01.02.03.m</t>
  </si>
  <si>
    <t>80.01.02.03.q</t>
  </si>
  <si>
    <t>80.01.02.03.r</t>
  </si>
  <si>
    <t>80.01.02.03.s</t>
  </si>
  <si>
    <t>qq</t>
  </si>
  <si>
    <t>80.01.02.01.qq*</t>
  </si>
  <si>
    <t>DN 2 "1/2  PN 16</t>
  </si>
  <si>
    <t>80.01.02.03.qq*</t>
  </si>
  <si>
    <t>80.01.02.03.n*</t>
  </si>
  <si>
    <t>80.01.20.07.a*</t>
  </si>
  <si>
    <t>80.01.20.07.b*</t>
  </si>
  <si>
    <t>80.01.20.07.c*</t>
  </si>
  <si>
    <t>80.01.20.07.cc*</t>
  </si>
  <si>
    <t>80.01.20.07.dd*</t>
  </si>
  <si>
    <t>80.01.20.07.d*</t>
  </si>
  <si>
    <t>80.01.20.07.e*</t>
  </si>
  <si>
    <t>dd</t>
  </si>
  <si>
    <t>78.15.05.01.c</t>
  </si>
  <si>
    <t>78.15.05.03.d</t>
  </si>
  <si>
    <t>80.01.25.15.a</t>
  </si>
  <si>
    <t>80.01.25.15.d</t>
  </si>
  <si>
    <t>Ø75-90</t>
  </si>
  <si>
    <t>Ø90-110</t>
  </si>
  <si>
    <t>Ø40-63</t>
  </si>
  <si>
    <t>71.80.20.01</t>
  </si>
  <si>
    <t>D &lt;= 200 mm</t>
  </si>
  <si>
    <t>D 201 - 300 mm</t>
  </si>
  <si>
    <t>D 301 - 400 mm</t>
  </si>
  <si>
    <t>Contatore filettato, quadrante asciutto, PN 10/16</t>
  </si>
  <si>
    <t>Wasserzähler mit Gewinde, Trockenläufer, PN 10/16</t>
  </si>
  <si>
    <t>DN 3/4"- qn= 1,5  m3/h - classe A Klasse A</t>
  </si>
  <si>
    <t>DN 1" - qn= 2,5  m3/h - classe A  Klasse A</t>
  </si>
  <si>
    <t>Lamierino protettivo per tracciati aerei, lamiera Inox 6/10</t>
  </si>
  <si>
    <t>Lamierino protettivo per tracciati aerei, lamiera Alluminio 6/10</t>
  </si>
  <si>
    <t>Sola posa Gussrohr ISO K10, ---------------------</t>
  </si>
  <si>
    <t>Ø300</t>
  </si>
  <si>
    <t>Dreifachrohr PE DN3x50 PN10</t>
  </si>
  <si>
    <t>Tritubo  PE DN3x50 PN10</t>
  </si>
  <si>
    <t>75.80.30.02*</t>
  </si>
  <si>
    <t>Assistenza posa tubazione acquedotto DN125</t>
  </si>
  <si>
    <t>80.10.01.03.d*</t>
  </si>
  <si>
    <t>Giunti dielettrici monolitici - DN100</t>
  </si>
  <si>
    <t>Marciapiede</t>
  </si>
  <si>
    <t xml:space="preserve">Bituminöses Mischgut, 0/15 für Verschleißschichten 1.Kategorie Schichtstärke, eingebaut: 3 cm    </t>
  </si>
  <si>
    <t xml:space="preserve">Conglomerato bituminoso 0/15 per strato d'usura di 1. Categoria spessore finito &lt;cm&gt;: 3  </t>
  </si>
  <si>
    <t>Esecuzione blocchetti di fondazione 30/35/50 cm C 25/30 (Rck 30 N/mm2) per pali fino a 90 mm</t>
  </si>
  <si>
    <t>SOMME A DISPOSIZIONE</t>
  </si>
  <si>
    <r>
      <t>Beton fü</t>
    </r>
    <r>
      <rPr>
        <sz val="7.5"/>
        <rFont val="Ecofont Vera Sans"/>
        <family val="2"/>
      </rPr>
      <t>r Bauwerke C 25/30 (Rck 30 N/mm2)</t>
    </r>
  </si>
  <si>
    <r>
      <t>STRASSENREGELBAUWERKE, STRASSENZUBEHÖ</t>
    </r>
    <r>
      <rPr>
        <b/>
        <sz val="7.5"/>
        <rFont val="Ecofont Vera Sans"/>
        <family val="2"/>
      </rPr>
      <t xml:space="preserve">R: STRASSENBESCHILDERUNG UND BODENMARKIERUNG
</t>
    </r>
    <r>
      <rPr>
        <b/>
        <sz val="10"/>
        <rFont val="Ecofont Vera Sans"/>
        <family val="2"/>
      </rPr>
      <t>MANUFATTI TIPO E ACCESSORI STRADALI: SEGNALETICA</t>
    </r>
  </si>
  <si>
    <t>STRASSENREGELBAUWERKE, STRASSENZUBEHÖR: STRASSENBESCHILDERUNG UND BODENMARKIERUNG
MANUFATTI TIPO E ACCESSORI STRADALI: SEGNALETICA</t>
  </si>
  <si>
    <r>
      <t>ELEKTRISCHE LEITUNGEN, Ö</t>
    </r>
    <r>
      <rPr>
        <b/>
        <sz val="7.5"/>
        <rFont val="Ecofont Vera Sans"/>
        <family val="2"/>
      </rPr>
      <t>FFENTLICHE BELEUCHTUNG
LINEE ELETTRICHE, ILLUMINAZIONE PUBBLICA</t>
    </r>
  </si>
  <si>
    <t>ELEKTRISCHE LEITUNGEN, ÖFFENTLICHE BELEUCHTUNG
LINEE ELETTRICHE, ILLUMINAZIONE PUBBLICA</t>
  </si>
  <si>
    <t>Ø400</t>
  </si>
  <si>
    <t>Ø500</t>
  </si>
  <si>
    <t>PER ILLUMINAZIONE PUBBLICA</t>
  </si>
  <si>
    <t>PER SEGNALAZIONE ACQUEDOTTO IN TRITUBO</t>
  </si>
  <si>
    <t>Minori</t>
  </si>
  <si>
    <t>rosso: stimati</t>
  </si>
  <si>
    <t>ATTREZZATURE IDRAULICHE ASM (saracinesche - chiusini - pezzi speciali vari)</t>
  </si>
  <si>
    <t>Sola posa Curve a bicchieri, (MMK) 90°, PN 16 per acquedotto, giunto antisfilamento</t>
  </si>
  <si>
    <t>Bogen mit Muffe, (MMK) 11,25°, PN 16 für Wasserleitung, zugfeste Verbindung - nur Verbindung</t>
  </si>
  <si>
    <t>Bogen mit Muffe oder Flansch, (MMK oder  FFK) 22,5°, zugfeste Verbindung oder Flansch PN10-16 - nur Verbindung</t>
  </si>
  <si>
    <t>Bogen mit Muffe, (MMK) 30°, PN 16 für Wasserleitung, zugfeste Verbindung - nur Verbindung</t>
  </si>
  <si>
    <t>Bogen mit Muffe, (MMK) 45°, PN 16 für Wasserleitung, zugfeste Verbindung - nur Verbindung</t>
  </si>
  <si>
    <t>Bogen mit Muffe, (MMK) 90°, PN 16 für Wasserleitung, zugfeste Verbindung - nur Verbindung</t>
  </si>
  <si>
    <t>Flanschstück mit oder ohne Muffe , (EU oder  F), zugfeste Verbindung oder Flansch PN10-16 - nur Verbindung</t>
  </si>
  <si>
    <t>Überschiebmuffe (U), zugfeste Verbindung - nur Verbindung</t>
  </si>
  <si>
    <t>PROVA a PRESSIONE con ACQUA DN 100-150</t>
  </si>
  <si>
    <t>B.1.A.25.ad</t>
  </si>
  <si>
    <t>PROVA a PRESSIONE con ACQUA DN 200-350</t>
  </si>
  <si>
    <t>B.1.A.26.a</t>
  </si>
  <si>
    <t>IMPIANTO DI SORVEGLIANZA RETE</t>
  </si>
  <si>
    <t>Fornitura, montaggio, installazione e messa in servizio di unità di rilevazione ISOPLUS, di sorveglianza, localizzazione e variazioni d'impedenza, che veranno connesse tramite fibra ottica all'unità centrale.</t>
  </si>
  <si>
    <t>B.1.A.26.aa</t>
  </si>
  <si>
    <t xml:space="preserve">Punto di misura ISOPLUS tipo DIGITAL-Cu-MS-4 per 4 x 2500 m filo sensore </t>
  </si>
  <si>
    <t>B.1.A.26.ab</t>
  </si>
  <si>
    <t xml:space="preserve">Punto di misura ISOPLUS tipo DIGITAL-Cu-MS-2 per 2 x 2500 m filo sensore </t>
  </si>
  <si>
    <t>B.1.A.26.ac</t>
  </si>
  <si>
    <t>Com-Server WUT RS232-10MBit ISOPLUS per il collegamento dei punti di misura alla rete esistente TCP/IP</t>
  </si>
  <si>
    <t>B.1.A.26.ad</t>
  </si>
  <si>
    <t>Scatole in policarbonato tipo VD-Cu con morsetiera a 5 poli, IP 65, per collegamento cavi di misura e dati al sistema IPS-CU o sistema tecnico similare</t>
  </si>
  <si>
    <t>B.1.A.26.ae</t>
  </si>
  <si>
    <t>Cavo tipo WELDOHM 300 o similare per il collegamento tra fili sensori e scatola in policarbonato e punti di misura, negli edifici</t>
  </si>
  <si>
    <t>B.1.A.26.af</t>
  </si>
  <si>
    <t>L’integrazione della visualizzazione della rete posata con i relativi punti di misura di cui agli artt. precedenti, nel sistema isoplus VISUAL, sarà effettuata dall’Appaltatore mediante i rilievi topografici</t>
  </si>
  <si>
    <t>B.1.a.</t>
  </si>
  <si>
    <t>GIUNTI PER ESTRAZIONE CAVI</t>
  </si>
  <si>
    <t>DN 250</t>
  </si>
  <si>
    <t>DN 300</t>
  </si>
  <si>
    <t>B.2.a</t>
  </si>
  <si>
    <t>VALVOLE ALL'INTERNO DEGLI EDIFICI</t>
  </si>
  <si>
    <t>B.2.a.1.</t>
  </si>
  <si>
    <t>DN 25</t>
  </si>
  <si>
    <t>B.2.a.2.</t>
  </si>
  <si>
    <t>DN 32</t>
  </si>
  <si>
    <t>B.2.a.3</t>
  </si>
  <si>
    <t>DN 40</t>
  </si>
  <si>
    <t>B.2.a.4</t>
  </si>
  <si>
    <t>B.2.a.5</t>
  </si>
  <si>
    <t>B.2.a.6</t>
  </si>
  <si>
    <t>B.2.a.7</t>
  </si>
  <si>
    <t>B.2.a.8.</t>
  </si>
  <si>
    <t>B.2.a.9.</t>
  </si>
  <si>
    <t>TUBO PREISOLATO</t>
  </si>
  <si>
    <t>FERNHEIZUNGSRÖHRE - TUBAZIONI E FORNITURE SPECIALI PER TELERISCALDAMENTO</t>
  </si>
  <si>
    <t>allacciamenti edifici</t>
  </si>
  <si>
    <t>Grabenaushub, maschinell ausgeführt, seiliche Lagerung, mit Aufladen und Abtransport</t>
  </si>
  <si>
    <t>Scavo meccanico a sezione ristretta con deposito laterale con caricamento e trasporto</t>
  </si>
  <si>
    <t>Via Wolf 1° tratto</t>
  </si>
  <si>
    <t>Via Wolf 2° tratto</t>
  </si>
  <si>
    <t>Via Wolf 3° tratto</t>
  </si>
  <si>
    <t>54.01.90.91*</t>
  </si>
  <si>
    <t>Compenso per aggravio a causa di tubazioni parallele</t>
  </si>
  <si>
    <t>54.01.90.92*</t>
  </si>
  <si>
    <t>Compenso per aggravio a causa di incrocio tubazioni</t>
  </si>
  <si>
    <t>54.01.90.93*</t>
  </si>
  <si>
    <t>Compenso per scavo tramite escavatore ad aspirazione</t>
  </si>
  <si>
    <t>Abbruch von Betonmauerwerk</t>
  </si>
  <si>
    <t>Demolizione di muratura in calcestruzzo</t>
  </si>
  <si>
    <t>Kernbohrungen in Beton und Stahlbeton D über 260 - 300 mm</t>
  </si>
  <si>
    <t>Perforazione a rotazione di conglomerato cementizio D oltre 260 - 300 mm</t>
  </si>
  <si>
    <t>DANNI - RIMBORSI - OCCUPAZIONI ECC.</t>
  </si>
  <si>
    <t>80.01.12.92D*</t>
  </si>
  <si>
    <t>80.01.12.92E*</t>
  </si>
  <si>
    <t>Kernbohrungen in Beton und Stahlbeton D bis 101 mm</t>
  </si>
  <si>
    <t>Perforazione a rotazione di conglomerato cementizio D fino a 101 mm</t>
  </si>
  <si>
    <t>Kernbohrungen in Beton und Stahlbeton D über 102 - 132 mm</t>
  </si>
  <si>
    <t>Perforazione a rotazione di conglomerato cementizio D oltre 102 - 132 mm</t>
  </si>
  <si>
    <t>Intonaco esterno a 3 mani, rinzaffo+malta bastarda+malta calce idrata</t>
  </si>
  <si>
    <t>Aussenputz 3 Lagen, Spritz*Kalkzementm.+Weisskalkhydrat</t>
  </si>
  <si>
    <t>Cordonata rettangolare diritto 10-15/25, in porfido segato</t>
  </si>
  <si>
    <t>Ispezione impianto messa a terra</t>
  </si>
  <si>
    <t>Einbau des untersteren Teils des Filters mit gewaschtem Porphyr-oder Quarziferkies</t>
  </si>
  <si>
    <t>Esecuzione di fondo in ghiaione porfirico o quarzifero lavato</t>
  </si>
  <si>
    <t>Filtri neutralizzatori</t>
  </si>
  <si>
    <t>Erdleiter isoliert. Kupferdraht:</t>
  </si>
  <si>
    <t>Conduttore terra con filo rame isol.:</t>
  </si>
  <si>
    <t>15.10.01.03.B</t>
  </si>
  <si>
    <t>25mm2</t>
  </si>
  <si>
    <t>15.10.02.01</t>
  </si>
  <si>
    <t>15.10.01.03</t>
  </si>
  <si>
    <t>Collegamento equipotenziale</t>
  </si>
  <si>
    <t xml:space="preserve">Potentialausgleich </t>
  </si>
  <si>
    <t>Elektroanlage: Steigleitung und Hauptlinien</t>
  </si>
  <si>
    <t>VERSCHIEDENE HOCHBAU- VARIE DA LISTINO OPERE EDILI</t>
  </si>
  <si>
    <t>X</t>
  </si>
  <si>
    <t>Allgemeine Baustellenleisten (Einrichtung, Instandhaltung, Verwaltung, Demontage und Räumung)</t>
  </si>
  <si>
    <t>Oneri generali di cantiere (installazione, manutenzione e gestione, smontaggio, sgombero)</t>
  </si>
  <si>
    <t>tubo PVC p. rigido, IP55, Ø32mm  (conf.15x3m)</t>
  </si>
  <si>
    <t>cassette da parete IP55, dimensioni mm 100x100x50</t>
  </si>
  <si>
    <t>GEMEINDE MERAN - COMUNE MERANO</t>
  </si>
  <si>
    <t>STIMA DEI COSTI</t>
  </si>
  <si>
    <t>Tubo drenante in conglomerato cementizio, DN = 25 dimensione interna in cm</t>
  </si>
  <si>
    <t>Grabenaushub in Pickelfels, in natürlichen Konglomeraten, - in Steinhalden - inkl. Aufladen und Transport - Aufpreis</t>
  </si>
  <si>
    <t>Scavo a sezione ristretta in roccia da piccone, in conglomerati, - in giacimenti sassosi - compreso caricamento e trasporto - sovrapprezzo</t>
  </si>
  <si>
    <t>Scavo a sezione ristretta in roccia compatta -  compreso caricamento e trasporto - sovrapprezzo</t>
  </si>
  <si>
    <t>Grabenaushub in kompaktem Fels - inkl. Aufladen und Transport - Aufpreis</t>
  </si>
  <si>
    <t>Secchielli raccoglitori tipo corto L=25 cm</t>
  </si>
  <si>
    <t>Geschiebeeimer kurze Ausführung L=25 cm</t>
  </si>
  <si>
    <t>85.10.01.50</t>
  </si>
  <si>
    <t>Pavimentazione con cubetti, fornitura esclusa</t>
  </si>
  <si>
    <t>Pflasterbelag, Lieferung ausgeschlossen</t>
  </si>
  <si>
    <t xml:space="preserve">Bituminöses Mischgut, 0/9 für Verschleißschichten 2.Kategorie Schichtstärke, eingebaut: 3 cm    </t>
  </si>
  <si>
    <t xml:space="preserve">Conglomerato bituminoso 0/9 per strato d'usura di 2. Categoria spessore finito &lt;cm&gt;: 3  </t>
  </si>
  <si>
    <t>Randsteine aus Porphyr</t>
  </si>
  <si>
    <t>Cordonate porfido dritte 12/30 bocciardato</t>
  </si>
  <si>
    <t>Abhub von Mutterboden maschinell</t>
  </si>
  <si>
    <t>Pfahlkopf-Verteilungsträger C20/25 Rck=25 N/mm2</t>
  </si>
  <si>
    <t>Cordolo di ripartizione C20/25 Rck=25 N/mm2</t>
  </si>
  <si>
    <t>Rete elettrosaldata con fili nervati acciaio ad aderenza migliorata B450C</t>
  </si>
  <si>
    <t>Mauerwerk aus Naturstein, Porphyr, in Zementmörtel zu 300 kg R32.5 verlegt, Sichtfläche in grobem Mosaik, unverfugt</t>
  </si>
  <si>
    <t>54.02.20.03.b</t>
  </si>
  <si>
    <t>Abbruch von bituminöser Fahrbahndecke Stärke 10-20 cm</t>
  </si>
  <si>
    <t>Demolizione di pavimentazione bituminosa spessore 10-20 cm</t>
  </si>
  <si>
    <t>54.02.20.04</t>
  </si>
  <si>
    <t>Sovralzi incrocio Wolf - S.Francesco</t>
  </si>
  <si>
    <t>Sovralzi incrocio Wolf - Huber</t>
  </si>
  <si>
    <t>97.01.02.02*</t>
  </si>
  <si>
    <t>97.01.02.02.a*</t>
  </si>
  <si>
    <t>97.01.02.02.b*</t>
  </si>
  <si>
    <t>97.01.02.02.c*</t>
  </si>
  <si>
    <t>97.01.02.02.d*</t>
  </si>
  <si>
    <t>97.01.02.03*</t>
  </si>
  <si>
    <t>97.01.02.05*</t>
  </si>
  <si>
    <t>97.01.02.03.a*</t>
  </si>
  <si>
    <t>97.01.02.03.b*</t>
  </si>
  <si>
    <t>97.01.02.03.c*</t>
  </si>
  <si>
    <t>97.01.02.03.d*</t>
  </si>
  <si>
    <t>97.01.02.04*</t>
  </si>
  <si>
    <t>97.01.02.06*</t>
  </si>
  <si>
    <t>97.01.02.07*</t>
  </si>
  <si>
    <t>A.3.8</t>
  </si>
  <si>
    <t>Protezione dei pali dell'energia elettrica per tutte le prestazioni e di materiali.</t>
  </si>
  <si>
    <t>A.5.4.aa</t>
  </si>
  <si>
    <t>A.5.4.ab</t>
  </si>
  <si>
    <t>A.5.4.ac</t>
  </si>
  <si>
    <t>A.5.4.ad</t>
  </si>
  <si>
    <t>A.5.4.ae</t>
  </si>
  <si>
    <t>A.5.4.af</t>
  </si>
  <si>
    <t>A.5.4.ag</t>
  </si>
  <si>
    <t>A.5.4.ah</t>
  </si>
  <si>
    <t>A.5.4.ai</t>
  </si>
  <si>
    <t>A.5.4.aj</t>
  </si>
  <si>
    <t>SCHIUMA SPECIALE DN 110</t>
  </si>
  <si>
    <t>SCHIUMA SPECIALE DN 125</t>
  </si>
  <si>
    <t>SCHIUMA SPECIALE DN 140</t>
  </si>
  <si>
    <t>SCHIUMA SPECIALE DN 160</t>
  </si>
  <si>
    <t>SCHIUMA SPECIALE DN 200</t>
  </si>
  <si>
    <t>SCHIUMA SPECIALE DN 225</t>
  </si>
  <si>
    <t>SCHIUMA SPECIALE DN 250</t>
  </si>
  <si>
    <t>SCHIUMA SPECIALE DN 315</t>
  </si>
  <si>
    <t>SCHIUMA SPECIALE DN 400</t>
  </si>
  <si>
    <t>SCHIUMA SPECIALE DN 600</t>
  </si>
  <si>
    <t>AE</t>
  </si>
  <si>
    <t>B.1.1.a</t>
  </si>
  <si>
    <t>TUBO PREISOLATO SERIE 2:  DN 20 (110)</t>
  </si>
  <si>
    <t>B.1.1.b</t>
  </si>
  <si>
    <t>TUBO PREISOLATO SERIE 2 :  DN 25(110)</t>
  </si>
  <si>
    <t>B.1.1.c</t>
  </si>
  <si>
    <t>TUBO PREISOLATO SERIE 2:   DN 32 (125)</t>
  </si>
  <si>
    <t>B.1.1.c.c</t>
  </si>
  <si>
    <t>TUBO PREISOLATO SERIE 2 :  DN 40 (125)</t>
  </si>
  <si>
    <t>B.1.1.d</t>
  </si>
  <si>
    <t>TUBO PREISOLATO SERIE 2 :  DN 50  (140)</t>
  </si>
  <si>
    <t>B.1.1.e</t>
  </si>
  <si>
    <t>TUBO PREISOLATO SERIE 2:   DN 65 (160)</t>
  </si>
  <si>
    <t>B.1.1.f</t>
  </si>
  <si>
    <t>TUBO PREISOLATO SERIE 2:   DN 80 (180)</t>
  </si>
  <si>
    <t>B.1.1.f.f</t>
  </si>
  <si>
    <t>TUBO PREISOLATO SERIE 2:     DN 100 (225)</t>
  </si>
  <si>
    <t>B.1.1.g</t>
  </si>
  <si>
    <t>TUBO PREISOLATO SERIE 2:    DN 125 (250)</t>
  </si>
  <si>
    <t>B.1.1.h</t>
  </si>
  <si>
    <t>TUBO PREISOLATO SERIE 2 :   DN 150 (280)</t>
  </si>
  <si>
    <t>B.1.1.i</t>
  </si>
  <si>
    <t>TUBO PREISOLATO SERIE 2:    DN 200 (355)</t>
  </si>
  <si>
    <t>B.1.1.j</t>
  </si>
  <si>
    <t>TUBO PREISOLATO SERIE 2:   DN 250  (450)</t>
  </si>
  <si>
    <t>B.1.1.k</t>
  </si>
  <si>
    <t>TUBO PREISOLATO SERIE 2:   DN 300 (500)</t>
  </si>
  <si>
    <t>B.1.2.a</t>
  </si>
  <si>
    <t>RIDUZIONE PREISOLATA</t>
  </si>
  <si>
    <t>Il prodotto, conforme alla norma UNI EN 448, è fornito finito e completo in ogni sua</t>
  </si>
  <si>
    <t>B.1.2.j</t>
  </si>
  <si>
    <t>RIDUZIONE PERISOLATA          DN  200/ (150/125)</t>
  </si>
  <si>
    <t>cad</t>
  </si>
  <si>
    <t>B.1.2.k</t>
  </si>
  <si>
    <t>RIDUZIONE PREISOATA            DN  250/ (200/150)</t>
  </si>
  <si>
    <t>B.1.2.l</t>
  </si>
  <si>
    <t>RIDUZIONE PREISOLATA          DN  300/ (250/200)</t>
  </si>
  <si>
    <t>B.1.3.a</t>
  </si>
  <si>
    <t>CURVA PREISOLATA</t>
  </si>
  <si>
    <t xml:space="preserve">parte e accompagnato da certificazione ISO 9001, inclusi 2 fili per il sistema di allarme, </t>
  </si>
  <si>
    <t>B.1.3.b</t>
  </si>
  <si>
    <t>CURVA PREISOLATA    DN  20</t>
  </si>
  <si>
    <t>B.1.3.c</t>
  </si>
  <si>
    <t>CURVA PERISOLATA     DN  25</t>
  </si>
  <si>
    <t>B.1.3.d</t>
  </si>
  <si>
    <t>CURVA PREISOLATA     DN  32</t>
  </si>
  <si>
    <t>B.1.3.e</t>
  </si>
  <si>
    <t>CURVA PREISOLATA    DN  40</t>
  </si>
  <si>
    <t>B.1.3.f</t>
  </si>
  <si>
    <t>CURVA PREISOLATA    DN  50</t>
  </si>
  <si>
    <t>B.1.3.g</t>
  </si>
  <si>
    <t>CURVA PREISOLATA    DN  65</t>
  </si>
  <si>
    <t>B.1.3.h</t>
  </si>
  <si>
    <t>CURVA PREISOLATA    DN  80</t>
  </si>
  <si>
    <t>B.1.3.i</t>
  </si>
  <si>
    <t>CURVA PREISOLATA    DN  100</t>
  </si>
  <si>
    <t>B.1.3.j</t>
  </si>
  <si>
    <t>CURVA PREISOLATA    DN  125</t>
  </si>
  <si>
    <t>B.1.3.k</t>
  </si>
  <si>
    <t>CURVA PREISOLATA    DN  150</t>
  </si>
  <si>
    <t>B.1.3.l</t>
  </si>
  <si>
    <t>CURVA PREISOLATA    DN  200</t>
  </si>
  <si>
    <t>B.1.3.m</t>
  </si>
  <si>
    <t>CURVA PREISOLATA    DN  250</t>
  </si>
  <si>
    <t>B.1.3.n</t>
  </si>
  <si>
    <t>Mauerwerk aus Naturstein, Granit, in Zementmörtel zu 300 kg R32.5 verlegt, Sichtfläche in grobem Mosaik, unverfugt</t>
  </si>
  <si>
    <t>Muratura in pietrame da cava, granito, in malta cementizia dosata a 300 kg di cem. R32.5, paramento a mosaico greggio</t>
  </si>
  <si>
    <t>Muratura in pietrame da cava, porfido, in malta cementizia dosata a 300 kg di cem. R32.5, paramento a mosaico greggio</t>
  </si>
  <si>
    <t>Escavatore 51-76 kW - Hydraulik-Bagger von 51-76 kW</t>
  </si>
  <si>
    <t>Pompa di prosciugamento autoadescante, trasportabile per acqua/sabbia fino a 2,5 kW (da 500 a 1000 l/min)</t>
  </si>
  <si>
    <t>Compressore mobile oltre 6,00 - 10,00 m3/min-Fahrbarer Kompressor über 6,00 - 10,00 m3/min</t>
  </si>
  <si>
    <t>B.1.A.25.ab</t>
  </si>
  <si>
    <t>PROVA a PRESSIONE con ACQUA DN 50-80</t>
  </si>
  <si>
    <t>B.1.A.25.ac</t>
  </si>
  <si>
    <t>Volume asfalto stradale</t>
  </si>
  <si>
    <t>Volume asfalto marciapiedi</t>
  </si>
  <si>
    <t>Volume totale scavo sezione ristretta</t>
  </si>
  <si>
    <t>CURVA PREISOLATA   DN  300</t>
  </si>
  <si>
    <t>B.1.4.a</t>
  </si>
  <si>
    <t>DERIVAZIONE A T PREISOLATA CON DERIVAZIONE A  45°</t>
  </si>
  <si>
    <t>DERIVAZIONE A T PREISOLATA TIPO PARALLELO</t>
  </si>
  <si>
    <t>Fornitura e montaggio di derivazione a T normale o ridotta, per teleriscaldamento</t>
  </si>
  <si>
    <t>SERIE 2, preisolata in stabilimento, avente le caratteristiche della tubazione di cui</t>
  </si>
  <si>
    <t>all'art. B.1.1., con derivazione a 45° e possibilità, nel caso di T ridotto.</t>
  </si>
  <si>
    <t>inclusi 2 fili per il sistema di allarme in rame da 1,5 mm².</t>
  </si>
  <si>
    <t>B.1.4.bb</t>
  </si>
  <si>
    <t>DERIVAZIONE A T PREISOLATA CON DERIVAZIONE A  45° -  25/25</t>
  </si>
  <si>
    <t>B.1.4.c</t>
  </si>
  <si>
    <t>DERIVAZIONE A T PREISOLATA CON DERIVAZIONE A  45° -  25/20</t>
  </si>
  <si>
    <t>B.1.4.ca</t>
  </si>
  <si>
    <t>DERIVAZIONE A T PREISOLATA CON DERIVAZIONE A  45° -  32/25</t>
  </si>
  <si>
    <t>B.1.4.d</t>
  </si>
  <si>
    <t>DERIVAZIONE A TPREISOLATA CON DERIVAZIONE A   45° -  32/20</t>
  </si>
  <si>
    <t>B.1.4.da</t>
  </si>
  <si>
    <t>DERIVAZIONE A T PREISOLATA CON DERIVAZIONE A  45° -  32/32</t>
  </si>
  <si>
    <t>B.1.4.e</t>
  </si>
  <si>
    <t>DERIVAZIONE A T PREISOLATA CON DERIVAZIONE A  45° -  40/20</t>
  </si>
  <si>
    <t>B.1.4.ea</t>
  </si>
  <si>
    <t>DERIVAZIONE A T PREISOLATA CON DERIVAZIONE A  45° -  40/25</t>
  </si>
  <si>
    <t>B.1.4.eb</t>
  </si>
  <si>
    <t>DERIVAZIONE A T PREISOLATA CON DERIVAZIONE A  45° -  40/32</t>
  </si>
  <si>
    <t>B.1.4.ec</t>
  </si>
  <si>
    <t>DERIVAZIONE A T PREISOLATA CON DERIVAZIONE A  45° -  40/40</t>
  </si>
  <si>
    <t>B.1.4.f</t>
  </si>
  <si>
    <t>DERIVAZIONE A T PREISOLATA CON DERIVAZIONE A   45° -  50/20</t>
  </si>
  <si>
    <t>B.1.4.fa</t>
  </si>
  <si>
    <t>DERIVAZIONE A T PREISOLATO CON DERIVAZIONE A   45° -  50/25</t>
  </si>
  <si>
    <t>B.1.4.fb</t>
  </si>
  <si>
    <t>DERIVAZIONE A T PREISOLATA CON DERIVAZIONE A   45° -  50/32</t>
  </si>
  <si>
    <t>B.1.4.fc</t>
  </si>
  <si>
    <t>DERIVAZIONE A T PREISOLATA CON DERIVAZIONE A    45° -  50/40</t>
  </si>
  <si>
    <t>B.1.4.fd</t>
  </si>
  <si>
    <t>DERIVAZIONE A T PREISOLATA CON DERIVAZIONE A    45° -  50/50</t>
  </si>
  <si>
    <t>B.1.4.g</t>
  </si>
  <si>
    <t>DERIVAZIONE A T PREISOLATA CON DERIVAZIONE A   45° -  65/20</t>
  </si>
  <si>
    <t>B.1.4.ga</t>
  </si>
  <si>
    <t>DERIVAZIONE A T PREISOLATA CON DERIVAZIONE A    45° -  65/25</t>
  </si>
  <si>
    <t>B.1.4.gb</t>
  </si>
  <si>
    <t>DERIVAZIONE A T PREISOLATA CON DERIVAZIONE A  45° -  65/32</t>
  </si>
  <si>
    <t>B.1.4.gc</t>
  </si>
  <si>
    <t>DERIVAZIONE A T PREISOLATA CON DERIVAZONE A   45° -  65/40</t>
  </si>
  <si>
    <t>B.1.4.gd</t>
  </si>
  <si>
    <t>DERIVAZIONE A T PREISOLATA CON DERIVAZIONE A   45° -  65/50</t>
  </si>
  <si>
    <t>B.1.4.ge</t>
  </si>
  <si>
    <t>DERIVAZIONE A T PREISOLATA CON DERIVAZIONE A   45° -  65/65</t>
  </si>
  <si>
    <t>B.1.4.h</t>
  </si>
  <si>
    <t>DERIVAZIONE A T PREISOLATA CON DERIVAZIONE A   45° -  80/20</t>
  </si>
  <si>
    <t>B.1.4.ha</t>
  </si>
  <si>
    <t>DERIVAZIONE A T PREISOLATA CON DERIVAZIONE A   45° -  80/25</t>
  </si>
  <si>
    <t>B.1.4.hb</t>
  </si>
  <si>
    <t>DERIVAZIONE A T PREISOLATA CON DERIVAZIONE A  45° -  80/32</t>
  </si>
  <si>
    <t>B.1.4.hc</t>
  </si>
  <si>
    <t>DERIVAZIONE A T PREISOLATA CON DERIVAZIONE A   45° -  80/40</t>
  </si>
  <si>
    <t>B.1.4.hd</t>
  </si>
  <si>
    <t>Scavi vari (testate by-pass, caditoie H2O, scavi minori)</t>
  </si>
  <si>
    <t>Caditoie</t>
  </si>
  <si>
    <t>DERIVAZIONE A T PREISOLATA CON DERIVAZIONE A  45° -  100/32</t>
  </si>
  <si>
    <t>B.1.4.ic</t>
  </si>
  <si>
    <t>DERIVAZIONE A T PREISOLATA CON DERIVAZIONE A   45° -  100/40</t>
  </si>
  <si>
    <t>B.1.4.id</t>
  </si>
  <si>
    <t>DERIVAZIONE A T PREISOLATA CON DERIVAZIONE A   45° -  100/50</t>
  </si>
  <si>
    <t>B.1.4.if</t>
  </si>
  <si>
    <t>DERIVAZIONE A T PREISOLATA CON DERIVAZIONE A   45° -  100/65</t>
  </si>
  <si>
    <t>B.1.4.ig</t>
  </si>
  <si>
    <t>DERIVAZIONE A T PREISOLATA CON DERIVAZIONE A   45° -  100/80</t>
  </si>
  <si>
    <t>B.1.4.ih</t>
  </si>
  <si>
    <t>DERIVAZIONE A T PREISOLATA CON DERIVAZIONE A   45° -  100/100</t>
  </si>
  <si>
    <t>B.1.4.j</t>
  </si>
  <si>
    <t>DERIVAZIONE A T PREISOLATA CON DERIVAZIONE A   45° -  125/20</t>
  </si>
  <si>
    <t>B.1.4.ja</t>
  </si>
  <si>
    <t>DERIVAZIONE A T PREISOLATA CON DERIVAZIONE A  45° -  125/25</t>
  </si>
  <si>
    <t>B.1.4.jb</t>
  </si>
  <si>
    <t>DERIVAZIONE A T PREISOLATA CON DERIVAZIONE A   45° -  125/32</t>
  </si>
  <si>
    <t>B.1.4.jc</t>
  </si>
  <si>
    <t>DERIVAZIONE A T PREISOLATA CON DERIVAZIONE A   45° -  125/40</t>
  </si>
  <si>
    <t>B.1.4.jd</t>
  </si>
  <si>
    <t>DERIVAZIONE A T PREISOLATA CON DERIVAZIONE A   45° -  125/50</t>
  </si>
  <si>
    <t>B.1.4.je</t>
  </si>
  <si>
    <t>DERIVAZIONE A T PREISOLATA CON DERIVAZIONE A   45° -  125/65</t>
  </si>
  <si>
    <t>B.1.4.jf</t>
  </si>
  <si>
    <t>DERIVAZIONE A T PREISOLATA CON DERIVAZIONE A   45° -  125/80</t>
  </si>
  <si>
    <t>B.1.4.jg</t>
  </si>
  <si>
    <t>DERIVAZIONE A T PREISOLATA CON DERIVAZIONE A  45° -  125/100</t>
  </si>
  <si>
    <t>B.1.4.jh</t>
  </si>
  <si>
    <t>DERIVAZIONE A T PREISOLATA CON DERIVAZIONE A   45° -  125/125</t>
  </si>
  <si>
    <t>B.1.4.k</t>
  </si>
  <si>
    <t>DERIVAZIONE A T PREISOLATA CON DERIVAZIONE A   45° -  150/20</t>
  </si>
  <si>
    <t>B.1.4.ka</t>
  </si>
  <si>
    <t>DERIVAZIONE A T PREISOLATA CON DERIVAZIONE A   45° -  150/25</t>
  </si>
  <si>
    <t>B.1.4.kb</t>
  </si>
  <si>
    <t>DERIVAZIONE A T PREISOLATA CON DERIVAZIONE A   45° -  150/32</t>
  </si>
  <si>
    <t>B.1.4.kc</t>
  </si>
  <si>
    <t>DERIVAZIONE A T PREISOLATA CON DERIVAZIONE A   45° -  150/40</t>
  </si>
  <si>
    <t>B.1.4.kd</t>
  </si>
  <si>
    <t>DERIVAZIONE A T PREISOLATA CON DERIVAZIONE A   45° -  150/50</t>
  </si>
  <si>
    <t>B.1.4.ke</t>
  </si>
  <si>
    <t>DERIVAZIONE A T PREISOLATA CON DERIVAZIONE A   45° -  150/65</t>
  </si>
  <si>
    <t>B.1.4.kf</t>
  </si>
  <si>
    <t>DERIVAZIONE A T PREISOLATA CON DERIVAZIONE A   45° -  150/80</t>
  </si>
  <si>
    <t>B.1.4.kg</t>
  </si>
  <si>
    <t>DERIVAZIONE A T PREISOLATA CON DERIVAZIONE A   45° -  150/100</t>
  </si>
  <si>
    <t>B.1.4.kh</t>
  </si>
  <si>
    <t>DERIVAZIONE A T PREISOLATA CON DERIVAZIONE A   45° -  80/50</t>
  </si>
  <si>
    <t>B.1.4.he</t>
  </si>
  <si>
    <t>DERIVAZIONE A T PREISOLATA CON DERIVAZIONE A   45° -  80/65</t>
  </si>
  <si>
    <t>B.1.4.hf</t>
  </si>
  <si>
    <t>DERIVAZIONE A T PREISOLATA CON DERIVAZIONE A   45° -  80/80</t>
  </si>
  <si>
    <t>B.1.4.i</t>
  </si>
  <si>
    <t>DERIVAZIONE A T PREISOLATA CON DERIVAZIONE A   45° -  100/20</t>
  </si>
  <si>
    <t>B.1.4.ia</t>
  </si>
  <si>
    <t>DERIVAZIONE A T PREISOLATA CON DERIVAZIONE A   45° -  100/25</t>
  </si>
  <si>
    <t>B.1.4.ib</t>
  </si>
  <si>
    <t>Fornitura, posa in opera, spianamento e costipamento di materiale granulometricamente assortito, per la formazione del letto e del rivestimento di tubi, cavi, ecc. - pezzatura 0,20 fino a 30 mm</t>
  </si>
  <si>
    <t>Lieferung, Einbau, Planieren und Verdichten von kornmäßig abgestuftem Material, für das Herstellen von Bettung und Ummantelung von Rohren, Kabeln usw. - Korngröße 0,20 bis 30 mm</t>
  </si>
  <si>
    <t>Rinterro di scavi a sezione ristretta mediante fornitura, spianamento e costipamento di materiale di primo impiego e/o di riciclo come prescritto dalle norme tecniche per i sottofondi stradali. - per opere sensibili a cedimenti</t>
  </si>
  <si>
    <t>Wiederauffüllen von Grabenaushub mittels Lieferung, Planierung und Verdichtung von Material in Erstanwendung und/oder Recyclingmaterial gemäß den technische Bestimmungen für den Straßenunterbau. - für setzungsunempfindliche Bauwerke.</t>
  </si>
  <si>
    <t>Abbruch von Betonbelag jedwelcher Festigkeitsklasse, auch bewehrt - Stärke bis 10 cm</t>
  </si>
  <si>
    <t>Demolizione di pavimentazione cementizia - spessore fino a 10 cm</t>
  </si>
  <si>
    <t>Abbruch von Pflasterbelag auf Sandbett verlegt, Pflastersteine jedwelcher Natur und Dimension</t>
  </si>
  <si>
    <t>Demolizione di pavimentazione in cubetti posti su letto di sabbia, cubetti di qualsiasi natura e dimensione.</t>
  </si>
  <si>
    <t>Marciapiedi</t>
  </si>
  <si>
    <t>Lieferung  und  Einbau  von    korngrößenmäßig    stabilisiertem    Material (Material in Erstanwendung und/oder Recyclingmaterial)  für  den  Oberflächenverschluß gemäß den technischen Bestimmungen für den Straßenunterbau. - nach Gewicht am Transportmittel (Waagschein)</t>
  </si>
  <si>
    <t>DERIVAZIONE A T PREISOLATA CON DERIVAZIONE A   45° -  150/125</t>
  </si>
  <si>
    <t>B.1.4.ki</t>
  </si>
  <si>
    <t>DERIVAZIONE A T PREISOLATA CON DERIVAZIONE A   45° -  150/150</t>
  </si>
  <si>
    <t>B.1.4.l</t>
  </si>
  <si>
    <t>DERIVAZIONE A T PREISOLATA CON DERIVAZIONE A   45° -  200/20</t>
  </si>
  <si>
    <t>B.1.4.la</t>
  </si>
  <si>
    <t>DERIVAZIONE A T PREISOLATA CON DERIVAZIONE A   45° -  200/25</t>
  </si>
  <si>
    <t>B.1.4.lb</t>
  </si>
  <si>
    <t>DERIVAZIONE A T PREISOLATA CON DERIVAZIONE A  45° -  200/32</t>
  </si>
  <si>
    <t>B.1.4.lc</t>
  </si>
  <si>
    <t>DERIVAZIONE A T PREISOLATA CON DERIVAZIONE A   45° -  200/40</t>
  </si>
  <si>
    <t>B.1.4.ld</t>
  </si>
  <si>
    <t>Martello demolitore pneumatico, manuale peso oltre 10,00-20,00 kg-Pneumatischer, händischer Preßlufthammer Gewicht 10,00-20 kg</t>
  </si>
  <si>
    <t>Martello demolitore idraulico montato su escavatore idraulico (escavatore compensato a parte), compreso scalpello f 4-25 Hz 300-700 kg</t>
  </si>
  <si>
    <t>Impianto semaforico da cantiere, omologato, 220V/12V con accumulatore tampone, 2 fasi, radiocomando</t>
  </si>
  <si>
    <t>Mattoni pieni di calcestruzzo (5,5/12/25 cm)</t>
  </si>
  <si>
    <t>Profilati "serie normale", D oltre 80 mm e fino a 360 mm Fe360 S275</t>
  </si>
  <si>
    <t>Fornitura di tubi per acquedotto, ghisa, classe ISO K10, rivestimento normale, giunto antisfilamento DN125</t>
  </si>
  <si>
    <t>Antiruggine liquido, colore standard a scelta epossidica a 2 componenti</t>
  </si>
  <si>
    <t>Pittura intermedia per ferro, colore standard a scelta epossidica a 2 componenti</t>
  </si>
  <si>
    <t>Pittura di finitura per ferro, colore standard a scelta epossidica a 2 componenti</t>
  </si>
  <si>
    <t>53.11.10.02</t>
  </si>
  <si>
    <t>Drainagerohr aus Beton, DN = 25 Innendimension in cm</t>
  </si>
  <si>
    <t>DN200 (175-220)</t>
  </si>
  <si>
    <t>Deposito materiali lungo lo scavo  (sovrapprezzo a 17) - Lager der Haushubsmaterialen (Aufpreis auf 17)</t>
  </si>
  <si>
    <t>Opera di presa prefabbricata in PE e acciaio inox AISI 304</t>
  </si>
  <si>
    <t>Quellfassung: Armaturen (Eingang - Ausgang - Überlauf)</t>
  </si>
  <si>
    <t>Vorgefertigte Quellfassung aus PE und Edelstahl AISI304</t>
  </si>
  <si>
    <t>Vorgefertigte Quellestube aus PE und Edelstahl AISI304</t>
  </si>
  <si>
    <t>Cameretta di manovra prefabbricata in PE e acciaio inox AISI 304</t>
  </si>
  <si>
    <t xml:space="preserve">Varie e minori: </t>
  </si>
  <si>
    <t>80.01.08.30.b*</t>
  </si>
  <si>
    <t>80.01.08.30.c*</t>
  </si>
  <si>
    <t>80.01.08.30.d*</t>
  </si>
  <si>
    <t>80.01.08.30.e*</t>
  </si>
  <si>
    <t>80.01.15.05</t>
  </si>
  <si>
    <t>80.01.15.05.a</t>
  </si>
  <si>
    <t>80.01.15.05.b</t>
  </si>
  <si>
    <t>80.01.15.05.c</t>
  </si>
  <si>
    <t>80.01.15.05.g</t>
  </si>
  <si>
    <t>80.01.15.05.m</t>
  </si>
  <si>
    <t>80.01.30.25.b</t>
  </si>
  <si>
    <t>80.01.30.25.c</t>
  </si>
  <si>
    <t>80.01.30.25.d</t>
  </si>
  <si>
    <t>80.01.30.25.e</t>
  </si>
  <si>
    <t>80.01.30.30.b</t>
  </si>
  <si>
    <t>80.01.30.30.c</t>
  </si>
  <si>
    <t>80.01.30.30.d</t>
  </si>
  <si>
    <t>80.01.30.30.e</t>
  </si>
  <si>
    <t>97.01.02.12*</t>
  </si>
  <si>
    <t>97.01.02.13*</t>
  </si>
  <si>
    <t>97.01.02.12.a*</t>
  </si>
  <si>
    <t>97.01.02.12.aa*</t>
  </si>
  <si>
    <t>97.01.02.12.b*</t>
  </si>
  <si>
    <t>97.01.02.12.c*</t>
  </si>
  <si>
    <t>97.01.02.12.d*</t>
  </si>
  <si>
    <t>97.01.02.12.e*</t>
  </si>
  <si>
    <t>97.01.02.12.f*</t>
  </si>
  <si>
    <t>97.01.02.14*</t>
  </si>
  <si>
    <t>97.01.02.15*</t>
  </si>
  <si>
    <t>97.01.02.16*</t>
  </si>
  <si>
    <t>97.01.02.17*</t>
  </si>
  <si>
    <t>97.01.02.18*</t>
  </si>
  <si>
    <t>97.01.02.19*</t>
  </si>
  <si>
    <t>97.01.02.19.a*</t>
  </si>
  <si>
    <t>97.01.02.19.b*</t>
  </si>
  <si>
    <t>97.01.02.19.c*</t>
  </si>
  <si>
    <t>97.01.02.19.d*</t>
  </si>
  <si>
    <t>1.A</t>
  </si>
  <si>
    <t>1.AS</t>
  </si>
  <si>
    <t>Scoticamento (scavo) di zolle erbose, spessore ca. 10 cm, con mezzo meccanico</t>
  </si>
  <si>
    <t>Abschälen (Abhub) von Grasnarben, Stärke ca. 10 cm, maschinell</t>
  </si>
  <si>
    <t>Scavo meccanico a sezione ristretta con deposito laterale senza caricamento e senza trasporto</t>
  </si>
  <si>
    <t>Grabenaushub, maschinell ausgeführt, seiliche Lagerung, ohne Aufladen und ohne Abtransport</t>
  </si>
  <si>
    <t>Schutzhülle für freiliegende Leitungen, Aluminiumblech 6/10</t>
  </si>
  <si>
    <t>Schutzhülle für freiliegende Leitungen, Inoxblech 6/10</t>
  </si>
  <si>
    <t>Tubazione in PE preisolata (5,5 cm) e con protezione in lamiera zincata</t>
  </si>
  <si>
    <t>Curva in PE preisolata (5,5 cm) e con protezione in lamiera zincata</t>
  </si>
  <si>
    <t>q</t>
  </si>
  <si>
    <t>r</t>
  </si>
  <si>
    <t>s</t>
  </si>
  <si>
    <t>Scala d'accesso in acciaio, produzione artigianale o industriale, in acciaio inossidabile AISI 304</t>
  </si>
  <si>
    <t>D 100-125 mm</t>
  </si>
  <si>
    <t>D301- 400 mm</t>
  </si>
  <si>
    <t>D140-200 mm</t>
  </si>
  <si>
    <t>Druckminderventil PN16/25</t>
  </si>
  <si>
    <t xml:space="preserve">Valvola idraulica riduttrice di pressione PN16/25 proporzionale </t>
  </si>
  <si>
    <t>Druckminderventil PN16/25 proportional</t>
  </si>
  <si>
    <t>Valvola idraulica sfioro sovrapressione PN10/16</t>
  </si>
  <si>
    <t>Überdruckventil PN10/16</t>
  </si>
  <si>
    <t>Einstiegsleitern aus Stahl, handwerkliche oder industrielle Fertigung, in rostfreiem Stahl AISI 304</t>
  </si>
  <si>
    <t>Gabbia di sicurezza in acciaio inossidabile AISI 304</t>
  </si>
  <si>
    <t>Sicherheitskäfig in rostfreien Stahl AISI 304</t>
  </si>
  <si>
    <t>Ø200 - con flange UNI/DIN - mit Flanschen UNI/DIN</t>
  </si>
  <si>
    <t>Valvola a sfera in ottone 58</t>
  </si>
  <si>
    <t>Kugelventil aus Messing</t>
  </si>
  <si>
    <t>Valvola idraulica a galleggiante</t>
  </si>
  <si>
    <t>80.01.08.30</t>
  </si>
  <si>
    <t>DN50 PN10/16</t>
  </si>
  <si>
    <t>DN65 PN10/16</t>
  </si>
  <si>
    <t>DN80 PN10/16</t>
  </si>
  <si>
    <t>DN100 PN10/16</t>
  </si>
  <si>
    <t>Automatisches Schwimmerventil</t>
  </si>
  <si>
    <t>Sfiato automatico</t>
  </si>
  <si>
    <t>Automatischer Rohrentlüfter</t>
  </si>
  <si>
    <t>Ø32 PN25</t>
  </si>
  <si>
    <t>Ø40 PN25</t>
  </si>
  <si>
    <t>Ø50 PN25</t>
  </si>
  <si>
    <t>Ø63 PN25</t>
  </si>
  <si>
    <t>Ø75 PN25</t>
  </si>
  <si>
    <t>Ø90 PN25</t>
  </si>
  <si>
    <t>Ø110 PN25</t>
  </si>
  <si>
    <t>Ø125 PN25</t>
  </si>
  <si>
    <t>Ø140 PN25</t>
  </si>
  <si>
    <t>Ø160 PN25</t>
  </si>
  <si>
    <t>Ø200 PN25</t>
  </si>
  <si>
    <t>Pausch</t>
  </si>
  <si>
    <t>71.80.20.02</t>
  </si>
  <si>
    <t>Cippi in pietra naturale: cippi segnaletici in porfido</t>
  </si>
  <si>
    <t>Markierungssteine aus Naturstein: Markierungsstein aus Porphyr</t>
  </si>
  <si>
    <t>Valvola a sfera in acciaioINOX</t>
  </si>
  <si>
    <t>Kugelventil aus rostfreiem Stahl</t>
  </si>
  <si>
    <t>DN 1/2 "  PN 10</t>
  </si>
  <si>
    <t>DN 3/4 "  PN 10</t>
  </si>
  <si>
    <t>DN 1 "  PN 10</t>
  </si>
  <si>
    <t>DN 1 1/2 "  PN 10</t>
  </si>
  <si>
    <t>DN 2 "  PN 10</t>
  </si>
  <si>
    <t>DN 3 "  PN 10</t>
  </si>
  <si>
    <t>DN 4 "  PN 10</t>
  </si>
  <si>
    <t>DN 1/2 "  PN 16</t>
  </si>
  <si>
    <t>DN 3/4 "  PN 16</t>
  </si>
  <si>
    <t>DN 1 "  PN 16</t>
  </si>
  <si>
    <t>DN 1 1/4 "  PN 16</t>
  </si>
  <si>
    <t>DN 1 1/2 "  PN 16</t>
  </si>
  <si>
    <t>DN 2 "  PN 16</t>
  </si>
  <si>
    <t>DN 3 "  PN 16</t>
  </si>
  <si>
    <t>DN 4 "  PN 16</t>
  </si>
  <si>
    <t>o</t>
  </si>
  <si>
    <t>Rollierung</t>
  </si>
  <si>
    <t>kg</t>
  </si>
  <si>
    <t>Kreisförmige aus Beton/Gusseisen Schachtabdeckung 250 kN  Gewicht 100/110 kg</t>
  </si>
  <si>
    <t>Chiusino misto ghisa/cemento circolare carico 250 kN  peso 100/110 kg</t>
  </si>
  <si>
    <t>Escavatore 77-101 kW - Hydraulik-Bagger von 77-101 kW</t>
  </si>
  <si>
    <t xml:space="preserve">Pala caricatrice oltre 51 - 76 kW-Schaufellader mit Raupen oder gummibereift, Motorleistung: über 51 - 76 kW </t>
  </si>
  <si>
    <t>ELEMENTARPREISE - PREZZI ELEMENTARI</t>
  </si>
  <si>
    <t>ALLGEMEINE LEISTEN DER BAUSTELLE - ONERI GENERALI DI CANTIERE</t>
  </si>
  <si>
    <t>52</t>
  </si>
  <si>
    <t>VORBEREITUNG- UND ABSCHLUSSARBEITEN - LAVORI PRELIMINARI E CONCLUSIVI</t>
  </si>
  <si>
    <t>54</t>
  </si>
  <si>
    <t>ERDBEWEGUNGEN, ABBRUCHSARBEITEN - MOVIMENTI DI TERRA, DEMOLIZIONI</t>
  </si>
  <si>
    <t>55</t>
  </si>
  <si>
    <t>WASSERHALTUNGEN, GRUNDABWASSERABSENKUNGEN - AGGOTTAMENTI, ABBASSAMENTI DI FALDA</t>
  </si>
  <si>
    <t>56</t>
  </si>
  <si>
    <t>Aiuole - Varie</t>
  </si>
  <si>
    <t>SOLA FORNITURA</t>
  </si>
  <si>
    <t>1.A.LAV</t>
  </si>
  <si>
    <t>1.A.SIC</t>
  </si>
  <si>
    <t>TOTALE GENERALE LAVORI
ARBEITEN INSGESAMT</t>
  </si>
  <si>
    <t>DERIVAZIONE A T PREISOLATA CON DERIVAZIONE A   45° -  200/150</t>
  </si>
  <si>
    <t>B.1.4.lj</t>
  </si>
  <si>
    <t>DERIVAZIONE A T PREISOLATA CON DERIVAZIONE A  45° -  200/200</t>
  </si>
  <si>
    <t>B.1.4.m</t>
  </si>
  <si>
    <t>DERIVAZIONE A T PREISOLATA CON DERIVAZIONE A  45° -  250/40</t>
  </si>
  <si>
    <t>B.1.4.ma</t>
  </si>
  <si>
    <t>DERIVAZIONE A T PREISOLATA CON DERIVAZIONE A   45° -  250/50</t>
  </si>
  <si>
    <t>B.1.4.mb</t>
  </si>
  <si>
    <t>DERIVAZIONE A T PREISOLATA CON DERIVAZIONE A 45° -  250/65</t>
  </si>
  <si>
    <t>B.1.4.mc</t>
  </si>
  <si>
    <t>DERIVAZIONE A T PREISOLATA CON DERIVAZIONE A   45° -  250/80</t>
  </si>
  <si>
    <t>B.1.4.md</t>
  </si>
  <si>
    <t>DERIVAZIONE A T PREISOLATA CON DERIVAZIONE A   45° -  250/100</t>
  </si>
  <si>
    <t>B.1.4.me</t>
  </si>
  <si>
    <t>DERIVAZIONE A T PREISOLATA CON DERIVAZIONE A   45° -  250/150</t>
  </si>
  <si>
    <t>B.1.4.n</t>
  </si>
  <si>
    <t>DERIVAZIONE A T PREISOLATA CON DERIVAZIONE A   45° - 300/250</t>
  </si>
  <si>
    <t>B.1.6.a</t>
  </si>
  <si>
    <t>VALVOLA SFERA A PASSAGGIO RIDOTTO</t>
  </si>
  <si>
    <t>B.1.6.ab</t>
  </si>
  <si>
    <t>VALVOLA SFERA APASSAGGIO RIDOTTO DN  40</t>
  </si>
  <si>
    <t>B.1.6.ac</t>
  </si>
  <si>
    <t>VALVOLA SFERA APASSAGGIO RIDOTTO DN  50</t>
  </si>
  <si>
    <t>B.1.6.ad</t>
  </si>
  <si>
    <t>VALVOLA SFERA APASSAGGIO RIDOTTO   DN  65</t>
  </si>
  <si>
    <t>B.1.6.ae</t>
  </si>
  <si>
    <t>VALVOLA SFERA APASSAGGIO RIDOTTO  DN  80</t>
  </si>
  <si>
    <t>B.1.6.af</t>
  </si>
  <si>
    <t>VALVOLA SFERA APASSAGGIO RIDOTTO   DN  100</t>
  </si>
  <si>
    <t>B.1.6.ag</t>
  </si>
  <si>
    <t>VALVOLA SFERA APASSAGGIO RIDOTTO  DN  125</t>
  </si>
  <si>
    <t>B.1.6.ah</t>
  </si>
  <si>
    <t>VALVOLA SFERA APASSAGGIO RIDOTTO   DN  150</t>
  </si>
  <si>
    <t>B.1.6.ai</t>
  </si>
  <si>
    <t>VALVOLA SFERA APASSAGGIO RIDOTTO   DN  200</t>
  </si>
  <si>
    <t>B.1.6.aj</t>
  </si>
  <si>
    <t>VALVOLA SFERA APASSAGGIO RIDOTTO  DN 250</t>
  </si>
  <si>
    <t>B.1.7.a</t>
  </si>
  <si>
    <t xml:space="preserve">ANCORAGGIO </t>
  </si>
  <si>
    <t>B.1.7.aa</t>
  </si>
  <si>
    <t>ANCORAGGIO  DN 65</t>
  </si>
  <si>
    <t>B.1.7.ab</t>
  </si>
  <si>
    <t>ANCORAGGIO  DN 80</t>
  </si>
  <si>
    <t>B.1.7.ac</t>
  </si>
  <si>
    <t>ANCORAGGIO  DN 100</t>
  </si>
  <si>
    <t>B.1.7.ae</t>
  </si>
  <si>
    <t>ANCORAGGIO DN  125</t>
  </si>
  <si>
    <t>B.1.7.af</t>
  </si>
  <si>
    <t>ANCORAGGIO  DN  150</t>
  </si>
  <si>
    <t>B.1.7.ag</t>
  </si>
  <si>
    <t>ANCORAGGIO  DN  200</t>
  </si>
  <si>
    <t>B.1.7.ah</t>
  </si>
  <si>
    <t>ANCORAGGIO  DN  250</t>
  </si>
  <si>
    <t>B.1.8.a</t>
  </si>
  <si>
    <t xml:space="preserve">COMPENSATORE MONOUSO  </t>
  </si>
  <si>
    <t>B.1.8.aa</t>
  </si>
  <si>
    <t>COMPENSATORE MONOUSO  DN  65</t>
  </si>
  <si>
    <t>B.1.8.ab</t>
  </si>
  <si>
    <t>COMPENSATORE MONOUSO  DN  80</t>
  </si>
  <si>
    <t>B.1.8.ac</t>
  </si>
  <si>
    <t>COMPENSATORE MONOUSO  DN  100</t>
  </si>
  <si>
    <t>B.1.8.ad</t>
  </si>
  <si>
    <t>COMPENSATORE MONOUSO  DN  125</t>
  </si>
  <si>
    <t>B.1.8.ae</t>
  </si>
  <si>
    <t>COMPENSATORE MONOUSO DN  150</t>
  </si>
  <si>
    <t>B.1.8.af</t>
  </si>
  <si>
    <t>Fornitura e posa in opera  di  materiale  granulometricamente  stabilizzato (materiale di primo impiego e/o di riciclo) per chiusura superficiale secondo le norme tecniche per i sottofondi stradali. - a volume in opera</t>
  </si>
  <si>
    <t>Rimozione di segnali stradali anche completi dell'eventuale blocco di fondazione</t>
  </si>
  <si>
    <t>Wiedereinbau von Straßenschildern an den von der BL angegebenen Stellen</t>
  </si>
  <si>
    <t>Rimessa in opera di segnali stradali nei luoghi indicati dalla DL</t>
  </si>
  <si>
    <t>53.11.02.01</t>
  </si>
  <si>
    <t>Wiedereinbau von Einfriedungen - Zäune, Höhe über Boden: bis 1,5 m</t>
  </si>
  <si>
    <t>Rimessa in opera di recinzioni - fino a 1,5 m</t>
  </si>
  <si>
    <t>Wiedereinbau von kompletten Straßenkappen von Wasserleitungen</t>
  </si>
  <si>
    <t>Ausbau von Schachtabdeckungen und Einläufen - Schachtabdeckungen und Einläufe von Verkehrsflächen</t>
  </si>
  <si>
    <t>Rimozione di chiusini e caditoie in ghisa, acciaio, cls - chiusini e caditoie stradali</t>
  </si>
  <si>
    <t>Ausbau von Schachtabdeckungen und Einläufen - Abdeckkappen komplett, aus Gußeisen, für Straßeneinbaugarnituren von Wasserleitungen, Gasleitungen usw.</t>
  </si>
  <si>
    <t>Rimozione di chiusini e caditoie in ghisa, acciaio, cls - chiusini completi in ghisa per saracinesche dell'acquedotto, gasdotto ecc.</t>
  </si>
  <si>
    <t>Ausbau, Sortierung und Reinigung von Randsteinen - Randsteine aus Naturstein</t>
  </si>
  <si>
    <t>Rimozione cernita pulizia di cordonate - in pietra naturale</t>
  </si>
  <si>
    <t>Ausbau bestehender Hydranten</t>
  </si>
  <si>
    <t>Rimessa in opera di cordonata - in pietra naturale</t>
  </si>
  <si>
    <t>Wiedereinbau von Bordsteinen - in Naturstein</t>
  </si>
  <si>
    <t>Aufpreis für die Wiederherstellung von Belagsstreifen - nach Oberfläche</t>
  </si>
  <si>
    <t>Sovrapprezzo ripristino fasce pavimentazione bituminosa - a superficie</t>
  </si>
  <si>
    <r>
      <t>Palo tubolare in acciaio S235 -  Ø</t>
    </r>
    <r>
      <rPr>
        <sz val="7.5"/>
        <rFont val="Ecofont Vera Sans"/>
        <family val="2"/>
      </rPr>
      <t>60 mm</t>
    </r>
  </si>
  <si>
    <t>Rohrstange aus Stahl S235 -  Ø60 mm</t>
  </si>
  <si>
    <t>Fundamentblöcke - Abmessungen des Fundamentblockes 30/30/50 cm</t>
  </si>
  <si>
    <t>Aufbringung von horizontaler Bodenmarkierung - rückstrahlende Lackfarbe, Streifen B = 12 cm</t>
  </si>
  <si>
    <t>Applicazione di segnaletica orizzontale - vernice rifrangente, per superfici, scritte (passaggi pedonali)</t>
  </si>
  <si>
    <t>Aufbringung von horizontaler Bodenmarkierung - rückstrahlende Lackfarbe, Flächen, Schriften</t>
  </si>
  <si>
    <t>Begrenzungssteine ("Binderi") - B/H = 10/8-10 cm</t>
  </si>
  <si>
    <t>85.10.80.05.a</t>
  </si>
  <si>
    <t>Cordoni (binderi) di delimitazione - porfido,  B/H = 10/8-10 cm</t>
  </si>
  <si>
    <t>GRABENVERBAUWÄNDE, BÖSCHUNGSVERKLEIDUNGEN - PROTEZIONI DI PARETI DI SCAVO, RIVESTIMENTI DI SCARPATE</t>
  </si>
  <si>
    <t>BETON UND STAHLBETON - OPERE IN CONGLOMERATO CEMENTIZIO ARMATO E NON ARMATO</t>
  </si>
  <si>
    <t>58.03.90.30*</t>
  </si>
  <si>
    <t>59</t>
  </si>
  <si>
    <t>MAUERWERK AUS NATURSTEIN- UND KUNSSTEIN - OPERE IN PIETRA NATURALE ED ARTIFICIALE</t>
  </si>
  <si>
    <t>67</t>
  </si>
  <si>
    <t>Grobputz Stärke 1,0 bis 1,5 cm, erste Lage aus Zementspritzbewurf und zweite Lage aus hydraulischem Kalkmörtel</t>
  </si>
  <si>
    <t>Intonaco grezzo spessore da 1,0 a 1,5 cm, primo strato con malta di cemento (rinzaffo) e secondo strato con malta eminentemente idraulica</t>
  </si>
  <si>
    <t>PUTZE, ESTRICHE, INDUSTRIEBÖDEN - INTONACI, MASSETTI, PAVIMENTI INDUSTRIALI</t>
  </si>
  <si>
    <t>70</t>
  </si>
  <si>
    <t>ABDICHTUNGEN, OBERFLÄCHENSCHUTZ</t>
  </si>
  <si>
    <t>53.02.02.01.A</t>
  </si>
  <si>
    <t>53.02.02.01.B</t>
  </si>
  <si>
    <t>53.02.02.01.C</t>
  </si>
  <si>
    <t>53.02.02.01.D</t>
  </si>
  <si>
    <t>53.02.02.01.E</t>
  </si>
  <si>
    <t>54.01.90.60.A</t>
  </si>
  <si>
    <t>54.01.90.60.B</t>
  </si>
  <si>
    <t>71</t>
  </si>
  <si>
    <t>WÄRMEDÄMMUNGEN - COIBENTAZIONI</t>
  </si>
  <si>
    <t>75</t>
  </si>
  <si>
    <t>ROHRLEITUNGEN, LIEFERUNG UND EINBAU - TUBAZIONI, FORNITURA E POSA IN OPERA</t>
  </si>
  <si>
    <t>70.80.99.01*</t>
  </si>
  <si>
    <t>77</t>
  </si>
  <si>
    <t>75.10.05.05</t>
  </si>
  <si>
    <t>PVC-Rohre für Drainagen, Typ A</t>
  </si>
  <si>
    <t>Tubo di PVC per drenaggi, tipo A</t>
  </si>
  <si>
    <t>78</t>
  </si>
  <si>
    <t>VORGEFERTIGTE SCHÄCHTE - POZZETTI PREFABBRICATI</t>
  </si>
  <si>
    <t>SCHACHTABDECKUNGEN, … , SCHACHTZUBEHÖR - CHIUSINI, …, ACCESSORI PER POZZETTI</t>
  </si>
  <si>
    <t>BELAGSARBEITEN - PAVIMENTAZIONI</t>
  </si>
  <si>
    <t>96</t>
  </si>
  <si>
    <t>BEGRÜNUNGS- UND GÄRTNERARBEITEN - INERBIMENTI E LAVORI DA GIARDINIERE</t>
  </si>
  <si>
    <t>XX</t>
  </si>
  <si>
    <t>VERSCHIEDENE - VARIE</t>
  </si>
  <si>
    <t>85.05.05.01*</t>
  </si>
  <si>
    <t>Appoggio piastre in calcestruzzo fondo filtri neutralizzatore: = 3*8*3,0</t>
  </si>
  <si>
    <t>Waschbetonplatten, Abmessung cm 50x50x10/12</t>
  </si>
  <si>
    <t>Piastre in calcestruzzo lavato, dimensioni cm 50x50x10/12</t>
  </si>
  <si>
    <t>Base filtri neutralizzatore: = 3,5*3*3*0,3</t>
  </si>
  <si>
    <t>Tabella di cantiere - Baustellenbeschilderung</t>
  </si>
  <si>
    <t>Cartelli segnalatori - Strassenbeschilderung</t>
  </si>
  <si>
    <t>Recinzioni - Einzäunungen</t>
  </si>
  <si>
    <t>Container di cantiere - Baustellencontainer</t>
  </si>
  <si>
    <t>Armadietto pronto soccorso - Erste-Hilfe-Kasten</t>
  </si>
  <si>
    <t>Protezione scarpate &gt; 1.50m - Schutz der Böschungen &gt; 1.50 m</t>
  </si>
  <si>
    <t>Schätzw</t>
  </si>
  <si>
    <t>D.P.I - P.S.A.</t>
  </si>
  <si>
    <t>Casco - Kopfschutz</t>
  </si>
  <si>
    <t>Scarpe - Schuhe</t>
  </si>
  <si>
    <t>Occhiali - Brillen</t>
  </si>
  <si>
    <t>Cuffie - Gehörschutz</t>
  </si>
  <si>
    <t>Guanti - Handschuhe</t>
  </si>
  <si>
    <t>Tute - Schutzkleidung</t>
  </si>
  <si>
    <t>n - St</t>
  </si>
  <si>
    <t>M2</t>
  </si>
  <si>
    <t>Zerkleinerung von Steinblöcken mittels hydraulischer oder pneumatischer Werkzeuge</t>
  </si>
  <si>
    <t>Frantumazione massi con attrezzi idraulici o pneumatici</t>
  </si>
  <si>
    <t>Sovrapprezzo per terreno in pendenza pendenza 20 - 50 %</t>
  </si>
  <si>
    <t>Sovrapprezzo per terreno in pendenza pendenza oltre 50 %</t>
  </si>
  <si>
    <t>Aufpreis für geneigtes Gelände, Neigung 20 - 50 %</t>
  </si>
  <si>
    <t>Aufpreis für geneigtes Gelände, Neigung über 50 %</t>
  </si>
  <si>
    <t>Demolizione di muratura a secco</t>
  </si>
  <si>
    <t>Abbruch von Trockenmauerwerk</t>
  </si>
  <si>
    <t>Demolizione di muratura mista</t>
  </si>
  <si>
    <t>Abbruch von Mischmauerwerk</t>
  </si>
  <si>
    <t>Demolizione di strutture in cemento armato con attrezzi pneumatici</t>
  </si>
  <si>
    <t>Abbruch von Stahlbetonstrukturen mit pneumatischen Werkzeugen</t>
  </si>
  <si>
    <t>cm</t>
  </si>
  <si>
    <t>54.02.03.10</t>
  </si>
  <si>
    <t>54.02.03.05</t>
  </si>
  <si>
    <t>54.01.01.01</t>
  </si>
  <si>
    <t>Disboscamento con taglio di piante di diametro fino a 15 cm</t>
  </si>
  <si>
    <t>Rodungen - Durchmesser bis 15 cm</t>
  </si>
  <si>
    <t>Abbattimento di piante 16-20 cm</t>
  </si>
  <si>
    <t>Fällen von Bäumen Durchmesser 16 - 20 cm</t>
  </si>
  <si>
    <t>Abbattimento di piante 21-30 cm</t>
  </si>
  <si>
    <t>Abbattimento di piante 31-40 cm</t>
  </si>
  <si>
    <t>Abbattimento di piante 41-60 cm</t>
  </si>
  <si>
    <t>Fällen von Bäumen Durchmesser 21-30 cm</t>
  </si>
  <si>
    <t>Fällen von Bäumen Durchmesser 31-40 cm</t>
  </si>
  <si>
    <t>Fällen von Bäumen Durchmesser 41-60 cm</t>
  </si>
  <si>
    <t>Abbattimento di piante oltre 60 cm</t>
  </si>
  <si>
    <t>Fällen von Bäumen Durchmesser über 60 cm</t>
  </si>
  <si>
    <t>Schneiden von bituminösen Belägen Belagstärke bis 10,0 cm</t>
  </si>
  <si>
    <t>COMPENSATORE MONOUSO  DN  200</t>
  </si>
  <si>
    <t>B.1.8.ag</t>
  </si>
  <si>
    <t>COMPENSATORE MONOUSO  DN  250</t>
  </si>
  <si>
    <t>B.1.8.ah</t>
  </si>
  <si>
    <t>COMPENSATORE MONOUSO DN  250</t>
  </si>
  <si>
    <t>B.1.8.ai</t>
  </si>
  <si>
    <t>COMPENSATORE MONOUSO  DN  300</t>
  </si>
  <si>
    <t>B.1.9.a</t>
  </si>
  <si>
    <t xml:space="preserve">VALVOLA SFERA MONOUSO  </t>
  </si>
  <si>
    <t>B.1.9.aa</t>
  </si>
  <si>
    <t>VALVOLA SFERA MONOUSO   DN  25</t>
  </si>
  <si>
    <t>B.1.9.ab</t>
  </si>
  <si>
    <t>VALVOLA SFERA MONOUSO   DN  32</t>
  </si>
  <si>
    <t>B.1.9.ac</t>
  </si>
  <si>
    <t>VALVOLA SFERA MONOUSO   DN  40</t>
  </si>
  <si>
    <t>B.1.9.ad</t>
  </si>
  <si>
    <t>VALVOLA SFERA MONOUSO   DN  50</t>
  </si>
  <si>
    <t>B.1.9.ae</t>
  </si>
  <si>
    <t>VALVOLA SFERA MONOUSO  DN  65</t>
  </si>
  <si>
    <t>B.1.9.af</t>
  </si>
  <si>
    <t>VALVOLA SFERA MONOUSO  DN  80</t>
  </si>
  <si>
    <t>B.1.A.10.a</t>
  </si>
  <si>
    <t xml:space="preserve">ANELLI  PASSAMURO  </t>
  </si>
  <si>
    <t>B.1.A.10.aa</t>
  </si>
  <si>
    <t>ANELLI  PASSAMURO  DN  25</t>
  </si>
  <si>
    <t>B.1.A.10.ab</t>
  </si>
  <si>
    <t>ANELLI  PASSAMURO  DN  32</t>
  </si>
  <si>
    <t>B.1.A.10.ac</t>
  </si>
  <si>
    <t>ANELLI  PASSAMURO DN  40</t>
  </si>
  <si>
    <t>B.1.A.10.ad</t>
  </si>
  <si>
    <t>ANELLI  PASSAMURO  DN  50</t>
  </si>
  <si>
    <t>B.1.A.10.ae</t>
  </si>
  <si>
    <t>ANELLI  PASSAMURO  DN  65</t>
  </si>
  <si>
    <t>B.1.A.10.af</t>
  </si>
  <si>
    <t>ANELLI  PASSAMURO   DN  80</t>
  </si>
  <si>
    <t>B.1.A.10.ag</t>
  </si>
  <si>
    <t>ANELLI  PASSAMURO  DN  100</t>
  </si>
  <si>
    <t>B.1.A.10.ah</t>
  </si>
  <si>
    <t>ANELLI  PASSAMURO   DN  125</t>
  </si>
  <si>
    <t>B.1.A.11.a</t>
  </si>
  <si>
    <t xml:space="preserve">GUARNIZIONI PASSATUBO - ACQUA IN PRESSIONE  </t>
  </si>
  <si>
    <t>B.1.A.11.aa</t>
  </si>
  <si>
    <t>GUARNIZIONI PASSATUBO - ACQUA a PRESIONE  DN 25</t>
  </si>
  <si>
    <t>B.1.A.11.ab</t>
  </si>
  <si>
    <t>GUARNIZIONI PASSATUBO - ACQUA a PRESIONE  DN 32</t>
  </si>
  <si>
    <t>B.1.A.11.ac</t>
  </si>
  <si>
    <t>GUARNIZIONI PASSATUBO - ACQUA a PRESIONE  DN 40</t>
  </si>
  <si>
    <t>B.1.A.11.ad</t>
  </si>
  <si>
    <t>GUARNIZIONI PASSATUBO - ACQUA a PRESIONE  DN 50</t>
  </si>
  <si>
    <t>B.1.A.11.ae</t>
  </si>
  <si>
    <t>GUARNIZIONI PASSATUBO - ACQUA a PRESIONE  DN 65</t>
  </si>
  <si>
    <t>B.1.A.11.af</t>
  </si>
  <si>
    <t>GUARNIZIONI PASSATUBO - ACQUA a PRESIONE  DN 80</t>
  </si>
  <si>
    <t>B.1.A.11.ag</t>
  </si>
  <si>
    <t>GUARNIZIONI PASSATUBO - ACQUA a PRESIONE  DN 100</t>
  </si>
  <si>
    <t>B.1.A.11.ah</t>
  </si>
  <si>
    <t>GUARNIZIONI PASSATUBO - ACQUA a PRESIONE  DN 125</t>
  </si>
  <si>
    <t>B.1.A.12.a</t>
  </si>
  <si>
    <t xml:space="preserve">COPERTURA FINALE - WATER STOP  </t>
  </si>
  <si>
    <t>B.1.A.12.aa</t>
  </si>
  <si>
    <t>COPERTURA FINALE - WATER STOP  DN  25</t>
  </si>
  <si>
    <t>B.1.A.12.ab</t>
  </si>
  <si>
    <t>COPERTURA FINALE - WATER STOP  DN  32</t>
  </si>
  <si>
    <t>B.1.A.12.ac</t>
  </si>
  <si>
    <t>COPERTURA FINALE - WATER STOP  DN  40</t>
  </si>
  <si>
    <t>B.1.A.12.ad</t>
  </si>
  <si>
    <t>COPERTURA FINALE - WATER STOP  DN  50</t>
  </si>
  <si>
    <t>B.1.A.12.ae</t>
  </si>
  <si>
    <t>COPERTURA FINALE - WATER STOP  DN  65</t>
  </si>
  <si>
    <t>B.1.A.12.af</t>
  </si>
  <si>
    <t>COPERTURA FINALE - WATER STOP  DN  80</t>
  </si>
  <si>
    <t>B.1.A.12.ag</t>
  </si>
  <si>
    <t>COPERTURA FINALE - WATER STOP  DN  100</t>
  </si>
  <si>
    <t>B.1.A.12.ah</t>
  </si>
  <si>
    <t>COPERTURA FINALE - WATER STOP  DN  125</t>
  </si>
  <si>
    <t>B.1.A.12.ai</t>
  </si>
  <si>
    <t>COPERTURA FINALE - WATER STOP  DN  150</t>
  </si>
  <si>
    <t>B.1.A.12.aj</t>
  </si>
  <si>
    <t>COPERTURA FINALE - WATER STOP  DN  200</t>
  </si>
  <si>
    <t>B.1.A.12.ak</t>
  </si>
  <si>
    <t>COPERTURA FINALE - WATER STOP  DN  250</t>
  </si>
  <si>
    <t xml:space="preserve">MATERASSINI DI DILATAZIONE </t>
  </si>
  <si>
    <t>B.1.A.13.a</t>
  </si>
  <si>
    <t>MATERASSINI DI DILATAZIONE   65-160</t>
  </si>
  <si>
    <t>B.1.A.13.aa</t>
  </si>
  <si>
    <t>MATERASSINI DI DILATAZIONE   180-280</t>
  </si>
  <si>
    <t>B.1.A.13.ab</t>
  </si>
  <si>
    <t>MATERASSINI DI DILATAZIONE   315-355</t>
  </si>
  <si>
    <t>B.1.A.13.ac</t>
  </si>
  <si>
    <t>MATERASSINI DI DILATAZIONE   355-500</t>
  </si>
  <si>
    <t>B.1.A.14.a</t>
  </si>
  <si>
    <t>Fornitura e montaggio di fondelli in accaio</t>
  </si>
  <si>
    <t>B.1.A.14.aa</t>
  </si>
  <si>
    <t>FONDELLO in ACCIAIO   DN 25</t>
  </si>
  <si>
    <t>B.1.A.14.ab</t>
  </si>
  <si>
    <t>FONDELLO in ACCIAIO  DN 32</t>
  </si>
  <si>
    <t>B.1.A.14.ac</t>
  </si>
  <si>
    <t>FONDELLO in ACCIAIO  DN 40</t>
  </si>
  <si>
    <t>B.1.A.14.ad</t>
  </si>
  <si>
    <t>FONDELLO in ACCIAIO  DN 50</t>
  </si>
  <si>
    <t>B.1.A.14.ae</t>
  </si>
  <si>
    <t>FONDELLO in ACCIAIO  DN 65</t>
  </si>
  <si>
    <t>B.1.A.14.af</t>
  </si>
  <si>
    <t>FONDELLO in ACCIAIO  DN 80</t>
  </si>
  <si>
    <t>B.1.A.14.ag</t>
  </si>
  <si>
    <t>FONDELLO in ACCIAIO  DN 100</t>
  </si>
  <si>
    <t>B.1.A.14.ah</t>
  </si>
  <si>
    <t>FONDELLO in ACCIAIO  DN 125</t>
  </si>
  <si>
    <t>B.1.A.14.ai</t>
  </si>
  <si>
    <t>FONDELLO in ACCIAIO  DN 150</t>
  </si>
  <si>
    <t>B.1.A.14.aj</t>
  </si>
  <si>
    <t>FONDELLO in ACCIAIO  DN 200</t>
  </si>
  <si>
    <t>B.1.A.15.a</t>
  </si>
  <si>
    <t>SALDATURE DELLE TUBAZIONI</t>
  </si>
  <si>
    <t>B.1.A.15.ab</t>
  </si>
  <si>
    <t>GIUNTO SALDATO   DN 25</t>
  </si>
  <si>
    <t>B.1.A.15.ac</t>
  </si>
  <si>
    <t>GIUNTO SALDATO   DN 32</t>
  </si>
  <si>
    <t>B.1.A.15.ad</t>
  </si>
  <si>
    <t>GIUNTO SALDATO   DN 40</t>
  </si>
  <si>
    <t>B.1.A.15.ae</t>
  </si>
  <si>
    <t>GIUNTO SALDATO   DN 50</t>
  </si>
  <si>
    <t>B.1.A.15.af</t>
  </si>
  <si>
    <t>GIUNTO SALDATO   DN 65</t>
  </si>
  <si>
    <t>B.1.A.15.ag</t>
  </si>
  <si>
    <t>GIUNTO SALDATO   DN 80</t>
  </si>
  <si>
    <t>B.1.A.15.ah</t>
  </si>
  <si>
    <t>GIUNTO SALDATO   DN 100</t>
  </si>
  <si>
    <t>Impianto elettrico: Quadri elettrici stagni</t>
  </si>
  <si>
    <t>Quadro per contatori d'acqua: dim. 600x600x300</t>
  </si>
  <si>
    <t>Schrank für Wasserzähler: Abm.  600x600x300</t>
  </si>
  <si>
    <t>15.01.02.05.d*</t>
  </si>
  <si>
    <t>15.01.02.05.e*</t>
  </si>
  <si>
    <t>Schrank für Wasserzähler: Abm.  400x400x300</t>
  </si>
  <si>
    <t>Quadro per contatori d'acqua: dim. 400x400x300</t>
  </si>
  <si>
    <t>Vorisolierter PE-Krummer (5,5 cm) mit Schitzhülle aus verzinktem Stahlblech</t>
  </si>
  <si>
    <t>Vorisolierter PE-Rohr (5,5 cm) mit Schitzhülle aus verzinktem Stahlblech</t>
  </si>
  <si>
    <t>Ø150</t>
  </si>
  <si>
    <t>DN80 (77-90)</t>
  </si>
  <si>
    <t>DN100 (91-114)</t>
  </si>
  <si>
    <t>DN125 (115-144)</t>
  </si>
  <si>
    <t>DN140 (144-165)</t>
  </si>
  <si>
    <t xml:space="preserve"> </t>
  </si>
  <si>
    <t>Collegamento fra opera di presa e cabina di manovra (Bortl)</t>
  </si>
  <si>
    <t>Collegamento di uscita e scarico cabina di manovra (Bortl)</t>
  </si>
  <si>
    <t>Attrezzature ingresso - uscita - sfioro pozzetti taglioni di presa: Spöttl</t>
  </si>
  <si>
    <t>75.10.01.30</t>
  </si>
  <si>
    <t>75.10.01.25*</t>
  </si>
  <si>
    <t>75.10.04.05</t>
  </si>
  <si>
    <t>Sospensione di condotte isolate a ponti o muri</t>
  </si>
  <si>
    <t>Aufhängung des Rohres an Brücke oder mauer</t>
  </si>
  <si>
    <t>N</t>
  </si>
  <si>
    <t>Drainagematerial, ungeschichtet Sieblinienbereich (mm) 10/70</t>
  </si>
  <si>
    <t>53.02.01.01</t>
  </si>
  <si>
    <t>54.30.05.05</t>
  </si>
  <si>
    <t>Messa in opera di zolle erbose, spessore ca. 10,0 cm</t>
  </si>
  <si>
    <t>Einbau von Grasnarben, Schichtstärke ca. 10 cm</t>
  </si>
  <si>
    <t>Tubo drenante rigido o flessibile in PVC, DN 125 mm</t>
  </si>
  <si>
    <t>Steifes oder flexibles PVC-Drainagerohr, DN 125 mm</t>
  </si>
  <si>
    <t>Muratura in pietrame a mosaico greggio con pietrame messo a disposizione</t>
  </si>
  <si>
    <t>Mauerwerk aus Naturstein in grobem Mosaik mit bauseits bereitgestelltem Gestein</t>
  </si>
  <si>
    <t>Muri ciclopici con porfido, da cava</t>
  </si>
  <si>
    <t>Zyklopenmauern mit Porphyrsteinen, inkl. Lieferung</t>
  </si>
  <si>
    <t>Seminagione a secco con miscele di semenza</t>
  </si>
  <si>
    <t>Trockenaussaat von Samenmischungen</t>
  </si>
  <si>
    <t>96.01.01.01</t>
  </si>
  <si>
    <t>Spandimento e spianamento di terra vegetale, compost, torba spessore fino a 15 cm</t>
  </si>
  <si>
    <t>97.01.03.05*</t>
  </si>
  <si>
    <t>Camion - LKW 8,0-10.5 t</t>
  </si>
  <si>
    <t>VIA WOLF</t>
  </si>
  <si>
    <t>Umlegen von Abnehmeranschlüsse Ø(1"-1"1/4)</t>
  </si>
  <si>
    <t>per ogni mm di spessore oltre 20 mm</t>
  </si>
  <si>
    <t>für jeden mm über 20 mm</t>
  </si>
  <si>
    <t>Sovrapprezzo per conglomerato cementizio impermeabile penetrazione acqua (DIN 1048) 30 mm per acqua potabile</t>
  </si>
  <si>
    <t>Aufpreis für wasserdichten Beton Wassereindringtiefe (DIN 1048) 30 mm, für Trinkwasser</t>
  </si>
  <si>
    <t>Strato di protezione in foglio di polietilene s = 0,20 mm</t>
  </si>
  <si>
    <t>Schutzschicht bestehend aus Polyäthylenfolie s = 0,20 mm</t>
  </si>
  <si>
    <t>Rifinitura superficiale lisciatura con cemento R32.5</t>
  </si>
  <si>
    <t>Oberputz mit Zement R32.5 geglättet</t>
  </si>
  <si>
    <t>Caldana con 300 kg di cemento R32.5 per m3 di sabbia spessore variabile (pendenza)</t>
  </si>
  <si>
    <t>= 1/4</t>
  </si>
  <si>
    <t>Ipotesi: 1/4 PrDef + 1/4 PrEs + 2/4 DL</t>
  </si>
  <si>
    <t>CERTIFICATO DI REGOLARE ESECUZIONE</t>
  </si>
  <si>
    <t>IMPORTO CERTIFICATO</t>
  </si>
  <si>
    <t>L.P.6 17.06.1998</t>
  </si>
  <si>
    <t>COLLAUDO</t>
  </si>
  <si>
    <t>PERCENTUALE COLLAUDO</t>
  </si>
  <si>
    <t>=F107-((F5-F105)*(F107-F108)/(F106-F105))</t>
  </si>
  <si>
    <t>=F53*F109/100</t>
  </si>
  <si>
    <t>IMPORTO CERTIFICATO ARROTONDATO</t>
  </si>
  <si>
    <t>MIN.</t>
  </si>
  <si>
    <t>TRADUZIONI IN TEDESCO</t>
  </si>
  <si>
    <t>N. PAGINE</t>
  </si>
  <si>
    <t>L./PAGINA</t>
  </si>
  <si>
    <t>ORE TRADUZIONE DISEGNI</t>
  </si>
  <si>
    <t>L./ORA</t>
  </si>
  <si>
    <t>TOTALE PER TRADUZIONI</t>
  </si>
  <si>
    <t>IMPORTO TOTALE PER TRADUZIONI</t>
  </si>
  <si>
    <t>COSTO COPIE</t>
  </si>
  <si>
    <t>CARTELLINA</t>
  </si>
  <si>
    <t>???</t>
  </si>
  <si>
    <t>FOTOCOPIE DATTILO</t>
  </si>
  <si>
    <t>RILEGATURA</t>
  </si>
  <si>
    <t>ELIOCOPIE</t>
  </si>
  <si>
    <t>FOTOCOPIE A COLORI</t>
  </si>
  <si>
    <t>DISEGNI (n. A4)</t>
  </si>
  <si>
    <t>TEMPO DI PREPARAZ.</t>
  </si>
  <si>
    <t>TOTALE x COPIA</t>
  </si>
  <si>
    <t>TOTALE COPIA ARROT</t>
  </si>
  <si>
    <t>NUMERO COPIE</t>
  </si>
  <si>
    <t>TOTALE COPIE</t>
  </si>
  <si>
    <t>Druckminderventil  PN16/25</t>
  </si>
  <si>
    <t>80.01.02.01</t>
  </si>
  <si>
    <t>q.li</t>
  </si>
  <si>
    <t>Zt.</t>
  </si>
  <si>
    <t>Micropali per paratia (D160-229 9")</t>
  </si>
  <si>
    <t>Pfahlwände aus Kleinkalibrigen Bohrpfhälen D 160-229 (9")</t>
  </si>
  <si>
    <t>Armatura tubolare per micropali, tubo chiuso</t>
  </si>
  <si>
    <t>Bewehrungsrohre für kleinkalibrige Bohrpfahle, Rohr ungelocht</t>
  </si>
  <si>
    <t>Compenso per iniezioni oltre il volume standard</t>
  </si>
  <si>
    <t>Vergütung für Injektion über das Standardvolumen hinaus</t>
  </si>
  <si>
    <t>Portone ad impacco</t>
  </si>
  <si>
    <t>Falttor</t>
  </si>
  <si>
    <t>Polistirolo estruso 32 kg/m3, pareti, s=5 cm</t>
  </si>
  <si>
    <t>PS-Extruderschaum 28 kg/m3, Wände D=5 cm</t>
  </si>
  <si>
    <t>03.07.01.04</t>
  </si>
  <si>
    <t>Bandella in acciaio zincato (30x3.5) mm (100 mm2)</t>
  </si>
  <si>
    <t>Verzinktem Bandstahl, (30x3.5) mm (100 mm2)</t>
  </si>
  <si>
    <t>Collettore per conduttori di protezione, barra 200 mm, per morsetti 16/95 mm2</t>
  </si>
  <si>
    <t>Potentialausgleichschiene für Schutzleiter, 200 mm für Klemmen 16/95 mm2</t>
  </si>
  <si>
    <t>Dispersore profilato a croce, H=1500 mm</t>
  </si>
  <si>
    <t>Kreuzförmige Zerstreuer, H=1500 mm</t>
  </si>
  <si>
    <t>Morsetto bimetallico</t>
  </si>
  <si>
    <t>Zweimetall-Trennklemme</t>
  </si>
  <si>
    <t>Sovrapprezzo per trattamento superficiale cls</t>
  </si>
  <si>
    <t>Aufpreis für die Oberflächenbehandlung des Stahlbetones</t>
  </si>
  <si>
    <t>ARROTONDATO</t>
  </si>
  <si>
    <t>52.01.01.a*</t>
  </si>
  <si>
    <t>Allacciamenti/Stacchi laterali</t>
  </si>
  <si>
    <t>5% dello scavo totale in sezione ristretta</t>
  </si>
  <si>
    <t>Grabenaushub in Pickelfels, in natürlichen Konglomeraten, - in Steinhalden -  ohne Aufladen und Transport - Aufpreis</t>
  </si>
  <si>
    <t>Scavo a sezione ristretta in roccia da piccone, in conglomerati, - in giacimenti sassosi - senza caricamento e trasporto - sovrapprezzo</t>
  </si>
  <si>
    <t>Via Wolf 1° tratto - allacciamenti 6 (4 in SX - 2 in DX)</t>
  </si>
  <si>
    <t>Via Wolf 2° tratto - allacciamenti 17 (12 in SX - 5 in DX)</t>
  </si>
  <si>
    <t>Via Wolf 3° tratto - allacciamenti 9 (5 in SX - 4 in DX)</t>
  </si>
  <si>
    <t>Elektroverschweißte Abdeckroste in Stahl Fe 360, verzinkt</t>
  </si>
  <si>
    <t>Grigliato elettroforgiato in acciaio Fe 360 zincato</t>
  </si>
  <si>
    <t>Ponteggi - Gerüste</t>
  </si>
  <si>
    <t>m2 g</t>
  </si>
  <si>
    <t>Soffiante aria 5,3 m3/min 400 mBar (motore elettrico 7,5 kW 3x400V 50Hz) comprese valvola e interruttore avviamento</t>
  </si>
  <si>
    <t>Verbindung zwischen Fassung und Stube (Bortl)</t>
  </si>
  <si>
    <t>Verbindung Ausgang und Entleerung - Fassungsstelle (Bortl)</t>
  </si>
  <si>
    <t>Descrizione</t>
  </si>
  <si>
    <t>UDM</t>
  </si>
  <si>
    <t>Quantità</t>
  </si>
  <si>
    <t>Prezzo Unitario</t>
  </si>
  <si>
    <t>Parziale</t>
  </si>
  <si>
    <t>Menge</t>
  </si>
  <si>
    <t>Einheitspreis</t>
  </si>
  <si>
    <t>Beitrag</t>
  </si>
  <si>
    <t>€</t>
  </si>
  <si>
    <t>m2</t>
  </si>
  <si>
    <t>Varie e minori</t>
  </si>
  <si>
    <t>Totale</t>
  </si>
  <si>
    <t>n</t>
  </si>
  <si>
    <t>St</t>
  </si>
  <si>
    <t>a</t>
  </si>
  <si>
    <t>A stima</t>
  </si>
  <si>
    <t>b</t>
  </si>
  <si>
    <t>c</t>
  </si>
  <si>
    <t>d</t>
  </si>
  <si>
    <t>Scavo meccanico a sezione aperta</t>
  </si>
  <si>
    <t>mc</t>
  </si>
  <si>
    <t>54.01.01.05*</t>
  </si>
  <si>
    <t>54.01.01.10*</t>
  </si>
  <si>
    <t>54.01.02.05*</t>
  </si>
  <si>
    <t>Estrazione massi - sovrapprezzo</t>
  </si>
  <si>
    <t>Ausgraben, ohne Zerstören, von Steinblöcken - Aufpreis</t>
  </si>
  <si>
    <t>Estrazione massi - Sovrapprezzo</t>
  </si>
  <si>
    <t>Scavo di sbancamento in roccia da piccone, in conglomerati, - in giacimenti sassosi - sovrapprezzo</t>
  </si>
  <si>
    <t>DN 125/80 doppio indicatore</t>
  </si>
  <si>
    <t>80.01.12.90*</t>
  </si>
  <si>
    <t>80.01.12.92*</t>
  </si>
  <si>
    <t>80.01.12.91*</t>
  </si>
  <si>
    <t>80.01.08.31*</t>
  </si>
  <si>
    <t>80.01.12.32*</t>
  </si>
  <si>
    <t>80.01.12.32E*</t>
  </si>
  <si>
    <t>80.01.12.90E*</t>
  </si>
  <si>
    <t>80.01.12.91E*</t>
  </si>
  <si>
    <t>80.01.13.10*</t>
  </si>
  <si>
    <t>80.01.13.10D*</t>
  </si>
  <si>
    <t>80.01.13.10E*</t>
  </si>
  <si>
    <t>DN80 PN10/16 Monte</t>
  </si>
  <si>
    <t>DN80 PN10/16 Valle</t>
  </si>
  <si>
    <t>80.01.08.31D*</t>
  </si>
  <si>
    <t>80.01.08.31E*</t>
  </si>
  <si>
    <t>Valvola idraulica a galleggiante a passaggio totale</t>
  </si>
  <si>
    <t>Valvola idraulica riduttrice di pressione PN16/25</t>
  </si>
  <si>
    <t>Valvola idraulica riduttrice di pressione PN16/25 con sostegno</t>
  </si>
  <si>
    <t>LAVORI IN DIRETTA AMMINISTRAZIONE</t>
  </si>
  <si>
    <t>POSA CONDOTTE ED ATTREZZATURE IDRAULICHE</t>
  </si>
  <si>
    <t>SPESE TECNICHE INTERNE</t>
  </si>
  <si>
    <t>TOTALE ACQUISTI E LAVORI IN DIRETTA AMMINISTRAZIONE</t>
  </si>
  <si>
    <t>VIA WOLF - GENERALE</t>
  </si>
  <si>
    <t>SPESE</t>
  </si>
  <si>
    <t>SD1</t>
  </si>
  <si>
    <t>SD2</t>
  </si>
  <si>
    <t>SD3</t>
  </si>
  <si>
    <t>PEZZI SPECIALI PER TUBI GHISA</t>
  </si>
  <si>
    <t>Casseratura di solette in ca, S2</t>
  </si>
  <si>
    <r>
      <t>Baustahlgittermatten mit gerippten Stä</t>
    </r>
    <r>
      <rPr>
        <sz val="7.5"/>
        <rFont val="Ecofont Vera Sans"/>
        <family val="2"/>
      </rPr>
      <t>ben</t>
    </r>
    <r>
      <rPr>
        <sz val="10"/>
        <rFont val="Ecofont Vera Sans"/>
        <family val="2"/>
      </rPr>
      <t>, Stahl B450C</t>
    </r>
  </si>
  <si>
    <t>SUDDIVISIONE IN QUOTE PER COMPETENZA</t>
  </si>
  <si>
    <t>Diritti discarica materiale categoria 2/A, scarti di cantiere edili come laterizi, cls non armato volume max 0,2 m3, calcinacci e piastrelle, escluso cls alveolare, legname, materiale sintetico o altre impurità</t>
  </si>
  <si>
    <t>54.45.02.03</t>
  </si>
  <si>
    <t>Diritti discarica materiale categoria 2/C, croste di asfalto senza impurità e fresato provenienta dalla pavimentazione stradale</t>
  </si>
  <si>
    <t>54.45.02.05</t>
  </si>
  <si>
    <t>Diritti discarica materiale categoria 3/B, macerie edili miste con legname, metallo e materiale sintetico fino al max 20%</t>
  </si>
  <si>
    <t>54.45.02.10</t>
  </si>
  <si>
    <t>Diritti discarica materiale categoria 4/C, cls armato con materiale sintetico e altre impurità fino al max 10%</t>
  </si>
  <si>
    <t>54.45.03.01</t>
  </si>
  <si>
    <t>Diritti discarica materiale categoria 5/A, scarti di cantiere come materiali sintetitci, teli di pavimenti, materiali tessili, imballaggi, carta, gesso, materiale elettrico</t>
  </si>
  <si>
    <t>54.45.03.05</t>
  </si>
  <si>
    <t>Diritti discarica materiale categoria 6/B, legno non trattato, travi fino ad una lunghezza di 3 m e tronchi fino a un diametro di 60 cm</t>
  </si>
  <si>
    <t>54.45.04.02</t>
  </si>
  <si>
    <t>Diritti discarica materiale categoria 7/B, residui materiale vegetale vivo con ciottoli e pietre, legno, metallo e materiali sinteticiper una % massima del 10%</t>
  </si>
  <si>
    <t>54.45.05.01</t>
  </si>
  <si>
    <t>Diritti discarica materiale categoria 8, rmateriale ferroso e metallico senza sostanze estranee</t>
  </si>
  <si>
    <t>Drenaggio</t>
  </si>
  <si>
    <t>Provisorische Umleitung von Wasserleitungen, mit Rohren der Abmessungen DN: 50 mm</t>
  </si>
  <si>
    <t>Deviazione provvisoria di acquedotto con tubazioni del DN: 50 mm</t>
  </si>
  <si>
    <t>Provisorische Umleitung von Wasserleitungen, mit Rohren der Abmessungen DN: 125 mm</t>
  </si>
  <si>
    <t>Deviazione provvisoria di acquedotto con tubazioni del DN: 125 mm</t>
  </si>
  <si>
    <t>Casseratura laterale per muri e pareti dritte verticali ed inclinate fino a +-20° dalla verticale, S2</t>
  </si>
  <si>
    <t>Pozzetti</t>
  </si>
  <si>
    <t>DISTRIBUZIONE %</t>
  </si>
  <si>
    <t>Ø25 PN25</t>
  </si>
  <si>
    <t>Ø140</t>
  </si>
  <si>
    <t>75.10.01.60</t>
  </si>
  <si>
    <t>75.10.09.01</t>
  </si>
  <si>
    <t>Polypropylen- dreischichtrohre SN8</t>
  </si>
  <si>
    <t>Tubi in polipropilene a 3 strati SN8</t>
  </si>
  <si>
    <t>97.01.02.20*</t>
  </si>
  <si>
    <t>Einstiegshilfe versenkbar mit Doppelholm, B=300 mm, aus Edelstahl AISI 304</t>
  </si>
  <si>
    <t>Gebläse 5,3 m3/min 400 mBar (Elektromotor 7,5 kW 3x400V 50Hz) mit Einlaufventil und Schalter</t>
  </si>
  <si>
    <t>Dispositivo di aiuto all'impiego della scala con doppio montante, Inox AISI 304</t>
  </si>
  <si>
    <t>Rückspülungspumpe (für Neutralisationsanlage) Q=30 l/s dH=30 m 11 kW 3x400V 50Hz</t>
  </si>
  <si>
    <t>Pompa controlavaggio (per neutralizzatore) Q=30 l/s dH=30 m 11 kW 3x400V 50Hz</t>
  </si>
  <si>
    <t>80.25.08.01.e*</t>
  </si>
  <si>
    <t>80.25.14.02.c</t>
  </si>
  <si>
    <t>80.25.14.02.d</t>
  </si>
  <si>
    <t>80.25.14.02.e</t>
  </si>
  <si>
    <t>80.25.14.02.f</t>
  </si>
  <si>
    <t>80.25.14.02.g</t>
  </si>
  <si>
    <t>80.25.16.02.c</t>
  </si>
  <si>
    <t>80.25.16.02.d</t>
  </si>
  <si>
    <t>80.25.16.02.e</t>
  </si>
  <si>
    <t>80.25.16.02.f</t>
  </si>
  <si>
    <t>80.25.32.01.a*</t>
  </si>
  <si>
    <t>80.25.30.01.c</t>
  </si>
  <si>
    <t>80.25.30.01.a</t>
  </si>
  <si>
    <t>80.27.05.05.c</t>
  </si>
  <si>
    <t>80.27.05.05.d</t>
  </si>
  <si>
    <t>80.27.05.05.e</t>
  </si>
  <si>
    <t>80.27.05.05.b</t>
  </si>
  <si>
    <t>80.27.05.05.f</t>
  </si>
  <si>
    <t>80.27.05.05.g</t>
  </si>
  <si>
    <t>80.27.05.05.h</t>
  </si>
  <si>
    <t>80.27.05.05.k</t>
  </si>
  <si>
    <t>80.27.05.05.l</t>
  </si>
  <si>
    <t>80.27.05.05.m</t>
  </si>
  <si>
    <t>80.27.05.05.n</t>
  </si>
  <si>
    <t>Ø3" - Ø80</t>
  </si>
  <si>
    <t>Ø3/4" - Ø20</t>
  </si>
  <si>
    <t>Ø1" - Ø25</t>
  </si>
  <si>
    <t>Ø1"1/4 - Ø32</t>
  </si>
  <si>
    <t>Ø1"1/2 - Ø40</t>
  </si>
  <si>
    <t>Ø2" - Ø50</t>
  </si>
  <si>
    <t>Ø2"1/2 - Ø65</t>
  </si>
  <si>
    <t>Ø4" - Ø100</t>
  </si>
  <si>
    <t>Ø5" - Ø125</t>
  </si>
  <si>
    <t>Ø6" - Ø150</t>
  </si>
  <si>
    <t>Ø8" - Ø200</t>
  </si>
  <si>
    <t>80.27.05.98.c*</t>
  </si>
  <si>
    <t>STIMA PROVVISORIA COSTI TUBAZIONI TELERISCALDAMENTO</t>
  </si>
  <si>
    <t xml:space="preserve">CONTR ORIZZ </t>
  </si>
  <si>
    <t>CONTR VERT</t>
  </si>
  <si>
    <t>FORNITURA TUBAZIONI GHISA K10 RIVESTIMENTO NORMALE GIUNTI ANTISFILAMENTO</t>
  </si>
  <si>
    <t>Grabenaushub in kompaktem Fels ohne Aufladen ohne Transport - Aufpreis</t>
  </si>
  <si>
    <t>Scavo a sezione ristretta in roccia compatta senza caricamento senza trasporto- sovrapprezzo</t>
  </si>
  <si>
    <t>Marmorkies für Neutralisationsfilter (CaCO3 &gt; 93%)</t>
  </si>
  <si>
    <t xml:space="preserve">Graniglia di marmo per filtri neutralizzatori (CaCO3 &gt; 93%) </t>
  </si>
  <si>
    <t>51.01.01.01</t>
  </si>
  <si>
    <t>Operaio altamente specializzato - Hochspezialisierter Arbeiter</t>
  </si>
  <si>
    <t>TOTALE PREZZI ELEMENTARI</t>
  </si>
  <si>
    <t>51</t>
  </si>
  <si>
    <t>58</t>
  </si>
  <si>
    <t>quadretto di controllo sulle portate</t>
  </si>
  <si>
    <t>quadretto di controllo antincendio</t>
  </si>
  <si>
    <t>proiettore, IP65, lamp ioduri metallici  pot. 70W tipo 1131 Disano</t>
  </si>
  <si>
    <t>punto uscita 3P+T 16A  (paranco)</t>
  </si>
  <si>
    <t>PVC-Rohr starr IP55, Ø 25mm</t>
  </si>
  <si>
    <t>PVC-Rohr starr IP55, Ø 32mm</t>
  </si>
  <si>
    <t>Feuchtraumabzweigdosen 100x100x50 mm</t>
  </si>
  <si>
    <t>Querschnitt 50 qmm</t>
  </si>
  <si>
    <t>Verteiler in Aufputzausführung Schutzart IP55 650X270X125 - 48 Mod.</t>
  </si>
  <si>
    <t>Verteilerkasten IP55 für Zähler oder gen. Schalter 700x650x30 mm</t>
  </si>
  <si>
    <t>Verteiler Typ Gewiss 68001 mit drei Steckdosen</t>
  </si>
  <si>
    <t>Leitungschutzschalter 10kA 4md 4x40÷63A</t>
  </si>
  <si>
    <t>FI Leitungschutzschalter 10kA  C Idn 0,03A 4Mod. 2x6÷32A</t>
  </si>
  <si>
    <t>FI Leitungschutzschalter 10kA  C Idn 0,3A÷0,5A  6Mod. 4x6÷32A</t>
  </si>
  <si>
    <t>Thermischer Relais, Regelbare Stromstärke 22÷46A</t>
  </si>
  <si>
    <t>Schalter IP55 in Sicht</t>
  </si>
  <si>
    <t>Steckdose 2P+T   10÷16A UNEL IP55</t>
  </si>
  <si>
    <t>Auslaß 2P+T 16A</t>
  </si>
  <si>
    <t>Einzel Lichtpunkte in Sicht, IP55</t>
  </si>
  <si>
    <t>Deckenleuchte in polycarbonat IP65 1x58W elektronischer</t>
  </si>
  <si>
    <t>Steuerungsmodul für Durchwassermenge</t>
  </si>
  <si>
    <t>Steuerungsmodul für Löschwassersventile</t>
  </si>
  <si>
    <t>Scheinwerfer IP65 JM-TS Lampe Leistung 70W Type 1131 Punto Disano</t>
  </si>
  <si>
    <t>Ausgang 3P+T 16A</t>
  </si>
  <si>
    <t>Aufbringen eines anionischen Emulsionsfilmes</t>
  </si>
  <si>
    <t>Applicazione di una mano di emulsione anionica</t>
  </si>
  <si>
    <t xml:space="preserve">Bituminöses Mischgut, 0/9 für Verschleißschichten 1.Kategorie Schichtstärke, eingebaut: 3 cm    </t>
  </si>
  <si>
    <t xml:space="preserve">Conglomerato bituminoso 0/9 per strato d'usura di 1. Categoria spessore finito &lt;cm&gt;: 3  </t>
  </si>
  <si>
    <t>02.04.30.01.a</t>
  </si>
  <si>
    <t>Streifenfundament Einzelfundament, Fundamentplatte, Beton einschl. Schalung C20/25</t>
  </si>
  <si>
    <t>Fondazioni continue, plinti e platee in cls compr. casseri C20/25</t>
  </si>
  <si>
    <t>02.04.30.02.b</t>
  </si>
  <si>
    <t>Kellerwand oder Wand, Beton einschl. Schalung C25/30</t>
  </si>
  <si>
    <t>Muratura e muratura cant. cls compr. Casseri  C25/30</t>
  </si>
  <si>
    <t>02.04.30.03.b</t>
  </si>
  <si>
    <t>Stima</t>
  </si>
  <si>
    <t>Allacciamenti: lunghezza complessiva stimata</t>
  </si>
  <si>
    <t>Protezione pali dell'energia elettrica</t>
  </si>
  <si>
    <t>Protezione degli alberi</t>
  </si>
  <si>
    <t>TOTALE COLLAUDO</t>
  </si>
  <si>
    <t>Ipotizzato 10%</t>
  </si>
  <si>
    <t>SCONTO PER OPERE NON EDILI</t>
  </si>
  <si>
    <t>ONORARIO CONTABILITA'</t>
  </si>
  <si>
    <t>SPESE CONTABILITA' %</t>
  </si>
  <si>
    <t>ONORARIO CONTABILITA' CON SPESE</t>
  </si>
  <si>
    <t>ONORARIO CONTABILITA' E SPESE ARROTONDATO</t>
  </si>
  <si>
    <t xml:space="preserve">Fornitura e posa in opera  di  materiale  granulometricamente  stabilizzato </t>
  </si>
  <si>
    <t>Lieferung  und  Einbau  von  korngrößenmäßig  stabilisiertem  Material</t>
  </si>
  <si>
    <t>SENZA RIPARTO</t>
  </si>
  <si>
    <t>D.LL.+COORDESEC+CONTA+CRE/COLLAUDO</t>
  </si>
  <si>
    <t>DLL</t>
  </si>
  <si>
    <t>COORDESEC</t>
  </si>
  <si>
    <t>CONTA</t>
  </si>
  <si>
    <t>CRE</t>
  </si>
  <si>
    <t>TOTALE ONORARI FASE ESECUTIVA</t>
  </si>
  <si>
    <t>TOTALE SPESE</t>
  </si>
  <si>
    <t>TOTALE ONORARI E SPESE FASE ESECUTIVA</t>
  </si>
  <si>
    <t>TOTALE SCONTO</t>
  </si>
  <si>
    <t>D.LL.+COORDESEC+CONTA+CRE</t>
  </si>
  <si>
    <t>TOTALE SPESE TECNICHE</t>
  </si>
  <si>
    <t>sconto</t>
  </si>
  <si>
    <t>CON CASSA PREVIDENZA</t>
  </si>
  <si>
    <t>TOT IN % SPESE TECNICHE (PER PROGETTI)</t>
  </si>
  <si>
    <t>%</t>
  </si>
  <si>
    <t>Maschere antipolvere - Atemmasken</t>
  </si>
  <si>
    <t>Berretti - Kappen</t>
  </si>
  <si>
    <t>COSTI PER LA SICUREZZA
KOSTEN FÜR SICHERHEITSMASSNAHMEN</t>
  </si>
  <si>
    <t>m g</t>
  </si>
  <si>
    <t>54.10.03.20</t>
  </si>
  <si>
    <t>Varie (soglia, sopraporta) e minori</t>
  </si>
  <si>
    <t>Camion - LKW 10.5-14 t</t>
  </si>
  <si>
    <t>Autocarro - LKW &lt;= 4 t</t>
  </si>
  <si>
    <t>i</t>
  </si>
  <si>
    <t>k</t>
  </si>
  <si>
    <t>Ø140 PN10</t>
  </si>
  <si>
    <t>Ø160 PN10</t>
  </si>
  <si>
    <t>Ø200 PN10</t>
  </si>
  <si>
    <t>Ø140 PN16</t>
  </si>
  <si>
    <t>Ø160 PN16</t>
  </si>
  <si>
    <t>Ø200 PN16</t>
  </si>
  <si>
    <t>Sottopasso a spinta con tubo in acciaio diametro 125-200 mm</t>
  </si>
  <si>
    <t>Peh Ø160 PN10/16</t>
  </si>
  <si>
    <t>Edelstahlrhöre AISI 304</t>
  </si>
  <si>
    <t>Fornitura e posa tubi INOX AISI 304</t>
  </si>
  <si>
    <t>Edelstahlbogen  AISI 304</t>
  </si>
  <si>
    <t>Fornitura e posa curve INOX AISI 304</t>
  </si>
  <si>
    <t>Fornitura e posa flange INOX AISI 304</t>
  </si>
  <si>
    <t>Allacciamenti /cordonate aiuole per alberi / rialzi cubettati</t>
  </si>
  <si>
    <t>Allacciamenti / rialzi cubettati</t>
  </si>
  <si>
    <t>Chiusino in ghisa circolare carico 400 kN  peso 170/180 kg</t>
  </si>
  <si>
    <t>Kreisförmige vollständig aus Guss Schachtabdeckung Prüflast 400 kN  Gewicht 170/180 kg</t>
  </si>
  <si>
    <t>Chiusino misto ghisa/cemento circolare carico 400 kN  peso 170/180 kg</t>
  </si>
  <si>
    <t>Kreisförmige aus Beton/Gusseisen Schachtabdeckung Prüflast 400 kN  Gewicht 170/180 kg</t>
  </si>
  <si>
    <t xml:space="preserve">Conglomerato bituminoso 0/25 per strato di collegamento binder per ogni m2 e ogni cm di spessore finito   </t>
  </si>
  <si>
    <t xml:space="preserve">Bituminöses Mischgut 0/25 für Binderschichten je m2 und cm Schichtstärke, eingebaut </t>
  </si>
  <si>
    <t xml:space="preserve">Conglomerato bituminoso 0/19 per strato di collegamento binder per ogni m2 e ogni cm di spessore finito   </t>
  </si>
  <si>
    <t xml:space="preserve">Bituminöses Mischgut 0/19 für Binderschichten je m2 und cm Schichtstärke, eingebaut </t>
  </si>
  <si>
    <t xml:space="preserve">Conglomerato bituminoso 0/12 per strato d'usura di 1. Categoria spessore finito &lt;cm&gt;: 3  </t>
  </si>
  <si>
    <t xml:space="preserve">Bituminöses Mischgut, 0/12 für Verschleißschichten 1.Kategorie Schichtstärke, eingebaut: 3 cm    </t>
  </si>
  <si>
    <t>Scarificatura compresa cilindratura</t>
  </si>
  <si>
    <t>Abhobelung inkl. Verdichtung</t>
  </si>
  <si>
    <t>Fornitura ed esecuzione di strati di base spessore finito: 20 cm</t>
  </si>
  <si>
    <t>Lieferung von Fremdmaterial und Ausführung von Tragschichten Schichtstärke im eingebauten Zustand: 20 cm</t>
  </si>
  <si>
    <t>51.01.01.02</t>
  </si>
  <si>
    <t>51.01.01.03</t>
  </si>
  <si>
    <t>51.01.01.04</t>
  </si>
  <si>
    <t>Operaio Comune - Arbeiter</t>
  </si>
  <si>
    <t>Compressore mobile oltre 3,00 - 6,00 m3/min-Fahrbarer Kompressor über 3,00 - 6,00 m3/min</t>
  </si>
  <si>
    <t>Blocchi di ancoraggio in conglomerato cementizio per tubi fino a DN mm 250 (ca. 0,30 m3)</t>
  </si>
  <si>
    <t>Errichten von Verankerungsblöcken aus Beton für Rohre bis DN mm 250 (ca. 0,30 m3)</t>
  </si>
  <si>
    <t>Tubo di PVC per fognatura</t>
  </si>
  <si>
    <t>PVC-Rohre für Kanalisation</t>
  </si>
  <si>
    <t>Ø200</t>
  </si>
  <si>
    <t>Ø250</t>
  </si>
  <si>
    <t>Ø315</t>
  </si>
  <si>
    <t>Tubi di PE (a.d.) per protezione cavi</t>
  </si>
  <si>
    <t>Polyäthylenrohre (PE-HD) als Kabelschutzrohre</t>
  </si>
  <si>
    <t>Ø63</t>
  </si>
  <si>
    <t>DN 50 - con flange UNI/DIN - mit Flanschen UNI/DIN</t>
  </si>
  <si>
    <t>02.12.01.11.c</t>
  </si>
  <si>
    <t>77.90.05.05.a</t>
  </si>
  <si>
    <t>78.01.01.01.b</t>
  </si>
  <si>
    <t>78.01.01.01.c</t>
  </si>
  <si>
    <t>78.01.02.01.b</t>
  </si>
  <si>
    <t>78.01.02.01.c</t>
  </si>
  <si>
    <t>SPESE AL</t>
  </si>
  <si>
    <t>CASSA PREVIDENZA 4%</t>
  </si>
  <si>
    <r>
      <t xml:space="preserve">SPESE TECNICHE
</t>
    </r>
    <r>
      <rPr>
        <sz val="10"/>
        <rFont val="Ecofont Vera Sans"/>
        <family val="2"/>
      </rPr>
      <t>(su Lav+Sic+FornDirAmmASM+Imprev = 1.663.357,61 €)</t>
    </r>
  </si>
  <si>
    <t>Ø110 PN10</t>
  </si>
  <si>
    <t>Ø125 PN10</t>
  </si>
  <si>
    <t>Ø32 PN16</t>
  </si>
  <si>
    <t>Ø40 PN16</t>
  </si>
  <si>
    <t>Ø50 PN16</t>
  </si>
  <si>
    <t>Ø63 PN16</t>
  </si>
  <si>
    <t>Ø75 PN16</t>
  </si>
  <si>
    <t>Ø90 PN16</t>
  </si>
  <si>
    <t>Ø110 PN16</t>
  </si>
  <si>
    <t>Ø125 PN16</t>
  </si>
  <si>
    <t>Nastro segnatubo con conduttore/i inox</t>
  </si>
  <si>
    <t>Leitungskennstreifen mit Inoxkabel</t>
  </si>
  <si>
    <t>Ø90</t>
  </si>
  <si>
    <t>Ø125</t>
  </si>
  <si>
    <t>Ø160</t>
  </si>
  <si>
    <t>Ø80</t>
  </si>
  <si>
    <t>Ø100</t>
  </si>
  <si>
    <t>Collegamento a condotte esistenti</t>
  </si>
  <si>
    <t>Verbindung mit bestehenden Leitungen</t>
  </si>
  <si>
    <t>Formazione di attacco per idrante antincendio</t>
  </si>
  <si>
    <t>Anschlüsse für Feuerlöschhydrantenausbilden</t>
  </si>
  <si>
    <t>Derivazione di linea principale</t>
  </si>
  <si>
    <t>Abzweigung entlang Leitungen</t>
  </si>
  <si>
    <t>Ø110 x Ø110</t>
  </si>
  <si>
    <t>Formazione completa allacciamento utenze Ø(80-100-125)x(1"-1"1/4)</t>
  </si>
  <si>
    <t>Hausanschlüsse fachgerecht ausbilden  Ø(80-100-125)x(1"-1"1/4)</t>
  </si>
  <si>
    <t>Singolo</t>
  </si>
  <si>
    <t>Doppio</t>
  </si>
  <si>
    <t>Triplo</t>
  </si>
  <si>
    <t>Spostamento di derivazione per utenze Ø(1"-1"1/4)</t>
  </si>
  <si>
    <t>02.04.03.03.c</t>
  </si>
  <si>
    <t>02.04.03.10.b</t>
  </si>
  <si>
    <t>15.10.01.01</t>
  </si>
  <si>
    <t>15.10.01.02.b</t>
  </si>
  <si>
    <t>80.25.35.02.a</t>
  </si>
  <si>
    <t>85.05.10.16.a</t>
  </si>
  <si>
    <t>97.01.01.01*</t>
  </si>
  <si>
    <t>97.01.01.02*</t>
  </si>
  <si>
    <t>97.01.01.03*</t>
  </si>
  <si>
    <t>97.01.01.04*</t>
  </si>
  <si>
    <t>97.01.01.05*</t>
  </si>
  <si>
    <t>97.01.01.06*</t>
  </si>
  <si>
    <t>97.01.01.07*</t>
  </si>
  <si>
    <t>97.01.01.08*</t>
  </si>
  <si>
    <t>02.16.07.01.b</t>
  </si>
  <si>
    <t>97.01.02.01*</t>
  </si>
  <si>
    <t>[€]</t>
  </si>
  <si>
    <t>WASSERLEITUNGZUBEHÖR - ACCESSORI PER ACQUEDOTTO</t>
  </si>
  <si>
    <t>Randstein, Rechtecquerschnitt, gerade 10-15/25 cm aus Porphyr, gesägt</t>
  </si>
  <si>
    <t>Ø200x90 - Ø200x110 - Ø160xØ90 - Ø160xØ110</t>
  </si>
  <si>
    <t>Cod. von 52.00.00.00 bis 96.01.01.01: Richtpreisverzeichnis Tiefbauarbeiten der Autonome Provinz Bozen - 2013
Cod. da 52.00.00.00 a 96.01.01.01: Elenco prezzi informativi della Provincia Autonoma di Bolzano Opere civili non edili - 2013</t>
  </si>
  <si>
    <t>Cod. von 02.XX.XX.XX und  15.XX.XX.XX: Richtpreisverzeichnis Hochbauarbeiten der Autonome Provinz Bozen - 2013
Cod. von 02.XX.XX.XX und  15.XX.XX.XX: Elenco prezzi informativi della Provincia Autonoma di Bolzano Opere civili edili - 2013</t>
  </si>
  <si>
    <t>PRE-AUSFÜHRUNGSPROJEKT - 2013 - PRE-PROGETTO ESECUTIVO</t>
  </si>
  <si>
    <t>51.02.02.02.E</t>
  </si>
  <si>
    <t>Escavatore congolato 102-152 kW - Hydraulik-Bagger mit Raupen von 102-152 kW</t>
  </si>
  <si>
    <t>Escavatore gommato fino a 36 kW (48 HP) - Hydraulik-Bagger mit Gummibereift bis 36 kW (48 HP)</t>
  </si>
  <si>
    <t>51.02.02.10.A</t>
  </si>
  <si>
    <t xml:space="preserve">Pala caricatrice fino a 30kW-Schaufellader mit Raupen oder gummibereift, Motorleistung: bis 30 kW </t>
  </si>
  <si>
    <t>Piastra vibrante con motore a scoppio forza centrifuga 15-20 kN - Rütteplatte mit Verbrennungsmotor 15-20 kN</t>
  </si>
  <si>
    <t>51.02.02.10.C</t>
  </si>
  <si>
    <t>51.02.03.06.C</t>
  </si>
  <si>
    <t>51.02.03.10.B</t>
  </si>
  <si>
    <t>Rullo statico semovente medio peso oltre 8,0-12,0 t - Selbstfahrende, statische Walze, mittel Gewicht 8-12 t</t>
  </si>
  <si>
    <t>51.02.03.12.D</t>
  </si>
  <si>
    <t>Rullo vibrante semovente a tandem, con cabina, peso oltre 6,0-9,0 t - SelbstfahrendeRüttelwalze, Tandemwalze Gewicht 6-9 t</t>
  </si>
  <si>
    <t>51.02.01.14.A</t>
  </si>
  <si>
    <t>51.02.01.14.C</t>
  </si>
  <si>
    <t>51.02.01.14.D</t>
  </si>
  <si>
    <t>51.02.01.14.G</t>
  </si>
  <si>
    <t>51.02.01.50.B</t>
  </si>
  <si>
    <t>51.02.02.01.C</t>
  </si>
  <si>
    <t>51.02.02.01.A</t>
  </si>
  <si>
    <t>51.02.02.01.D</t>
  </si>
  <si>
    <t>51.02.04.01.A</t>
  </si>
  <si>
    <t>51.02.04.01.C</t>
  </si>
  <si>
    <t>Pompa di prosciugamento autoadescante, trasportabile per acqua/sabbia 5,0-7,0 kW (da 1500 a 2000 l/min)</t>
  </si>
  <si>
    <t>51.02.05.01.B</t>
  </si>
  <si>
    <t>51.02.05.01.C</t>
  </si>
  <si>
    <t>51.02.05.10.A</t>
  </si>
  <si>
    <t>51.02.05.10.B</t>
  </si>
  <si>
    <t>51.02.05.11.C</t>
  </si>
  <si>
    <t>51.02.06.01.B</t>
  </si>
  <si>
    <t>51.02.06.02.B</t>
  </si>
  <si>
    <t>Autobetoniera (mescolatore a tamburo) 4,00-6,00 m3</t>
  </si>
  <si>
    <t>Betoniera ad azionamento elettrico (escluso l'operatore) oltre 200-300 l</t>
  </si>
  <si>
    <t>51.02.15.01.B</t>
  </si>
  <si>
    <t>51.02.15.05.B</t>
  </si>
  <si>
    <t>51.02.17.05.G</t>
  </si>
  <si>
    <t>51.02.50.12.A</t>
  </si>
  <si>
    <t>51.02.50.15.A</t>
  </si>
  <si>
    <t>Attrezzatura speciale per saldatura in cantiere, per saldatura autogena</t>
  </si>
  <si>
    <t>51.02.50.15.B</t>
  </si>
  <si>
    <t>51.04.01.01.A</t>
  </si>
  <si>
    <t>51.04.01.15.C</t>
  </si>
  <si>
    <t>51.04.01.42.C</t>
  </si>
  <si>
    <t>Pietrischetto frantumato cat I (CNR) pezzatura 11-15 mm</t>
  </si>
  <si>
    <t>51.04.02.11.A</t>
  </si>
  <si>
    <t>51.04.02.14.A</t>
  </si>
  <si>
    <t>51.04.13.16.A</t>
  </si>
  <si>
    <t>51.04.20.06.B</t>
  </si>
  <si>
    <t>51.04.24.15.B</t>
  </si>
  <si>
    <t>51.04.24.20.A</t>
  </si>
  <si>
    <t>51.04.24.20.B</t>
  </si>
  <si>
    <t>Tavole grezze di abete per armatura spessore &gt;25 mm</t>
  </si>
  <si>
    <t>Elicottero carico utile 800 kg - Hubschrauber Nutzlast 800 kg</t>
  </si>
  <si>
    <t>Malta di cemento R32.5 dosaggio 300 kg/m3</t>
  </si>
  <si>
    <t>Calcestruzzo monogranulare filtrante R32.5 dosaggio 150 kg/m3</t>
  </si>
  <si>
    <t>Volume conglomerato cementizio * 60 kg/m3 con arrotondamento</t>
  </si>
  <si>
    <t>Mauerwerk aus Naturstein, Porphyr, in Zementmörtel zu 300 kg verlegt, Sichtfläche unregelmässigen Schichten</t>
  </si>
  <si>
    <t>Muratura in pietrame da cava, porfido, in malta cementizia 300 kg, paramento a  corsi irregolari</t>
  </si>
  <si>
    <t>Mauerwerk aus Naturstein, Granit, in Zementmörtel zu 300 kg verlegt, Sichtfläche unregelmässigen Schichten</t>
  </si>
  <si>
    <t>Muratura in pietrame da cava, granito, in malta cementizia 300 kg, paramento a  corsi irregolari</t>
  </si>
  <si>
    <t>Kleinbauwerke aus Naturstein und Mörtel, mit Porphyrsteinen, in Zementmörtel zu 300 kg verlegt, Sichtfläche inkl. Lieferung</t>
  </si>
  <si>
    <t>Piccoli manufatti in pietrame e malta cementizia a 350 kg di cemento R32.5, paramento in mosaico oppure a corsi irregolari, compresa fugatura (500 kg/m3 R42.5) con porfido, da cava</t>
  </si>
  <si>
    <t>Kleinbauwerke aus Naturstein und Mörtel, mit Granitsteinen, in Zementmörtel zu 300 kg verlegt, Sichtfläche inkl. Lieferung</t>
  </si>
  <si>
    <t>Piccoli manufatti in pietrame e malta cementizia a 350 kg di cemento R32.5, paramento in mosaico oppure a corsi irregolari, compresa fugatura (500 kg/m3 R42.5) con granito, da cava</t>
  </si>
  <si>
    <t>Sraßeneinlauf Typ Rekord, ebener Einlauf Gewicht 95/105 kg</t>
  </si>
  <si>
    <t>Caditoia tipo Rekord piana 95/105 kg</t>
  </si>
  <si>
    <t>51.04.45.07.A</t>
  </si>
  <si>
    <t>51.04.45.07.B</t>
  </si>
  <si>
    <t>51.04.45.07.C</t>
  </si>
  <si>
    <t>51.04.45.07.D</t>
  </si>
  <si>
    <t>51.04.45.07.E</t>
  </si>
  <si>
    <t>Fornitura di tubi per acquedotto, ghisa, classe ISO K10, rivestimento normale, giunto antisfilamento DN200</t>
  </si>
  <si>
    <t>51.04.50.25.B</t>
  </si>
  <si>
    <t>51.04.50.25.D</t>
  </si>
  <si>
    <t>51.04.50.25.F</t>
  </si>
  <si>
    <t>Pozzetti rettangolari con giunti a incastro, dimensioni 80x80 cm, con pavimento</t>
  </si>
  <si>
    <t>51.04.50.25.K</t>
  </si>
  <si>
    <t>51.04.51.05.B</t>
  </si>
  <si>
    <t>51.04.51.25.A</t>
  </si>
  <si>
    <t>51.04.68.01.E</t>
  </si>
  <si>
    <t>51.04.71.01.C</t>
  </si>
  <si>
    <t>51.04.71.05.C</t>
  </si>
  <si>
    <t>51.04.71.08.C</t>
  </si>
  <si>
    <t>53.05.01.01.A</t>
  </si>
  <si>
    <t>Flexible Leitung N07V-K, Querschnitt 3x1,5 mm2</t>
  </si>
  <si>
    <t>corda fless. N07V-K, sezione 3X1,5 mm2</t>
  </si>
  <si>
    <t>Flexible Leitung N07V-K, Querschnitt 3x2,5 mm2</t>
  </si>
  <si>
    <t>corda fless. N07V-K, sezione 3X2,5 mm2</t>
  </si>
  <si>
    <t>Kabel FG70R, 4+Tx1,5 mm2</t>
  </si>
  <si>
    <t>cavo FG70R, sezione 4+Tx1.5 mm2</t>
  </si>
  <si>
    <t>Flexible Leitung N07V-K, Querschnitt 4x6 mm2</t>
  </si>
  <si>
    <t>corda fless. N07V-K, sezione 4X6 mm2</t>
  </si>
  <si>
    <t>Flexible Leitung N07V-K, Querschnitt 5X10 mm2</t>
  </si>
  <si>
    <t>corda fless. N07V-K, sezione 5X10 mm2</t>
  </si>
  <si>
    <t>corda rame isolata in PVC, sezione 50 mm2</t>
  </si>
  <si>
    <t>Kabel FG70R 1x95 mm2</t>
  </si>
  <si>
    <t>cavo FG7R, sezione 1x95 mm2</t>
  </si>
  <si>
    <t>Kabel FG70R 1x50 mm2</t>
  </si>
  <si>
    <t>cavo FG7R, sezione 1x50 mm2</t>
  </si>
  <si>
    <t>Kabel FG70R, 4+Tx35 mm2</t>
  </si>
  <si>
    <t>cavo FG70R, sezione 4+Tx35 mm2</t>
  </si>
  <si>
    <t>nn</t>
  </si>
  <si>
    <t>53.05.01.01.B</t>
  </si>
  <si>
    <t>53.10.04.01.A</t>
  </si>
  <si>
    <t>53.10.05.01.A</t>
  </si>
  <si>
    <t>53.10.06.01.A</t>
  </si>
  <si>
    <t>53.10.10.01.A</t>
  </si>
  <si>
    <t>53.10.10.01.B</t>
  </si>
  <si>
    <t>53.10.12.01.A</t>
  </si>
  <si>
    <t>53.11.05.01.A</t>
  </si>
  <si>
    <t>53.11.06.01.A</t>
  </si>
  <si>
    <t>53.11.06.99.A*</t>
  </si>
  <si>
    <t>53.11.06.99.B*</t>
  </si>
  <si>
    <t>53.11.12.01.A</t>
  </si>
  <si>
    <t>54.01.01.07.B</t>
  </si>
  <si>
    <t>54.01.01.15.B*</t>
  </si>
  <si>
    <t>54.01.02.01.A</t>
  </si>
  <si>
    <t>54.01.02.01.B</t>
  </si>
  <si>
    <t>54.01.02.07.B</t>
  </si>
  <si>
    <t>54.01.02.10.A*</t>
  </si>
  <si>
    <t>54.01.02.10.B*</t>
  </si>
  <si>
    <t>54.01.02.20.A*</t>
  </si>
  <si>
    <t>54.01.02.20.B*</t>
  </si>
  <si>
    <t>54.01.03.01.B</t>
  </si>
  <si>
    <t>54.01.90.01.A</t>
  </si>
  <si>
    <t>54.02.03.15.A</t>
  </si>
  <si>
    <t>54.02.05.05.A</t>
  </si>
  <si>
    <t>54.02.10.02.J*</t>
  </si>
  <si>
    <t>54.02.10.02.K</t>
  </si>
  <si>
    <t>54.02.10.02.O</t>
  </si>
  <si>
    <t>54.02.10.02.S</t>
  </si>
  <si>
    <t>54.02.10.02.T*</t>
  </si>
  <si>
    <t>54.02.20.03.A</t>
  </si>
  <si>
    <t>54.02.20.15.A</t>
  </si>
  <si>
    <t>54.10.03.05.A</t>
  </si>
  <si>
    <t>54.10.03.15.C</t>
  </si>
  <si>
    <t>54.16.03.01.A</t>
  </si>
  <si>
    <t>54.16.03.01.B</t>
  </si>
  <si>
    <t>54.16.03.01.D</t>
  </si>
  <si>
    <t>54.16.03.10.B</t>
  </si>
  <si>
    <t>54.16.03.15.A</t>
  </si>
  <si>
    <t>54.20.10.01.C</t>
  </si>
  <si>
    <t>54.30.01.01.A</t>
  </si>
  <si>
    <t>54.30.01.05.A</t>
  </si>
  <si>
    <t>54.30.05.01.A</t>
  </si>
  <si>
    <t>54.30.05.01.B</t>
  </si>
  <si>
    <t>Deponiegebühren für Material der Deponieklasse 1/C</t>
  </si>
  <si>
    <t>Deponiegebühren für Material der Deponieklasse 1/D</t>
  </si>
  <si>
    <t>Deponiegebühren für Bauschutt Kl.2/A: mineralischer Baustellenabfall</t>
  </si>
  <si>
    <t>Deponiegebühren für Bauschutt Kl.2/C: Asphalt</t>
  </si>
  <si>
    <t>Deponiegebühren für Bauschutt Kl.3/B: Bauschutt mit 20% Beimengungen</t>
  </si>
  <si>
    <t>Deponiegebühren für Bauschutt Kl.4/C: bewehrter Beton mit 10% Beimengungen</t>
  </si>
  <si>
    <t>Deponiegebühren für Kunststoff und Holz Kl.5/A: Baustellenabfall wie Kunststoff, Verpackungen</t>
  </si>
  <si>
    <t>Deponiegebühren für Kunststoff und Holz Kl.6/B: unbehandeltes Holz, Balken</t>
  </si>
  <si>
    <t>Deponiegebühren für Kunststoff und Holz Kl.7/B: pflanzl. Reststoffe mit 10% Beimengung</t>
  </si>
  <si>
    <t>Deponiegebühren für Metallbauteilen Kl.8: Eisen- und Metallbauteile</t>
  </si>
  <si>
    <t>55.02.03.01.D</t>
  </si>
  <si>
    <t>55.02.03.03.D</t>
  </si>
  <si>
    <t>55.21.02.01.E</t>
  </si>
  <si>
    <t>55.21.02.01.F</t>
  </si>
  <si>
    <t>55.21.02.01.H</t>
  </si>
  <si>
    <t xml:space="preserve">Diritti discarica materiale categoria 1/C, miscuglio sabbia e ghiaia con presenza limo e argilla, compreso trovanti fino a 0,2 m3, senza asfalto o impurità, materiale in stato secco </t>
  </si>
  <si>
    <t>54.45.01.04</t>
  </si>
  <si>
    <t>54.45.02.01</t>
  </si>
  <si>
    <t xml:space="preserve">Diritti discarica materiale categoria 1/D, miscuglio sabbia e ghiaia, ciottoli e/o pietre, senza limo e argilla, compreso trovanti fino a 0,3 m3, senza asfalto o impurità, materiale in stato secco </t>
  </si>
  <si>
    <t>LAVORI ED ACQUISTI IN DIRETTA AMMINISTRAZIONE</t>
  </si>
  <si>
    <t>LAVORI DA APPALTARE E ACQUISTI/LAVORI IN DIRETTA AMMINISTRAZIONE</t>
  </si>
  <si>
    <t>SD1 + SD2 + SD3</t>
  </si>
  <si>
    <t>IVA 20% su SD2 + SD3</t>
  </si>
  <si>
    <t>LA1</t>
  </si>
  <si>
    <t>IVA 10% su LA1 + SD1</t>
  </si>
  <si>
    <t>TOTALE GENERALE SENZA IVA</t>
  </si>
  <si>
    <t>TOTALE GENERALE IVA COMPRESA</t>
  </si>
  <si>
    <t>VEDI DPP Nr. 11 25.03.2004 mod DPP Nr. 60 25.10.2006 mod DPP Nr. 40 09.07.2007</t>
  </si>
  <si>
    <t>ALLACCIAMENTI MATERIALE</t>
  </si>
  <si>
    <t>ALLACCIAMENTI MANODOPERA</t>
  </si>
  <si>
    <t>IDRANTI MATERIALE</t>
  </si>
  <si>
    <t>€/m</t>
  </si>
  <si>
    <t>97.01.02.08*</t>
  </si>
  <si>
    <t>97.01.02.02.e*</t>
  </si>
  <si>
    <t>97.01.02.08.a*</t>
  </si>
  <si>
    <t>97.01.02.08.b*</t>
  </si>
  <si>
    <t>97.01.02.08.c*</t>
  </si>
  <si>
    <t>97.01.02.09*</t>
  </si>
  <si>
    <t>97.01.02.07.a*</t>
  </si>
  <si>
    <t>97.01.02.09.a*</t>
  </si>
  <si>
    <t>97.01.02.09.b*</t>
  </si>
  <si>
    <t>97.01.02.09.c*</t>
  </si>
  <si>
    <t>97.01.02.10*</t>
  </si>
  <si>
    <t>80.01.20.04.b</t>
  </si>
  <si>
    <t>80.01.20.04.c</t>
  </si>
  <si>
    <t>Flachschieber aus duktilem Gußeisen, PN10/16</t>
  </si>
  <si>
    <t>Saracinesca a corpo piatto in ghisa sferoidale, PN 10/16</t>
  </si>
  <si>
    <t>80.01.01.01.a</t>
  </si>
  <si>
    <t>80.01.01.01.aa*</t>
  </si>
  <si>
    <t>80.01.01.01.b</t>
  </si>
  <si>
    <t>80.01.01.01.c</t>
  </si>
  <si>
    <t>80.01.01.01.d</t>
  </si>
  <si>
    <t>80.01.01.01.e</t>
  </si>
  <si>
    <t>80.01.01.01.f</t>
  </si>
  <si>
    <t>97.01.02.11*</t>
  </si>
  <si>
    <t>97.01.02.11.a*</t>
  </si>
  <si>
    <t>97.01.02.11.b*</t>
  </si>
  <si>
    <t>97.01.02.11.c*</t>
  </si>
  <si>
    <t>97.01.02.11.d*</t>
  </si>
  <si>
    <t>80.01.02.01.a</t>
  </si>
  <si>
    <t>80.01.02.01.b</t>
  </si>
  <si>
    <t>80.01.02.01.c</t>
  </si>
  <si>
    <t>80.01.02.01.d</t>
  </si>
  <si>
    <t>80.01.02.01.e</t>
  </si>
  <si>
    <t>80.01.02.01.f*</t>
  </si>
  <si>
    <t>80.01.02.01.g</t>
  </si>
  <si>
    <t>80.01.02.01.h</t>
  </si>
  <si>
    <t>80.01.02.01.k</t>
  </si>
  <si>
    <t>80.01.02.01.l</t>
  </si>
  <si>
    <t>80.01.02.01.m</t>
  </si>
  <si>
    <t>80.01.02.01.o</t>
  </si>
  <si>
    <t>80.01.02.01.q</t>
  </si>
  <si>
    <t>80.01.02.01.r</t>
  </si>
  <si>
    <t>80.01.02.01.s</t>
  </si>
  <si>
    <t>Fornitura di tubi per acquedotto, ghisa, classe ISO K10, rivestimento normale, giunto antisfilamento DN100</t>
  </si>
  <si>
    <t>Fornitura di tubi per acquedotto, ghisa, classe ISO K10, rivestimento normale, giunto antisfilamento DN80</t>
  </si>
  <si>
    <t>Fornitura di tubi per acquedotto, ghisa, classe ISO K10, rivestimento normale, giunto antisfilamento DN150</t>
  </si>
  <si>
    <t>Pozzetti rettangolari con giunti a incastro, dimensioni 40x40 cm, con pavimento</t>
  </si>
  <si>
    <t>Pozzetti rettangolari con giunti a incastro, dimensioni 60x60 cm, con pavimento</t>
  </si>
  <si>
    <t>Pozzetti rettangolari con giunti a incastro, dimensioni 120x150 cm, con pavimento</t>
  </si>
  <si>
    <t>Griglie e caditoie in acciaio Fe360, produzione artigianale su misura, zincate a bagno 200 g/m2</t>
  </si>
  <si>
    <t>Chiusini stradali UNI EN124/DIN 1229 in ghisa, di produzione industriale, con o senza aperture di areazione, classe A (15 kN)-D(400 kN)</t>
  </si>
  <si>
    <t>Geotessuto a filo continuo per strati filtranti e di separazione R 19,0 kN/m</t>
  </si>
  <si>
    <t>51.04.73.01</t>
  </si>
  <si>
    <t>Benzina, gasolio, gas liquido per autotrazione: sovraprrezzo</t>
  </si>
  <si>
    <t>l-L</t>
  </si>
  <si>
    <t>A MISURA</t>
  </si>
  <si>
    <t>Allacciamenti</t>
  </si>
  <si>
    <t>Schneiden von bituminösen Belägen Belagstärke 10,0-20,0 cm</t>
  </si>
  <si>
    <t>Taglio di pavimentazioni bituminose per spessori di pavimentazione 10,0-20,0 cm</t>
  </si>
  <si>
    <t>Taglio di pavimentazioni bituminose per spessori di pavimentazione fino a 10,0 cm</t>
  </si>
  <si>
    <t>Via Wolf</t>
  </si>
  <si>
    <t>Via Laurin</t>
  </si>
  <si>
    <t>53.09.14.02*</t>
  </si>
  <si>
    <t>Asportazione di tubazioni in acciaio, ghisa, PE e PVC</t>
  </si>
  <si>
    <t>53.10.02.01</t>
  </si>
  <si>
    <t>53.10.15.15</t>
  </si>
  <si>
    <t>Smontaggio idranti esistenti</t>
  </si>
  <si>
    <t>Messa in opera chiusino completo per prese acquedotto</t>
  </si>
  <si>
    <t>Idranti</t>
  </si>
  <si>
    <t>per sezionamento</t>
  </si>
  <si>
    <t>Ausheben von Baugraben oder offenen Geländeanschnitten</t>
  </si>
  <si>
    <t>m3</t>
  </si>
  <si>
    <t>Sovrapprezzo per scavo manuale</t>
  </si>
  <si>
    <t>Aufpreis für ausheben der Rohrgräben von Hand</t>
  </si>
  <si>
    <t>Estrich aus 300 kg Zement R32.5 pro m3 Sand Variable Stärke (Gefälle)</t>
  </si>
  <si>
    <t>75.10.01.35</t>
  </si>
  <si>
    <t>ACQUEDOTTO</t>
  </si>
  <si>
    <t>TELERISC</t>
  </si>
  <si>
    <t>ACQUE BIANCHE</t>
  </si>
  <si>
    <t>MARCIAPIEDI</t>
  </si>
  <si>
    <t>SUP STRADALE</t>
  </si>
  <si>
    <t>cm m2</t>
  </si>
  <si>
    <t>Ø110-125-160</t>
  </si>
  <si>
    <t>Ø160xØ75</t>
  </si>
  <si>
    <t>75.80.05.10</t>
  </si>
  <si>
    <t>m</t>
  </si>
  <si>
    <t>per diramazione a T 3linee</t>
  </si>
  <si>
    <t>per diramazione a T 4 linee</t>
  </si>
  <si>
    <t xml:space="preserve"> Via Laurin - Allacciamenti</t>
  </si>
  <si>
    <t>Via Laurin - Idranti</t>
  </si>
  <si>
    <t>Via Wolf 2° tratto - idranti 2</t>
  </si>
  <si>
    <t>Via Wolf 1° tratto - allacciamenti 6</t>
  </si>
  <si>
    <t>Via Wolf 1° tratto - idranti 1</t>
  </si>
  <si>
    <t>Via Wolf 2° tratto - allacciamenti 17</t>
  </si>
  <si>
    <t>Via Wolf 3° tratto - allacciamenti 9</t>
  </si>
  <si>
    <t>Via Wolf 3° tratto - idranti 2</t>
  </si>
  <si>
    <t>Esecuzione opere in terra e murarie per allacciamenti acquedotto e teleriscaldamento - valutazione al metro lineare</t>
  </si>
  <si>
    <t>XXXXXXX</t>
  </si>
  <si>
    <t>YYYYYYYY</t>
  </si>
  <si>
    <t>Esecuzione opere in terra e murarie per allacciamenti acquedotto - valutazione a numero</t>
  </si>
  <si>
    <t>75.03.02.30</t>
  </si>
  <si>
    <t>75.03.02.31</t>
  </si>
  <si>
    <t>75.03.02.32</t>
  </si>
  <si>
    <t>75.03.02.33</t>
  </si>
  <si>
    <t>75.03.02.34</t>
  </si>
  <si>
    <t>75.03.02.35</t>
  </si>
  <si>
    <t>75.03.02.36</t>
  </si>
  <si>
    <t>Sola posa Curve a bicchieri, (MMK o  FFK) 22,5°, giunto antisfilamento o flangia PN10-16</t>
  </si>
  <si>
    <t>Via Bellini</t>
  </si>
  <si>
    <t>SPESE TECNICHE
(su Lav+Sic+FornDirAmmASM+Imprev = 1.663.357,61 €)</t>
  </si>
  <si>
    <t>da Tabella "Wolf ridotto 2013" - UTILIZZATO PER UNA RIPARTIZIONE DI MASSIMA FRA LE CATEGORIE LAVORATIVE DA UTILIZZARE IN SW CORRISPETTIVI BLUMATICA</t>
  </si>
  <si>
    <t>RIPARTIZIONE PER SW CORRISPETTIVI BLUMATICA</t>
  </si>
  <si>
    <t>controllo</t>
  </si>
  <si>
    <t>Diritti discarica materiale categoria 7/B, residui materiale vegetale vivo con ciottoli e pietre, legno, metallo e materiali sintetici per una % massima del 10%</t>
  </si>
  <si>
    <t>Beton für Bauwerke C 25/30 (Rck 30 N/mm2)</t>
  </si>
  <si>
    <t>Unterbeton, Ausgleichbeton, Füllbeton C12/15 Rck 15 N/mm2</t>
  </si>
  <si>
    <t>Sola posa Tubo di ghisa sferoidale classe K10, riv. norm., giunto antisfilamento (75.03.02.21-51.04.45.07)</t>
  </si>
  <si>
    <t>Duktiles Gußrohr Klasse K10, normale Verkleidung, zugfeste Verbindung - Nur Verlegung von (75.03.02.21-51.04.45.07)</t>
  </si>
  <si>
    <t>Da PSC
BENUSSI</t>
  </si>
  <si>
    <t>85.05.10.24.B</t>
  </si>
  <si>
    <t>-</t>
  </si>
  <si>
    <t>Via Wolf Bellini-S.Francesco</t>
  </si>
  <si>
    <t>Via Wolf San Francesco-Mozart</t>
  </si>
  <si>
    <t>Cordonate aiuole per alberi / rialzi cubettati</t>
  </si>
  <si>
    <t>Via Wolf Bellini-S.Francesco - allacciamenti e idranti</t>
  </si>
  <si>
    <t>Via Wolf San Francesco-Mozart - allacciamenti e idranti</t>
  </si>
  <si>
    <t>Via Bellini - allacciamenti e idranti</t>
  </si>
  <si>
    <t>Scavi vari (collegamenti strade laterali, testate by-pass, caditoie H2O)</t>
  </si>
  <si>
    <t>Via Bellini - allacciamenti 3SX-3DX</t>
  </si>
  <si>
    <t>Via Wolf Bellini-S.Francesco - allacciamenti 10SX-3DX + idranti 2</t>
  </si>
  <si>
    <t>Via Wolf San Francesco-Mozart - allacciamenti 5SX-4DX + idranti 4</t>
  </si>
  <si>
    <t>Via Wolf (dosso scuole)</t>
  </si>
  <si>
    <t>Sovralzi incrocio Wolf - S.Francesco Est (rampa)</t>
  </si>
  <si>
    <t>Sovralzi incrocio Wolf - S.Francesco Ovest (rampa)</t>
  </si>
  <si>
    <t>Varie eminori</t>
  </si>
  <si>
    <t>AUSFÜHRUNGSPROJEKT - 24/04/2015 - PROGETTO ESECUTIVO</t>
  </si>
  <si>
    <t>Entfernung von Rohren (Stahl, Guss, PE und PVC)</t>
  </si>
  <si>
    <t>Schutz der Strommasten</t>
  </si>
  <si>
    <t>Schutz der Bäumen</t>
  </si>
  <si>
    <t>E.02.01.25.d)#
(HB 15.05.03.04.d)</t>
  </si>
  <si>
    <t>E.02.05.10.f)#
(HB 15.05.01.f)</t>
  </si>
  <si>
    <t>E.03.01.10.c)#
(HB 15.04.03.d)</t>
  </si>
  <si>
    <t>E.03.40.01.d)*
(HB 02.16.07.05.c)</t>
  </si>
  <si>
    <t>E.03.40.02.d)*
(HB 02.16.08.01.d)</t>
  </si>
  <si>
    <t>E.15.01.20.c)*
(AP05)</t>
  </si>
  <si>
    <t>E.15.01.30.b)#
(HB 15.14.01.02.b)</t>
  </si>
  <si>
    <t>E.36.10.20.h)#
(HB 01.01.02.03)</t>
  </si>
  <si>
    <t>E.36.50.01.a)#
(HB 01.01.02.02)</t>
  </si>
  <si>
    <t>E.40.01.01.b)#
(HB 01.01.02.02)</t>
  </si>
  <si>
    <t>E.40.01.01.c)#
(HB 01.01.02.03)</t>
  </si>
  <si>
    <t>Kabel und Leitungen</t>
  </si>
  <si>
    <t>NS/Kabel für Energieverteilung</t>
  </si>
  <si>
    <t>Kupferkabel, Typ FG7 OR, 4-polig</t>
  </si>
  <si>
    <t>Kabel, Typ FG7 OR, Querschnitt 4x6 mm².</t>
  </si>
  <si>
    <t>Kupferkabel, Typ H07V-K oder N07V-K, Farbe grün gelb</t>
  </si>
  <si>
    <t>Kabel, Typ N07V-K, Querschnitt 1x16 mm², Farbe grün gelb.</t>
  </si>
  <si>
    <t>Verbindungsmuffen für Kabel</t>
  </si>
  <si>
    <t>Gießharzmuffen zum Verbinden von Einzelleitern und Kabeln</t>
  </si>
  <si>
    <t>Muffe für Kabel von 5x1,5 bis 6 mm².</t>
  </si>
  <si>
    <t>Abzweig-Gießharzmuffe für Einzelleiter und Kabel</t>
  </si>
  <si>
    <t>Abzweigmuffe von 4/5x10-25 mm².</t>
  </si>
  <si>
    <t>Verlegesysteme</t>
  </si>
  <si>
    <t>Rohre</t>
  </si>
  <si>
    <t>Kabelschutzrohr aus PE-HD</t>
  </si>
  <si>
    <t>Kabelschutzrohr aus PE-HD, Durchmesser DN 75/62 mm.</t>
  </si>
  <si>
    <t>Schächte und Abdeckungen</t>
  </si>
  <si>
    <t>Vorgefertigte Schächte aus bewehrtem Beton</t>
  </si>
  <si>
    <t>Schacht aus bewehrtem Beton, Abmessungen 60x60x60(H)x5 cm.</t>
  </si>
  <si>
    <t>Schachtabdeckung aus Gusseisen</t>
  </si>
  <si>
    <t>Schachtabdeckung aus Gusseisen, Abmessungen 600x600 mm, 110-120 kg.</t>
  </si>
  <si>
    <t>Fundamente</t>
  </si>
  <si>
    <t>Vorgefertigte Mastfundamente in bewehrtem Beton für Beleuchtung</t>
  </si>
  <si>
    <t>Fundament für Mastleuchten, Außenmaße ca. 850x600x600 mm</t>
  </si>
  <si>
    <t>Grabungsarbeiten</t>
  </si>
  <si>
    <t>Vermessung von neuen Infrastrukturen.</t>
  </si>
  <si>
    <t>Georeferenzierte Vermessung der Trasse.</t>
  </si>
  <si>
    <t>Georeferenzierte Vermessung eines Lichtpunktes.</t>
  </si>
  <si>
    <t>Aussenbeleuchtung</t>
  </si>
  <si>
    <t>Freiflächenleuchten</t>
  </si>
  <si>
    <t>Mastleuchten mit vor- und rückseitigem Lichtaustritt</t>
  </si>
  <si>
    <t>Mastleuchte LED (2+1), Gesamtleistung 32,4 W, 3.000 K, H5,00 m.</t>
  </si>
  <si>
    <t>Erdungsanlagen</t>
  </si>
  <si>
    <t>Fundamenterder und Zubehör</t>
  </si>
  <si>
    <t>Seil blank aus elektrolytischem Kupfer</t>
  </si>
  <si>
    <t>Seil blank, 35 mm² (7x2,52 mm²).</t>
  </si>
  <si>
    <t>Profilstaberder aus feuerverzinktem Stahl</t>
  </si>
  <si>
    <t>Profilstaberder, Länge 1500 mm.</t>
  </si>
  <si>
    <t>Einpressverbindungen</t>
  </si>
  <si>
    <t>Einpressverbindungen für blanke Kupferseile</t>
  </si>
  <si>
    <t>Abzweigung von 35 mm² auf 6-16 mm².</t>
  </si>
  <si>
    <t>Abzweigung von 35 mm² auf 35 mm².</t>
  </si>
  <si>
    <t>Überprüfungen und Abnahmen</t>
  </si>
  <si>
    <t>Überprüfung und Messung der Erdungsanlage</t>
  </si>
  <si>
    <t>Messung, Überprüfung und Abnahme der Erdungsanlage.</t>
  </si>
  <si>
    <t>Anschluss und Montage von elektrischen Geräten und Entsorgung</t>
  </si>
  <si>
    <t>Montage und Anschluss von Fremdgeräten</t>
  </si>
  <si>
    <t>Abmontage von elektrischen Bauteilen</t>
  </si>
  <si>
    <t>Abmontage von Mastleuchten (3. Kategorie).</t>
  </si>
  <si>
    <t>Anschluss von elektrischen Anlagen und Bauwerken</t>
  </si>
  <si>
    <t>Anschlüsse für technologische Einrichtungen als Bauprovisorien.</t>
  </si>
  <si>
    <t>Anschluss von Teilbereichen der öffentlichen Beleuchtung.</t>
  </si>
  <si>
    <t>Regiearbeiten</t>
  </si>
  <si>
    <t>Stundenlöhne</t>
  </si>
  <si>
    <t>Stundenlöhne für Elektriker (categoria metallmeccanica)</t>
  </si>
  <si>
    <t>Qualifizierter Elektriker, 4. Kategorie.</t>
  </si>
  <si>
    <t>Hilfsarbeiter, 3. Kategorie.</t>
  </si>
  <si>
    <t>Baudokumente</t>
  </si>
  <si>
    <t>Konformitätsbescheinigungen und Wartungsdokumentationen</t>
  </si>
  <si>
    <t>Konformitätsbescheinigung</t>
  </si>
  <si>
    <t>Cavi e corde</t>
  </si>
  <si>
    <t>Cavi BT per distribuzione energia</t>
  </si>
  <si>
    <t>Cavo in corda di rame, tipo FG7 OR, quadripolare.</t>
  </si>
  <si>
    <t>Cavo, tipo FG7 OR, sezione 4x6 mm².</t>
  </si>
  <si>
    <t>Cavo in corda di rame, tipo H07V-K o N07 V-K, giallo verde</t>
  </si>
  <si>
    <t>Cavo, tipo N07 V-K, sezione 1x16 mm², giallo verde.</t>
  </si>
  <si>
    <t>Giunti per cavi</t>
  </si>
  <si>
    <t>Giunti a resina colata per giunzioni di cavi uni- e multipolari</t>
  </si>
  <si>
    <t>Giunto per cavo da 5x1,5 a 6 mm².</t>
  </si>
  <si>
    <t>Giunto di derivazione a resina colata per cavi unipolare e multipolari</t>
  </si>
  <si>
    <t>Giunto di derivazione da 4/5x10-25 mm².</t>
  </si>
  <si>
    <t>Sistemi di distribuzione</t>
  </si>
  <si>
    <t>Tubi</t>
  </si>
  <si>
    <t>Tubazione passacavo in PE-HD</t>
  </si>
  <si>
    <t>Tubazione passacavo in PE-HD, diametro DN 75/62 mm.</t>
  </si>
  <si>
    <t>Pozzetti e chiusini</t>
  </si>
  <si>
    <t>Pozzetto prefabbricato in calcestruzzo armato</t>
  </si>
  <si>
    <t>Pozzetto in calcestruzzo armato, dimensioni 60x60x60(H)x5 cm.</t>
  </si>
  <si>
    <t>Chiusino d'ispezione con telaio in ghisa.</t>
  </si>
  <si>
    <t>Chiusino d'ispezione in ghisa, dimensioni 600x600 mm, 110-120 kg.</t>
  </si>
  <si>
    <t>Plinti di fondazione</t>
  </si>
  <si>
    <t>Plinti prefabbricati in calcestruzzo armato per palo illuminazione</t>
  </si>
  <si>
    <t>Plinto per palo, dimensioni 850x600x600 mm, H fino a 6,50 m.</t>
  </si>
  <si>
    <t>Scavi a sezione obbligata</t>
  </si>
  <si>
    <t>Rilievo di infrastrutture nuove</t>
  </si>
  <si>
    <t>Rilievo georeferenziato della tratta.</t>
  </si>
  <si>
    <t>Rilievo georeferenziato di un punto luce.</t>
  </si>
  <si>
    <t>Corpi illuminanti per esterni</t>
  </si>
  <si>
    <t>Armature per aree esterne</t>
  </si>
  <si>
    <t>Apparecchi su palo con emissione luce anteriore e posteriore</t>
  </si>
  <si>
    <t>Apparecchio LED su palo (2+1), potenza totale 32,4 W, 3.000 K, H5,00 m.</t>
  </si>
  <si>
    <t>Impianti di messa a terra</t>
  </si>
  <si>
    <t>Dispersori di terra ed accessori</t>
  </si>
  <si>
    <t>Corda di rame nuda elettrolitica</t>
  </si>
  <si>
    <t>Corda di rame nuda, 35 mm² (7x2,52 mm²).</t>
  </si>
  <si>
    <t>Dispersore in profilato d'acciaio</t>
  </si>
  <si>
    <t>Dispersore in profilato d'acciaio, lunghezza mm 1500.</t>
  </si>
  <si>
    <t>Derivazioni a pressione</t>
  </si>
  <si>
    <t>Derivazioni a pressione da conduttori di terra in rame nudi</t>
  </si>
  <si>
    <t>Derivazione da 35 mm² a 6-16 mm².</t>
  </si>
  <si>
    <t>Derivazione da 35 mm² a 35 mm².</t>
  </si>
  <si>
    <t>Verifiche e collaudi</t>
  </si>
  <si>
    <t>Verifica e misurazione dell'impianto di messa a terra</t>
  </si>
  <si>
    <t>Misurazione, verifica e collaudo dell'impianto di terra.</t>
  </si>
  <si>
    <t>Allacciamento e montaggio di apparecchiature elettriche e smaltimento</t>
  </si>
  <si>
    <t>Montaggio ed allacciamento di apparecchi di terzi</t>
  </si>
  <si>
    <t>Smontaggio di apparecchiature elettriche</t>
  </si>
  <si>
    <t>Smontaggio di apparecchi su palo.</t>
  </si>
  <si>
    <t>Allacciamento di impianti ed utenze elettriche</t>
  </si>
  <si>
    <t>Punto di allaccio utenze tecnologiche provvisorie di cantiere.</t>
  </si>
  <si>
    <t>Allacciamento di parti dell'illuminazione pubblica.</t>
  </si>
  <si>
    <t>Lavori in economia</t>
  </si>
  <si>
    <t>Costi orari manodopera</t>
  </si>
  <si>
    <t xml:space="preserve">Operaio elettricista qualificato, 4. categoria. </t>
  </si>
  <si>
    <t xml:space="preserve">Operaio elettricista comune, 3. categoria. </t>
  </si>
  <si>
    <t>Documentazione di progetto</t>
  </si>
  <si>
    <t>Dichiarazione di conformità e documentazione di manutenzione</t>
  </si>
  <si>
    <t>Dichiarazione di conformità.</t>
  </si>
  <si>
    <t>psch</t>
  </si>
  <si>
    <t>Elektroanlagen  (siehe Projekt von Lutz - Anlage 2.11)</t>
  </si>
  <si>
    <t>Impianti elettrici (vedi progetto von Lutz in allegato 2.11)</t>
  </si>
  <si>
    <t/>
  </si>
  <si>
    <t>99.01.03.06</t>
  </si>
  <si>
    <t>99.01.03.07</t>
  </si>
  <si>
    <t>99.01.04.01</t>
  </si>
  <si>
    <t>99.01.04.02</t>
  </si>
  <si>
    <t>99.01.04.03</t>
  </si>
  <si>
    <t>99.01.04.04</t>
  </si>
  <si>
    <t>99.01.04.05</t>
  </si>
  <si>
    <t>99.01.04.06</t>
  </si>
  <si>
    <t>99.01.10.39</t>
  </si>
  <si>
    <t>TELERISCALDAMENTO
FERNWÄRME</t>
  </si>
  <si>
    <t>Tubi preisolatii
Kunststoffmantelrohre</t>
  </si>
  <si>
    <t>Fornitura e installazione di valvole a sfera monouso con terminali a saldare compresa isolazione e collegamento fili allarme in Cu.
Lieferung und Montage von Bedarfslkugelhähnen schweissbar, Isolierung und Verbindung der Cu Kabeln inbegriffen.</t>
  </si>
  <si>
    <t>Fornitura e posa di tubi preisolati DN 25/110</t>
  </si>
  <si>
    <t>Lieferung und Einbau von Kunststoffmantelrohr DN 25/110</t>
  </si>
  <si>
    <t>Lieferung und Einbau von Kunststoffmantelrohr DN 32/125</t>
  </si>
  <si>
    <t>Fornitura e posa di tubi preisolati DN 32/125</t>
  </si>
  <si>
    <t>Lieferung und Einbau von Kunststoffmantelrohr DN 40/125</t>
  </si>
  <si>
    <t>Fornitura e posa di tubi preisolati DN 40/125</t>
  </si>
  <si>
    <t>Lieferung und Einbau von Kunststoffmantelrohr DN 50/140</t>
  </si>
  <si>
    <t>Fornitura e posa di tubi preisolati DN 50/140</t>
  </si>
  <si>
    <t>Lieferung und Einbau von Kunststoffmantelrohr DN 65/160</t>
  </si>
  <si>
    <t>Fornitura e posa di tubi preisolati DN 65/160</t>
  </si>
  <si>
    <t>Fornitura e posa di tubi preisolati DN 80/180</t>
  </si>
  <si>
    <t>Lieferung und Einbau von Kunststoffmantelrohr DN 100/225</t>
  </si>
  <si>
    <t>Fornitura e posa di tubi preisolati DN 100/225</t>
  </si>
  <si>
    <t>Lieferung und Einbau von Kunststoffmantelrohre DN 125/250</t>
  </si>
  <si>
    <t>Fornitura e posa di tubi preisolati DN 125/250</t>
  </si>
  <si>
    <t>Lieferung und Einbau von Kunststoffmantelrohre DN 150/280</t>
  </si>
  <si>
    <t>Fornitura e posa di tubi preisolati DN 150/280</t>
  </si>
  <si>
    <t>Lieferung und Einbau von Kunststoffmantelrohre DN 200/355</t>
  </si>
  <si>
    <t>Fornitura e posa di tubi preisolati DN 200/355</t>
  </si>
  <si>
    <t>Lieferung und Einbau von Kunststoffmantelrohr DN 80/180</t>
  </si>
  <si>
    <t>Lieferung und Montage von vorisolierten Unterflurkugelhähnen.</t>
  </si>
  <si>
    <t>Fornitura e installazione di valvola a sfera preisolata da interrare</t>
  </si>
  <si>
    <t>Lieferung und Einbau von vorisoliertem Kugelhahn DN 80/180</t>
  </si>
  <si>
    <t>Fornitura e posa di valvola preisolata DN 80/180</t>
  </si>
  <si>
    <t>Lieferung und Einbau von vorisoliertem Kugelhahn DN 100/225</t>
  </si>
  <si>
    <t>Fornitura e posa di valvola preisolata DN 100/225</t>
  </si>
  <si>
    <t>Lieferung und Einbau von vorisoliertem Kugelhahn DN 125/250</t>
  </si>
  <si>
    <t>Fornitura e posa di valvola preisolata DN 125/250</t>
  </si>
  <si>
    <t>Lieferung und Einbau von vorisoliertem Kugelhahn DN 150/280</t>
  </si>
  <si>
    <t>Fornitura e posa di valvola preisolata DN 150/280</t>
  </si>
  <si>
    <t>Lieferung und Einbau von vorisoliertem Kugelhahn DN 200/355</t>
  </si>
  <si>
    <t>Fornitura e posa di valvola preisolata DN 200/355</t>
  </si>
  <si>
    <t>Lieferung und Einbau von Bedarfskugelhahn DN 25</t>
  </si>
  <si>
    <t>Fornitura e posa di valvola monouso DN 25</t>
  </si>
  <si>
    <t>Lieferung und Einbau von Bedarfskugelhahn DN 32</t>
  </si>
  <si>
    <t>Fornitura e posa di valvola monouso DN 32</t>
  </si>
  <si>
    <t>Lieferung und Einbau von Bedarfskugelhahn DN 40</t>
  </si>
  <si>
    <t>Fornitura e posa di valvola monouso DN 40</t>
  </si>
  <si>
    <t>Lieferung und Einbau von Bedarfskugelhahn DN 50</t>
  </si>
  <si>
    <t>Fornitura e posa di valvola monouso DN 50</t>
  </si>
  <si>
    <t>Lieferung und Einbau von Bedarfskugelhahn DN 65</t>
  </si>
  <si>
    <t>Fornitura e posa di valvola monouso DN 65</t>
  </si>
  <si>
    <t>Lieferung und Einbau von Bedarfskugelhahn DN 80</t>
  </si>
  <si>
    <t>Fornitura e posa di valvola monouso DN 80</t>
  </si>
  <si>
    <t>Lieferung und Einbau von Bedarfskugelhahn DN 100</t>
  </si>
  <si>
    <t>Fornitura e posa di valvola monouso DN 100</t>
  </si>
  <si>
    <t>Lieferung und Montage von Kugelhähnen für Hausanschlüsse mit vollgeschweißtem Gehäuse mit Anschweißenden.</t>
  </si>
  <si>
    <t>Fornitura e installazione di valvole a sfera per allacciamenti con terminali a saldare.</t>
  </si>
  <si>
    <t>Lieferung und Einbau von Kugelhahn für Hausanschluss DN 25</t>
  </si>
  <si>
    <t>Fornitura e installazione di valvole a sfera per allacciamenti DN 25</t>
  </si>
  <si>
    <t>Lieferung und Einbau von  Kugelhahn für Hausanschluss DN 32</t>
  </si>
  <si>
    <t>Fornitura e installazione di valvole a sfera per allacciamenti DN 32</t>
  </si>
  <si>
    <t>Lieferung und Einbau von Kugelhahn für Hausanschluss DN 40</t>
  </si>
  <si>
    <t>Fornitura e installazione di valvole a sfera per allacciamenti DN 40</t>
  </si>
  <si>
    <t>Lieferung und Einbau von Kugelhahn für Hausanschluss DN 50</t>
  </si>
  <si>
    <t>Fornitura e installazione di valvole a sfera per allacciamenti DN 50</t>
  </si>
  <si>
    <t>Lieferung und Einbau von  Kugelhahn für Hausanschluss DN 65</t>
  </si>
  <si>
    <t>Fornitura e installazione di valvole a sfera per allacciamenti DN 65</t>
  </si>
  <si>
    <t>Lieferung und Einbau von  Kugelhahn für Hausanschluss DN 80</t>
  </si>
  <si>
    <t>Fornitura e installazione di valvole a sfera per allacciamenti DN 80</t>
  </si>
  <si>
    <t>Liefern und Montieren der doppeltdichtenden Endmuffen für Einzelrohre.</t>
  </si>
  <si>
    <t>Fornitura e installazione di manicotti terminali a doppio isolamento per tubi singoli</t>
  </si>
  <si>
    <t>Lieferung und Einbau von vorisolierter Endmuffe DN 32/125</t>
  </si>
  <si>
    <t>Fornitura e posa di terminale preisolato DN 32/125</t>
  </si>
  <si>
    <t>Lieferung und Einbau von vorisolierter Endmuffe DN 40/125</t>
  </si>
  <si>
    <t>Fornitura e posa di terminale  preisolatoDN 40/125</t>
  </si>
  <si>
    <t>Lieferung und Einbau von vorisolierter Endmuffe DN 50/140</t>
  </si>
  <si>
    <t>Fornitura e posa di terminale preisolato DN 50/140</t>
  </si>
  <si>
    <t>Lieferung und Einbau von vorisolierter Endmuffe DN 65/160</t>
  </si>
  <si>
    <t>Fornitura e posa di terminale preisolato DN 65/160</t>
  </si>
  <si>
    <t>Lieferung und Einbau von vorisolierter Endmuffe DN 80/180</t>
  </si>
  <si>
    <t>Fornitura e posa di terminale preisolato DN 80/180</t>
  </si>
  <si>
    <t>Lieferung und Einbau von vorisolierter Endmuffe DN 100/225</t>
  </si>
  <si>
    <t>Fornitura e posa di terminale preisolato DN 100/225</t>
  </si>
  <si>
    <t>Lieferung und Einbau von vorisolierter Endmuffe DN 125/250</t>
  </si>
  <si>
    <t>Fornitura e posa di terminale preisolato DN 125/250</t>
  </si>
  <si>
    <t>Lieferung und Einbau von vorisolierter Endmuffe DN 150/280</t>
  </si>
  <si>
    <t>Fornitura e posa di terminale preisolato DN 150/280</t>
  </si>
  <si>
    <t>Lieferung und Einbau von vorisolierter Endmuffe DN 200/355</t>
  </si>
  <si>
    <t>Fornitura e posa di terminale preisolato DN 200/355</t>
  </si>
  <si>
    <t xml:space="preserve">Herstellen von Rundschweißnähten TIG gemäß der in der technischen Beschreibung geforderten Schweißvorschriften.
</t>
  </si>
  <si>
    <t>Realizzazione di saldature TIG conformi alle disposizioni  come da specifiche tecniche.</t>
  </si>
  <si>
    <t>Ausführen von Schweissnaht und Lieferung und Ausführen von Muffe DN 25/110</t>
  </si>
  <si>
    <t>Esecuzione di saldatura e fornitura e esecuzione di manicotto DN 25/110</t>
  </si>
  <si>
    <t>Ausführen von Schweissnaht und Lieferung und Ausführen von Muffe 32/125</t>
  </si>
  <si>
    <t>Esecuzione di saldatura e fornitura e esecuzione di manicotto DN 32/125</t>
  </si>
  <si>
    <t>Ausführen von Schweissnaht und Lieferung und Ausführen von Muffe 40/125</t>
  </si>
  <si>
    <t>Esecuzione di saldatura e fornitura e esecuzione di manicotto DN 40/125</t>
  </si>
  <si>
    <t>Ausführen von Schweissnaht und Lieferung und Ausführen von Muffe DN 50/140</t>
  </si>
  <si>
    <t>Esecuzione di saldatura e fornitura e esecuzione di manicotto DN 50/140</t>
  </si>
  <si>
    <t>Ausführen von Schweissnaht und Lieferung und Ausführen von Muffe DN 65/160</t>
  </si>
  <si>
    <t>Esecuzione di saldatura e fornitura e esecuzione di manicotto DN 65/160</t>
  </si>
  <si>
    <t>Ausführen von Schweissnaht und Lieferung und Ausführen von Muffe DN 80/180</t>
  </si>
  <si>
    <t>Esecuzione di saldatura e fornitura e esecuzione di manicotto DN 80/180</t>
  </si>
  <si>
    <t>Ausführen von Schweissnaht und Lieferung und Ausführen von Muffe DN 100/225</t>
  </si>
  <si>
    <t>Esecuzione di saldatura e fornitura e esecuzione di manicotto DN 100/225</t>
  </si>
  <si>
    <t>Ausführen von Schweissnaht und Lieferung und Ausführen von Muffe DN 125/250</t>
  </si>
  <si>
    <t>Esecuzione di saldatura e fornitura e esecuzione di manicotto DN 125/250</t>
  </si>
  <si>
    <t>Ausführen von Schweissnaht und Lieferung und Ausführen von Muffe DN 150/280</t>
  </si>
  <si>
    <t>Esecuzione di saldatura e fornitura e esecuzione di manicotto DN 150/280</t>
  </si>
  <si>
    <t>Ausführen von Schweissnaht und Lieferung und Ausführen von Muffe DN 200/355</t>
  </si>
  <si>
    <t>Esecuzione di saldatura e fornitura e esecuzione di manicotto DN 200/355</t>
  </si>
  <si>
    <t>Liefern und Montieren von vorisolierten Stahlrohrreduktionen samt Reduktionsmuffe und Nachisolierarbeiten.</t>
  </si>
  <si>
    <t>Fornitura e posa di riduzioni preisolate per tubi d'acciaio con riduzione, manicotto e lavori di isolazione.</t>
  </si>
  <si>
    <t>Lieferung und Einbau von vorisolierter Reduktion DN 50/140</t>
  </si>
  <si>
    <t>Fornitura e posa di riduzione preisolata DN 50/140</t>
  </si>
  <si>
    <t>Lieferung und Einbau von vorisolierter Reduktion DN 200/355</t>
  </si>
  <si>
    <t>Fornitura e posa di riduzione preisolata DN 200/355</t>
  </si>
  <si>
    <t>Lieferung und Montage von werkseitig vorisolierten Bögen,  alle Winkelgrade</t>
  </si>
  <si>
    <t>Fornitura e posa di curve preisolate per qualsiasi grado di curvatura</t>
  </si>
  <si>
    <t>Lieferung und Einbau von vorisoliertem Bogen DN 25/110</t>
  </si>
  <si>
    <t>Fornitura e posa di curva preisolata DN 25/110</t>
  </si>
  <si>
    <t>Lieferung und Einbau von vorisoliertem Bogen DN 32/125</t>
  </si>
  <si>
    <t>Fornitura e posa di curva preisolata DN 32/125</t>
  </si>
  <si>
    <t>Lieferung und Einbau von vorisoliertem Bogen DN 40/125</t>
  </si>
  <si>
    <t>Fornitura e posa di curva preisolata DN 40/125</t>
  </si>
  <si>
    <t>Lieferung und Einbau von vorisoliertem Bogen DN 50/140</t>
  </si>
  <si>
    <t>Fornitura e posa di curva preisolata DN 50/140</t>
  </si>
  <si>
    <t>Lieferung und Einbau von vorisoliertem Bogen DN 65/160</t>
  </si>
  <si>
    <t>Fornitura e posa di curva preisolata DN 65/160</t>
  </si>
  <si>
    <t>Lieferung und Einbau von vorisoliertem Bogen DN 80/180</t>
  </si>
  <si>
    <t>Fornitura e posa di curva preisolata DN 80/180</t>
  </si>
  <si>
    <t>Lieferung und Einbau von vorisoliertem Bogen DN 100/225</t>
  </si>
  <si>
    <t>Fornitura e posa di curva preisolata DN 100/225</t>
  </si>
  <si>
    <t>Lieferung und Einbau von vorisoliertem Bogen DN 125/250</t>
  </si>
  <si>
    <t>Fornitura e posa di curva preisolata DN 125/250</t>
  </si>
  <si>
    <t>Lieferung und Einbau von vorisoliertem Bogen DN 150/280</t>
  </si>
  <si>
    <t>Fornitura e posa di curva preisolata DN 150/280</t>
  </si>
  <si>
    <t>Lieferung und Einbau von vorisoliertem Bogen DN 200/355</t>
  </si>
  <si>
    <t>Fornitura e posa di curva preisolata DN 200/355</t>
  </si>
  <si>
    <t>Lieferung und Montage von vorisolierten T-Abzweigen (branch oder Parallelabzweigen), mit oder ohne Reduktion.</t>
  </si>
  <si>
    <t>Fornitura e installazione di derivazioni a T (branch o paralleli) preisolate, con o senza riduzione.</t>
  </si>
  <si>
    <t>Fornitura e posa di derivazione a T preisolata DN 25/25</t>
  </si>
  <si>
    <t>Lieferung und Einbau von vorisoliertem T- Stück DN 25/25</t>
  </si>
  <si>
    <t>Lieferung und Einbau von vorisoliertem T- Stück DN 50/32</t>
  </si>
  <si>
    <t>Fornitura e posa di derivazione a T preisolata DN 50/32</t>
  </si>
  <si>
    <t>Lieferung und Einbau von vorisoliertem T- Stück DN 100/25</t>
  </si>
  <si>
    <t>Fornitura e posa di derivazione a T preisolata DN 100/25</t>
  </si>
  <si>
    <t>Lieferung und Einbau von vorisoliertem T- Stück DN 100/32</t>
  </si>
  <si>
    <t>Fornitura e posa di derivazione a T preisolata DN 100/32</t>
  </si>
  <si>
    <t>Lieferung und Einbau von vorisoliertem T- Stück DN 150/25</t>
  </si>
  <si>
    <t>Fornitura e posa di derivazione a T preisolata DN 150/25</t>
  </si>
  <si>
    <t>Lieferung und Einbau von vorisoliertem T- Stück DN 150/32</t>
  </si>
  <si>
    <t>Fornitura e posa di derivazione a T preisolata DN 150/32</t>
  </si>
  <si>
    <t>Lieferung und Einbau von vorisoliertem T- Stück DN 150/40</t>
  </si>
  <si>
    <t>Fornitura e posa di derivazione a T preisolata DN 150/40</t>
  </si>
  <si>
    <t>Lieferung und Einbau von vorisoliertem T- Stück DN 150/100</t>
  </si>
  <si>
    <t>Fornitura e posa di derivazione a T preisolata DN 150/100</t>
  </si>
  <si>
    <t>Lieferung und Einbau von vorisoliertem T- Stück DN 200/50</t>
  </si>
  <si>
    <t>Fornitura e posa di derivazione a T preisolata DN 200/50</t>
  </si>
  <si>
    <t>Lieferung und Einbau von vorisoliertem T- Stück DN 200/80</t>
  </si>
  <si>
    <t>Fornitura e posa di derivazione a T preisolata DN 200/80</t>
  </si>
  <si>
    <t>Lieferung und Einbau von vorisoliertem T- Stück DN 200/125</t>
  </si>
  <si>
    <t>Fornitura e posa di derivazione a T preisolata DN 200/125</t>
  </si>
  <si>
    <t>Liefern und Verlegen von Dehnpolstern aus PE-Schaumstoff (DIN 53420 - DIN 53571-A - DIN 53577 - DIN 53572 - DIN 53429) aus geschlossenen Zellen: Stärke 40 mm, Länge 1 m</t>
  </si>
  <si>
    <t>Fornitura e posa di materassini di dilatazione in plastica cellulare in PE (DIN 53420 - DIN 53571-A - DIN 53577 - DIN 53572 - DIN 53429) a cellule chiuse, spessore 40 mm e lunghezza 1 m.</t>
  </si>
  <si>
    <t>Lieferung und Einbau von Dehnpolster für Fernwärmerohre DN 110-180</t>
  </si>
  <si>
    <t>Fornitura e posa di materassini per tubazioni DN 110-180</t>
  </si>
  <si>
    <t>Lieferung und Einbau von Dehnpolster für Fernwärmerohre DN 225-355</t>
  </si>
  <si>
    <t>Fornitura e posa di materassini per tubazioni DN 225-355</t>
  </si>
  <si>
    <t>Lieferung und Montage von Montageunterlagen aus FCKW- freiem PUR- Schaum. Abmessungen 10*10 cm</t>
  </si>
  <si>
    <t>Fornitura e posa in opera di supporti di montaggio per tubi preisolati in schiuma poliuretanica libera da cfc. Dimensioni 10*10 cm</t>
  </si>
  <si>
    <t>HYDRAULISCHE EINGRIFFE AUF BESTEHENDEN LEITUNGEN</t>
  </si>
  <si>
    <t>INTERVENTI IDRAULICI SU TUBAZIONI ESISTENTI</t>
  </si>
  <si>
    <t>Anschluss an eine bestehende Fernwärmeleitung bis DN 200 in Betrieb</t>
  </si>
  <si>
    <t xml:space="preserve">Allacciamento a tubazioni di teleriscaldamento esistenti fino a DN 200 in servizio </t>
  </si>
  <si>
    <t>Anschluss an eine noch nicht in Betrieb genommene bestehende Fernwärmeleitung bis DN 200.</t>
  </si>
  <si>
    <t>Allacciamento a tubazioni di teleriscaldamento esistenti fino a DN 200 non in servizio</t>
  </si>
  <si>
    <t>Ausführen von Hausanschluss mit Fernwärmerohren und Leerrohren für die Datenleitung.</t>
  </si>
  <si>
    <t>Posa in opera di allacciamento con tubazione di teleriscaldamento e passacavi per fibra ottica</t>
  </si>
  <si>
    <t>Hausanschluss DN 25/110</t>
  </si>
  <si>
    <t>Allacciamento utenza DN 25/110</t>
  </si>
  <si>
    <t>Hausanschluss DN 32-40/125</t>
  </si>
  <si>
    <t>Allacciamento utenza DN 32-40/125</t>
  </si>
  <si>
    <t>Hausanschluss DN 50/140</t>
  </si>
  <si>
    <t>Allacciamento utenza DN 50/140</t>
  </si>
  <si>
    <t>Hausanschluss DN 80/180</t>
  </si>
  <si>
    <t>Allacciamento utenza DN 80/180</t>
  </si>
  <si>
    <t xml:space="preserve">EINMESSUNG DER LEITUNGEN UND AUSFÜHREN DER LECKPLAN- ZEICHNUNG ALS CAD
Einmessung der verlegten Fernwärmeleitung nach fertiggestellter Verlegung inklusive Anschlußleitungen und anderer verlegter Leitungen mit Präzisionsmessgerät nach Koordinatensystem und Lieferung der entsprechenden Dateien.
</t>
  </si>
  <si>
    <t>RILIEVO TOPOGRAFICO DELLE CONDOTTE E ESECUZIONE DISEGNI SU CAD
Esecuzione di rilievo topografico a posa terminata delle condotte di teleriscaldamento,con strumentazione di precisione, compreso: allacciamenti ed altre sottoservizi posti in opera, con sistema di coordinate e consegna dei relativi file elaborati.</t>
  </si>
  <si>
    <t>DRUCKPRÜFUNGEN</t>
  </si>
  <si>
    <t>PROVE DI PRESSIONE</t>
  </si>
  <si>
    <t>Durchführen von Druckprüfung DN 25-40</t>
  </si>
  <si>
    <t>Esecuzione di prova di pressione DN 25-40</t>
  </si>
  <si>
    <t>Durchführen von Druckprüfung DN 50-80</t>
  </si>
  <si>
    <t>Esecuzione di prova di pressione DN 50-80</t>
  </si>
  <si>
    <t>Durchführen von Druckprüfung DN 100-200</t>
  </si>
  <si>
    <t>Esecuzione di prova di pressione DN 100-200</t>
  </si>
  <si>
    <t>Durchführen von Schweissnahtprüfung nach den Vorgaben und Modalitäten der technischen Spezifikation.</t>
  </si>
  <si>
    <t>Esecuzione di verifica di saldature ad ultrasuoni secondo le modalità e prescrizioni della specifica tecnica</t>
  </si>
  <si>
    <t>Durchführen von Schweissnahtprüfung DN 25-40 mittels Ultraschall. Inklusive sämtlicher Spesen und Nebenkosten sowie der Ausarbeitung der Prüfprotokolle</t>
  </si>
  <si>
    <t>Esecuzione di verifica saldature DN 25-40 tramite ultrasuoni. Incluso tutti gli oneri e spese accessorie nonché l´elaborazione dei protocolli di verifica.</t>
  </si>
  <si>
    <t>Esecuzione di verifica saldature DN 50-80 tramite ultrasuoni. Incluso tutti gli oneri e spese accessorie nonché l´elaborazione dei protocolli di verifica.</t>
  </si>
  <si>
    <t>Durchführen von Schweissnahtprüfung DN 100-200 mittels Ultraschall. Inklusive sämtlicher Spesen und Nebenkosten sowie der Ausarbeitung der Prüfprotokolle</t>
  </si>
  <si>
    <t>Esecuzione di verifica saldature DN 100-200 tramite ultrasuoni. Incluso tutti gli oneri e spese accessorie nonché l´elaborazione dei protocolli di verifica.</t>
  </si>
  <si>
    <t>Randstein Typ "Meran" 15/30 aus Porphyr oberfläche gesägt</t>
  </si>
  <si>
    <t>Cordonate tipo "Merano", diritto - 15/30, in porfido testa segata</t>
  </si>
  <si>
    <t>Collegamentio strade laterali (Mozart - Donizetti)</t>
  </si>
  <si>
    <t>Illuminazione pubblica - plinti nuovi punti luce</t>
  </si>
  <si>
    <t>Allacciamenti via Laurin</t>
  </si>
  <si>
    <t>85.05.10.16.A</t>
  </si>
  <si>
    <t>Controllo</t>
  </si>
  <si>
    <t>85.05.10.02.A</t>
  </si>
  <si>
    <t>Controllo strada</t>
  </si>
  <si>
    <t>Controllo marciapiedi</t>
  </si>
  <si>
    <t>Nr</t>
  </si>
  <si>
    <t>psc</t>
  </si>
  <si>
    <t>85.10.80.99*</t>
  </si>
  <si>
    <t>Grabenaushub, maschinell ausgeführt, seitliche Lagerung, mit Aufladen und Abtransport</t>
  </si>
  <si>
    <t>Grabenaushub, maschinell ausgeführt, seitliche Lagerung, ohne Aufladen und ohne Abtransport</t>
  </si>
  <si>
    <t>Totale (10% lungo strada - 20% allacciamenti, dello scavo insezione ristretta)</t>
  </si>
  <si>
    <t>97</t>
  </si>
  <si>
    <t>ERDGASVERSORGUNG</t>
  </si>
  <si>
    <t>OPERE DI METANIZZAZIONE</t>
  </si>
  <si>
    <t>97.01</t>
  </si>
  <si>
    <t>VORBEREITUNGSARBEITEN</t>
  </si>
  <si>
    <t>LAVORI PRELIMINARI</t>
  </si>
  <si>
    <t>97.01.02</t>
  </si>
  <si>
    <t>EINRICHTEN UND RÄUMEN DER BAUSTELLE FÜR WARTUNGSARBEITEN</t>
  </si>
  <si>
    <t>INSTALLAZIONE E SGOMBERO CANTIERE PER LAVORI DI MANUTENZIONE</t>
  </si>
  <si>
    <t>97.01.02.03</t>
  </si>
  <si>
    <t>Entfernung Baustelle von 31 bis 45 km vom Sitz des Auftragnehmers</t>
  </si>
  <si>
    <t>per spostamenti da 31 a 45km dalla sede della ditta affidataria</t>
  </si>
  <si>
    <t>97.01.03</t>
  </si>
  <si>
    <t>EINRICHTEN UND RÄUMEN DER BAUSTELLE FÜR WARTUNGSARBEITEN, NUR SCHWEIßERARBEITEN</t>
  </si>
  <si>
    <t>INSTALLAZIONE E SGOMBERO CANTIERE PER LAVORI DI MANUTENZIONE, SOLO OPERE DA SALDATORE</t>
  </si>
  <si>
    <t>97.01.03.03</t>
  </si>
  <si>
    <t>97.01.04</t>
  </si>
  <si>
    <t>EINRICHTEN UND RÄUMEN DER BAUSTELLE FÜR DRINGENDE EINSÄTZE</t>
  </si>
  <si>
    <t>INSTALLAZIONE E SGOMBERO CANTIERE PER INTERVENTI D' URGENZA</t>
  </si>
  <si>
    <t>97.01.04.01</t>
  </si>
  <si>
    <t>Einrichten und Räumen der Baustelle für dringende Einsätze</t>
  </si>
  <si>
    <t>Installazione e sgombero cantiere per Interventi d'urgenza</t>
  </si>
  <si>
    <t>97.01.05</t>
  </si>
  <si>
    <t>EINRICHTEN UND RÄUMEN DER BAUSTELLE FÜR DRINGENDE EINSÄTZE, NUR SCHWEIßERARBEITEN</t>
  </si>
  <si>
    <t>INSTALLAZIONE E SGOMBERO CANTIERE PER INTERVENTI D' URGENZA, SOLO OPERE DA SALDATORE</t>
  </si>
  <si>
    <t>97.01.05.01</t>
  </si>
  <si>
    <t>Schweißarbeiten (für dringende Eingriffe)</t>
  </si>
  <si>
    <t>lavori di saldatura in urgenza.</t>
  </si>
  <si>
    <t>DN 40mm (1" 1/2)</t>
  </si>
  <si>
    <t>DN 50mm (2")</t>
  </si>
  <si>
    <t>DN 150 (6")</t>
  </si>
  <si>
    <t>97.04.02</t>
  </si>
  <si>
    <t>VERLEGEN VON ERDGASROHREN AUS STAHL</t>
  </si>
  <si>
    <t>POSA IN OPERA DI TUBAZIONI GAS NATURALE IN ACCIAIO</t>
  </si>
  <si>
    <t>97.04.02.09</t>
  </si>
  <si>
    <t>97.04.03</t>
  </si>
  <si>
    <t>SCHWEIßEN VON ERDGASROHREN AUS STAHL</t>
  </si>
  <si>
    <t>SALDATURA DI TUBAZIONI GAS NATURALE IN ACCIAIO</t>
  </si>
  <si>
    <t>97.04.03.09</t>
  </si>
  <si>
    <t>97.05.03</t>
  </si>
  <si>
    <t>VERLEGEN VON STROMISOLIERSTÜCKE</t>
  </si>
  <si>
    <t>POSA IN OPERA DI GIUNTI DIELETTRICI</t>
  </si>
  <si>
    <t>97.05.03.03</t>
  </si>
  <si>
    <t>97.05.03.04</t>
  </si>
  <si>
    <t>DN 100mm (4")</t>
  </si>
  <si>
    <t>DN 125mm (5")</t>
  </si>
  <si>
    <t>DN 150mm (6")</t>
  </si>
  <si>
    <t>97.08</t>
  </si>
  <si>
    <t>LIEFERUNG UND VERLEGEN VON WARNBAND</t>
  </si>
  <si>
    <t>FORNITURA E POSA IN OPERA NASTRO SEGNALETICO</t>
  </si>
  <si>
    <t>97.08.01</t>
  </si>
  <si>
    <t>LIEFERUNG VON WARNBAND</t>
  </si>
  <si>
    <t>FORNITURA NASTRO SEGNALETICO</t>
  </si>
  <si>
    <t>97.08.01.01</t>
  </si>
  <si>
    <t>Breite 100mm</t>
  </si>
  <si>
    <t>larghezza pari a 100mm</t>
  </si>
  <si>
    <t>97.08.02</t>
  </si>
  <si>
    <t>VERLEGEN VON WARNBAND</t>
  </si>
  <si>
    <t>POSA IN OPERA NASTRO SEGNALETICO</t>
  </si>
  <si>
    <t>97.08.02.01</t>
  </si>
  <si>
    <t>DN 40mm (1" 1/2) ohne Entlüftern</t>
  </si>
  <si>
    <t>DN 40mm (1" 1/2) senza sfiati</t>
  </si>
  <si>
    <t>DN 50mm (2") ohne Entlüftern</t>
  </si>
  <si>
    <t>DN 50mm (2") senza sfiati</t>
  </si>
  <si>
    <t>97.09.02</t>
  </si>
  <si>
    <t>VERLEGUNG VON KUGELVENTIL</t>
  </si>
  <si>
    <t>POSA IN OPERA DI VALVOLA A SFERA</t>
  </si>
  <si>
    <t>97.09.02.03</t>
  </si>
  <si>
    <t>97.09.02.04</t>
  </si>
  <si>
    <t>97.10</t>
  </si>
  <si>
    <t>ABSPERRUNG VON GASLEITUNGEN</t>
  </si>
  <si>
    <t>INTERCETTAZIONE DI TUBAZIONI GAS</t>
  </si>
  <si>
    <t>97.10.01</t>
  </si>
  <si>
    <t>DOPPELTE ABSPERRUNG VON GASLEITUNGEN</t>
  </si>
  <si>
    <t>INTERCETTAZIONE DOPPIA DI TUBAZIONI GAS</t>
  </si>
  <si>
    <t>97.10.01.06</t>
  </si>
  <si>
    <t>97.10.02</t>
  </si>
  <si>
    <t>EINFACHE ABSPERRUNG VON GASLEITUNGEN (SPEZIALTEILE INBEGRIFFEN)</t>
  </si>
  <si>
    <t>INTERCETTAZIONE SINGOLA DI TUBAZIONI GAS (COMPRESI PEZZI SPECIALI)</t>
  </si>
  <si>
    <t>97.10.02.07</t>
  </si>
  <si>
    <t>97.10.02.08</t>
  </si>
  <si>
    <t>97.12.02</t>
  </si>
  <si>
    <t>AUSFÜHRUNG NEUER GAS-ABNEHMERANSCHLÜSSE (UNTERIRDISCH - STAHLROHRE)</t>
  </si>
  <si>
    <t>ESECUZIONE DI NUOVI ALLACCIAMENTI D' UTENZA AL GAS NATURALE (PARTE INTERRATA - TUBAZIONI IN ACCIAIO)</t>
  </si>
  <si>
    <t>97.12.02.04</t>
  </si>
  <si>
    <t>VI Druckstufe - für Durchmesser von DN32mm bis DN 50mm mit Mini-Absperrmaschine</t>
  </si>
  <si>
    <t>VI specie - per diametri da DN 32 fino a DN 50mm con l' impiego di macchina mini tamp.</t>
  </si>
  <si>
    <t>97.14.02</t>
  </si>
  <si>
    <t>EINBAU VON KATHODENSCHUTZKASTEN</t>
  </si>
  <si>
    <t>POSA IN OPERA DI CASSETTA PER PROTEZIONE CATODICA</t>
  </si>
  <si>
    <t>97.14.02.01</t>
  </si>
  <si>
    <t>Einbau von Kathodenschutzkasten</t>
  </si>
  <si>
    <t>Posa in opera di cassetta per protezione catodica</t>
  </si>
  <si>
    <t>97.14.03</t>
  </si>
  <si>
    <t>AUSFÜHRUNG VON SCHWEIßLÖTUNGEN</t>
  </si>
  <si>
    <t>ESECUZIONE DI SALDOBRASATURA</t>
  </si>
  <si>
    <t>97.14.03.01</t>
  </si>
  <si>
    <t>Ausführung von Schweißlötungen</t>
  </si>
  <si>
    <t>Esecuzione di saldobrasatura</t>
  </si>
  <si>
    <t>ERDGASVERSORGUNG
OPERE DI METANIZZAZIONE</t>
  </si>
  <si>
    <t xml:space="preserve">Pezzi speciali DN150: 2 curve, 2Te (Donizetti, Mozart), 2 riduzioni 150/100, </t>
  </si>
  <si>
    <t>SUDDIVISO IN BASE AI Ø</t>
  </si>
  <si>
    <t>Coda via Mozart</t>
  </si>
  <si>
    <t>Coda via Wolf Nord</t>
  </si>
  <si>
    <t>Tratto via San Francesco - via Bellini</t>
  </si>
  <si>
    <t>Coda verso via Ottone Huber</t>
  </si>
  <si>
    <t>Z, Omega, Varie e minori</t>
  </si>
  <si>
    <t>Via San Francesco - via Mozart</t>
  </si>
  <si>
    <t>Allacciamento scuola Wenter</t>
  </si>
  <si>
    <t>Allacciamento civv. 24 26 28</t>
  </si>
  <si>
    <t>Allacciamento civv. 15</t>
  </si>
  <si>
    <t>Allacciamento civv. 59</t>
  </si>
  <si>
    <t>Allacciamento civv. 55</t>
  </si>
  <si>
    <t>Allacciamento civv. 16 18</t>
  </si>
  <si>
    <t>Allacciamento civ. 43</t>
  </si>
  <si>
    <t>Allacciamento civ. Bellini 1</t>
  </si>
  <si>
    <t>Allacciamento civ. Bellini 3</t>
  </si>
  <si>
    <t>Sabbia per tubi da DN 25 a DN 50</t>
  </si>
  <si>
    <t>Sand für Rohren von DN 25 bis DN 50</t>
  </si>
  <si>
    <t>Sabbia per tubi da DN 65 a DN 100</t>
  </si>
  <si>
    <t>Sand für Rohren von DN 65 bis DN 100</t>
  </si>
  <si>
    <t>Sabbia per tubi da DN 125 a DN 200</t>
  </si>
  <si>
    <t>Sand für Rohren von DN 125 bis DN 200</t>
  </si>
  <si>
    <t>54.10.03.11.A*</t>
  </si>
  <si>
    <t>54.10.03.11.B*</t>
  </si>
  <si>
    <t>54.10.03.11.C*</t>
  </si>
  <si>
    <t>Fornitura e posa in opera  di  materiale  granulometricamente  stabilizzato (materiale di primo impiego e/o di riciclo)  per  raccordi altimetrici di strati di base a volume in opera</t>
  </si>
  <si>
    <t>Lieferung  und  Einbau  von  korngrößenmäßig  stabilisiertem  Material (Material in Erstanwendung und/oder Recyclingmaterial) für  höhenmäßige Anschlußbereiche von Tragschichten nach Volumen im eingebauten Zustand</t>
  </si>
  <si>
    <t>Base Pozzetti - caditoie</t>
  </si>
  <si>
    <t>Via Bellini - via San Francesco: Rinfianco tubi</t>
  </si>
  <si>
    <t>Via Bellini - via San Francesco: base tubo cls acque bianche</t>
  </si>
  <si>
    <t>Via San Francesco - via Mozart: rinfianco tubi</t>
  </si>
  <si>
    <t>Via San Francesco - via Mozart: base tubo cls acque bianche</t>
  </si>
  <si>
    <t>Via Bellinibase tubo cls acque bianche</t>
  </si>
  <si>
    <t>Varie e minori (sistemazioni muretti di confine, ripristino microdemolizioni)</t>
  </si>
  <si>
    <t>Varie e minori (compreso tombamento pozzetti roggia fuori servizio)</t>
  </si>
  <si>
    <t>A stima per sistemazione muri prossimità allacciamenti</t>
  </si>
  <si>
    <t>75.10.01.40.AA*</t>
  </si>
  <si>
    <t>77.16.03.01</t>
  </si>
  <si>
    <t>Schacht für Telekommunikationsnetz 90x70cm</t>
  </si>
  <si>
    <t>Pozzetto per rete di telecomunicazione 90x70cm</t>
  </si>
  <si>
    <t>77.16.03.02</t>
  </si>
  <si>
    <t>Pozzetto per rete di telecomunicazione 125x80cm</t>
  </si>
  <si>
    <t>Schacht für Telekommunikationsnetz 125x80cm</t>
  </si>
  <si>
    <t>Straßeneinlauf Typ "Rekord" ebener Einlauf  Gewicht 95/105 kg</t>
  </si>
  <si>
    <t>Caditoia tipo "Rekord" caditoia piana  peso 95/105 kg</t>
  </si>
  <si>
    <t>54.02.10.02.Q</t>
  </si>
  <si>
    <t>Kernbohrungen in Beton und Stahlbeton D 202 mm</t>
  </si>
  <si>
    <t>Perforazione a rotazione di conglomerato cementizio D 202 mm</t>
  </si>
  <si>
    <t>TELERISCALDAMENTO
FERNHEIZUNG aew</t>
  </si>
  <si>
    <t>BELEUCHTUNG
ILLUMINAZIONE PUBBLICA</t>
  </si>
  <si>
    <t>GEHSTEIGE
MARCIAPIEDI</t>
  </si>
  <si>
    <t>BÄUMENBEETE
AIUOLE ALBERI</t>
  </si>
  <si>
    <t>FAHRDECKE
SUPERFICIE STRADALE</t>
  </si>
  <si>
    <t>METHANLEITUNGSEINGRIFFE
INTERVENTI SU LINEA GAS</t>
  </si>
  <si>
    <t>WOLFSTRASSE - VIA WOLF</t>
  </si>
  <si>
    <t>INSGESAMT
INSIEME</t>
  </si>
  <si>
    <t>Hochspez. Facharbeiter</t>
  </si>
  <si>
    <t>Operaio alt. spec.</t>
  </si>
  <si>
    <t>Spezialisierter Arbeiter</t>
  </si>
  <si>
    <t>Operaio specializzato</t>
  </si>
  <si>
    <t>51.01.01</t>
  </si>
  <si>
    <t>STUNDENLÖHNE - BAUSEKTOR
MANO D'OPERA - SETTORE EDILE/CIVILE</t>
  </si>
  <si>
    <t>Qualifizierter Arbeiter</t>
  </si>
  <si>
    <t>Operaio Qualificato</t>
  </si>
  <si>
    <t>Operaio Comune</t>
  </si>
  <si>
    <t xml:space="preserve"> Arbeiter</t>
  </si>
  <si>
    <t>51.02</t>
  </si>
  <si>
    <t>MIETEN - NOLI</t>
  </si>
  <si>
    <t>Lastwagen mit Kippbrücke, 3- seitig Nutzlast bis 4,0 t</t>
  </si>
  <si>
    <t>Autocarro con cassa ribaltabile, 3 lati portata fino a 4,0 t</t>
  </si>
  <si>
    <t>Lastwagen mit Kippbrücke, 3- seitig Nutzlast über 8,0 bis 10,5 t</t>
  </si>
  <si>
    <t>Autocarro con cassa ribaltabile, 3 lati portata oltre 10,50 fino a 14,0 t</t>
  </si>
  <si>
    <t>Lastwagen mit Kippbrücke, 3- seitig Nutzlast über 10,5 bis 10,5 t</t>
  </si>
  <si>
    <t>Autocarro con cassa ribaltabile, 3 lati portata oltre 8,0 fino a 10,5 t</t>
  </si>
  <si>
    <t>Lastwagen mit Kippbrücke, 3- seitig Gewicht (Sondergenehmigung) 33 t</t>
  </si>
  <si>
    <t>Autocarro con cassa ribaltabile, 3 lati peso (Autorizzazione speciale) 33 t</t>
  </si>
  <si>
    <t>51.02.02</t>
  </si>
  <si>
    <t>ERDBEWEGUNGS- UND LADEMASCHINEN
MEZZI DI SCAVO E DI CARICAMENTO</t>
  </si>
  <si>
    <t>Hydraulik-Bagger mit gummibereift, Motorleistung: bis 36 kW (48 PS)</t>
  </si>
  <si>
    <t>Escavatore idraulico gommato, potenza motore: fino a 36 kW (48 HP)</t>
  </si>
  <si>
    <t>Hydraulik-Bagger mit gummibereift, Motorleistung: von 51 bis 76 kW (69 - 102 PS)</t>
  </si>
  <si>
    <t>Escavatore idraulico gommato, potenza motore:  da 51 a 76 kW (69 - 102 HP)</t>
  </si>
  <si>
    <t>Hydraulik-Bagger mit gummibereift, Motorleistung: von 77 bis 101 kW (103 - 136 PS)</t>
  </si>
  <si>
    <t>Escavatore idraulico gommato, potenza motore: da 102 a 152 kW (137 - 204 HP)</t>
  </si>
  <si>
    <t>Hydraulik-Bagger mit Raupen, Motorleistung: von 102 bis 152 kW (137 - 204 PS)</t>
  </si>
  <si>
    <t>Escavatore idraulico cingolato, potenza motore: da 153 a 203 kW (205 - 272 HP)</t>
  </si>
  <si>
    <t>Schaufellader mit Raupen oder gummibereift, Motorleistung: bis 30 kW (41 PS)</t>
  </si>
  <si>
    <t>Pala caricatrice cingolata o gommata, potenza motore: fino a 30 kW (41 HP)</t>
  </si>
  <si>
    <t>51.02.03</t>
  </si>
  <si>
    <t>VERDICHTUNGSGERÄTE - MEZZI DI COSTIPAMENTO</t>
  </si>
  <si>
    <t>Rüttelplatte mit Verbrennungsmotor Zentrifugalkraft über 15 bis 20 kN</t>
  </si>
  <si>
    <t>Piastra vibrante con motore a scoppio forza centrifuga oltre 15 fino a 20 kN</t>
  </si>
  <si>
    <t>Selbstfahrende, statische Walze, mittel Gewicht 8-12 t</t>
  </si>
  <si>
    <t>Rullo statico semovente medio peso oltre 8,0-12,0 t</t>
  </si>
  <si>
    <t xml:space="preserve">Rullo vibrante semovente a tandem, con cabina, peso oltre 6,0-9,0 t </t>
  </si>
  <si>
    <t>Selbstfahrende Rüttelwalze, Tandemwalze mit Kabine Gewicht 6-9 t</t>
  </si>
  <si>
    <t>Selbstsaugende Pumpe bis 2,5 kW (über 500 bis 1000 l/min)</t>
  </si>
  <si>
    <t>Pompa di prosciugamento autoadescante fino a 2,5 kW (da 500 a 1000 l/min)</t>
  </si>
  <si>
    <t>Selbstsaugende Pumpe über 5,0 bis 7,0 kW (über 1500 bis 2000 l/min)</t>
  </si>
  <si>
    <t>Pompa di prosciugamento autoadescante oltre 5,0 fino a 7,0 kW (da 1500 a 2000 l/min)</t>
  </si>
  <si>
    <t>51.02.04</t>
  </si>
  <si>
    <t>PUMPEN - POMPE DI PROSCIUGAMENTO</t>
  </si>
  <si>
    <t>Martello demolitore pneumatico, manuale peso fino a 10,00 kg</t>
  </si>
  <si>
    <t>51.02.05</t>
  </si>
  <si>
    <t>KOMPRESSOREN UND PNEUMATISCHE GERÄTE
COMPRESSORI D'ARIA ED ATTREZZI PNEUMATICI</t>
  </si>
  <si>
    <t>Martello demolitore pneumatico, manuale peso oltre 10,00-20,00 kg</t>
  </si>
  <si>
    <t>Fahrbarer Kompressor, schallgedämmte Ausführung, mit Diesel Motor, Betriebsdruck von 6 bis 8 bar über 3,00 - 6,00 m3/min</t>
  </si>
  <si>
    <t>Compressore d'aria, gommato, di tipo silenziato, con motore Diesel, pressione d'esercizio da 6 a 8 bar oltre 3,00 - 6,00 m3/min</t>
  </si>
  <si>
    <t>Fahrbarer Kompressor, schallgedämmte Ausführung, mit Diesel Motor, Betriebsdruck von 6 bis 8 bar über 6,00 - 10,00 m3/min</t>
  </si>
  <si>
    <t>Compressore d'aria, gommato, di tipo silenziato, con motore Diesel, pressione d'esercizio da 6 a 8 bar oltre 6,00 - 10,00 m3/min</t>
  </si>
  <si>
    <t>Pneumatischer, händischer Preßlufthammer Gewicht bis 10,00 kg</t>
  </si>
  <si>
    <t>Pneumatischer, händischer Preßlufthammer Gewicht über 10,00-20 kg</t>
  </si>
  <si>
    <t>Martello demolitore idraulico peso oltre  300 fino a 700 kg</t>
  </si>
  <si>
    <t>Hydraulik-Brechhammer Gewicht über 300 bis 700 kg</t>
  </si>
  <si>
    <t>51.02.06</t>
  </si>
  <si>
    <t>BETONMASCHINEN
MACCHINE PER CONGLOMERATI CEMENTIZI</t>
  </si>
  <si>
    <t>Elektrisch betriebener Umkehrmischer, betriebsbereit, ohne Bedienung über 200 bis 300 l</t>
  </si>
  <si>
    <t>Betoniera a tamburo girevole, a inversione di marcia, funzionamento elettrico, data funzionante, escluso il personale per il funzionamento oltre 300 fino a 400 l</t>
  </si>
  <si>
    <t>Transportbetonmischer (Trommelmischer) Nutzinhalt über 4,00 bis 6,00 m3</t>
  </si>
  <si>
    <t>Autobetoniera (mescolatore a tamburo) volume utile oltre 6,00 fino a 8,00 m3</t>
  </si>
  <si>
    <t>51.02.15</t>
  </si>
  <si>
    <t>STROMAGGREGATE - GRUPPI ELETTROGENI</t>
  </si>
  <si>
    <t>Tragbares Stromaggregat Leistung über 1,0 - 5,0 KVA</t>
  </si>
  <si>
    <t>Gruppo elettrogeno portabile potenza oltre 1,0 - 5,0 KVA</t>
  </si>
  <si>
    <t>Diesel-Stromaggregat tragbar Leistung über 15,00 - 25,0 KVA</t>
  </si>
  <si>
    <t>Gruppo elettrogeno-Diesel trasportabile potenza oltre 15,00 - 25,0 KVA</t>
  </si>
  <si>
    <t>51.02.17</t>
  </si>
  <si>
    <t>STRASSENVERKEHR-SIGNALANLAGEN
IMPIANTO SEMAFORICO DA CANTIERE</t>
  </si>
  <si>
    <t>Homologierte Baustellen-Straßenverkehr-Signalanlage 2 Phasen, Funk</t>
  </si>
  <si>
    <t>Impianto semaforico da cantiere, omologato 2 fasi, radiocomando</t>
  </si>
  <si>
    <t>51.02.50</t>
  </si>
  <si>
    <t>DIVERSE MASCHINEN UND WERKZEUGE
MACCHINE ED UTENSILI VARI</t>
  </si>
  <si>
    <t>Transportable Motorsäge</t>
  </si>
  <si>
    <t>Motosega trasportabile</t>
  </si>
  <si>
    <t>Elektrischer Bohrer</t>
  </si>
  <si>
    <t>Trapano elettrico</t>
  </si>
  <si>
    <t>Bauhammer, benzin-, elektrisch betrieben mit Verbrennungsmotor, Leistung bis 2 kW</t>
  </si>
  <si>
    <t>Martello demolitore, azionamento a scoppio od elettrico con motore a scoppio, potenza fino 2,00 kW</t>
  </si>
  <si>
    <t>Schweißausrüstung, Transportabel, inkl. Elektroden, für Baustellenschweißungen, ohne arbeitskarft für Autogenschweißung</t>
  </si>
  <si>
    <t>Attrezzatura trasportabile per saldatura in cantiere, compresi elettrodi, escluso l'operatore per saldatura autogena</t>
  </si>
  <si>
    <t>Schweißausrüstung, Transportabel, inkl. Elektroden, für Baustellenschweißungen, ohne arbeitskarftf ür Elektroschweißung</t>
  </si>
  <si>
    <t>Attrezzatura trasportabile per saldatura in cantiere, compresi elettrodi, escluso l'operatore per saldatura elettrica</t>
  </si>
  <si>
    <t>51.04</t>
  </si>
  <si>
    <t>MATERIALIEN - MATERIALI</t>
  </si>
  <si>
    <t>Gewaschener Betonsand Körnung 0,075 - 3,000 mm</t>
  </si>
  <si>
    <t>Sabbia lavata per calcestruzzo pezzatura 0,075 - 3,000 mm</t>
  </si>
  <si>
    <t>Gemischte Zuschlagstoffe für Beton Körnung 0,075 fino a 31,5 mm</t>
  </si>
  <si>
    <t>Brechschotter, 1. Kategorie (CNR) Körnung 11 - 15 mm</t>
  </si>
  <si>
    <t>Hochfester Zement R42.5 in Säcken</t>
  </si>
  <si>
    <t>Spezialzement, "sehr hohe" Sulfatbeständigkeit in Säcken</t>
  </si>
  <si>
    <t>Cemento speciale, "altissima" resistenza ai solfati in sacchi</t>
  </si>
  <si>
    <t>Betonvollziegel (5,5/12/25 cm)</t>
  </si>
  <si>
    <t>Zementmörtel mit Zement, klassifiziertem Sand, Mindestfestigkeitsklasse M10</t>
  </si>
  <si>
    <t>Malta di cemento con cemento, sabbia classificata, classe di resistenza minima M10</t>
  </si>
  <si>
    <t>Einkorn-Filterbeton (R32.5)</t>
  </si>
  <si>
    <t>Calcestruzzo monogranulare filtrante (R32.5)</t>
  </si>
  <si>
    <t>Profilati "serie normali", D fino a 80 mm S275</t>
  </si>
  <si>
    <t>Walzprofile "Normalserie", D bis 80 mm S275</t>
  </si>
  <si>
    <t>Kantholz (ohne Fehlkanten), Fichte Abmessungen über 12/12 cm</t>
  </si>
  <si>
    <t>Schalbretter, sägerauh, Fichte Stärke bis 25 mm</t>
  </si>
  <si>
    <t>Schalbretter, sägerauh, Fichte Stärke über 25 mm</t>
  </si>
  <si>
    <t>Tubi per acquedotto, classe K10, rivestimento normale, giunto antisfilamento DN80</t>
  </si>
  <si>
    <t>Wasserleitungsrohr, Klasse K10, normale Verkleidung, zugfeste Verbindung DN80</t>
  </si>
  <si>
    <t>Wasserleitungsrohr, Klasse K10, normale Verkleidung, zugfeste Verbindung DN100</t>
  </si>
  <si>
    <t>Tubi per acquedotto, classe K10, rivestimento normale, giunto antisfilamento DN100</t>
  </si>
  <si>
    <t>Wasserleitungsrohr, Klasse K10, normale Verkleidung, zugfeste Verbindung DN125</t>
  </si>
  <si>
    <t>Tubi per acquedotto, classe K10, rivestimento normale, giunto antisfilamento DN125</t>
  </si>
  <si>
    <t>Wasserleitungsrohr, Klasse K10, normale Verkleidung, zugfeste Verbindung DN150</t>
  </si>
  <si>
    <t>Tubi per acquedotto, classe K10, rivestimento normale, giunto antisfilamento DN150</t>
  </si>
  <si>
    <t>Wasserleitungsrohr, Klasse K10, normale Verkleidung, zugfeste Verbindung DN200</t>
  </si>
  <si>
    <t>Tubi per acquedotto, classe K10, rivestimento normale, giunto antisfilamento DN200</t>
  </si>
  <si>
    <t>Schacht, rechteckig mit Stufenfalz Abmessungen 40 x 40 cm, mit Boden</t>
  </si>
  <si>
    <t>Schacht, rechteckig mit Stufenfalz Abmessungen 60 x 60 cm, mit Boden</t>
  </si>
  <si>
    <t>Schacht, rechteckig mit Stufenfalz Abmessungen 80 x 80 cm, mit Boden</t>
  </si>
  <si>
    <t>Schacht, rechteckig mit Stufenfalz Abmessungen 120 x 150 cm</t>
  </si>
  <si>
    <t>Pozzetti rettangolari con giunti a incastro, dimensioni 120x150 cm</t>
  </si>
  <si>
    <t>Roste und Einläufe aus Stahl S235 feuerverzinkt 200 g/m2 effektiver Oberfläche</t>
  </si>
  <si>
    <t>Griglie e caditoie in acciaio S235 zincate a bagno 200 g/m2 di superficie effettiva</t>
  </si>
  <si>
    <t>Schachtabdeckungen für Verkehrsflächen, aus Gußeisen Klasse A (15 kN) - D (400 kN)</t>
  </si>
  <si>
    <t>Chiusini stradali in ghisa classe A (15 kN) - D (400 kN)</t>
  </si>
  <si>
    <t>Geotessuto a filo continuo per strati filtranti R 19,0 kN/m</t>
  </si>
  <si>
    <t>Geotextil (Vlies) mit durchgehendem Faden R 19,0 kN/m</t>
  </si>
  <si>
    <t>Rostschutzmittel flüssig, Standardfarbe nach Wahl Epoxyd, zwei Komponenten</t>
  </si>
  <si>
    <t>Zwischenanstrich für Stahl, Standardfarbe nach Wahl Epoxyd, 2 Komponenten</t>
  </si>
  <si>
    <t>Endanstrich für Stahl, Standardfarbe nach Wahl des Auftraggebers Epoxyd, 2 Komponenten</t>
  </si>
  <si>
    <t>Benzin, Dieselöl, Flüssiggas für Verbrennungsmotoren</t>
  </si>
  <si>
    <t>INSGESAMT ELEMENTARPREISE
TOTALE PREZZI ELEMENTARI</t>
  </si>
  <si>
    <t>ALLGEMEINE LEISTEN DER BAUSTELLE
ONERI GENERALI DI CANTIERE</t>
  </si>
  <si>
    <t>Via Bellini base tubo cls acque bianche</t>
  </si>
  <si>
    <t>SW - ASM</t>
  </si>
  <si>
    <t>TRINKWASSERLEITUNG
ACQUEDOTTO</t>
  </si>
  <si>
    <t>GEMEINDE - COMUNE</t>
  </si>
  <si>
    <t>REGENWASSER
ACQUE BIANCHE</t>
  </si>
  <si>
    <t>aew</t>
  </si>
  <si>
    <t>SW-ASM / GEM-COM / aew</t>
  </si>
  <si>
    <t>Beschreibung</t>
  </si>
  <si>
    <t>Vergütung der Belastung wegen Kreuzung der Leitungen</t>
  </si>
  <si>
    <t>Vergütung der Belastung wegen Parallelität der Leitungen</t>
  </si>
  <si>
    <t>54.02.20.03.B</t>
  </si>
  <si>
    <t>75.10.09.02.A</t>
  </si>
  <si>
    <t>75.10.09.02.B</t>
  </si>
  <si>
    <t>75.10.09.02.C</t>
  </si>
  <si>
    <t>75.10.09.02.D</t>
  </si>
  <si>
    <t>77.90.05.05.A</t>
  </si>
  <si>
    <t>85.10.80.05.A</t>
  </si>
  <si>
    <t>Delimitazione delle aiuole con striscia di lamiera s=5mm, rinforzate e imbullonate sulle cordonate (fori, tasselli e viti compresi)</t>
  </si>
  <si>
    <t>Begrenzung der Beeten mit verzinktem Blechstreife S=5mm (Löcher in den Randsteinen, Dübel und Schrauben inbegriffen)</t>
  </si>
  <si>
    <t>Kode-Codice</t>
  </si>
  <si>
    <t>LAVS</t>
  </si>
  <si>
    <t>Schalung für geradlinige Mauern und Wände für Oberflächenstruktur S2</t>
  </si>
  <si>
    <t>Kernbohrungen in Beton und Stahlbeton D 350 mm</t>
  </si>
  <si>
    <t>Perforazione a rotazione di conglomerato cementizio D 350 mm</t>
  </si>
  <si>
    <t>54.02.10.02.U</t>
  </si>
  <si>
    <t>75.03.02.21*</t>
  </si>
  <si>
    <t>75.03.02.30*</t>
  </si>
  <si>
    <t>Volume asf marciapiedi</t>
  </si>
  <si>
    <t>Volume tot scavo sez ristr</t>
  </si>
  <si>
    <t>54.02.10.02.J</t>
  </si>
  <si>
    <t>Kernbohrungen in Beton und Stahlbeton D 92 mm</t>
  </si>
  <si>
    <t>Perforazione a rotazione di conglomerato cementizio D 92 mm</t>
  </si>
  <si>
    <t>99.01.25.01</t>
  </si>
  <si>
    <t>99.01.25.02</t>
  </si>
  <si>
    <t>99.01.25.03</t>
  </si>
  <si>
    <t>99.01.25.05</t>
  </si>
  <si>
    <t>Fornitura e posa in opera di dispositivo di sorveglianza a 4 canali, per reti di oltre 2000 ml (lunghezza dei fili oltre 7000 ml) - sorveglianza separata di mandata e ritorno. Compresi messa in servizio e test di funzionalità.</t>
  </si>
  <si>
    <t>Liefern und Installieren von Überwachungsgerät mit 4 Messkanälen, für Netze mit Trassenausdehnungen die größer als 2000m (Drahtlänge &gt;7000 m pro Kanal) sind.
Inbetriebnahme und Funktionstest.</t>
  </si>
  <si>
    <t>Fornitura e posa di modulo di comunicazione di base per sistema di sorveglianza, adattabile fino a quattro slot.</t>
  </si>
  <si>
    <t>Liefern und Einbau von Kommunikationsbasismodul für Leckagesystem, bestückbar mit bis zu vier Busstellen.</t>
  </si>
  <si>
    <t>Fornitura e posa di modulo bus per modulo di base.</t>
  </si>
  <si>
    <t>Lieferung und Einbau von Busmodul für Basismodul.</t>
  </si>
  <si>
    <t>Fornitura e posa di scatola misurazione ingresso utenza.
Il prezzo é da considerarsi forfettario per ogni allacciamento di utenza.</t>
  </si>
  <si>
    <t>Liefern und Einbau von Messdose Hauseinführung
Der Preis versteht sich pauschal für jede Messdose für einen Hausanschluss.</t>
  </si>
  <si>
    <t>Fornitura e posa di scatola sorveglianza perdite commutabile a distanza.
Il prezzo é da considerarsi forfettario per ogni scatola commutabile a distanza.</t>
  </si>
  <si>
    <t>Liefern und Einbau von fernschaltbarer Messdose.
Der Preis versteht sich pauschal für jede fernschaltbare Messdose.</t>
  </si>
  <si>
    <t>Fornitura e posa di scatola misurazione componente finale.</t>
  </si>
  <si>
    <t>Liefern und Einbau von Messdose für Endkomponenten.</t>
  </si>
  <si>
    <t>Fornitura e posa di scatola misurazione separazione rete.</t>
  </si>
  <si>
    <t>Liefern und Einbau von Messdose für Netztrennung.</t>
  </si>
  <si>
    <t>n.</t>
  </si>
  <si>
    <t>Esecuzione di disegni su CAD delle planimetrie digitali per la rete di sorveglianza perdite.</t>
  </si>
  <si>
    <t>Ausführen der Leckplan- Zeichung als CAD für die Digitalen Lagepläne des Lecküberwachungsnetzes.</t>
  </si>
  <si>
    <t>ml</t>
  </si>
  <si>
    <t>Erfassung der technischen Daten des neu errichteten Bereiches bestehend aus Messung des Isolations-Widerstandes, des Schleifenzustands und die Erstellung eines Reflektogramms.</t>
  </si>
  <si>
    <t>Rilevamento di dati tecnici di un tratto nuovo consistente di misurazione della resistenza d'isolamento, della condizione del circuito e redazione del riflettogramma.</t>
  </si>
  <si>
    <t>Lieferung und Montage einer Kabelausführung IPS-ADN-KAF an den Fernwärmerohren.</t>
  </si>
  <si>
    <t>Richtpreisverzeichnis Tiefbauarbeiten der Autonome Provinz Bozen - 2014
Elenco prezzi informativi della Provincia Autonoma di Bolzano Opere civili non edili - 2014</t>
  </si>
  <si>
    <t>Preisliste Fernheizung aew - 2014
Elenco prezzi aew Teleriscaldamento - 2014</t>
  </si>
  <si>
    <t>Kode von 51 bis 97
Codice da 51 a 97</t>
  </si>
  <si>
    <t>Mit *: Preise die in den Richtpreisverzeichnissen Tiefabuarbeiten nicht enthalten sind, oder mit Varianten in der Beschreibung oder im Betrag (Siehe Analyse)
Con *: prezzi che non sono compresi negli elenchi prezzi Opere civili non edili, oppure per i quali le descrizioni o l'importo sono variati rispetto ad essi (vedi analisi per le v oci più significative)</t>
  </si>
  <si>
    <t>Kode von 51* bis 97*
Codice da 51* a 97*</t>
  </si>
  <si>
    <t>52.02.01.A*</t>
  </si>
  <si>
    <t>52.02.02.99.A*</t>
  </si>
  <si>
    <t>52.02.02.99.B*</t>
  </si>
  <si>
    <t>75.03.02.30.A*</t>
  </si>
  <si>
    <t>75.03.02.30.B*</t>
  </si>
  <si>
    <t>75.03.02.30.C*</t>
  </si>
  <si>
    <t>75.03.02.30.D*</t>
  </si>
  <si>
    <t>Duktiles Gußrohr Klasse K10, normale Verkleidung, zugfeste Verbindung - Nur Verlegung von (75.03.02.21-51.04.45.07 - 2013)</t>
  </si>
  <si>
    <t>Sola posa Tubo di ghisa sferoidale classe K10, riv. norm., giunto antisfilamento (75.03.02.21-51.04.45.07 - 2013)</t>
  </si>
  <si>
    <t>Bogen mit Muffe oder Flansch, (MMK oder  FFK) 22,5°, zugfeste Verbindung oder Flansch PN10-16 - nur Verbindung (75.03.02.31-51.04.45.51 / 2013)</t>
  </si>
  <si>
    <t>Sola posa Curve a bicchieri, (MMK o  FFK) 22,5°, giunto antisfilamento o flangia PN10-16  (75.03.02.31-51.04.45.51 / 2013)</t>
  </si>
  <si>
    <t>Bogen mit Muffe, (MMK) 11,25°, PN 16 für Wasserleitung, zugfeste Verbindung - nur Verbindung   (75.03.02.30-51.04.45.50 / 2013)</t>
  </si>
  <si>
    <t>Sola posa Curve a bicchieri, (MMK) 11,25°, PN 16 per acquedotto, giunto antisfilamento  (75.03.02.30-51.04.45.50 / 2013)</t>
  </si>
  <si>
    <t>Sola posa Curve a bicchieri, (MMK) 30°, PN 16 per acquedotto, giunto antisfilamento  (75.03.02.32-51.04.45.52 / 2013)</t>
  </si>
  <si>
    <t>Bogen mit Muffe, (MMK) 30°, PN 16 für Wasserleitung, zugfeste Verbindung - nur Verbindung   (75.03.02.32-51.04.45.52 / 2013)</t>
  </si>
  <si>
    <t>75.03.02.31*</t>
  </si>
  <si>
    <t>75.03.02.31.A*</t>
  </si>
  <si>
    <t>75.03.02.31.B*</t>
  </si>
  <si>
    <t>75.03.02.31.C*</t>
  </si>
  <si>
    <t>75.03.02.31.D*</t>
  </si>
  <si>
    <t>75.03.02.32*</t>
  </si>
  <si>
    <t>75.03.02.32.A*</t>
  </si>
  <si>
    <t>75.03.02.32.B*</t>
  </si>
  <si>
    <t>75.03.02.32.C*</t>
  </si>
  <si>
    <t>75.03.02.32.D*</t>
  </si>
  <si>
    <t>Sola posa Curve a bicchieri, (MMK) 45°, PN 16 per acquedotto, giunto antisfilamento (75.03.02.33-51.04.45.53 / 2013)</t>
  </si>
  <si>
    <t>Bogen mit Muffe, (MMK) 45°, PN 16 für Wasserleitung, zugfeste Verbindung - nur Verbindung  (75.03.02.33-51.04.45.53 / 2013)</t>
  </si>
  <si>
    <t>75.03.02.33*</t>
  </si>
  <si>
    <t>75.03.02.33.A*</t>
  </si>
  <si>
    <t>75.03.02.33.B*</t>
  </si>
  <si>
    <t>75.03.02.33.C*</t>
  </si>
  <si>
    <t>75.03.02.33.D*</t>
  </si>
  <si>
    <t>75.03.02.34*</t>
  </si>
  <si>
    <t>75.03.02.34.A*</t>
  </si>
  <si>
    <t>75.03.02.34.B*</t>
  </si>
  <si>
    <t>75.03.02.34.C*</t>
  </si>
  <si>
    <t>75.03.02.34.D*</t>
  </si>
  <si>
    <t>Bogen mit Muffe, (MMK) 90°, PN 16 für Wasserleitung, zugfeste Verbindung - nur Verbindung  (75.03.02.34-51.04.45.54 / 2013)</t>
  </si>
  <si>
    <t>Sola posa Curve a bicchieri, (MMK) 90°, PN 16 per acquedotto, giunto antisfilamento   (75.03.02.34-51.04.45.54 / 2013)</t>
  </si>
  <si>
    <t>75.03.02.35*</t>
  </si>
  <si>
    <t>75.03.02.35.A*</t>
  </si>
  <si>
    <t>75.03.02.35.B*</t>
  </si>
  <si>
    <t>75.03.02.35.C*</t>
  </si>
  <si>
    <t>75.03.02.35.D*</t>
  </si>
  <si>
    <t>Sola posa Pezzo flangiato con o senza bicchiere, (EU o F), giunto antisfilamento o flangia PN10-16 (75.03.02.35-51.04.45.61 / 2013)</t>
  </si>
  <si>
    <t>Flanschstück mit oder ohne Muffe , (EU oder  F), zugfeste Verbindung oder Flansch PN10-16 - nur Verbindung  (75.03.02.35-51.04.45.61 / 2013)</t>
  </si>
  <si>
    <t>Sola posa Manicotto (U), giunto antisfilamento (75.03.02.40-51.04.45.61 / 2013)</t>
  </si>
  <si>
    <t>75.03.02.60*</t>
  </si>
  <si>
    <t>TT - DN 100</t>
  </si>
  <si>
    <t>TT - DN 125</t>
  </si>
  <si>
    <t>TT - DN 150</t>
  </si>
  <si>
    <t>TT - DN 200</t>
  </si>
  <si>
    <t>TT - DN 250</t>
  </si>
  <si>
    <t>TT - DN 300</t>
  </si>
  <si>
    <t>T - DN 80/80</t>
  </si>
  <si>
    <t>T - DN 100/80</t>
  </si>
  <si>
    <t>T - DN 100/100</t>
  </si>
  <si>
    <t>T - DN 125/80</t>
  </si>
  <si>
    <t>T DN 125/100</t>
  </si>
  <si>
    <t>T - DN 125/125</t>
  </si>
  <si>
    <t>T - DN 150/100</t>
  </si>
  <si>
    <t>T - DN 150/125</t>
  </si>
  <si>
    <t>M</t>
  </si>
  <si>
    <t>O</t>
  </si>
  <si>
    <t>Diramazione a flange, (TT - T) PN10-16, per tubo acquedotto (75.03.02.60-51.04.45.60 / 2013)</t>
  </si>
  <si>
    <t>Abzweiger mit Flanschen, (TT - T) PN10-16, für Wasserleitungsrohr (75.03.02.60-51.04.45.60 / 2013)</t>
  </si>
  <si>
    <t>75.03.02.60.B*</t>
  </si>
  <si>
    <t>75.03.02.60.C*</t>
  </si>
  <si>
    <t>75.03.02.60.D*</t>
  </si>
  <si>
    <t>75.03.02.60.E*</t>
  </si>
  <si>
    <t>75.03.02.60.F*</t>
  </si>
  <si>
    <t>75.03.02.60.G*</t>
  </si>
  <si>
    <t>75.03.02.60.H*</t>
  </si>
  <si>
    <t>75.03.02.60.I*</t>
  </si>
  <si>
    <t>75.03.02.60.J*</t>
  </si>
  <si>
    <t>75.03.02.60.K*</t>
  </si>
  <si>
    <t>75.03.02.60.L*</t>
  </si>
  <si>
    <t>75.03.02.60.M*</t>
  </si>
  <si>
    <t>75.03.02.60.N*</t>
  </si>
  <si>
    <t>75.03.02.60.O*</t>
  </si>
  <si>
    <t>75.03.02.40*</t>
  </si>
  <si>
    <t>75.03.02.40.A*</t>
  </si>
  <si>
    <t>75.03.02.40.B*</t>
  </si>
  <si>
    <t>75.03.02.40.C*</t>
  </si>
  <si>
    <t>75.03.02.40.D*</t>
  </si>
  <si>
    <t>Saugbagger</t>
  </si>
  <si>
    <t>Escavatore a risucchio</t>
  </si>
  <si>
    <t>51.02.02.06*</t>
  </si>
  <si>
    <t>Fornitura e montaggio di estrazione cavi IPS-ADN-KAF sui tubi di teleriscaldamento + armadietto 1.30x30x16.</t>
  </si>
  <si>
    <t>Sistema IPS-Cu per la sorveglianza continua di tubazioni coibentate in merito a penetrazioni di umidità.</t>
  </si>
  <si>
    <t>Netzüberwachung IPS - CU f kontinuierlichen Überwachung von gedämmten Rohrleitungen auf Durchfeuchtungen.</t>
  </si>
  <si>
    <t>Preisliste Öffentliche Beleuchtung - Anlage 2.11 - von Lutz
Elenco prezzi Illuminazione Pubblica - Allegato 2.11 - von Luz</t>
  </si>
  <si>
    <t>Seitliche Abschalung für Streifenfundamente - für Oberflächenstruktur S1-S2</t>
  </si>
  <si>
    <t>Casseratura laterale per fondazioni - struttura superficiale S1-S2</t>
  </si>
  <si>
    <t>58.02.01.02.A</t>
  </si>
  <si>
    <t>67.05.05.03.C</t>
  </si>
  <si>
    <t>75.20.02.05</t>
  </si>
  <si>
    <t>75.20.02.05.A</t>
  </si>
  <si>
    <t>75.20.02.05.F</t>
  </si>
  <si>
    <t xml:space="preserve">n </t>
  </si>
  <si>
    <t>77.06.01.01.B</t>
  </si>
  <si>
    <t>77.06.01.01.C</t>
  </si>
  <si>
    <t>77.06.01.01.D</t>
  </si>
  <si>
    <t>77.16.01.01.A</t>
  </si>
  <si>
    <t>77.50.10.01.A</t>
  </si>
  <si>
    <t>77.50.10.01.AA*</t>
  </si>
  <si>
    <t>Schachtfutter (Stutzen) für Betonrohre DN160</t>
  </si>
  <si>
    <t>Manicotti (innesti) per tubi in cemento DN160</t>
  </si>
  <si>
    <t>Schachtfutter (Stutzen) für Betonrohre DN300</t>
  </si>
  <si>
    <t>Manicotti (innesti) per tubi in cemento DN300</t>
  </si>
  <si>
    <t>78.01.02.01.C</t>
  </si>
  <si>
    <t>78.01.01.25.A*</t>
  </si>
  <si>
    <t>78.01.01.25.B*</t>
  </si>
  <si>
    <t>Liefern und Einbau von rechteckigen Schachtabdeckungen EN 124 aus Sphäroguß, mit dreieckförmigen Deckelhälften Klasse D 400 ohne Lüftungsöffnungen, industrielle Fertigung. 60 x 60 cm</t>
  </si>
  <si>
    <t>Fornitura e posa di chiusini rettangolari EN 124 in ghisa sferoidale, con semicoperchi triangolari classe D 400 senza aperture di aereazione, di produzione industriale. 60 x 60 cm</t>
  </si>
  <si>
    <t>Liefern und Einbau von rechteckigen Schachtabdeckungen EN 124 aus Sphäroguß, mit dreieckförmigen Deckelhälften Klasse D 400 ohne Lüftungsöffnungen, industrielle Fertigung. 60 x 120 cm</t>
  </si>
  <si>
    <t>Fornitura e posa di chiusini rettangolari EN 124 in ghisa sferoidale, con semicoperchi triangolari classe D 400 senza aperture di aereazione, di produzione industriale. 60 x 120 cm</t>
  </si>
  <si>
    <t>85.05.05.05</t>
  </si>
  <si>
    <t>Aufbringen einer Haftschicht aus normaler Bitumenemulsion</t>
  </si>
  <si>
    <t>Applicazione di una mano d’attacco di emulsione di bitume normale</t>
  </si>
  <si>
    <t>85.05.10.01</t>
  </si>
  <si>
    <t>Baustelleneinrichtung für den Einbau von bituminösen Belagsschichten.</t>
  </si>
  <si>
    <t>Installazione di cantiere per posa di conglomerati bituminosi.</t>
  </si>
  <si>
    <t>Bituminöses Mischgut AC32 für Tragschichten</t>
  </si>
  <si>
    <t>Conglomerato bituminoso AC32 per strato di base</t>
  </si>
  <si>
    <t xml:space="preserve">Bituminöses Mischgut AC16 für Binderschichten je m2 und cm Schichtstärke, eingebaut </t>
  </si>
  <si>
    <t xml:space="preserve">Conglomerato bituminoso AC16 per strato di collegamento binder per ogni m2 e ogni cm di spessore finito   </t>
  </si>
  <si>
    <t xml:space="preserve">Bituminöses Mischgut, AC12 für Verschleißschichten 1.Kategorie Schichtstärke, eingebaut: 3 cm    </t>
  </si>
  <si>
    <t xml:space="preserve">Conglomerato bituminoso AC12 per strato d'usura di 1. Categoria spessore finito &lt;cm&gt;: 3  </t>
  </si>
  <si>
    <t>Bituminöses Mischgut, AC12 für Verschleißschichten 1.Kategorie Schichtstärke, variable  Schichtstärke</t>
  </si>
  <si>
    <t>Conglomerato bituminoso AC12 per strato d'usura di 1. Categoria, spessore variabile</t>
  </si>
  <si>
    <t>86.01.01.07.B</t>
  </si>
  <si>
    <t>Rohrstange aus Stahl S235 -  Ø60 mm 4,20 Kg/m mit Drehsicherung</t>
  </si>
  <si>
    <t>Palo tubolare in acciaio S235 -  Ø60 mm 4,20 Kg/m con dispositivo antirotazione</t>
  </si>
  <si>
    <r>
      <t xml:space="preserve">87 - </t>
    </r>
    <r>
      <rPr>
        <b/>
        <sz val="10"/>
        <color rgb="FFFF0000"/>
        <rFont val="Ecofont Vera Sans"/>
        <family val="2"/>
      </rPr>
      <t>E*</t>
    </r>
  </si>
  <si>
    <t>Kode von 54*bis78*
Cod. da 54* a 78*</t>
  </si>
  <si>
    <t>RIPARTIZIONE LAVORI SU LINEA GAS METANO</t>
  </si>
  <si>
    <t xml:space="preserve">Erd- und Mauerarbeiten: Allgemeine Baustellenleisten </t>
  </si>
  <si>
    <t xml:space="preserve">Opere in terra e murarie: Oneri generali di cantiere </t>
  </si>
  <si>
    <t>Durchführen von Schweissnahtprüfung DN 50-80 mittels Ultraschall. Inklusive sämtlicher Spesen und Nebenkosten sowie der Ausarbeitung der Prüfprotokolle</t>
  </si>
  <si>
    <t>3 KOSTENSCHÄTZUNG - 3 STIMA DEI COSTI</t>
  </si>
  <si>
    <t>Acquedotto - Teleriscaldamento</t>
  </si>
  <si>
    <t>Abtragen von bituminösem Belag mit Fräse</t>
  </si>
  <si>
    <t>85.05.01.01</t>
  </si>
  <si>
    <t>85.05.01.01.B</t>
  </si>
  <si>
    <t>Asportazione di pavimentazione con fresa</t>
  </si>
  <si>
    <t>s bis 3,0 cm</t>
  </si>
  <si>
    <t>85.05.01.01.C</t>
  </si>
  <si>
    <t>per s fino a 3,0 cm</t>
  </si>
  <si>
    <t>für jeden cm s über 3,0</t>
  </si>
  <si>
    <t>per ogni cm di s oltre i primi 3,0</t>
  </si>
  <si>
    <t>99*</t>
  </si>
  <si>
    <t>99.01.01*</t>
  </si>
  <si>
    <t>99.01.01.01*</t>
  </si>
  <si>
    <t>99.01.01.02*</t>
  </si>
  <si>
    <t>99.01.01.03*</t>
  </si>
  <si>
    <t>99.01.01.04*</t>
  </si>
  <si>
    <t>99.01.01.05*</t>
  </si>
  <si>
    <t>99.01.01.06*</t>
  </si>
  <si>
    <t>99.01.01.07*</t>
  </si>
  <si>
    <t>99.01.01.08*</t>
  </si>
  <si>
    <t>99.01.01.09*</t>
  </si>
  <si>
    <t>99.01.01.10*</t>
  </si>
  <si>
    <t>99.01.03*</t>
  </si>
  <si>
    <t>99.01.03.08*</t>
  </si>
  <si>
    <t>99.01.03.09*</t>
  </si>
  <si>
    <t>99.01.03.10*</t>
  </si>
  <si>
    <t>99.01.04*</t>
  </si>
  <si>
    <t>99.01.04.07*</t>
  </si>
  <si>
    <t>99.01.05*</t>
  </si>
  <si>
    <t>99.01.05.01*</t>
  </si>
  <si>
    <t>99.01.05.02*</t>
  </si>
  <si>
    <t>99.01.05.03*</t>
  </si>
  <si>
    <t>99.01.05.04*</t>
  </si>
  <si>
    <t>99.01.05.05*</t>
  </si>
  <si>
    <t>99.01.05.06*</t>
  </si>
  <si>
    <t>99.01.06*</t>
  </si>
  <si>
    <t>99.01.06.02*</t>
  </si>
  <si>
    <t>99.01.06.03*</t>
  </si>
  <si>
    <t>99.01.06.04*</t>
  </si>
  <si>
    <t>99.01.06.04a*</t>
  </si>
  <si>
    <t>99.01.06.05*</t>
  </si>
  <si>
    <t>99.01.06.06*</t>
  </si>
  <si>
    <t>99.01.06.07*</t>
  </si>
  <si>
    <t>99.01.06.08*</t>
  </si>
  <si>
    <t>99.01.06.09*</t>
  </si>
  <si>
    <t>99.01.07*</t>
  </si>
  <si>
    <t>99.01.07.01*</t>
  </si>
  <si>
    <t>99.01.07.02*</t>
  </si>
  <si>
    <t>99.01.07.03*</t>
  </si>
  <si>
    <t>99.01.07.04*</t>
  </si>
  <si>
    <t>99.01.07.05*</t>
  </si>
  <si>
    <t>99.01.07.06*</t>
  </si>
  <si>
    <t>99.01.07.07*</t>
  </si>
  <si>
    <t>99.01.07.08*</t>
  </si>
  <si>
    <t>99.01.07.09*</t>
  </si>
  <si>
    <t>99.01.07.10*</t>
  </si>
  <si>
    <t>99.01.08*</t>
  </si>
  <si>
    <t>99.01.08.03*</t>
  </si>
  <si>
    <t>99.01.08.09*</t>
  </si>
  <si>
    <t>99.01.09*</t>
  </si>
  <si>
    <t>99.01.09.01*</t>
  </si>
  <si>
    <t>99.01.09.02*</t>
  </si>
  <si>
    <t>99.01.09.03*</t>
  </si>
  <si>
    <t>99.01.09.04*</t>
  </si>
  <si>
    <t>99.01.09.05*</t>
  </si>
  <si>
    <t>99.01.09.06*</t>
  </si>
  <si>
    <t>99.01.09.07*</t>
  </si>
  <si>
    <t>99.01.09.08*</t>
  </si>
  <si>
    <t>99.01.09.09*</t>
  </si>
  <si>
    <t>99.01.09.10*</t>
  </si>
  <si>
    <t>99.01.10*</t>
  </si>
  <si>
    <t>99.01.10.01*</t>
  </si>
  <si>
    <t>99.01.10.09*</t>
  </si>
  <si>
    <t>99.01.10.20*</t>
  </si>
  <si>
    <t>99.01.10.21*</t>
  </si>
  <si>
    <t>99.01.10.33*</t>
  </si>
  <si>
    <t>99.01.10.34*</t>
  </si>
  <si>
    <t>99.01.10.35*</t>
  </si>
  <si>
    <t>99.01.10.44*</t>
  </si>
  <si>
    <t>99.01.10.46*</t>
  </si>
  <si>
    <t>99.01.10.48*</t>
  </si>
  <si>
    <t>99.01.11*</t>
  </si>
  <si>
    <t>99.01.11.01.a*</t>
  </si>
  <si>
    <t>99.01.11.01.b*</t>
  </si>
  <si>
    <t>99.01.11.10*</t>
  </si>
  <si>
    <t>99.01.12*</t>
  </si>
  <si>
    <t>99.01.12.01*</t>
  </si>
  <si>
    <t>99.01.12.02*</t>
  </si>
  <si>
    <t>99.01.14*</t>
  </si>
  <si>
    <t>99.01.14.01.a*</t>
  </si>
  <si>
    <t>99.01.14.01.b*</t>
  </si>
  <si>
    <t>99.01.14.01.c*</t>
  </si>
  <si>
    <t>99.01.14.01.e*</t>
  </si>
  <si>
    <t>99.01.20.01*</t>
  </si>
  <si>
    <t>99.01.21*</t>
  </si>
  <si>
    <t>99.01.21.01.a*</t>
  </si>
  <si>
    <t>99.01.21.01.b*</t>
  </si>
  <si>
    <t>99.01.21.01.c*</t>
  </si>
  <si>
    <t>99.01.22*</t>
  </si>
  <si>
    <t>99.01.22.02.a*</t>
  </si>
  <si>
    <t>99.01.22.02.b*</t>
  </si>
  <si>
    <t>99.01.22.02.c*</t>
  </si>
  <si>
    <t>99.01.25*</t>
  </si>
  <si>
    <t>99.01.25.04*</t>
  </si>
  <si>
    <t>99.01.25.07*</t>
  </si>
  <si>
    <t>99.01.25.08*</t>
  </si>
  <si>
    <t>99.01.25.15*</t>
  </si>
  <si>
    <t>99.01.25.16*</t>
  </si>
  <si>
    <t>99.01.27.01*</t>
  </si>
  <si>
    <t>E*</t>
  </si>
  <si>
    <t>E.02*</t>
  </si>
  <si>
    <t>E.02.01*</t>
  </si>
  <si>
    <t>E.02.01.25*</t>
  </si>
  <si>
    <t>E.02.05.10*</t>
  </si>
  <si>
    <t>E.02.50*</t>
  </si>
  <si>
    <t>E.02.50.01*</t>
  </si>
  <si>
    <t>E.02.50.01.a)*
(AP01)</t>
  </si>
  <si>
    <t>E.02.50.07.b)*
(AP02)</t>
  </si>
  <si>
    <t>E.03*</t>
  </si>
  <si>
    <t>E.03.01*</t>
  </si>
  <si>
    <t>E.03.01.10*</t>
  </si>
  <si>
    <t>E.03.40*</t>
  </si>
  <si>
    <t>E.03.40.01*</t>
  </si>
  <si>
    <t>E.03.40.02*</t>
  </si>
  <si>
    <t>E.03.50*</t>
  </si>
  <si>
    <t>E.03.50.01*</t>
  </si>
  <si>
    <t>E.03.50.01.a)*
(AP03)</t>
  </si>
  <si>
    <t>E.03.60*</t>
  </si>
  <si>
    <t>E.03.60.90*</t>
  </si>
  <si>
    <t>E.03.60.90.a)*
(TB 53.15.01)</t>
  </si>
  <si>
    <t>E.03.60.90.b)*
(TB 53.15.01)</t>
  </si>
  <si>
    <t>E.07*</t>
  </si>
  <si>
    <t>E.07.10*</t>
  </si>
  <si>
    <t>E.07.10.12*</t>
  </si>
  <si>
    <t>E.07.10.12.a)*
(AP04)</t>
  </si>
  <si>
    <t>E.15*</t>
  </si>
  <si>
    <t>E.15.01*</t>
  </si>
  <si>
    <t>E.15.01.20*</t>
  </si>
  <si>
    <t>E.15.01.30*</t>
  </si>
  <si>
    <t>E.15.30*</t>
  </si>
  <si>
    <t>E.15.30.01*</t>
  </si>
  <si>
    <t>E.15.30.01.a)*
(AP06)</t>
  </si>
  <si>
    <t>E.15.30.01.b)*
(AP07)</t>
  </si>
  <si>
    <t>E.15.50*</t>
  </si>
  <si>
    <t>E.15.50.01*</t>
  </si>
  <si>
    <t>E.15.50.01.a)*
(AP08)</t>
  </si>
  <si>
    <t>E.36*</t>
  </si>
  <si>
    <t>E.36.10*</t>
  </si>
  <si>
    <t>E.36.10.20*</t>
  </si>
  <si>
    <t>E.36.50*</t>
  </si>
  <si>
    <t>E.36.50.01*</t>
  </si>
  <si>
    <t>E.40*</t>
  </si>
  <si>
    <t>E.40.01*</t>
  </si>
  <si>
    <t>E.40.01.01*</t>
  </si>
  <si>
    <t>E.50*</t>
  </si>
  <si>
    <t>E.50.01*</t>
  </si>
  <si>
    <t>E.50.01.01*</t>
  </si>
  <si>
    <t>E.50.01.01.a)*
(AP09)</t>
  </si>
  <si>
    <t>87 - E*</t>
  </si>
  <si>
    <t>Kode E*
Cod. E*</t>
  </si>
  <si>
    <t>Kode 99*
Codice 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</si>
</sst>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0000"/>
    <numFmt numFmtId="166" formatCode="0.0"/>
    <numFmt numFmtId="167" formatCode="0.000"/>
    <numFmt numFmtId="168" formatCode="0.0%"/>
    <numFmt numFmtId="169" formatCode="0.0000%"/>
    <numFmt numFmtId="170" formatCode="_-* #,##0.00&quot; €&quot;_-;\-* #,##0.00&quot; €&quot;_-;_-* \-??&quot; €&quot;_-;_-@_-"/>
  </numFmts>
  <fonts count="86">
    <font>
      <sz val="10"/>
      <name val="Arial"/>
    </font>
    <font>
      <b/>
      <sz val="10"/>
      <name val="MS Sans Serif"/>
      <family val="2"/>
    </font>
    <font>
      <sz val="10"/>
      <name val="MS Sans Serif"/>
      <family val="2"/>
    </font>
    <font>
      <sz val="8.5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color indexed="10"/>
      <name val="MS Sans Serif"/>
      <family val="2"/>
    </font>
    <font>
      <b/>
      <sz val="10"/>
      <color indexed="10"/>
      <name val="MS Sans Serif"/>
      <family val="2"/>
    </font>
    <font>
      <sz val="10"/>
      <color indexed="10"/>
      <name val="MS Sans Serif"/>
      <family val="2"/>
    </font>
    <font>
      <b/>
      <sz val="10"/>
      <color indexed="10"/>
      <name val="MS Sans Serif"/>
      <family val="2"/>
    </font>
    <font>
      <sz val="12"/>
      <name val="MS Sans Serif"/>
      <family val="2"/>
    </font>
    <font>
      <b/>
      <sz val="18"/>
      <name val="Ecofont Vera Sans"/>
      <family val="2"/>
    </font>
    <font>
      <b/>
      <sz val="10"/>
      <name val="Ecofont Vera Sans"/>
      <family val="2"/>
    </font>
    <font>
      <sz val="10"/>
      <name val="Ecofont Vera Sans"/>
      <family val="2"/>
    </font>
    <font>
      <sz val="18"/>
      <name val="Ecofont Vera Sans"/>
      <family val="2"/>
    </font>
    <font>
      <sz val="8.5"/>
      <name val="Ecofont Vera Sans"/>
      <family val="2"/>
    </font>
    <font>
      <sz val="8"/>
      <name val="Ecofont Vera Sans"/>
      <family val="2"/>
    </font>
    <font>
      <sz val="11"/>
      <name val="Ecofont Vera Sans"/>
      <family val="2"/>
    </font>
    <font>
      <sz val="12"/>
      <name val="Ecofont Vera Sans"/>
      <family val="2"/>
    </font>
    <font>
      <sz val="12"/>
      <color indexed="12"/>
      <name val="Ecofont Vera Sans"/>
      <family val="2"/>
    </font>
    <font>
      <sz val="10"/>
      <color indexed="10"/>
      <name val="Ecofont Vera Sans"/>
      <family val="2"/>
    </font>
    <font>
      <sz val="12"/>
      <color indexed="10"/>
      <name val="Ecofont Vera Sans"/>
      <family val="2"/>
    </font>
    <font>
      <b/>
      <sz val="11"/>
      <name val="Ecofont Vera Sans"/>
      <family val="2"/>
    </font>
    <font>
      <sz val="11"/>
      <color indexed="10"/>
      <name val="Ecofont Vera Sans"/>
      <family val="2"/>
    </font>
    <font>
      <sz val="11"/>
      <color indexed="12"/>
      <name val="Ecofont Vera Sans"/>
      <family val="2"/>
    </font>
    <font>
      <sz val="7.5"/>
      <name val="Ecofont Vera Sans"/>
      <family val="2"/>
    </font>
    <font>
      <b/>
      <sz val="7.5"/>
      <name val="Ecofont Vera Sans"/>
      <family val="2"/>
    </font>
    <font>
      <b/>
      <sz val="12"/>
      <name val="Ecofont Vera Sans"/>
      <family val="2"/>
    </font>
    <font>
      <b/>
      <sz val="18"/>
      <color indexed="10"/>
      <name val="Ecofont Vera Sans"/>
      <family val="2"/>
    </font>
    <font>
      <b/>
      <sz val="13.5"/>
      <name val="Ecofont Vera Sans"/>
      <family val="2"/>
    </font>
    <font>
      <b/>
      <sz val="14"/>
      <name val="Ecofont Vera Sans"/>
      <family val="2"/>
    </font>
    <font>
      <sz val="11"/>
      <color indexed="55"/>
      <name val="Ecofont Vera Sans"/>
      <family val="2"/>
    </font>
    <font>
      <b/>
      <sz val="12"/>
      <name val="Ecofont Vera Sans"/>
      <family val="2"/>
    </font>
    <font>
      <sz val="12"/>
      <name val="Ecofont Vera Sans"/>
      <family val="2"/>
    </font>
    <font>
      <b/>
      <sz val="12"/>
      <color indexed="55"/>
      <name val="Ecofont Vera Sans"/>
      <family val="2"/>
    </font>
    <font>
      <sz val="12"/>
      <color indexed="55"/>
      <name val="Ecofont Vera Sans"/>
      <family val="2"/>
    </font>
    <font>
      <sz val="8"/>
      <name val="MS Sans Serif"/>
      <family val="2"/>
    </font>
    <font>
      <sz val="11"/>
      <name val="Arial"/>
      <family val="2"/>
    </font>
    <font>
      <sz val="9"/>
      <name val="Ecofont Vera Sans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2"/>
      <color indexed="17"/>
      <name val="Ecofont Vera Sans"/>
      <family val="2"/>
    </font>
    <font>
      <sz val="10"/>
      <color indexed="17"/>
      <name val="Ecofont Vera Sans"/>
      <family val="2"/>
    </font>
    <font>
      <b/>
      <u/>
      <sz val="10"/>
      <name val="Ecofont Vera Sans"/>
      <family val="2"/>
    </font>
    <font>
      <b/>
      <sz val="10"/>
      <color indexed="22"/>
      <name val="Ecofont Vera Sans"/>
      <family val="2"/>
    </font>
    <font>
      <sz val="10"/>
      <color indexed="30"/>
      <name val="Ecofont Vera Sans"/>
      <family val="2"/>
    </font>
    <font>
      <sz val="10"/>
      <color indexed="12"/>
      <name val="Ecofont Vera Sans"/>
      <family val="2"/>
    </font>
    <font>
      <sz val="10"/>
      <color indexed="8"/>
      <name val="Calibri"/>
      <family val="2"/>
    </font>
    <font>
      <i/>
      <sz val="12"/>
      <name val="Ecofont Vera Sans"/>
      <family val="2"/>
    </font>
    <font>
      <sz val="10"/>
      <color indexed="12"/>
      <name val="Arial"/>
      <family val="2"/>
    </font>
    <font>
      <i/>
      <sz val="12"/>
      <color indexed="10"/>
      <name val="Ecofont Vera Sans"/>
      <family val="2"/>
    </font>
    <font>
      <b/>
      <sz val="10"/>
      <color indexed="12"/>
      <name val="Ecofont Vera Sans"/>
      <family val="2"/>
    </font>
    <font>
      <sz val="8"/>
      <name val="Arial"/>
      <family val="2"/>
    </font>
    <font>
      <sz val="10"/>
      <color indexed="8"/>
      <name val="Ecofont Vera Sans"/>
      <family val="2"/>
    </font>
    <font>
      <sz val="10"/>
      <color indexed="10"/>
      <name val="Arial"/>
      <family val="2"/>
    </font>
    <font>
      <i/>
      <sz val="10"/>
      <name val="Ecofont Vera Sans"/>
      <family val="2"/>
    </font>
    <font>
      <i/>
      <sz val="10"/>
      <color indexed="10"/>
      <name val="Ecofont Vera Sans"/>
      <family val="2"/>
    </font>
    <font>
      <sz val="6"/>
      <name val="Ecofont Vera Sans"/>
      <family val="2"/>
    </font>
    <font>
      <sz val="10"/>
      <color rgb="FFFF0000"/>
      <name val="Ecofont Vera Sans"/>
      <family val="2"/>
    </font>
    <font>
      <sz val="10"/>
      <color rgb="FFFF00FF"/>
      <name val="Ecofont Vera Sans"/>
      <family val="2"/>
    </font>
    <font>
      <sz val="11"/>
      <color rgb="FFFF0000"/>
      <name val="Ecofont Vera Sans"/>
      <family val="2"/>
    </font>
    <font>
      <b/>
      <sz val="10"/>
      <color rgb="FFFF0000"/>
      <name val="Ecofont Vera Sans"/>
      <family val="2"/>
    </font>
    <font>
      <i/>
      <sz val="10"/>
      <color rgb="FFFF0000"/>
      <name val="Ecofont Vera Sans"/>
      <family val="2"/>
    </font>
    <font>
      <sz val="12"/>
      <color rgb="FFFF0000"/>
      <name val="Ecofont Vera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Calibri"/>
      <family val="2"/>
    </font>
    <font>
      <i/>
      <sz val="10"/>
      <color indexed="12"/>
      <name val="Ecofont Vera Sans"/>
      <family val="2"/>
    </font>
    <font>
      <sz val="10"/>
      <color indexed="8"/>
      <name val="Arial"/>
      <family val="2"/>
      <charset val="1"/>
    </font>
    <font>
      <i/>
      <sz val="11"/>
      <name val="Ecofont Vera Sans"/>
      <family val="2"/>
    </font>
    <font>
      <sz val="10"/>
      <name val="Arial"/>
      <family val="2"/>
      <charset val="1"/>
    </font>
    <font>
      <sz val="10"/>
      <color rgb="FF0033CC"/>
      <name val="Ecofont Vera Sans"/>
      <family val="2"/>
    </font>
    <font>
      <b/>
      <sz val="10"/>
      <color rgb="FF0033CC"/>
      <name val="Ecofont Vera Sans"/>
      <family val="2"/>
    </font>
    <font>
      <sz val="12"/>
      <color rgb="FF0033CC"/>
      <name val="Ecofont Vera Sans"/>
      <family val="2"/>
    </font>
    <font>
      <sz val="11"/>
      <color rgb="FF0033CC"/>
      <name val="Ecofont Vera Sans"/>
      <family val="2"/>
    </font>
    <font>
      <sz val="8"/>
      <color rgb="FF0033CC"/>
      <name val="Ecofont Vera Sans"/>
      <family val="2"/>
    </font>
    <font>
      <sz val="8"/>
      <color rgb="FFFF0000"/>
      <name val="Ecofont Vera Sans"/>
      <family val="2"/>
    </font>
    <font>
      <sz val="7"/>
      <name val="Ecofont Vera Sans"/>
      <family val="2"/>
    </font>
    <font>
      <i/>
      <sz val="8"/>
      <name val="Ecofont Vera Sans"/>
      <family val="2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</patternFill>
    </fill>
    <fill>
      <patternFill patternType="solid">
        <fgColor indexed="15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9D9D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170" fontId="6" fillId="0" borderId="0" applyFill="0" applyBorder="0" applyAlignment="0" applyProtection="0"/>
  </cellStyleXfs>
  <cellXfs count="954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4" xfId="0" applyFont="1" applyBorder="1"/>
    <xf numFmtId="0" fontId="9" fillId="0" borderId="5" xfId="0" applyFont="1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3" xfId="0" applyFill="1" applyBorder="1"/>
    <xf numFmtId="0" fontId="0" fillId="0" borderId="8" xfId="0" applyFill="1" applyBorder="1"/>
    <xf numFmtId="0" fontId="0" fillId="0" borderId="9" xfId="0" applyFill="1" applyBorder="1"/>
    <xf numFmtId="4" fontId="1" fillId="0" borderId="7" xfId="0" applyNumberFormat="1" applyFont="1" applyBorder="1"/>
    <xf numFmtId="3" fontId="0" fillId="0" borderId="10" xfId="0" applyNumberFormat="1" applyBorder="1"/>
    <xf numFmtId="3" fontId="3" fillId="0" borderId="7" xfId="0" applyNumberFormat="1" applyFont="1" applyBorder="1"/>
    <xf numFmtId="0" fontId="1" fillId="0" borderId="10" xfId="0" applyFont="1" applyBorder="1"/>
    <xf numFmtId="3" fontId="0" fillId="0" borderId="7" xfId="0" applyNumberFormat="1" applyBorder="1" applyAlignment="1">
      <alignment horizontal="center"/>
    </xf>
    <xf numFmtId="0" fontId="0" fillId="0" borderId="10" xfId="0" applyBorder="1"/>
    <xf numFmtId="4" fontId="0" fillId="0" borderId="7" xfId="0" applyNumberFormat="1" applyBorder="1"/>
    <xf numFmtId="164" fontId="0" fillId="0" borderId="7" xfId="0" applyNumberFormat="1" applyBorder="1"/>
    <xf numFmtId="0" fontId="9" fillId="0" borderId="7" xfId="0" applyFont="1" applyBorder="1"/>
    <xf numFmtId="165" fontId="0" fillId="0" borderId="0" xfId="0" quotePrefix="1" applyNumberFormat="1" applyBorder="1"/>
    <xf numFmtId="165" fontId="0" fillId="0" borderId="11" xfId="0" quotePrefix="1" applyNumberFormat="1" applyBorder="1"/>
    <xf numFmtId="0" fontId="0" fillId="0" borderId="12" xfId="0" applyBorder="1"/>
    <xf numFmtId="0" fontId="5" fillId="2" borderId="13" xfId="0" applyFont="1" applyFill="1" applyBorder="1"/>
    <xf numFmtId="4" fontId="11" fillId="0" borderId="7" xfId="0" applyNumberFormat="1" applyFont="1" applyBorder="1"/>
    <xf numFmtId="0" fontId="2" fillId="0" borderId="7" xfId="0" applyFont="1" applyBorder="1"/>
    <xf numFmtId="0" fontId="0" fillId="0" borderId="0" xfId="0" quotePrefix="1" applyBorder="1"/>
    <xf numFmtId="0" fontId="11" fillId="0" borderId="7" xfId="0" quotePrefix="1" applyFont="1" applyBorder="1"/>
    <xf numFmtId="166" fontId="11" fillId="0" borderId="7" xfId="0" applyNumberFormat="1" applyFont="1" applyBorder="1"/>
    <xf numFmtId="3" fontId="11" fillId="0" borderId="7" xfId="0" applyNumberFormat="1" applyFont="1" applyBorder="1"/>
    <xf numFmtId="0" fontId="0" fillId="0" borderId="10" xfId="0" applyFill="1" applyBorder="1"/>
    <xf numFmtId="0" fontId="2" fillId="0" borderId="11" xfId="0" applyFont="1" applyBorder="1"/>
    <xf numFmtId="0" fontId="0" fillId="0" borderId="14" xfId="0" applyFill="1" applyBorder="1"/>
    <xf numFmtId="0" fontId="0" fillId="0" borderId="14" xfId="0" applyBorder="1"/>
    <xf numFmtId="3" fontId="12" fillId="0" borderId="7" xfId="0" applyNumberFormat="1" applyFont="1" applyBorder="1"/>
    <xf numFmtId="2" fontId="11" fillId="0" borderId="7" xfId="0" applyNumberFormat="1" applyFont="1" applyBorder="1"/>
    <xf numFmtId="3" fontId="0" fillId="0" borderId="10" xfId="0" quotePrefix="1" applyNumberFormat="1" applyBorder="1"/>
    <xf numFmtId="166" fontId="0" fillId="0" borderId="10" xfId="0" applyNumberFormat="1" applyBorder="1"/>
    <xf numFmtId="9" fontId="11" fillId="0" borderId="7" xfId="0" applyNumberFormat="1" applyFont="1" applyBorder="1"/>
    <xf numFmtId="9" fontId="0" fillId="0" borderId="10" xfId="0" applyNumberFormat="1" applyBorder="1"/>
    <xf numFmtId="4" fontId="12" fillId="0" borderId="7" xfId="0" quotePrefix="1" applyNumberFormat="1" applyFont="1" applyBorder="1"/>
    <xf numFmtId="3" fontId="9" fillId="0" borderId="10" xfId="0" quotePrefix="1" applyNumberFormat="1" applyFont="1" applyBorder="1"/>
    <xf numFmtId="4" fontId="12" fillId="0" borderId="7" xfId="0" applyNumberFormat="1" applyFont="1" applyBorder="1"/>
    <xf numFmtId="3" fontId="9" fillId="0" borderId="10" xfId="0" applyNumberFormat="1" applyFont="1" applyBorder="1"/>
    <xf numFmtId="3" fontId="8" fillId="0" borderId="10" xfId="0" applyNumberFormat="1" applyFont="1" applyBorder="1"/>
    <xf numFmtId="0" fontId="0" fillId="3" borderId="4" xfId="0" applyFill="1" applyBorder="1"/>
    <xf numFmtId="0" fontId="0" fillId="3" borderId="6" xfId="0" applyFill="1" applyBorder="1"/>
    <xf numFmtId="4" fontId="11" fillId="0" borderId="2" xfId="0" applyNumberFormat="1" applyFont="1" applyBorder="1"/>
    <xf numFmtId="0" fontId="0" fillId="0" borderId="8" xfId="0" applyBorder="1"/>
    <xf numFmtId="0" fontId="0" fillId="0" borderId="9" xfId="0" applyBorder="1"/>
    <xf numFmtId="165" fontId="0" fillId="0" borderId="10" xfId="0" applyNumberFormat="1" applyBorder="1"/>
    <xf numFmtId="0" fontId="0" fillId="0" borderId="11" xfId="0" applyBorder="1"/>
    <xf numFmtId="4" fontId="11" fillId="0" borderId="11" xfId="0" applyNumberFormat="1" applyFont="1" applyBorder="1"/>
    <xf numFmtId="3" fontId="0" fillId="0" borderId="15" xfId="0" applyNumberFormat="1" applyBorder="1"/>
    <xf numFmtId="0" fontId="9" fillId="0" borderId="11" xfId="0" applyFont="1" applyBorder="1"/>
    <xf numFmtId="0" fontId="8" fillId="0" borderId="7" xfId="0" applyFont="1" applyBorder="1"/>
    <xf numFmtId="0" fontId="8" fillId="0" borderId="2" xfId="0" applyFont="1" applyBorder="1"/>
    <xf numFmtId="0" fontId="8" fillId="0" borderId="11" xfId="0" applyFont="1" applyBorder="1"/>
    <xf numFmtId="0" fontId="2" fillId="2" borderId="13" xfId="0" applyFont="1" applyFill="1" applyBorder="1"/>
    <xf numFmtId="3" fontId="11" fillId="0" borderId="2" xfId="0" applyNumberFormat="1" applyFont="1" applyBorder="1"/>
    <xf numFmtId="3" fontId="1" fillId="0" borderId="9" xfId="0" applyNumberFormat="1" applyFont="1" applyBorder="1"/>
    <xf numFmtId="0" fontId="0" fillId="0" borderId="0" xfId="0" applyBorder="1" applyAlignment="1">
      <alignment horizontal="center"/>
    </xf>
    <xf numFmtId="168" fontId="0" fillId="0" borderId="0" xfId="0" applyNumberFormat="1" applyBorder="1"/>
    <xf numFmtId="167" fontId="11" fillId="0" borderId="7" xfId="0" applyNumberFormat="1" applyFont="1" applyBorder="1"/>
    <xf numFmtId="0" fontId="0" fillId="0" borderId="15" xfId="0" applyBorder="1"/>
    <xf numFmtId="0" fontId="11" fillId="0" borderId="2" xfId="0" applyFont="1" applyFill="1" applyBorder="1"/>
    <xf numFmtId="3" fontId="11" fillId="0" borderId="7" xfId="0" applyNumberFormat="1" applyFont="1" applyBorder="1" applyAlignment="1">
      <alignment horizontal="center"/>
    </xf>
    <xf numFmtId="164" fontId="11" fillId="0" borderId="7" xfId="0" applyNumberFormat="1" applyFont="1" applyBorder="1"/>
    <xf numFmtId="165" fontId="11" fillId="0" borderId="7" xfId="0" quotePrefix="1" applyNumberFormat="1" applyFont="1" applyBorder="1"/>
    <xf numFmtId="0" fontId="13" fillId="0" borderId="0" xfId="0" applyFont="1" applyFill="1" applyBorder="1"/>
    <xf numFmtId="0" fontId="13" fillId="0" borderId="0" xfId="0" quotePrefix="1" applyFont="1" applyBorder="1"/>
    <xf numFmtId="0" fontId="13" fillId="0" borderId="0" xfId="0" applyFont="1" applyBorder="1"/>
    <xf numFmtId="9" fontId="11" fillId="0" borderId="7" xfId="0" quotePrefix="1" applyNumberFormat="1" applyFont="1" applyBorder="1"/>
    <xf numFmtId="0" fontId="14" fillId="0" borderId="15" xfId="0" applyFont="1" applyFill="1" applyBorder="1"/>
    <xf numFmtId="0" fontId="4" fillId="2" borderId="9" xfId="0" applyFont="1" applyFill="1" applyBorder="1"/>
    <xf numFmtId="0" fontId="10" fillId="0" borderId="2" xfId="0" applyFont="1" applyBorder="1"/>
    <xf numFmtId="0" fontId="10" fillId="0" borderId="7" xfId="0" applyFont="1" applyBorder="1"/>
    <xf numFmtId="0" fontId="0" fillId="0" borderId="13" xfId="0" quotePrefix="1" applyBorder="1" applyAlignment="1">
      <alignment horizontal="center"/>
    </xf>
    <xf numFmtId="0" fontId="10" fillId="0" borderId="11" xfId="0" applyFont="1" applyBorder="1"/>
    <xf numFmtId="4" fontId="1" fillId="0" borderId="15" xfId="0" applyNumberFormat="1" applyFont="1" applyBorder="1"/>
    <xf numFmtId="0" fontId="1" fillId="0" borderId="7" xfId="0" applyFont="1" applyBorder="1"/>
    <xf numFmtId="4" fontId="0" fillId="0" borderId="1" xfId="0" applyNumberFormat="1" applyBorder="1"/>
    <xf numFmtId="3" fontId="8" fillId="0" borderId="7" xfId="0" applyNumberFormat="1" applyFont="1" applyBorder="1"/>
    <xf numFmtId="0" fontId="10" fillId="4" borderId="2" xfId="0" applyFont="1" applyFill="1" applyBorder="1"/>
    <xf numFmtId="0" fontId="0" fillId="4" borderId="3" xfId="0" applyFill="1" applyBorder="1"/>
    <xf numFmtId="3" fontId="0" fillId="4" borderId="2" xfId="0" applyNumberFormat="1" applyFill="1" applyBorder="1"/>
    <xf numFmtId="0" fontId="0" fillId="4" borderId="8" xfId="0" applyFill="1" applyBorder="1"/>
    <xf numFmtId="0" fontId="0" fillId="4" borderId="9" xfId="0" applyFill="1" applyBorder="1"/>
    <xf numFmtId="0" fontId="15" fillId="0" borderId="7" xfId="0" applyFont="1" applyBorder="1"/>
    <xf numFmtId="0" fontId="0" fillId="0" borderId="0" xfId="0" applyBorder="1" applyAlignment="1">
      <alignment horizontal="right"/>
    </xf>
    <xf numFmtId="0" fontId="1" fillId="0" borderId="2" xfId="0" applyFont="1" applyBorder="1"/>
    <xf numFmtId="2" fontId="0" fillId="0" borderId="3" xfId="0" quotePrefix="1" applyNumberFormat="1" applyBorder="1"/>
    <xf numFmtId="165" fontId="0" fillId="0" borderId="9" xfId="0" applyNumberFormat="1" applyBorder="1"/>
    <xf numFmtId="2" fontId="0" fillId="0" borderId="0" xfId="0" quotePrefix="1" applyNumberFormat="1" applyBorder="1"/>
    <xf numFmtId="2" fontId="0" fillId="0" borderId="10" xfId="0" quotePrefix="1" applyNumberFormat="1" applyBorder="1"/>
    <xf numFmtId="2" fontId="0" fillId="0" borderId="14" xfId="0" quotePrefix="1" applyNumberFormat="1" applyBorder="1"/>
    <xf numFmtId="2" fontId="0" fillId="0" borderId="15" xfId="0" quotePrefix="1" applyNumberFormat="1" applyBorder="1"/>
    <xf numFmtId="165" fontId="0" fillId="0" borderId="15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166" fontId="0" fillId="0" borderId="15" xfId="0" applyNumberFormat="1" applyBorder="1"/>
    <xf numFmtId="0" fontId="9" fillId="4" borderId="2" xfId="0" applyFont="1" applyFill="1" applyBorder="1"/>
    <xf numFmtId="3" fontId="8" fillId="0" borderId="9" xfId="0" applyNumberFormat="1" applyFont="1" applyBorder="1"/>
    <xf numFmtId="3" fontId="1" fillId="0" borderId="8" xfId="0" applyNumberFormat="1" applyFont="1" applyBorder="1"/>
    <xf numFmtId="0" fontId="9" fillId="0" borderId="7" xfId="0" applyFont="1" applyFill="1" applyBorder="1"/>
    <xf numFmtId="3" fontId="1" fillId="0" borderId="1" xfId="0" applyNumberFormat="1" applyFont="1" applyBorder="1"/>
    <xf numFmtId="2" fontId="0" fillId="0" borderId="0" xfId="0" applyNumberFormat="1" applyBorder="1"/>
    <xf numFmtId="167" fontId="8" fillId="0" borderId="10" xfId="0" applyNumberFormat="1" applyFont="1" applyBorder="1"/>
    <xf numFmtId="9" fontId="0" fillId="0" borderId="1" xfId="0" applyNumberFormat="1" applyBorder="1"/>
    <xf numFmtId="4" fontId="0" fillId="0" borderId="15" xfId="0" applyNumberFormat="1" applyBorder="1"/>
    <xf numFmtId="3" fontId="9" fillId="0" borderId="7" xfId="0" applyNumberFormat="1" applyFont="1" applyBorder="1"/>
    <xf numFmtId="3" fontId="9" fillId="0" borderId="11" xfId="0" applyNumberFormat="1" applyFont="1" applyBorder="1"/>
    <xf numFmtId="3" fontId="0" fillId="0" borderId="7" xfId="0" applyNumberFormat="1" applyBorder="1"/>
    <xf numFmtId="0" fontId="10" fillId="5" borderId="2" xfId="0" applyFont="1" applyFill="1" applyBorder="1"/>
    <xf numFmtId="0" fontId="0" fillId="5" borderId="3" xfId="0" applyFill="1" applyBorder="1"/>
    <xf numFmtId="3" fontId="0" fillId="5" borderId="9" xfId="0" applyNumberFormat="1" applyFill="1" applyBorder="1"/>
    <xf numFmtId="0" fontId="0" fillId="5" borderId="8" xfId="0" applyFill="1" applyBorder="1"/>
    <xf numFmtId="4" fontId="0" fillId="0" borderId="0" xfId="0" applyNumberFormat="1" applyBorder="1"/>
    <xf numFmtId="4" fontId="0" fillId="0" borderId="14" xfId="0" applyNumberFormat="1" applyBorder="1"/>
    <xf numFmtId="3" fontId="9" fillId="0" borderId="15" xfId="0" applyNumberFormat="1" applyFont="1" applyBorder="1"/>
    <xf numFmtId="3" fontId="8" fillId="0" borderId="15" xfId="0" applyNumberFormat="1" applyFont="1" applyBorder="1"/>
    <xf numFmtId="4" fontId="8" fillId="0" borderId="9" xfId="0" applyNumberFormat="1" applyFont="1" applyBorder="1"/>
    <xf numFmtId="4" fontId="8" fillId="0" borderId="10" xfId="0" applyNumberFormat="1" applyFont="1" applyBorder="1"/>
    <xf numFmtId="4" fontId="8" fillId="0" borderId="15" xfId="0" applyNumberFormat="1" applyFont="1" applyBorder="1"/>
    <xf numFmtId="4" fontId="1" fillId="0" borderId="10" xfId="0" applyNumberFormat="1" applyFont="1" applyBorder="1"/>
    <xf numFmtId="168" fontId="0" fillId="0" borderId="10" xfId="0" applyNumberFormat="1" applyBorder="1"/>
    <xf numFmtId="0" fontId="4" fillId="0" borderId="11" xfId="0" applyFont="1" applyBorder="1"/>
    <xf numFmtId="4" fontId="9" fillId="0" borderId="15" xfId="0" applyNumberFormat="1" applyFont="1" applyBorder="1"/>
    <xf numFmtId="0" fontId="9" fillId="0" borderId="2" xfId="0" applyFont="1" applyBorder="1"/>
    <xf numFmtId="0" fontId="8" fillId="2" borderId="16" xfId="0" applyFont="1" applyFill="1" applyBorder="1"/>
    <xf numFmtId="0" fontId="0" fillId="2" borderId="17" xfId="0" applyFill="1" applyBorder="1"/>
    <xf numFmtId="4" fontId="1" fillId="2" borderId="18" xfId="0" applyNumberFormat="1" applyFont="1" applyFill="1" applyBorder="1"/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0" fontId="8" fillId="2" borderId="21" xfId="0" applyFont="1" applyFill="1" applyBorder="1"/>
    <xf numFmtId="0" fontId="0" fillId="2" borderId="0" xfId="0" applyFill="1" applyBorder="1"/>
    <xf numFmtId="4" fontId="1" fillId="2" borderId="7" xfId="0" applyNumberFormat="1" applyFont="1" applyFill="1" applyBorder="1"/>
    <xf numFmtId="4" fontId="1" fillId="2" borderId="10" xfId="0" applyNumberFormat="1" applyFont="1" applyFill="1" applyBorder="1"/>
    <xf numFmtId="4" fontId="0" fillId="2" borderId="22" xfId="0" applyNumberFormat="1" applyFill="1" applyBorder="1"/>
    <xf numFmtId="0" fontId="0" fillId="2" borderId="21" xfId="0" applyFill="1" applyBorder="1"/>
    <xf numFmtId="169" fontId="0" fillId="2" borderId="11" xfId="0" applyNumberFormat="1" applyFill="1" applyBorder="1"/>
    <xf numFmtId="9" fontId="0" fillId="2" borderId="15" xfId="0" applyNumberFormat="1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3" fontId="0" fillId="2" borderId="7" xfId="0" applyNumberFormat="1" applyFill="1" applyBorder="1"/>
    <xf numFmtId="4" fontId="1" fillId="2" borderId="9" xfId="0" applyNumberFormat="1" applyFont="1" applyFill="1" applyBorder="1"/>
    <xf numFmtId="0" fontId="0" fillId="2" borderId="22" xfId="0" quotePrefix="1" applyFill="1" applyBorder="1" applyAlignment="1">
      <alignment horizontal="center"/>
    </xf>
    <xf numFmtId="3" fontId="0" fillId="0" borderId="4" xfId="0" applyNumberFormat="1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3" fontId="0" fillId="0" borderId="2" xfId="0" applyNumberFormat="1" applyBorder="1"/>
    <xf numFmtId="0" fontId="10" fillId="0" borderId="2" xfId="0" applyFont="1" applyBorder="1" applyAlignment="1">
      <alignment vertical="center"/>
    </xf>
    <xf numFmtId="4" fontId="9" fillId="0" borderId="11" xfId="0" applyNumberFormat="1" applyFont="1" applyBorder="1"/>
    <xf numFmtId="4" fontId="9" fillId="0" borderId="7" xfId="0" applyNumberFormat="1" applyFont="1" applyBorder="1"/>
    <xf numFmtId="4" fontId="8" fillId="0" borderId="11" xfId="0" applyNumberFormat="1" applyFont="1" applyBorder="1"/>
    <xf numFmtId="4" fontId="8" fillId="0" borderId="7" xfId="0" applyNumberFormat="1" applyFont="1" applyBorder="1"/>
    <xf numFmtId="165" fontId="0" fillId="0" borderId="7" xfId="0" applyNumberFormat="1" applyBorder="1"/>
    <xf numFmtId="165" fontId="0" fillId="0" borderId="7" xfId="0" quotePrefix="1" applyNumberFormat="1" applyBorder="1"/>
    <xf numFmtId="3" fontId="0" fillId="0" borderId="7" xfId="0" quotePrefix="1" applyNumberFormat="1" applyBorder="1"/>
    <xf numFmtId="3" fontId="0" fillId="0" borderId="3" xfId="0" applyNumberFormat="1" applyBorder="1"/>
    <xf numFmtId="0" fontId="0" fillId="0" borderId="3" xfId="0" applyBorder="1" applyAlignment="1">
      <alignment horizontal="right"/>
    </xf>
    <xf numFmtId="3" fontId="0" fillId="0" borderId="0" xfId="0" applyNumberFormat="1" applyBorder="1"/>
    <xf numFmtId="166" fontId="0" fillId="0" borderId="0" xfId="0" applyNumberFormat="1" applyBorder="1"/>
    <xf numFmtId="3" fontId="9" fillId="0" borderId="14" xfId="0" applyNumberFormat="1" applyFont="1" applyBorder="1"/>
    <xf numFmtId="3" fontId="8" fillId="0" borderId="11" xfId="0" applyNumberFormat="1" applyFont="1" applyBorder="1"/>
    <xf numFmtId="4" fontId="9" fillId="0" borderId="25" xfId="0" quotePrefix="1" applyNumberFormat="1" applyFont="1" applyBorder="1"/>
    <xf numFmtId="10" fontId="8" fillId="0" borderId="7" xfId="0" applyNumberFormat="1" applyFont="1" applyBorder="1"/>
    <xf numFmtId="4" fontId="9" fillId="0" borderId="10" xfId="0" applyNumberFormat="1" applyFont="1" applyBorder="1"/>
    <xf numFmtId="4" fontId="8" fillId="0" borderId="2" xfId="0" applyNumberFormat="1" applyFont="1" applyBorder="1"/>
    <xf numFmtId="168" fontId="8" fillId="0" borderId="7" xfId="0" applyNumberFormat="1" applyFont="1" applyBorder="1"/>
    <xf numFmtId="2" fontId="8" fillId="0" borderId="7" xfId="0" applyNumberFormat="1" applyFont="1" applyBorder="1"/>
    <xf numFmtId="4" fontId="9" fillId="0" borderId="7" xfId="0" quotePrefix="1" applyNumberFormat="1" applyFont="1" applyBorder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Continuous" vertical="center" wrapText="1"/>
    </xf>
    <xf numFmtId="0" fontId="17" fillId="0" borderId="0" xfId="0" applyFont="1" applyBorder="1" applyAlignment="1">
      <alignment horizontal="centerContinuous" vertical="center"/>
    </xf>
    <xf numFmtId="4" fontId="17" fillId="0" borderId="0" xfId="0" applyNumberFormat="1" applyFont="1" applyBorder="1" applyAlignment="1">
      <alignment horizontal="centerContinuous" vertical="center"/>
    </xf>
    <xf numFmtId="4" fontId="17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4" fontId="17" fillId="6" borderId="13" xfId="0" applyNumberFormat="1" applyFont="1" applyFill="1" applyBorder="1" applyAlignment="1">
      <alignment horizontal="centerContinuous" vertical="center"/>
    </xf>
    <xf numFmtId="4" fontId="17" fillId="3" borderId="13" xfId="0" applyNumberFormat="1" applyFont="1" applyFill="1" applyBorder="1" applyAlignment="1">
      <alignment horizontal="centerContinuous" vertical="center"/>
    </xf>
    <xf numFmtId="0" fontId="17" fillId="0" borderId="0" xfId="0" applyFont="1" applyBorder="1" applyAlignment="1">
      <alignment horizontal="centerContinuous" wrapText="1"/>
    </xf>
    <xf numFmtId="0" fontId="17" fillId="0" borderId="0" xfId="0" applyFont="1" applyBorder="1" applyAlignment="1">
      <alignment horizontal="centerContinuous"/>
    </xf>
    <xf numFmtId="4" fontId="17" fillId="0" borderId="0" xfId="0" applyNumberFormat="1" applyFont="1" applyBorder="1" applyAlignment="1">
      <alignment horizontal="centerContinuous"/>
    </xf>
    <xf numFmtId="4" fontId="17" fillId="0" borderId="13" xfId="0" applyNumberFormat="1" applyFont="1" applyBorder="1" applyAlignment="1">
      <alignment horizontal="centerContinuous"/>
    </xf>
    <xf numFmtId="4" fontId="17" fillId="0" borderId="13" xfId="0" applyNumberFormat="1" applyFont="1" applyFill="1" applyBorder="1" applyAlignment="1">
      <alignment horizontal="centerContinuous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Continuous"/>
    </xf>
    <xf numFmtId="4" fontId="21" fillId="0" borderId="3" xfId="0" applyNumberFormat="1" applyFont="1" applyBorder="1" applyAlignment="1">
      <alignment horizontal="centerContinuous"/>
    </xf>
    <xf numFmtId="4" fontId="20" fillId="0" borderId="9" xfId="0" applyNumberFormat="1" applyFont="1" applyBorder="1" applyAlignment="1">
      <alignment horizontal="center"/>
    </xf>
    <xf numFmtId="4" fontId="22" fillId="0" borderId="9" xfId="0" applyNumberFormat="1" applyFont="1" applyBorder="1" applyAlignment="1">
      <alignment horizontal="center"/>
    </xf>
    <xf numFmtId="4" fontId="20" fillId="0" borderId="9" xfId="0" applyNumberFormat="1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4" fontId="20" fillId="0" borderId="0" xfId="0" applyNumberFormat="1" applyFont="1" applyBorder="1" applyAlignment="1">
      <alignment horizontal="centerContinuous"/>
    </xf>
    <xf numFmtId="4" fontId="20" fillId="0" borderId="10" xfId="0" applyNumberFormat="1" applyFont="1" applyBorder="1" applyAlignment="1">
      <alignment horizontal="center"/>
    </xf>
    <xf numFmtId="4" fontId="18" fillId="0" borderId="10" xfId="0" applyNumberFormat="1" applyFont="1" applyBorder="1" applyAlignment="1">
      <alignment horizontal="center"/>
    </xf>
    <xf numFmtId="4" fontId="20" fillId="0" borderId="10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/>
    </xf>
    <xf numFmtId="4" fontId="22" fillId="0" borderId="14" xfId="0" applyNumberFormat="1" applyFont="1" applyBorder="1" applyAlignment="1">
      <alignment horizontal="center"/>
    </xf>
    <xf numFmtId="4" fontId="18" fillId="0" borderId="15" xfId="0" applyNumberFormat="1" applyFont="1" applyBorder="1" applyAlignment="1">
      <alignment horizontal="center"/>
    </xf>
    <xf numFmtId="4" fontId="18" fillId="0" borderId="15" xfId="0" applyNumberFormat="1" applyFont="1" applyFill="1" applyBorder="1" applyAlignment="1">
      <alignment horizontal="center"/>
    </xf>
    <xf numFmtId="1" fontId="18" fillId="0" borderId="0" xfId="0" quotePrefix="1" applyNumberFormat="1" applyFont="1" applyBorder="1" applyAlignment="1">
      <alignment horizontal="center"/>
    </xf>
    <xf numFmtId="4" fontId="18" fillId="0" borderId="0" xfId="0" applyNumberFormat="1" applyFont="1"/>
    <xf numFmtId="4" fontId="23" fillId="0" borderId="0" xfId="0" applyNumberFormat="1" applyFont="1"/>
    <xf numFmtId="4" fontId="18" fillId="0" borderId="0" xfId="0" applyNumberFormat="1" applyFont="1" applyFill="1"/>
    <xf numFmtId="4" fontId="18" fillId="0" borderId="0" xfId="0" applyNumberFormat="1" applyFont="1" applyAlignment="1">
      <alignment vertical="center"/>
    </xf>
    <xf numFmtId="4" fontId="18" fillId="0" borderId="0" xfId="0" applyNumberFormat="1" applyFont="1" applyBorder="1"/>
    <xf numFmtId="4" fontId="23" fillId="0" borderId="0" xfId="0" applyNumberFormat="1" applyFont="1" applyBorder="1"/>
    <xf numFmtId="4" fontId="18" fillId="0" borderId="0" xfId="0" applyNumberFormat="1" applyFont="1" applyFill="1" applyBorder="1"/>
    <xf numFmtId="4" fontId="18" fillId="0" borderId="0" xfId="0" applyNumberFormat="1" applyFont="1" applyBorder="1" applyAlignment="1">
      <alignment vertical="center"/>
    </xf>
    <xf numFmtId="0" fontId="18" fillId="0" borderId="0" xfId="0" applyFont="1" applyBorder="1"/>
    <xf numFmtId="4" fontId="18" fillId="0" borderId="0" xfId="0" quotePrefix="1" applyNumberFormat="1" applyFont="1" applyBorder="1" applyAlignment="1">
      <alignment horizontal="center"/>
    </xf>
    <xf numFmtId="0" fontId="17" fillId="7" borderId="4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vertical="center" wrapText="1"/>
    </xf>
    <xf numFmtId="0" fontId="23" fillId="7" borderId="13" xfId="0" applyFont="1" applyFill="1" applyBorder="1" applyAlignment="1">
      <alignment vertical="center"/>
    </xf>
    <xf numFmtId="4" fontId="23" fillId="7" borderId="5" xfId="0" applyNumberFormat="1" applyFont="1" applyFill="1" applyBorder="1" applyAlignment="1">
      <alignment vertical="center"/>
    </xf>
    <xf numFmtId="4" fontId="23" fillId="7" borderId="13" xfId="0" applyNumberFormat="1" applyFont="1" applyFill="1" applyBorder="1" applyAlignment="1">
      <alignment vertical="center"/>
    </xf>
    <xf numFmtId="4" fontId="18" fillId="7" borderId="13" xfId="0" applyNumberFormat="1" applyFont="1" applyFill="1" applyBorder="1" applyAlignment="1">
      <alignment vertical="center"/>
    </xf>
    <xf numFmtId="0" fontId="18" fillId="7" borderId="0" xfId="0" applyFont="1" applyFill="1"/>
    <xf numFmtId="0" fontId="17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3" fillId="0" borderId="8" xfId="0" applyNumberFormat="1" applyFont="1" applyFill="1" applyBorder="1" applyAlignment="1">
      <alignment vertical="center"/>
    </xf>
    <xf numFmtId="4" fontId="18" fillId="0" borderId="1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/>
    </xf>
    <xf numFmtId="4" fontId="23" fillId="0" borderId="10" xfId="0" applyNumberFormat="1" applyFont="1" applyFill="1" applyBorder="1" applyAlignment="1">
      <alignment vertical="center"/>
    </xf>
    <xf numFmtId="4" fontId="18" fillId="0" borderId="10" xfId="0" applyNumberFormat="1" applyFont="1" applyFill="1" applyBorder="1" applyAlignment="1">
      <alignment vertical="center"/>
    </xf>
    <xf numFmtId="0" fontId="38" fillId="0" borderId="13" xfId="0" applyFont="1" applyBorder="1" applyAlignment="1">
      <alignment wrapText="1"/>
    </xf>
    <xf numFmtId="0" fontId="18" fillId="0" borderId="0" xfId="0" applyFont="1" applyFill="1"/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2" fontId="23" fillId="0" borderId="1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4" fontId="26" fillId="0" borderId="1" xfId="0" applyNumberFormat="1" applyFont="1" applyBorder="1" applyAlignment="1">
      <alignment vertical="center"/>
    </xf>
    <xf numFmtId="4" fontId="23" fillId="0" borderId="13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vertical="center" wrapText="1"/>
    </xf>
    <xf numFmtId="49" fontId="27" fillId="0" borderId="5" xfId="0" applyNumberFormat="1" applyFont="1" applyBorder="1" applyAlignment="1">
      <alignment vertical="center" wrapText="1"/>
    </xf>
    <xf numFmtId="2" fontId="23" fillId="0" borderId="13" xfId="0" applyNumberFormat="1" applyFont="1" applyBorder="1" applyAlignment="1">
      <alignment vertical="center"/>
    </xf>
    <xf numFmtId="4" fontId="23" fillId="0" borderId="5" xfId="0" applyNumberFormat="1" applyFont="1" applyBorder="1" applyAlignment="1">
      <alignment vertical="center"/>
    </xf>
    <xf numFmtId="4" fontId="24" fillId="0" borderId="6" xfId="0" applyNumberFormat="1" applyFont="1" applyBorder="1" applyAlignment="1">
      <alignment vertical="center"/>
    </xf>
    <xf numFmtId="4" fontId="22" fillId="0" borderId="6" xfId="0" applyNumberFormat="1" applyFont="1" applyBorder="1" applyAlignment="1">
      <alignment vertical="center"/>
    </xf>
    <xf numFmtId="4" fontId="22" fillId="0" borderId="5" xfId="0" applyNumberFormat="1" applyFont="1" applyBorder="1" applyAlignment="1">
      <alignment vertical="center"/>
    </xf>
    <xf numFmtId="4" fontId="22" fillId="0" borderId="13" xfId="0" applyNumberFormat="1" applyFont="1" applyBorder="1" applyAlignment="1">
      <alignment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4" fontId="26" fillId="0" borderId="1" xfId="0" applyNumberFormat="1" applyFont="1" applyFill="1" applyBorder="1" applyAlignment="1">
      <alignment vertical="center"/>
    </xf>
    <xf numFmtId="4" fontId="25" fillId="0" borderId="1" xfId="0" applyNumberFormat="1" applyFont="1" applyBorder="1" applyAlignment="1">
      <alignment vertical="center"/>
    </xf>
    <xf numFmtId="4" fontId="25" fillId="0" borderId="10" xfId="0" applyNumberFormat="1" applyFont="1" applyBorder="1" applyAlignment="1">
      <alignment vertical="center"/>
    </xf>
    <xf numFmtId="0" fontId="25" fillId="0" borderId="0" xfId="0" applyFont="1"/>
    <xf numFmtId="0" fontId="25" fillId="0" borderId="0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10" xfId="0" applyNumberFormat="1" applyFont="1" applyFill="1" applyBorder="1" applyAlignment="1">
      <alignment vertical="center"/>
    </xf>
    <xf numFmtId="3" fontId="23" fillId="0" borderId="10" xfId="0" applyNumberFormat="1" applyFont="1" applyBorder="1" applyAlignment="1">
      <alignment vertical="center"/>
    </xf>
    <xf numFmtId="4" fontId="22" fillId="0" borderId="15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4" fontId="22" fillId="0" borderId="15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4" fontId="18" fillId="0" borderId="15" xfId="0" applyNumberFormat="1" applyFont="1" applyFill="1" applyBorder="1" applyAlignment="1">
      <alignment vertical="center"/>
    </xf>
    <xf numFmtId="4" fontId="22" fillId="0" borderId="12" xfId="0" applyNumberFormat="1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7" fillId="0" borderId="5" xfId="0" applyFont="1" applyFill="1" applyBorder="1" applyAlignment="1">
      <alignment horizontal="left" vertical="center"/>
    </xf>
    <xf numFmtId="2" fontId="22" fillId="0" borderId="13" xfId="0" applyNumberFormat="1" applyFont="1" applyBorder="1" applyAlignment="1">
      <alignment vertical="center"/>
    </xf>
    <xf numFmtId="4" fontId="22" fillId="0" borderId="0" xfId="0" applyNumberFormat="1" applyFont="1"/>
    <xf numFmtId="0" fontId="22" fillId="0" borderId="0" xfId="0" applyFont="1"/>
    <xf numFmtId="2" fontId="23" fillId="0" borderId="10" xfId="0" applyNumberFormat="1" applyFont="1" applyFill="1" applyBorder="1" applyAlignment="1">
      <alignment vertical="center"/>
    </xf>
    <xf numFmtId="4" fontId="23" fillId="0" borderId="0" xfId="0" applyNumberFormat="1" applyFont="1" applyFill="1" applyAlignment="1">
      <alignment vertical="center"/>
    </xf>
    <xf numFmtId="4" fontId="24" fillId="0" borderId="1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2" fontId="22" fillId="0" borderId="1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2" fontId="22" fillId="0" borderId="10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0" xfId="0" applyFont="1" applyBorder="1" applyAlignment="1">
      <alignment vertical="top" wrapText="1"/>
    </xf>
    <xf numFmtId="4" fontId="29" fillId="0" borderId="6" xfId="0" applyNumberFormat="1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4" fontId="22" fillId="0" borderId="11" xfId="0" applyNumberFormat="1" applyFont="1" applyBorder="1" applyAlignment="1">
      <alignment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49" fontId="27" fillId="0" borderId="5" xfId="0" applyNumberFormat="1" applyFont="1" applyFill="1" applyBorder="1" applyAlignment="1">
      <alignment horizontal="left" vertical="center" wrapText="1"/>
    </xf>
    <xf numFmtId="2" fontId="22" fillId="0" borderId="13" xfId="0" applyNumberFormat="1" applyFont="1" applyFill="1" applyBorder="1" applyAlignment="1">
      <alignment vertical="center"/>
    </xf>
    <xf numFmtId="4" fontId="22" fillId="0" borderId="5" xfId="0" applyNumberFormat="1" applyFont="1" applyFill="1" applyBorder="1" applyAlignment="1">
      <alignment vertical="center"/>
    </xf>
    <xf numFmtId="4" fontId="22" fillId="0" borderId="13" xfId="0" applyNumberFormat="1" applyFont="1" applyFill="1" applyBorder="1" applyAlignment="1">
      <alignment vertical="center"/>
    </xf>
    <xf numFmtId="4" fontId="22" fillId="0" borderId="6" xfId="0" applyNumberFormat="1" applyFont="1" applyFill="1" applyBorder="1" applyAlignment="1">
      <alignment vertical="center"/>
    </xf>
    <xf numFmtId="0" fontId="22" fillId="0" borderId="0" xfId="0" applyFont="1" applyFill="1"/>
    <xf numFmtId="0" fontId="18" fillId="0" borderId="0" xfId="0" applyFont="1" applyBorder="1" applyAlignment="1">
      <alignment horizontal="left" vertical="center"/>
    </xf>
    <xf numFmtId="4" fontId="18" fillId="0" borderId="10" xfId="0" quotePrefix="1" applyNumberFormat="1" applyFont="1" applyBorder="1" applyAlignment="1">
      <alignment horizontal="right" vertical="center"/>
    </xf>
    <xf numFmtId="0" fontId="22" fillId="0" borderId="4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 wrapText="1"/>
    </xf>
    <xf numFmtId="0" fontId="18" fillId="0" borderId="7" xfId="0" applyFont="1" applyBorder="1" applyAlignment="1">
      <alignment horizontal="right" vertical="center"/>
    </xf>
    <xf numFmtId="0" fontId="27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vertical="center" wrapText="1"/>
    </xf>
    <xf numFmtId="2" fontId="23" fillId="0" borderId="15" xfId="0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 wrapText="1"/>
    </xf>
    <xf numFmtId="4" fontId="32" fillId="0" borderId="0" xfId="0" applyNumberFormat="1" applyFont="1" applyFill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4" fontId="27" fillId="0" borderId="5" xfId="0" applyNumberFormat="1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5" xfId="0" applyFont="1" applyBorder="1" applyAlignment="1">
      <alignment horizontal="left" vertical="center"/>
    </xf>
    <xf numFmtId="0" fontId="25" fillId="0" borderId="5" xfId="0" applyFont="1" applyBorder="1" applyAlignment="1">
      <alignment vertical="center" wrapText="1"/>
    </xf>
    <xf numFmtId="4" fontId="26" fillId="0" borderId="6" xfId="0" applyNumberFormat="1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4" fontId="25" fillId="0" borderId="1" xfId="0" applyNumberFormat="1" applyFont="1" applyBorder="1"/>
    <xf numFmtId="4" fontId="25" fillId="0" borderId="10" xfId="0" applyNumberFormat="1" applyFont="1" applyFill="1" applyBorder="1" applyAlignment="1">
      <alignment vertical="center"/>
    </xf>
    <xf numFmtId="2" fontId="22" fillId="0" borderId="5" xfId="0" applyNumberFormat="1" applyFont="1" applyFill="1" applyBorder="1" applyAlignment="1">
      <alignment vertical="center"/>
    </xf>
    <xf numFmtId="2" fontId="23" fillId="0" borderId="0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0" fontId="23" fillId="0" borderId="0" xfId="0" applyFont="1" applyFill="1"/>
    <xf numFmtId="0" fontId="18" fillId="0" borderId="0" xfId="0" applyFont="1" applyFill="1" applyBorder="1" applyAlignment="1">
      <alignment horizontal="left" vertical="center"/>
    </xf>
    <xf numFmtId="4" fontId="27" fillId="0" borderId="0" xfId="0" applyNumberFormat="1" applyFont="1" applyFill="1" applyBorder="1" applyAlignment="1">
      <alignment vertical="center"/>
    </xf>
    <xf numFmtId="10" fontId="18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left" vertical="center"/>
    </xf>
    <xf numFmtId="0" fontId="17" fillId="8" borderId="5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vertical="center"/>
    </xf>
    <xf numFmtId="0" fontId="18" fillId="8" borderId="5" xfId="0" applyFont="1" applyFill="1" applyBorder="1" applyAlignment="1">
      <alignment vertical="center"/>
    </xf>
    <xf numFmtId="0" fontId="18" fillId="8" borderId="6" xfId="0" applyFont="1" applyFill="1" applyBorder="1" applyAlignment="1">
      <alignment vertical="center"/>
    </xf>
    <xf numFmtId="4" fontId="22" fillId="8" borderId="5" xfId="0" applyNumberFormat="1" applyFont="1" applyFill="1" applyBorder="1" applyAlignment="1">
      <alignment vertical="center"/>
    </xf>
    <xf numFmtId="4" fontId="18" fillId="8" borderId="5" xfId="0" applyNumberFormat="1" applyFont="1" applyFill="1" applyBorder="1" applyAlignment="1">
      <alignment vertical="center"/>
    </xf>
    <xf numFmtId="4" fontId="18" fillId="8" borderId="6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right" vertical="center"/>
    </xf>
    <xf numFmtId="0" fontId="20" fillId="0" borderId="11" xfId="0" applyFont="1" applyBorder="1" applyAlignment="1">
      <alignment horizontal="right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Fill="1" applyBorder="1" applyAlignment="1">
      <alignment vertical="center"/>
    </xf>
    <xf numFmtId="4" fontId="18" fillId="0" borderId="14" xfId="0" applyNumberFormat="1" applyFont="1" applyFill="1" applyBorder="1" applyAlignment="1">
      <alignment vertical="center"/>
    </xf>
    <xf numFmtId="4" fontId="23" fillId="0" borderId="12" xfId="0" applyNumberFormat="1" applyFont="1" applyFill="1" applyBorder="1" applyAlignment="1">
      <alignment vertical="center"/>
    </xf>
    <xf numFmtId="4" fontId="22" fillId="0" borderId="14" xfId="0" applyNumberFormat="1" applyFont="1" applyFill="1" applyBorder="1" applyAlignment="1">
      <alignment vertical="center"/>
    </xf>
    <xf numFmtId="0" fontId="18" fillId="8" borderId="5" xfId="0" applyFont="1" applyFill="1" applyBorder="1" applyAlignment="1">
      <alignment horizontal="left" vertical="center"/>
    </xf>
    <xf numFmtId="4" fontId="34" fillId="8" borderId="13" xfId="0" applyNumberFormat="1" applyFont="1" applyFill="1" applyBorder="1" applyAlignment="1">
      <alignment vertical="center"/>
    </xf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left" vertical="center"/>
    </xf>
    <xf numFmtId="0" fontId="32" fillId="2" borderId="5" xfId="0" applyFont="1" applyFill="1" applyBorder="1" applyAlignment="1">
      <alignment vertical="center" wrapText="1"/>
    </xf>
    <xf numFmtId="0" fontId="27" fillId="2" borderId="5" xfId="0" applyFont="1" applyFill="1" applyBorder="1" applyAlignment="1">
      <alignment vertical="center"/>
    </xf>
    <xf numFmtId="4" fontId="27" fillId="2" borderId="5" xfId="0" applyNumberFormat="1" applyFont="1" applyFill="1" applyBorder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4" fontId="23" fillId="0" borderId="0" xfId="0" applyNumberFormat="1" applyFont="1" applyFill="1"/>
    <xf numFmtId="4" fontId="32" fillId="0" borderId="0" xfId="0" applyNumberFormat="1" applyFont="1"/>
    <xf numFmtId="4" fontId="32" fillId="3" borderId="25" xfId="0" applyNumberFormat="1" applyFont="1" applyFill="1" applyBorder="1"/>
    <xf numFmtId="4" fontId="18" fillId="0" borderId="0" xfId="0" applyNumberFormat="1" applyFont="1" applyBorder="1" applyAlignment="1">
      <alignment horizontal="center"/>
    </xf>
    <xf numFmtId="4" fontId="18" fillId="0" borderId="5" xfId="0" applyNumberFormat="1" applyFont="1" applyBorder="1" applyAlignment="1">
      <alignment vertical="center"/>
    </xf>
    <xf numFmtId="4" fontId="20" fillId="0" borderId="10" xfId="0" applyNumberFormat="1" applyFont="1" applyBorder="1" applyAlignment="1">
      <alignment horizontal="centerContinuous"/>
    </xf>
    <xf numFmtId="4" fontId="17" fillId="8" borderId="8" xfId="0" applyNumberFormat="1" applyFont="1" applyFill="1" applyBorder="1" applyAlignment="1">
      <alignment horizontal="centerContinuous" vertical="center"/>
    </xf>
    <xf numFmtId="4" fontId="17" fillId="8" borderId="12" xfId="0" applyNumberFormat="1" applyFont="1" applyFill="1" applyBorder="1" applyAlignment="1">
      <alignment horizontal="centerContinuous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4" fontId="32" fillId="0" borderId="13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left" vertical="center"/>
    </xf>
    <xf numFmtId="0" fontId="32" fillId="6" borderId="5" xfId="0" applyFont="1" applyFill="1" applyBorder="1" applyAlignment="1">
      <alignment vertical="center" wrapText="1"/>
    </xf>
    <xf numFmtId="2" fontId="23" fillId="6" borderId="5" xfId="0" applyNumberFormat="1" applyFont="1" applyFill="1" applyBorder="1" applyAlignment="1">
      <alignment vertical="center"/>
    </xf>
    <xf numFmtId="4" fontId="22" fillId="6" borderId="13" xfId="0" applyNumberFormat="1" applyFont="1" applyFill="1" applyBorder="1" applyAlignment="1">
      <alignment vertical="center"/>
    </xf>
    <xf numFmtId="4" fontId="23" fillId="6" borderId="13" xfId="0" applyNumberFormat="1" applyFont="1" applyFill="1" applyBorder="1" applyAlignment="1">
      <alignment vertical="center"/>
    </xf>
    <xf numFmtId="4" fontId="32" fillId="6" borderId="5" xfId="0" applyNumberFormat="1" applyFont="1" applyFill="1" applyBorder="1" applyAlignment="1">
      <alignment vertical="center"/>
    </xf>
    <xf numFmtId="4" fontId="23" fillId="6" borderId="5" xfId="0" applyNumberFormat="1" applyFont="1" applyFill="1" applyBorder="1" applyAlignment="1">
      <alignment vertical="center"/>
    </xf>
    <xf numFmtId="4" fontId="23" fillId="6" borderId="5" xfId="0" quotePrefix="1" applyNumberFormat="1" applyFont="1" applyFill="1" applyBorder="1" applyAlignment="1">
      <alignment vertical="center"/>
    </xf>
    <xf numFmtId="4" fontId="26" fillId="0" borderId="13" xfId="0" applyNumberFormat="1" applyFont="1" applyBorder="1" applyAlignment="1">
      <alignment vertical="center"/>
    </xf>
    <xf numFmtId="4" fontId="26" fillId="0" borderId="6" xfId="0" applyNumberFormat="1" applyFont="1" applyFill="1" applyBorder="1" applyAlignment="1">
      <alignment vertical="center"/>
    </xf>
    <xf numFmtId="4" fontId="28" fillId="0" borderId="6" xfId="0" applyNumberFormat="1" applyFont="1" applyBorder="1" applyAlignment="1">
      <alignment vertical="center"/>
    </xf>
    <xf numFmtId="4" fontId="25" fillId="0" borderId="6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horizontal="center"/>
    </xf>
    <xf numFmtId="4" fontId="34" fillId="8" borderId="5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4" fontId="38" fillId="0" borderId="0" xfId="0" applyNumberFormat="1" applyFont="1" applyAlignment="1">
      <alignment vertical="center"/>
    </xf>
    <xf numFmtId="0" fontId="22" fillId="0" borderId="0" xfId="0" applyFont="1" applyAlignment="1">
      <alignment horizontal="left"/>
    </xf>
    <xf numFmtId="4" fontId="22" fillId="0" borderId="0" xfId="0" applyNumberFormat="1" applyFont="1" applyFill="1"/>
    <xf numFmtId="4" fontId="36" fillId="0" borderId="0" xfId="0" applyNumberFormat="1" applyFont="1"/>
    <xf numFmtId="0" fontId="18" fillId="0" borderId="0" xfId="0" applyFont="1" applyAlignment="1">
      <alignment wrapText="1"/>
    </xf>
    <xf numFmtId="0" fontId="27" fillId="0" borderId="5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0" fontId="32" fillId="3" borderId="13" xfId="0" applyFont="1" applyFill="1" applyBorder="1" applyAlignment="1">
      <alignment wrapText="1"/>
    </xf>
    <xf numFmtId="0" fontId="32" fillId="9" borderId="13" xfId="0" applyFont="1" applyFill="1" applyBorder="1" applyAlignment="1">
      <alignment wrapText="1"/>
    </xf>
    <xf numFmtId="0" fontId="32" fillId="10" borderId="13" xfId="0" applyFont="1" applyFill="1" applyBorder="1" applyAlignment="1">
      <alignment wrapText="1"/>
    </xf>
    <xf numFmtId="0" fontId="22" fillId="0" borderId="0" xfId="0" applyFont="1" applyAlignment="1">
      <alignment wrapText="1"/>
    </xf>
    <xf numFmtId="4" fontId="32" fillId="10" borderId="25" xfId="0" applyNumberFormat="1" applyFont="1" applyFill="1" applyBorder="1" applyAlignment="1"/>
    <xf numFmtId="4" fontId="18" fillId="10" borderId="28" xfId="0" applyNumberFormat="1" applyFont="1" applyFill="1" applyBorder="1" applyAlignment="1"/>
    <xf numFmtId="0" fontId="37" fillId="0" borderId="0" xfId="0" applyFont="1" applyAlignment="1">
      <alignment wrapText="1"/>
    </xf>
    <xf numFmtId="0" fontId="38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/>
    <xf numFmtId="4" fontId="37" fillId="0" borderId="0" xfId="0" applyNumberFormat="1" applyFont="1" applyAlignment="1">
      <alignment vertical="center"/>
    </xf>
    <xf numFmtId="170" fontId="42" fillId="0" borderId="29" xfId="1" applyFont="1" applyFill="1" applyBorder="1" applyAlignment="1" applyProtection="1"/>
    <xf numFmtId="0" fontId="0" fillId="0" borderId="0" xfId="0" applyProtection="1"/>
    <xf numFmtId="0" fontId="38" fillId="0" borderId="0" xfId="0" applyFont="1" applyAlignment="1">
      <alignment horizontal="left"/>
    </xf>
    <xf numFmtId="0" fontId="38" fillId="0" borderId="0" xfId="0" applyFont="1" applyAlignment="1">
      <alignment wrapText="1"/>
    </xf>
    <xf numFmtId="0" fontId="38" fillId="0" borderId="0" xfId="0" applyFont="1"/>
    <xf numFmtId="4" fontId="28" fillId="0" borderId="0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170" fontId="42" fillId="0" borderId="30" xfId="1" applyFont="1" applyFill="1" applyBorder="1" applyAlignment="1" applyProtection="1"/>
    <xf numFmtId="0" fontId="18" fillId="8" borderId="7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49" fontId="42" fillId="8" borderId="0" xfId="0" applyNumberFormat="1" applyFont="1" applyFill="1" applyBorder="1" applyProtection="1"/>
    <xf numFmtId="2" fontId="23" fillId="8" borderId="10" xfId="0" applyNumberFormat="1" applyFont="1" applyFill="1" applyBorder="1" applyAlignment="1">
      <alignment vertical="center"/>
    </xf>
    <xf numFmtId="4" fontId="23" fillId="8" borderId="0" xfId="0" applyNumberFormat="1" applyFont="1" applyFill="1" applyBorder="1" applyAlignment="1">
      <alignment vertical="center"/>
    </xf>
    <xf numFmtId="4" fontId="23" fillId="8" borderId="10" xfId="0" applyNumberFormat="1" applyFont="1" applyFill="1" applyBorder="1" applyAlignment="1">
      <alignment vertical="center"/>
    </xf>
    <xf numFmtId="4" fontId="24" fillId="8" borderId="1" xfId="0" applyNumberFormat="1" applyFont="1" applyFill="1" applyBorder="1" applyAlignment="1">
      <alignment vertical="center"/>
    </xf>
    <xf numFmtId="4" fontId="22" fillId="8" borderId="10" xfId="0" applyNumberFormat="1" applyFont="1" applyFill="1" applyBorder="1" applyAlignment="1">
      <alignment vertical="center"/>
    </xf>
    <xf numFmtId="4" fontId="18" fillId="8" borderId="10" xfId="0" applyNumberFormat="1" applyFont="1" applyFill="1" applyBorder="1" applyAlignment="1">
      <alignment vertical="center"/>
    </xf>
    <xf numFmtId="4" fontId="23" fillId="8" borderId="1" xfId="0" applyNumberFormat="1" applyFont="1" applyFill="1" applyBorder="1" applyAlignment="1">
      <alignment vertical="center"/>
    </xf>
    <xf numFmtId="49" fontId="17" fillId="0" borderId="0" xfId="0" applyNumberFormat="1" applyFont="1" applyBorder="1" applyAlignment="1">
      <alignment vertical="center" wrapText="1"/>
    </xf>
    <xf numFmtId="0" fontId="0" fillId="0" borderId="0" xfId="0" applyFill="1" applyProtection="1"/>
    <xf numFmtId="2" fontId="26" fillId="0" borderId="1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4" fontId="26" fillId="0" borderId="10" xfId="0" applyNumberFormat="1" applyFont="1" applyBorder="1" applyAlignment="1">
      <alignment vertical="center"/>
    </xf>
    <xf numFmtId="4" fontId="28" fillId="0" borderId="10" xfId="0" applyNumberFormat="1" applyFont="1" applyBorder="1" applyAlignment="1">
      <alignment vertical="center"/>
    </xf>
    <xf numFmtId="170" fontId="42" fillId="0" borderId="0" xfId="1" applyFont="1" applyFill="1" applyBorder="1" applyAlignment="1" applyProtection="1"/>
    <xf numFmtId="49" fontId="42" fillId="0" borderId="0" xfId="0" applyNumberFormat="1" applyFont="1" applyFill="1" applyBorder="1" applyProtection="1"/>
    <xf numFmtId="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4" fontId="28" fillId="0" borderId="10" xfId="0" applyNumberFormat="1" applyFont="1" applyFill="1" applyBorder="1" applyAlignment="1">
      <alignment vertical="center"/>
    </xf>
    <xf numFmtId="4" fontId="43" fillId="0" borderId="0" xfId="0" applyNumberFormat="1" applyFont="1" applyBorder="1" applyAlignment="1">
      <alignment horizontal="right" vertical="center"/>
    </xf>
    <xf numFmtId="0" fontId="18" fillId="0" borderId="14" xfId="0" applyFont="1" applyBorder="1"/>
    <xf numFmtId="0" fontId="25" fillId="9" borderId="0" xfId="0" applyFont="1" applyFill="1" applyBorder="1" applyAlignment="1">
      <alignment vertical="center" wrapText="1"/>
    </xf>
    <xf numFmtId="0" fontId="0" fillId="0" borderId="0" xfId="0" quotePrefix="1"/>
    <xf numFmtId="0" fontId="10" fillId="2" borderId="7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4" xfId="0" applyBorder="1"/>
    <xf numFmtId="0" fontId="41" fillId="0" borderId="4" xfId="0" applyFont="1" applyBorder="1"/>
    <xf numFmtId="0" fontId="18" fillId="2" borderId="7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2" fontId="23" fillId="2" borderId="10" xfId="0" applyNumberFormat="1" applyFont="1" applyFill="1" applyBorder="1" applyAlignment="1">
      <alignment vertical="center"/>
    </xf>
    <xf numFmtId="4" fontId="23" fillId="2" borderId="0" xfId="0" applyNumberFormat="1" applyFont="1" applyFill="1" applyBorder="1" applyAlignment="1">
      <alignment vertical="center"/>
    </xf>
    <xf numFmtId="4" fontId="23" fillId="2" borderId="10" xfId="0" applyNumberFormat="1" applyFont="1" applyFill="1" applyBorder="1" applyAlignment="1">
      <alignment vertical="center"/>
    </xf>
    <xf numFmtId="4" fontId="26" fillId="2" borderId="1" xfId="0" applyNumberFormat="1" applyFont="1" applyFill="1" applyBorder="1" applyAlignment="1">
      <alignment vertical="center"/>
    </xf>
    <xf numFmtId="4" fontId="22" fillId="2" borderId="10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28" fillId="2" borderId="10" xfId="0" applyNumberFormat="1" applyFont="1" applyFill="1" applyBorder="1" applyAlignment="1">
      <alignment vertical="center"/>
    </xf>
    <xf numFmtId="4" fontId="25" fillId="2" borderId="10" xfId="0" applyNumberFormat="1" applyFont="1" applyFill="1" applyBorder="1" applyAlignment="1">
      <alignment vertical="center"/>
    </xf>
    <xf numFmtId="0" fontId="18" fillId="2" borderId="0" xfId="0" applyFont="1" applyFill="1"/>
    <xf numFmtId="3" fontId="23" fillId="2" borderId="10" xfId="0" applyNumberFormat="1" applyFont="1" applyFill="1" applyBorder="1" applyAlignment="1">
      <alignment vertical="center"/>
    </xf>
    <xf numFmtId="4" fontId="24" fillId="2" borderId="1" xfId="0" applyNumberFormat="1" applyFont="1" applyFill="1" applyBorder="1" applyAlignment="1">
      <alignment vertical="center"/>
    </xf>
    <xf numFmtId="10" fontId="18" fillId="0" borderId="0" xfId="0" applyNumberFormat="1" applyFont="1" applyBorder="1" applyAlignment="1">
      <alignment horizontal="center" vertical="center"/>
    </xf>
    <xf numFmtId="2" fontId="48" fillId="0" borderId="10" xfId="0" applyNumberFormat="1" applyFont="1" applyBorder="1" applyAlignment="1">
      <alignment vertical="center"/>
    </xf>
    <xf numFmtId="4" fontId="48" fillId="0" borderId="0" xfId="0" applyNumberFormat="1" applyFont="1" applyBorder="1" applyAlignment="1">
      <alignment vertical="center"/>
    </xf>
    <xf numFmtId="3" fontId="23" fillId="0" borderId="10" xfId="0" applyNumberFormat="1" applyFont="1" applyFill="1" applyBorder="1" applyAlignment="1">
      <alignment vertical="center"/>
    </xf>
    <xf numFmtId="4" fontId="22" fillId="0" borderId="12" xfId="0" applyNumberFormat="1" applyFont="1" applyFill="1" applyBorder="1" applyAlignment="1">
      <alignment vertical="center"/>
    </xf>
    <xf numFmtId="0" fontId="32" fillId="6" borderId="4" xfId="0" applyFont="1" applyFill="1" applyBorder="1" applyAlignment="1">
      <alignment horizontal="center" vertical="center"/>
    </xf>
    <xf numFmtId="4" fontId="50" fillId="6" borderId="13" xfId="0" applyNumberFormat="1" applyFont="1" applyFill="1" applyBorder="1" applyAlignment="1">
      <alignment horizontal="centerContinuous" vertical="center"/>
    </xf>
    <xf numFmtId="10" fontId="18" fillId="0" borderId="10" xfId="0" applyNumberFormat="1" applyFont="1" applyBorder="1" applyAlignment="1">
      <alignment vertical="center"/>
    </xf>
    <xf numFmtId="10" fontId="18" fillId="0" borderId="0" xfId="0" applyNumberFormat="1" applyFont="1" applyBorder="1" applyAlignment="1">
      <alignment vertical="center"/>
    </xf>
    <xf numFmtId="4" fontId="32" fillId="10" borderId="31" xfId="0" applyNumberFormat="1" applyFont="1" applyFill="1" applyBorder="1" applyAlignment="1">
      <alignment horizontal="centerContinuous"/>
    </xf>
    <xf numFmtId="4" fontId="17" fillId="10" borderId="28" xfId="0" applyNumberFormat="1" applyFont="1" applyFill="1" applyBorder="1" applyAlignment="1">
      <alignment horizontal="centerContinuous"/>
    </xf>
    <xf numFmtId="4" fontId="17" fillId="10" borderId="32" xfId="0" applyNumberFormat="1" applyFont="1" applyFill="1" applyBorder="1" applyAlignment="1">
      <alignment horizontal="centerContinuous"/>
    </xf>
    <xf numFmtId="4" fontId="27" fillId="0" borderId="0" xfId="0" applyNumberFormat="1" applyFont="1"/>
    <xf numFmtId="4" fontId="18" fillId="0" borderId="14" xfId="0" applyNumberFormat="1" applyFont="1" applyBorder="1"/>
    <xf numFmtId="0" fontId="18" fillId="0" borderId="8" xfId="0" applyFont="1" applyBorder="1" applyAlignment="1">
      <alignment horizontal="center"/>
    </xf>
    <xf numFmtId="4" fontId="17" fillId="8" borderId="13" xfId="0" applyNumberFormat="1" applyFont="1" applyFill="1" applyBorder="1" applyAlignment="1">
      <alignment horizontal="centerContinuous" vertical="center"/>
    </xf>
    <xf numFmtId="0" fontId="18" fillId="10" borderId="0" xfId="0" applyFont="1" applyFill="1" applyBorder="1" applyAlignment="1">
      <alignment vertical="center" wrapText="1"/>
    </xf>
    <xf numFmtId="0" fontId="18" fillId="10" borderId="13" xfId="0" applyNumberFormat="1" applyFont="1" applyFill="1" applyBorder="1" applyAlignment="1">
      <alignment horizontal="left" vertical="top" wrapText="1" readingOrder="1"/>
    </xf>
    <xf numFmtId="0" fontId="18" fillId="9" borderId="13" xfId="0" applyNumberFormat="1" applyFont="1" applyFill="1" applyBorder="1" applyAlignment="1">
      <alignment horizontal="left" vertical="top" wrapText="1" readingOrder="1"/>
    </xf>
    <xf numFmtId="0" fontId="18" fillId="2" borderId="13" xfId="0" applyNumberFormat="1" applyFont="1" applyFill="1" applyBorder="1" applyAlignment="1">
      <alignment horizontal="left" vertical="top" wrapText="1" readingOrder="1"/>
    </xf>
    <xf numFmtId="0" fontId="25" fillId="0" borderId="0" xfId="0" applyFont="1" applyBorder="1" applyAlignment="1">
      <alignment horizontal="left" vertical="center"/>
    </xf>
    <xf numFmtId="4" fontId="22" fillId="9" borderId="10" xfId="0" applyNumberFormat="1" applyFont="1" applyFill="1" applyBorder="1" applyAlignment="1">
      <alignment vertical="center"/>
    </xf>
    <xf numFmtId="4" fontId="22" fillId="0" borderId="10" xfId="0" quotePrefix="1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0" fillId="0" borderId="10" xfId="0" applyFill="1" applyBorder="1" applyProtection="1"/>
    <xf numFmtId="4" fontId="22" fillId="8" borderId="1" xfId="0" applyNumberFormat="1" applyFont="1" applyFill="1" applyBorder="1" applyAlignment="1">
      <alignment vertical="center"/>
    </xf>
    <xf numFmtId="0" fontId="0" fillId="0" borderId="10" xfId="0" applyBorder="1" applyProtection="1"/>
    <xf numFmtId="2" fontId="23" fillId="0" borderId="8" xfId="0" applyNumberFormat="1" applyFont="1" applyFill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/>
    </xf>
    <xf numFmtId="4" fontId="23" fillId="0" borderId="9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vertical="center" wrapText="1"/>
    </xf>
    <xf numFmtId="49" fontId="18" fillId="0" borderId="0" xfId="0" applyNumberFormat="1" applyFont="1" applyBorder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4" fontId="25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wrapText="1"/>
    </xf>
    <xf numFmtId="49" fontId="18" fillId="2" borderId="0" xfId="0" applyNumberFormat="1" applyFont="1" applyFill="1" applyBorder="1" applyAlignment="1">
      <alignment vertical="center" wrapText="1"/>
    </xf>
    <xf numFmtId="49" fontId="25" fillId="2" borderId="0" xfId="0" applyNumberFormat="1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vertical="center" wrapText="1"/>
    </xf>
    <xf numFmtId="0" fontId="49" fillId="0" borderId="0" xfId="0" applyFont="1" applyBorder="1"/>
    <xf numFmtId="49" fontId="18" fillId="7" borderId="0" xfId="0" applyNumberFormat="1" applyFont="1" applyFill="1" applyBorder="1" applyAlignment="1">
      <alignment vertical="center" wrapText="1"/>
    </xf>
    <xf numFmtId="49" fontId="18" fillId="8" borderId="0" xfId="0" applyNumberFormat="1" applyFont="1" applyFill="1" applyBorder="1" applyAlignment="1">
      <alignment vertical="center" wrapText="1"/>
    </xf>
    <xf numFmtId="49" fontId="25" fillId="9" borderId="0" xfId="0" applyNumberFormat="1" applyFont="1" applyFill="1" applyBorder="1" applyAlignment="1">
      <alignment vertical="center" wrapText="1"/>
    </xf>
    <xf numFmtId="0" fontId="18" fillId="0" borderId="0" xfId="0" applyNumberFormat="1" applyFont="1" applyBorder="1" applyAlignment="1">
      <alignment vertical="center" wrapText="1"/>
    </xf>
    <xf numFmtId="49" fontId="18" fillId="0" borderId="0" xfId="0" applyNumberFormat="1" applyFont="1" applyBorder="1" applyAlignment="1">
      <alignment vertical="top" wrapText="1"/>
    </xf>
    <xf numFmtId="49" fontId="18" fillId="9" borderId="0" xfId="0" applyNumberFormat="1" applyFont="1" applyFill="1" applyBorder="1" applyAlignment="1">
      <alignment vertical="top" wrapText="1"/>
    </xf>
    <xf numFmtId="49" fontId="18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8" borderId="0" xfId="0" applyNumberFormat="1" applyFont="1" applyFill="1" applyBorder="1" applyAlignment="1">
      <alignment vertical="center" wrapText="1"/>
    </xf>
    <xf numFmtId="0" fontId="18" fillId="8" borderId="0" xfId="0" applyFont="1" applyFill="1" applyBorder="1" applyAlignment="1">
      <alignment vertical="center" wrapText="1"/>
    </xf>
    <xf numFmtId="0" fontId="0" fillId="0" borderId="0" xfId="0" applyBorder="1" applyProtection="1"/>
    <xf numFmtId="0" fontId="0" fillId="0" borderId="0" xfId="0" applyFill="1" applyBorder="1" applyProtection="1"/>
    <xf numFmtId="0" fontId="0" fillId="0" borderId="1" xfId="0" applyBorder="1" applyProtection="1"/>
    <xf numFmtId="0" fontId="0" fillId="0" borderId="1" xfId="0" applyFill="1" applyBorder="1" applyProtection="1"/>
    <xf numFmtId="0" fontId="0" fillId="0" borderId="0" xfId="0" quotePrefix="1" applyNumberFormat="1" applyBorder="1"/>
    <xf numFmtId="0" fontId="0" fillId="0" borderId="0" xfId="0" applyNumberFormat="1" applyBorder="1"/>
    <xf numFmtId="49" fontId="25" fillId="8" borderId="0" xfId="0" applyNumberFormat="1" applyFont="1" applyFill="1" applyBorder="1" applyAlignment="1">
      <alignment vertical="center" wrapText="1"/>
    </xf>
    <xf numFmtId="0" fontId="18" fillId="0" borderId="7" xfId="0" applyFont="1" applyBorder="1" applyAlignment="1">
      <alignment vertical="center"/>
    </xf>
    <xf numFmtId="49" fontId="18" fillId="7" borderId="0" xfId="0" applyNumberFormat="1" applyFont="1" applyFill="1" applyBorder="1" applyAlignment="1">
      <alignment horizontal="left" vertical="center" wrapText="1"/>
    </xf>
    <xf numFmtId="49" fontId="18" fillId="9" borderId="0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25" fillId="8" borderId="0" xfId="0" quotePrefix="1" applyNumberFormat="1" applyFont="1" applyFill="1" applyBorder="1" applyAlignment="1">
      <alignment vertical="center"/>
    </xf>
    <xf numFmtId="0" fontId="18" fillId="0" borderId="0" xfId="0" quotePrefix="1" applyNumberFormat="1" applyFont="1" applyBorder="1"/>
    <xf numFmtId="49" fontId="18" fillId="0" borderId="0" xfId="0" quotePrefix="1" applyNumberFormat="1" applyFont="1" applyBorder="1" applyAlignment="1">
      <alignment vertical="center" wrapText="1"/>
    </xf>
    <xf numFmtId="49" fontId="25" fillId="0" borderId="0" xfId="0" applyNumberFormat="1" applyFont="1" applyFill="1" applyBorder="1" applyAlignment="1">
      <alignment vertical="center" wrapText="1"/>
    </xf>
    <xf numFmtId="49" fontId="18" fillId="8" borderId="0" xfId="0" applyNumberFormat="1" applyFont="1" applyFill="1" applyBorder="1" applyAlignment="1">
      <alignment horizontal="left" vertical="center" wrapText="1"/>
    </xf>
    <xf numFmtId="0" fontId="18" fillId="8" borderId="0" xfId="0" quotePrefix="1" applyNumberFormat="1" applyFont="1" applyFill="1" applyBorder="1" applyAlignment="1">
      <alignment vertical="center"/>
    </xf>
    <xf numFmtId="0" fontId="18" fillId="0" borderId="7" xfId="0" applyFont="1" applyBorder="1"/>
    <xf numFmtId="0" fontId="25" fillId="0" borderId="0" xfId="0" quotePrefix="1" applyNumberFormat="1" applyFont="1" applyBorder="1" applyAlignment="1">
      <alignment vertical="center" wrapText="1"/>
    </xf>
    <xf numFmtId="0" fontId="18" fillId="0" borderId="0" xfId="0" quotePrefix="1" applyNumberFormat="1" applyFont="1" applyBorder="1" applyAlignment="1">
      <alignment vertical="center"/>
    </xf>
    <xf numFmtId="0" fontId="25" fillId="0" borderId="0" xfId="0" applyNumberFormat="1" applyFont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4" fontId="23" fillId="6" borderId="6" xfId="0" quotePrefix="1" applyNumberFormat="1" applyFont="1" applyFill="1" applyBorder="1" applyAlignment="1">
      <alignment vertical="center"/>
    </xf>
    <xf numFmtId="0" fontId="18" fillId="0" borderId="0" xfId="0" applyFont="1" applyFill="1" applyBorder="1"/>
    <xf numFmtId="4" fontId="22" fillId="0" borderId="0" xfId="0" applyNumberFormat="1" applyFont="1" applyBorder="1" applyAlignment="1">
      <alignment vertical="center"/>
    </xf>
    <xf numFmtId="4" fontId="18" fillId="0" borderId="12" xfId="0" applyNumberFormat="1" applyFont="1" applyFill="1" applyBorder="1" applyAlignment="1">
      <alignment vertical="center"/>
    </xf>
    <xf numFmtId="10" fontId="18" fillId="0" borderId="1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27" fillId="2" borderId="6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left"/>
    </xf>
    <xf numFmtId="10" fontId="22" fillId="0" borderId="0" xfId="0" applyNumberFormat="1" applyFont="1" applyBorder="1"/>
    <xf numFmtId="10" fontId="22" fillId="0" borderId="1" xfId="0" applyNumberFormat="1" applyFont="1" applyBorder="1"/>
    <xf numFmtId="0" fontId="18" fillId="0" borderId="14" xfId="0" applyFont="1" applyBorder="1" applyAlignment="1">
      <alignment horizontal="left"/>
    </xf>
    <xf numFmtId="0" fontId="35" fillId="6" borderId="33" xfId="0" applyFont="1" applyFill="1" applyBorder="1" applyAlignment="1">
      <alignment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Continuous" vertical="center" wrapText="1"/>
    </xf>
    <xf numFmtId="0" fontId="18" fillId="0" borderId="3" xfId="0" applyFont="1" applyBorder="1" applyAlignment="1">
      <alignment horizontal="centerContinuous" vertical="center" wrapText="1"/>
    </xf>
    <xf numFmtId="0" fontId="17" fillId="0" borderId="3" xfId="0" applyFont="1" applyBorder="1" applyAlignment="1">
      <alignment horizontal="centerContinuous" vertical="center"/>
    </xf>
    <xf numFmtId="4" fontId="17" fillId="0" borderId="3" xfId="0" applyNumberFormat="1" applyFont="1" applyBorder="1" applyAlignment="1">
      <alignment horizontal="centerContinuous" vertical="center"/>
    </xf>
    <xf numFmtId="4" fontId="17" fillId="0" borderId="3" xfId="0" applyNumberFormat="1" applyFont="1" applyFill="1" applyBorder="1" applyAlignment="1">
      <alignment horizontal="centerContinuous" vertical="center"/>
    </xf>
    <xf numFmtId="4" fontId="17" fillId="0" borderId="8" xfId="0" applyNumberFormat="1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 wrapText="1"/>
    </xf>
    <xf numFmtId="4" fontId="17" fillId="0" borderId="1" xfId="0" applyNumberFormat="1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wrapText="1"/>
    </xf>
    <xf numFmtId="4" fontId="18" fillId="0" borderId="1" xfId="0" applyNumberFormat="1" applyFont="1" applyBorder="1"/>
    <xf numFmtId="0" fontId="21" fillId="0" borderId="0" xfId="0" quotePrefix="1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 readingOrder="1"/>
    </xf>
    <xf numFmtId="0" fontId="21" fillId="0" borderId="14" xfId="0" quotePrefix="1" applyNumberFormat="1" applyFont="1" applyBorder="1" applyAlignment="1">
      <alignment vertical="top" wrapText="1"/>
    </xf>
    <xf numFmtId="0" fontId="18" fillId="0" borderId="14" xfId="0" applyNumberFormat="1" applyFont="1" applyBorder="1" applyAlignment="1">
      <alignment horizontal="left" vertical="top" wrapText="1" readingOrder="1"/>
    </xf>
    <xf numFmtId="0" fontId="18" fillId="0" borderId="14" xfId="0" applyFont="1" applyBorder="1" applyAlignment="1">
      <alignment horizontal="left" vertical="center"/>
    </xf>
    <xf numFmtId="4" fontId="18" fillId="0" borderId="14" xfId="0" quotePrefix="1" applyNumberFormat="1" applyFont="1" applyBorder="1" applyAlignment="1">
      <alignment horizontal="center"/>
    </xf>
    <xf numFmtId="4" fontId="23" fillId="0" borderId="14" xfId="0" applyNumberFormat="1" applyFont="1" applyBorder="1"/>
    <xf numFmtId="4" fontId="18" fillId="0" borderId="14" xfId="0" applyNumberFormat="1" applyFont="1" applyFill="1" applyBorder="1"/>
    <xf numFmtId="4" fontId="18" fillId="0" borderId="12" xfId="0" applyNumberFormat="1" applyFont="1" applyBorder="1"/>
    <xf numFmtId="4" fontId="22" fillId="0" borderId="34" xfId="0" applyNumberFormat="1" applyFont="1" applyFill="1" applyBorder="1" applyAlignment="1">
      <alignment horizontal="centerContinuous"/>
    </xf>
    <xf numFmtId="4" fontId="22" fillId="0" borderId="34" xfId="0" applyNumberFormat="1" applyFont="1" applyBorder="1" applyAlignment="1">
      <alignment horizontal="centerContinuous"/>
    </xf>
    <xf numFmtId="4" fontId="22" fillId="0" borderId="35" xfId="0" applyNumberFormat="1" applyFont="1" applyBorder="1" applyAlignment="1">
      <alignment horizontal="centerContinuous"/>
    </xf>
    <xf numFmtId="10" fontId="22" fillId="0" borderId="36" xfId="0" applyNumberFormat="1" applyFont="1" applyBorder="1" applyAlignment="1">
      <alignment horizontal="centerContinuous"/>
    </xf>
    <xf numFmtId="10" fontId="22" fillId="0" borderId="13" xfId="0" applyNumberFormat="1" applyFont="1" applyBorder="1" applyAlignment="1">
      <alignment horizontal="center"/>
    </xf>
    <xf numFmtId="0" fontId="22" fillId="0" borderId="9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4" fontId="17" fillId="3" borderId="13" xfId="0" applyNumberFormat="1" applyFont="1" applyFill="1" applyBorder="1" applyAlignment="1">
      <alignment horizontal="centerContinuous"/>
    </xf>
    <xf numFmtId="4" fontId="51" fillId="0" borderId="13" xfId="0" applyNumberFormat="1" applyFont="1" applyBorder="1" applyAlignment="1">
      <alignment horizontal="centerContinuous"/>
    </xf>
    <xf numFmtId="4" fontId="51" fillId="0" borderId="13" xfId="0" applyNumberFormat="1" applyFont="1" applyFill="1" applyBorder="1" applyAlignment="1">
      <alignment horizontal="centerContinuous"/>
    </xf>
    <xf numFmtId="4" fontId="17" fillId="8" borderId="13" xfId="0" applyNumberFormat="1" applyFont="1" applyFill="1" applyBorder="1" applyAlignment="1">
      <alignment horizontal="centerContinuous"/>
    </xf>
    <xf numFmtId="4" fontId="32" fillId="8" borderId="25" xfId="0" applyNumberFormat="1" applyFont="1" applyFill="1" applyBorder="1"/>
    <xf numFmtId="4" fontId="32" fillId="6" borderId="25" xfId="0" applyNumberFormat="1" applyFont="1" applyFill="1" applyBorder="1" applyAlignment="1">
      <alignment vertical="center"/>
    </xf>
    <xf numFmtId="0" fontId="32" fillId="6" borderId="13" xfId="0" applyFont="1" applyFill="1" applyBorder="1" applyAlignment="1">
      <alignment wrapText="1"/>
    </xf>
    <xf numFmtId="4" fontId="27" fillId="0" borderId="13" xfId="0" applyNumberFormat="1" applyFont="1" applyBorder="1"/>
    <xf numFmtId="4" fontId="0" fillId="0" borderId="0" xfId="0" quotePrefix="1" applyNumberFormat="1"/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4" fontId="37" fillId="0" borderId="13" xfId="0" applyNumberFormat="1" applyFont="1" applyBorder="1" applyAlignment="1">
      <alignment vertical="center"/>
    </xf>
    <xf numFmtId="4" fontId="39" fillId="0" borderId="0" xfId="0" applyNumberFormat="1" applyFont="1" applyAlignment="1">
      <alignment vertical="center"/>
    </xf>
    <xf numFmtId="4" fontId="37" fillId="3" borderId="13" xfId="0" applyNumberFormat="1" applyFont="1" applyFill="1" applyBorder="1" applyAlignment="1">
      <alignment vertical="center"/>
    </xf>
    <xf numFmtId="4" fontId="37" fillId="8" borderId="13" xfId="0" applyNumberFormat="1" applyFont="1" applyFill="1" applyBorder="1" applyAlignment="1">
      <alignment vertical="center"/>
    </xf>
    <xf numFmtId="4" fontId="37" fillId="10" borderId="13" xfId="0" applyNumberFormat="1" applyFont="1" applyFill="1" applyBorder="1" applyAlignment="1">
      <alignment vertical="center"/>
    </xf>
    <xf numFmtId="4" fontId="37" fillId="0" borderId="13" xfId="0" applyNumberFormat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10" fontId="38" fillId="0" borderId="9" xfId="0" applyNumberFormat="1" applyFont="1" applyBorder="1" applyAlignment="1">
      <alignment horizontal="center" vertical="center"/>
    </xf>
    <xf numFmtId="4" fontId="38" fillId="0" borderId="0" xfId="0" applyNumberFormat="1" applyFont="1" applyFill="1" applyAlignment="1">
      <alignment horizontal="center" vertical="center"/>
    </xf>
    <xf numFmtId="4" fontId="38" fillId="0" borderId="0" xfId="0" applyNumberFormat="1" applyFont="1" applyAlignment="1">
      <alignment horizontal="center" vertical="center"/>
    </xf>
    <xf numFmtId="10" fontId="38" fillId="0" borderId="0" xfId="0" applyNumberFormat="1" applyFont="1" applyAlignment="1">
      <alignment vertical="center"/>
    </xf>
    <xf numFmtId="4" fontId="40" fillId="0" borderId="0" xfId="0" applyNumberFormat="1" applyFont="1" applyAlignment="1">
      <alignment vertical="center"/>
    </xf>
    <xf numFmtId="4" fontId="38" fillId="10" borderId="4" xfId="0" applyNumberFormat="1" applyFont="1" applyFill="1" applyBorder="1" applyAlignment="1">
      <alignment horizontal="centerContinuous" vertical="center"/>
    </xf>
    <xf numFmtId="4" fontId="38" fillId="10" borderId="5" xfId="0" applyNumberFormat="1" applyFont="1" applyFill="1" applyBorder="1" applyAlignment="1">
      <alignment horizontal="centerContinuous" vertical="center"/>
    </xf>
    <xf numFmtId="4" fontId="38" fillId="10" borderId="6" xfId="0" applyNumberFormat="1" applyFont="1" applyFill="1" applyBorder="1" applyAlignment="1">
      <alignment horizontal="centerContinuous" vertical="center"/>
    </xf>
    <xf numFmtId="10" fontId="38" fillId="0" borderId="13" xfId="0" applyNumberFormat="1" applyFont="1" applyBorder="1" applyAlignment="1">
      <alignment vertical="center"/>
    </xf>
    <xf numFmtId="10" fontId="38" fillId="0" borderId="4" xfId="0" applyNumberFormat="1" applyFont="1" applyBorder="1" applyAlignment="1">
      <alignment horizontal="centerContinuous" vertical="center"/>
    </xf>
    <xf numFmtId="4" fontId="38" fillId="0" borderId="5" xfId="0" applyNumberFormat="1" applyFont="1" applyFill="1" applyBorder="1" applyAlignment="1">
      <alignment horizontal="centerContinuous" vertical="center"/>
    </xf>
    <xf numFmtId="4" fontId="38" fillId="0" borderId="5" xfId="0" applyNumberFormat="1" applyFont="1" applyBorder="1" applyAlignment="1">
      <alignment horizontal="centerContinuous" vertical="center"/>
    </xf>
    <xf numFmtId="10" fontId="38" fillId="0" borderId="5" xfId="0" applyNumberFormat="1" applyFont="1" applyBorder="1" applyAlignment="1">
      <alignment horizontal="centerContinuous" vertical="center"/>
    </xf>
    <xf numFmtId="10" fontId="38" fillId="0" borderId="6" xfId="0" applyNumberFormat="1" applyFont="1" applyBorder="1" applyAlignment="1">
      <alignment horizontal="centerContinuous" vertical="center"/>
    </xf>
    <xf numFmtId="0" fontId="0" fillId="0" borderId="0" xfId="0" applyAlignment="1">
      <alignment vertical="center"/>
    </xf>
    <xf numFmtId="4" fontId="38" fillId="0" borderId="0" xfId="0" applyNumberFormat="1" applyFont="1" applyFill="1" applyAlignment="1">
      <alignment vertical="center"/>
    </xf>
    <xf numFmtId="4" fontId="17" fillId="10" borderId="13" xfId="0" applyNumberFormat="1" applyFont="1" applyFill="1" applyBorder="1" applyAlignment="1">
      <alignment horizontal="centerContinuous" vertical="center"/>
    </xf>
    <xf numFmtId="10" fontId="18" fillId="0" borderId="13" xfId="0" applyNumberFormat="1" applyFont="1" applyBorder="1" applyAlignment="1">
      <alignment horizontal="center" vertical="center"/>
    </xf>
    <xf numFmtId="10" fontId="23" fillId="0" borderId="4" xfId="0" applyNumberFormat="1" applyFont="1" applyFill="1" applyBorder="1" applyAlignment="1">
      <alignment horizontal="centerContinuous" vertical="center"/>
    </xf>
    <xf numFmtId="4" fontId="37" fillId="0" borderId="5" xfId="0" applyNumberFormat="1" applyFont="1" applyFill="1" applyBorder="1" applyAlignment="1">
      <alignment horizontal="centerContinuous" vertical="center"/>
    </xf>
    <xf numFmtId="4" fontId="37" fillId="0" borderId="6" xfId="0" applyNumberFormat="1" applyFont="1" applyFill="1" applyBorder="1" applyAlignment="1">
      <alignment horizontal="centerContinuous" vertical="center"/>
    </xf>
    <xf numFmtId="49" fontId="52" fillId="0" borderId="0" xfId="0" applyNumberFormat="1" applyFont="1" applyBorder="1" applyAlignment="1">
      <alignment vertical="center" wrapText="1"/>
    </xf>
    <xf numFmtId="49" fontId="53" fillId="0" borderId="0" xfId="0" applyNumberFormat="1" applyFont="1" applyBorder="1" applyAlignment="1">
      <alignment vertical="center" wrapText="1"/>
    </xf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vertical="center"/>
    </xf>
    <xf numFmtId="49" fontId="53" fillId="2" borderId="0" xfId="0" applyNumberFormat="1" applyFont="1" applyFill="1" applyBorder="1" applyAlignment="1">
      <alignment vertical="center" wrapText="1"/>
    </xf>
    <xf numFmtId="0" fontId="53" fillId="2" borderId="0" xfId="0" applyFont="1" applyFill="1" applyBorder="1" applyAlignment="1">
      <alignment horizontal="center" vertical="center"/>
    </xf>
    <xf numFmtId="0" fontId="53" fillId="0" borderId="0" xfId="0" quotePrefix="1" applyNumberFormat="1" applyFont="1" applyFill="1" applyBorder="1" applyAlignment="1">
      <alignment vertical="top"/>
    </xf>
    <xf numFmtId="0" fontId="53" fillId="0" borderId="0" xfId="0" applyFont="1" applyFill="1" applyBorder="1" applyAlignment="1">
      <alignment horizontal="center" vertical="center"/>
    </xf>
    <xf numFmtId="49" fontId="53" fillId="0" borderId="0" xfId="0" applyNumberFormat="1" applyFont="1" applyFill="1" applyBorder="1" applyAlignment="1">
      <alignment vertical="center" wrapText="1"/>
    </xf>
    <xf numFmtId="49" fontId="53" fillId="8" borderId="0" xfId="0" applyNumberFormat="1" applyFont="1" applyFill="1" applyBorder="1" applyAlignment="1">
      <alignment vertical="center" wrapText="1"/>
    </xf>
    <xf numFmtId="4" fontId="26" fillId="9" borderId="1" xfId="0" applyNumberFormat="1" applyFont="1" applyFill="1" applyBorder="1" applyAlignment="1">
      <alignment vertical="center"/>
    </xf>
    <xf numFmtId="49" fontId="53" fillId="7" borderId="0" xfId="0" applyNumberFormat="1" applyFont="1" applyFill="1" applyBorder="1" applyAlignment="1">
      <alignment vertical="center" wrapText="1"/>
    </xf>
    <xf numFmtId="49" fontId="53" fillId="0" borderId="0" xfId="0" applyNumberFormat="1" applyFont="1" applyFill="1" applyBorder="1" applyAlignment="1">
      <alignment vertical="top" wrapText="1"/>
    </xf>
    <xf numFmtId="0" fontId="54" fillId="0" borderId="0" xfId="0" applyFont="1" applyFill="1" applyBorder="1" applyAlignment="1" applyProtection="1">
      <alignment horizontal="left" vertical="center" wrapText="1"/>
    </xf>
    <xf numFmtId="0" fontId="54" fillId="0" borderId="0" xfId="0" applyFont="1" applyFill="1" applyBorder="1" applyAlignment="1" applyProtection="1">
      <alignment horizontal="left" vertical="center" wrapText="1"/>
    </xf>
    <xf numFmtId="49" fontId="53" fillId="0" borderId="0" xfId="0" applyNumberFormat="1" applyFont="1" applyBorder="1" applyAlignment="1">
      <alignment horizontal="left" vertical="center" wrapText="1"/>
    </xf>
    <xf numFmtId="0" fontId="53" fillId="0" borderId="0" xfId="0" quotePrefix="1" applyNumberFormat="1" applyFont="1" applyBorder="1" applyAlignment="1">
      <alignment vertical="top"/>
    </xf>
    <xf numFmtId="4" fontId="55" fillId="0" borderId="1" xfId="0" applyNumberFormat="1" applyFont="1" applyBorder="1" applyAlignment="1">
      <alignment vertical="center"/>
    </xf>
    <xf numFmtId="4" fontId="24" fillId="9" borderId="1" xfId="0" applyNumberFormat="1" applyFont="1" applyFill="1" applyBorder="1" applyAlignment="1">
      <alignment vertical="center"/>
    </xf>
    <xf numFmtId="0" fontId="56" fillId="0" borderId="0" xfId="0" quotePrefix="1" applyNumberFormat="1" applyFont="1" applyBorder="1"/>
    <xf numFmtId="4" fontId="57" fillId="0" borderId="1" xfId="0" applyNumberFormat="1" applyFont="1" applyBorder="1" applyAlignment="1">
      <alignment vertical="center"/>
    </xf>
    <xf numFmtId="4" fontId="57" fillId="0" borderId="0" xfId="0" applyNumberFormat="1" applyFont="1" applyBorder="1" applyAlignment="1">
      <alignment vertical="center"/>
    </xf>
    <xf numFmtId="4" fontId="57" fillId="0" borderId="1" xfId="0" applyNumberFormat="1" applyFont="1" applyFill="1" applyBorder="1" applyAlignment="1">
      <alignment vertical="center"/>
    </xf>
    <xf numFmtId="0" fontId="53" fillId="0" borderId="0" xfId="0" applyFont="1"/>
    <xf numFmtId="0" fontId="58" fillId="0" borderId="0" xfId="0" applyFont="1" applyBorder="1" applyAlignment="1">
      <alignment horizontal="left" vertical="center"/>
    </xf>
    <xf numFmtId="4" fontId="23" fillId="9" borderId="0" xfId="0" applyNumberFormat="1" applyFont="1" applyFill="1" applyBorder="1" applyAlignment="1">
      <alignment vertical="center"/>
    </xf>
    <xf numFmtId="9" fontId="0" fillId="0" borderId="0" xfId="0" applyNumberFormat="1" applyBorder="1"/>
    <xf numFmtId="9" fontId="38" fillId="0" borderId="0" xfId="0" applyNumberFormat="1" applyFont="1"/>
    <xf numFmtId="168" fontId="18" fillId="0" borderId="0" xfId="0" applyNumberFormat="1" applyFont="1" applyBorder="1"/>
    <xf numFmtId="0" fontId="25" fillId="0" borderId="14" xfId="0" applyFont="1" applyBorder="1" applyAlignment="1">
      <alignment horizontal="center" vertical="center"/>
    </xf>
    <xf numFmtId="168" fontId="18" fillId="0" borderId="0" xfId="0" applyNumberFormat="1" applyFont="1" applyBorder="1" applyAlignment="1">
      <alignment vertical="center"/>
    </xf>
    <xf numFmtId="0" fontId="60" fillId="0" borderId="0" xfId="0" applyFont="1" applyFill="1" applyBorder="1" applyAlignment="1" applyProtection="1">
      <alignment horizontal="left" vertical="center" wrapText="1"/>
    </xf>
    <xf numFmtId="0" fontId="60" fillId="0" borderId="0" xfId="0" applyFont="1" applyFill="1" applyBorder="1" applyAlignment="1" applyProtection="1">
      <alignment horizontal="left" vertical="center" wrapText="1"/>
    </xf>
    <xf numFmtId="49" fontId="22" fillId="8" borderId="0" xfId="0" applyNumberFormat="1" applyFont="1" applyFill="1" applyBorder="1" applyProtection="1"/>
    <xf numFmtId="0" fontId="18" fillId="0" borderId="0" xfId="0" applyNumberFormat="1" applyFont="1" applyBorder="1"/>
    <xf numFmtId="0" fontId="37" fillId="6" borderId="13" xfId="0" applyFont="1" applyFill="1" applyBorder="1" applyAlignment="1">
      <alignment wrapText="1"/>
    </xf>
    <xf numFmtId="0" fontId="37" fillId="3" borderId="13" xfId="0" applyFont="1" applyFill="1" applyBorder="1" applyAlignment="1">
      <alignment wrapText="1"/>
    </xf>
    <xf numFmtId="0" fontId="37" fillId="9" borderId="13" xfId="0" applyFont="1" applyFill="1" applyBorder="1" applyAlignment="1">
      <alignment wrapText="1"/>
    </xf>
    <xf numFmtId="0" fontId="37" fillId="10" borderId="13" xfId="0" applyFont="1" applyFill="1" applyBorder="1" applyAlignment="1">
      <alignment wrapText="1"/>
    </xf>
    <xf numFmtId="0" fontId="32" fillId="0" borderId="0" xfId="0" applyFont="1" applyAlignment="1">
      <alignment wrapText="1"/>
    </xf>
    <xf numFmtId="10" fontId="21" fillId="0" borderId="0" xfId="0" applyNumberFormat="1" applyFont="1" applyBorder="1"/>
    <xf numFmtId="4" fontId="61" fillId="0" borderId="7" xfId="0" applyNumberFormat="1" applyFont="1" applyBorder="1"/>
    <xf numFmtId="164" fontId="61" fillId="0" borderId="7" xfId="0" applyNumberFormat="1" applyFont="1" applyBorder="1"/>
    <xf numFmtId="10" fontId="8" fillId="0" borderId="10" xfId="0" applyNumberFormat="1" applyFont="1" applyBorder="1"/>
    <xf numFmtId="0" fontId="61" fillId="0" borderId="0" xfId="0" applyFont="1" applyBorder="1"/>
    <xf numFmtId="0" fontId="18" fillId="0" borderId="0" xfId="0" quotePrefix="1" applyFont="1"/>
    <xf numFmtId="10" fontId="18" fillId="0" borderId="13" xfId="0" applyNumberFormat="1" applyFont="1" applyBorder="1" applyAlignment="1">
      <alignment horizontal="right" vertical="center"/>
    </xf>
    <xf numFmtId="10" fontId="62" fillId="0" borderId="13" xfId="0" applyNumberFormat="1" applyFont="1" applyBorder="1" applyAlignment="1">
      <alignment horizontal="right" vertical="center"/>
    </xf>
    <xf numFmtId="168" fontId="62" fillId="0" borderId="0" xfId="0" applyNumberFormat="1" applyFont="1" applyBorder="1" applyAlignment="1">
      <alignment vertical="center"/>
    </xf>
    <xf numFmtId="168" fontId="63" fillId="0" borderId="0" xfId="0" applyNumberFormat="1" applyFont="1" applyBorder="1" applyAlignment="1">
      <alignment vertical="center"/>
    </xf>
    <xf numFmtId="10" fontId="62" fillId="0" borderId="13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vertical="center"/>
    </xf>
    <xf numFmtId="4" fontId="23" fillId="0" borderId="3" xfId="0" applyNumberFormat="1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4" fontId="22" fillId="0" borderId="8" xfId="0" applyNumberFormat="1" applyFont="1" applyBorder="1" applyAlignment="1">
      <alignment vertical="center"/>
    </xf>
    <xf numFmtId="4" fontId="32" fillId="0" borderId="2" xfId="0" applyNumberFormat="1" applyFont="1" applyFill="1" applyBorder="1" applyAlignment="1">
      <alignment vertical="center"/>
    </xf>
    <xf numFmtId="4" fontId="32" fillId="0" borderId="3" xfId="0" applyNumberFormat="1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4" fontId="23" fillId="0" borderId="12" xfId="0" applyNumberFormat="1" applyFont="1" applyBorder="1" applyAlignment="1">
      <alignment vertical="center"/>
    </xf>
    <xf numFmtId="0" fontId="64" fillId="0" borderId="0" xfId="0" quotePrefix="1" applyNumberFormat="1" applyFont="1" applyBorder="1" applyAlignment="1">
      <alignment vertical="top" wrapText="1"/>
    </xf>
    <xf numFmtId="0" fontId="64" fillId="0" borderId="14" xfId="0" quotePrefix="1" applyNumberFormat="1" applyFont="1" applyBorder="1" applyAlignment="1">
      <alignment vertical="top" wrapText="1"/>
    </xf>
    <xf numFmtId="0" fontId="22" fillId="0" borderId="0" xfId="0" applyFont="1" applyAlignment="1">
      <alignment horizontal="left" vertical="center"/>
    </xf>
    <xf numFmtId="0" fontId="6" fillId="0" borderId="0" xfId="0" applyFont="1"/>
    <xf numFmtId="0" fontId="65" fillId="11" borderId="0" xfId="0" applyFont="1" applyFill="1" applyAlignment="1">
      <alignment horizontal="centerContinuous" wrapText="1"/>
    </xf>
    <xf numFmtId="0" fontId="65" fillId="11" borderId="0" xfId="0" applyFont="1" applyFill="1" applyAlignment="1">
      <alignment horizontal="centerContinuous"/>
    </xf>
    <xf numFmtId="4" fontId="65" fillId="11" borderId="0" xfId="0" applyNumberFormat="1" applyFont="1" applyFill="1" applyAlignment="1">
      <alignment horizontal="centerContinuous"/>
    </xf>
    <xf numFmtId="0" fontId="23" fillId="0" borderId="0" xfId="0" applyFont="1" applyAlignment="1">
      <alignment wrapText="1"/>
    </xf>
    <xf numFmtId="10" fontId="38" fillId="0" borderId="0" xfId="0" applyNumberFormat="1" applyFont="1" applyAlignment="1">
      <alignment horizontal="centerContinuous" vertical="center"/>
    </xf>
    <xf numFmtId="4" fontId="38" fillId="0" borderId="0" xfId="0" applyNumberFormat="1" applyFont="1" applyFill="1" applyAlignment="1">
      <alignment horizontal="centerContinuous" vertical="center"/>
    </xf>
    <xf numFmtId="0" fontId="38" fillId="11" borderId="0" xfId="0" applyFont="1" applyFill="1" applyAlignment="1">
      <alignment horizontal="center"/>
    </xf>
    <xf numFmtId="0" fontId="38" fillId="11" borderId="0" xfId="0" applyFont="1" applyFill="1" applyAlignment="1">
      <alignment horizontal="left"/>
    </xf>
    <xf numFmtId="0" fontId="38" fillId="11" borderId="0" xfId="0" applyFont="1" applyFill="1" applyAlignment="1">
      <alignment wrapText="1"/>
    </xf>
    <xf numFmtId="0" fontId="38" fillId="11" borderId="0" xfId="0" applyFont="1" applyFill="1"/>
    <xf numFmtId="0" fontId="38" fillId="11" borderId="0" xfId="0" applyFont="1" applyFill="1" applyAlignment="1">
      <alignment vertical="center"/>
    </xf>
    <xf numFmtId="10" fontId="38" fillId="11" borderId="0" xfId="0" applyNumberFormat="1" applyFont="1" applyFill="1" applyAlignment="1">
      <alignment vertical="center"/>
    </xf>
    <xf numFmtId="4" fontId="40" fillId="11" borderId="0" xfId="0" applyNumberFormat="1" applyFont="1" applyFill="1" applyAlignment="1">
      <alignment vertical="center"/>
    </xf>
    <xf numFmtId="4" fontId="38" fillId="11" borderId="0" xfId="0" applyNumberFormat="1" applyFont="1" applyFill="1" applyAlignment="1">
      <alignment vertical="center"/>
    </xf>
    <xf numFmtId="0" fontId="0" fillId="11" borderId="0" xfId="0" applyFill="1" applyAlignment="1">
      <alignment vertical="center"/>
    </xf>
    <xf numFmtId="0" fontId="23" fillId="0" borderId="0" xfId="0" applyFont="1"/>
    <xf numFmtId="4" fontId="37" fillId="12" borderId="13" xfId="0" applyNumberFormat="1" applyFont="1" applyFill="1" applyBorder="1" applyAlignment="1">
      <alignment horizontal="centerContinuous" vertical="center"/>
    </xf>
    <xf numFmtId="4" fontId="37" fillId="12" borderId="13" xfId="0" applyNumberFormat="1" applyFont="1" applyFill="1" applyBorder="1" applyAlignment="1">
      <alignment vertical="center"/>
    </xf>
    <xf numFmtId="49" fontId="18" fillId="13" borderId="0" xfId="0" applyNumberFormat="1" applyFont="1" applyFill="1" applyBorder="1" applyAlignment="1">
      <alignment vertical="center" wrapText="1"/>
    </xf>
    <xf numFmtId="4" fontId="66" fillId="0" borderId="0" xfId="0" applyNumberFormat="1" applyFont="1" applyFill="1" applyBorder="1" applyAlignment="1">
      <alignment vertical="center"/>
    </xf>
    <xf numFmtId="4" fontId="66" fillId="0" borderId="14" xfId="0" applyNumberFormat="1" applyFont="1" applyFill="1" applyBorder="1" applyAlignment="1">
      <alignment vertical="center"/>
    </xf>
    <xf numFmtId="4" fontId="67" fillId="8" borderId="5" xfId="0" applyNumberFormat="1" applyFont="1" applyFill="1" applyBorder="1" applyAlignment="1">
      <alignment horizontal="right" vertical="center" wrapText="1"/>
    </xf>
    <xf numFmtId="4" fontId="68" fillId="8" borderId="5" xfId="0" applyNumberFormat="1" applyFont="1" applyFill="1" applyBorder="1" applyAlignment="1">
      <alignment vertical="center"/>
    </xf>
    <xf numFmtId="4" fontId="23" fillId="0" borderId="7" xfId="0" applyNumberFormat="1" applyFont="1" applyFill="1" applyBorder="1" applyAlignment="1">
      <alignment vertical="center"/>
    </xf>
    <xf numFmtId="4" fontId="23" fillId="0" borderId="2" xfId="0" applyNumberFormat="1" applyFont="1" applyFill="1" applyBorder="1" applyAlignment="1">
      <alignment vertical="center"/>
    </xf>
    <xf numFmtId="4" fontId="23" fillId="0" borderId="7" xfId="0" applyNumberFormat="1" applyFont="1" applyBorder="1" applyAlignment="1">
      <alignment vertical="center"/>
    </xf>
    <xf numFmtId="4" fontId="23" fillId="0" borderId="4" xfId="0" applyNumberFormat="1" applyFont="1" applyBorder="1" applyAlignment="1">
      <alignment vertical="center"/>
    </xf>
    <xf numFmtId="168" fontId="62" fillId="0" borderId="1" xfId="0" applyNumberFormat="1" applyFont="1" applyBorder="1" applyAlignment="1">
      <alignment vertical="center"/>
    </xf>
    <xf numFmtId="168" fontId="18" fillId="0" borderId="1" xfId="0" applyNumberFormat="1" applyFont="1" applyBorder="1" applyAlignment="1">
      <alignment vertical="center"/>
    </xf>
    <xf numFmtId="4" fontId="23" fillId="0" borderId="2" xfId="0" applyNumberFormat="1" applyFont="1" applyBorder="1" applyAlignment="1">
      <alignment vertical="center"/>
    </xf>
    <xf numFmtId="4" fontId="32" fillId="0" borderId="1" xfId="0" applyNumberFormat="1" applyFont="1" applyFill="1" applyBorder="1" applyAlignment="1">
      <alignment vertical="center"/>
    </xf>
    <xf numFmtId="4" fontId="27" fillId="0" borderId="6" xfId="0" applyNumberFormat="1" applyFont="1" applyFill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4" fontId="32" fillId="6" borderId="6" xfId="0" applyNumberFormat="1" applyFont="1" applyFill="1" applyBorder="1" applyAlignment="1">
      <alignment vertical="center"/>
    </xf>
    <xf numFmtId="0" fontId="17" fillId="0" borderId="6" xfId="0" applyFont="1" applyFill="1" applyBorder="1" applyAlignment="1">
      <alignment vertical="center" wrapText="1"/>
    </xf>
    <xf numFmtId="49" fontId="17" fillId="0" borderId="4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8" fillId="0" borderId="7" xfId="0" quotePrefix="1" applyFont="1" applyBorder="1" applyAlignment="1">
      <alignment horizontal="center" vertical="center"/>
    </xf>
    <xf numFmtId="4" fontId="18" fillId="0" borderId="12" xfId="0" applyNumberFormat="1" applyFont="1" applyBorder="1" applyAlignment="1">
      <alignment vertical="center"/>
    </xf>
    <xf numFmtId="0" fontId="18" fillId="11" borderId="0" xfId="0" applyFont="1" applyFill="1" applyBorder="1" applyAlignment="1">
      <alignment vertical="center" wrapText="1"/>
    </xf>
    <xf numFmtId="0" fontId="18" fillId="0" borderId="7" xfId="0" quotePrefix="1" applyFont="1" applyFill="1" applyBorder="1" applyAlignment="1">
      <alignment horizontal="center" vertical="center"/>
    </xf>
    <xf numFmtId="49" fontId="65" fillId="0" borderId="0" xfId="0" applyNumberFormat="1" applyFont="1" applyBorder="1" applyAlignment="1">
      <alignment vertical="center" wrapText="1"/>
    </xf>
    <xf numFmtId="10" fontId="18" fillId="0" borderId="12" xfId="0" applyNumberFormat="1" applyFont="1" applyBorder="1" applyAlignment="1">
      <alignment vertical="center"/>
    </xf>
    <xf numFmtId="4" fontId="23" fillId="11" borderId="7" xfId="0" applyNumberFormat="1" applyFont="1" applyFill="1" applyBorder="1" applyAlignment="1">
      <alignment vertical="center"/>
    </xf>
    <xf numFmtId="0" fontId="25" fillId="0" borderId="7" xfId="0" quotePrefix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center" vertical="center"/>
    </xf>
    <xf numFmtId="0" fontId="0" fillId="6" borderId="5" xfId="0" applyFill="1" applyBorder="1" applyAlignment="1">
      <alignment horizontal="centerContinuous" vertical="center"/>
    </xf>
    <xf numFmtId="0" fontId="0" fillId="6" borderId="6" xfId="0" applyFill="1" applyBorder="1" applyAlignment="1">
      <alignment horizontal="centerContinuous" vertical="center"/>
    </xf>
    <xf numFmtId="4" fontId="70" fillId="0" borderId="1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" fontId="32" fillId="0" borderId="10" xfId="0" applyNumberFormat="1" applyFont="1" applyFill="1" applyBorder="1" applyAlignment="1">
      <alignment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27" fillId="0" borderId="0" xfId="0" applyNumberFormat="1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4" fontId="17" fillId="15" borderId="13" xfId="0" applyNumberFormat="1" applyFont="1" applyFill="1" applyBorder="1" applyAlignment="1">
      <alignment horizontal="centerContinuous" vertical="center"/>
    </xf>
    <xf numFmtId="4" fontId="17" fillId="16" borderId="13" xfId="0" applyNumberFormat="1" applyFont="1" applyFill="1" applyBorder="1" applyAlignment="1">
      <alignment horizontal="centerContinuous" vertical="center" wrapText="1"/>
    </xf>
    <xf numFmtId="4" fontId="17" fillId="16" borderId="13" xfId="0" applyNumberFormat="1" applyFont="1" applyFill="1" applyBorder="1" applyAlignment="1">
      <alignment horizontal="centerContinuous" vertical="center"/>
    </xf>
    <xf numFmtId="4" fontId="62" fillId="0" borderId="10" xfId="0" applyNumberFormat="1" applyFont="1" applyBorder="1" applyAlignment="1">
      <alignment vertical="center"/>
    </xf>
    <xf numFmtId="0" fontId="73" fillId="0" borderId="0" xfId="0" applyFont="1" applyFill="1" applyBorder="1" applyAlignment="1" applyProtection="1">
      <alignment horizontal="left" vertical="center" wrapText="1"/>
    </xf>
    <xf numFmtId="49" fontId="62" fillId="0" borderId="0" xfId="0" applyNumberFormat="1" applyFont="1" applyBorder="1" applyAlignment="1">
      <alignment vertical="center" wrapText="1"/>
    </xf>
    <xf numFmtId="0" fontId="62" fillId="0" borderId="7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49" fontId="74" fillId="0" borderId="0" xfId="0" applyNumberFormat="1" applyFont="1" applyBorder="1" applyAlignment="1">
      <alignment vertical="center" wrapText="1"/>
    </xf>
    <xf numFmtId="0" fontId="62" fillId="0" borderId="0" xfId="0" applyFont="1"/>
    <xf numFmtId="0" fontId="69" fillId="0" borderId="0" xfId="0" applyFont="1" applyBorder="1" applyAlignment="1">
      <alignment horizontal="center" vertical="center"/>
    </xf>
    <xf numFmtId="4" fontId="22" fillId="11" borderId="10" xfId="0" applyNumberFormat="1" applyFont="1" applyFill="1" applyBorder="1" applyAlignment="1">
      <alignment vertical="center"/>
    </xf>
    <xf numFmtId="4" fontId="17" fillId="6" borderId="4" xfId="0" applyNumberFormat="1" applyFont="1" applyFill="1" applyBorder="1" applyAlignment="1">
      <alignment horizontal="centerContinuous" vertical="center"/>
    </xf>
    <xf numFmtId="4" fontId="22" fillId="0" borderId="4" xfId="0" applyNumberFormat="1" applyFont="1" applyBorder="1" applyAlignment="1">
      <alignment vertical="center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" fontId="23" fillId="0" borderId="11" xfId="0" applyNumberFormat="1" applyFont="1" applyFill="1" applyBorder="1" applyAlignment="1">
      <alignment vertical="center"/>
    </xf>
    <xf numFmtId="0" fontId="18" fillId="0" borderId="8" xfId="0" applyFont="1" applyBorder="1"/>
    <xf numFmtId="0" fontId="75" fillId="0" borderId="0" xfId="0" applyFont="1" applyAlignment="1">
      <alignment wrapText="1"/>
    </xf>
    <xf numFmtId="0" fontId="75" fillId="0" borderId="0" xfId="0" applyFont="1"/>
    <xf numFmtId="0" fontId="27" fillId="0" borderId="8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/>
    <xf numFmtId="0" fontId="18" fillId="0" borderId="14" xfId="0" applyFont="1" applyBorder="1" applyAlignment="1">
      <alignment vertical="center"/>
    </xf>
    <xf numFmtId="0" fontId="75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4" fontId="18" fillId="0" borderId="9" xfId="0" applyNumberFormat="1" applyFont="1" applyBorder="1" applyAlignment="1">
      <alignment vertical="center"/>
    </xf>
    <xf numFmtId="4" fontId="17" fillId="14" borderId="13" xfId="0" applyNumberFormat="1" applyFont="1" applyFill="1" applyBorder="1" applyAlignment="1">
      <alignment horizontal="centerContinuous" vertical="center" wrapText="1"/>
    </xf>
    <xf numFmtId="4" fontId="17" fillId="14" borderId="13" xfId="0" applyNumberFormat="1" applyFont="1" applyFill="1" applyBorder="1" applyAlignment="1">
      <alignment horizontal="centerContinuous" vertical="center"/>
    </xf>
    <xf numFmtId="10" fontId="21" fillId="0" borderId="0" xfId="0" applyNumberFormat="1" applyFont="1" applyBorder="1" applyAlignment="1">
      <alignment vertical="center"/>
    </xf>
    <xf numFmtId="10" fontId="22" fillId="0" borderId="0" xfId="0" applyNumberFormat="1" applyFont="1" applyBorder="1" applyAlignment="1">
      <alignment vertical="center"/>
    </xf>
    <xf numFmtId="10" fontId="22" fillId="0" borderId="1" xfId="0" applyNumberFormat="1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35" fillId="6" borderId="33" xfId="0" applyFont="1" applyFill="1" applyBorder="1" applyAlignment="1">
      <alignment vertical="center" wrapText="1"/>
    </xf>
    <xf numFmtId="4" fontId="18" fillId="0" borderId="14" xfId="0" applyNumberFormat="1" applyFont="1" applyBorder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35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65" fillId="8" borderId="10" xfId="0" applyNumberFormat="1" applyFont="1" applyFill="1" applyBorder="1" applyAlignment="1">
      <alignment vertical="center"/>
    </xf>
    <xf numFmtId="4" fontId="18" fillId="0" borderId="10" xfId="0" quotePrefix="1" applyNumberFormat="1" applyFont="1" applyBorder="1" applyAlignment="1">
      <alignment vertical="center"/>
    </xf>
    <xf numFmtId="4" fontId="18" fillId="0" borderId="15" xfId="0" quotePrefix="1" applyNumberFormat="1" applyFont="1" applyBorder="1" applyAlignment="1">
      <alignment vertical="center"/>
    </xf>
    <xf numFmtId="0" fontId="6" fillId="0" borderId="37" xfId="0" applyNumberFormat="1" applyFont="1" applyBorder="1" applyAlignment="1">
      <alignment horizontal="justify" vertical="top" wrapText="1"/>
    </xf>
    <xf numFmtId="49" fontId="18" fillId="0" borderId="0" xfId="0" applyNumberFormat="1" applyFont="1" applyFill="1" applyBorder="1" applyAlignment="1">
      <alignment vertical="top" wrapText="1"/>
    </xf>
    <xf numFmtId="49" fontId="65" fillId="0" borderId="0" xfId="0" applyNumberFormat="1" applyFont="1" applyFill="1" applyBorder="1" applyAlignment="1">
      <alignment vertical="center" wrapText="1"/>
    </xf>
    <xf numFmtId="4" fontId="17" fillId="12" borderId="13" xfId="0" applyNumberFormat="1" applyFont="1" applyFill="1" applyBorder="1" applyAlignment="1">
      <alignment horizontal="centerContinuous" vertical="center"/>
    </xf>
    <xf numFmtId="4" fontId="17" fillId="12" borderId="13" xfId="0" applyNumberFormat="1" applyFont="1" applyFill="1" applyBorder="1" applyAlignment="1">
      <alignment horizontal="centerContinuous" vertical="center" wrapText="1"/>
    </xf>
    <xf numFmtId="0" fontId="16" fillId="17" borderId="26" xfId="0" applyFont="1" applyFill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17" fillId="17" borderId="27" xfId="0" applyFont="1" applyFill="1" applyBorder="1" applyAlignment="1">
      <alignment horizontal="left" vertical="center"/>
    </xf>
    <xf numFmtId="0" fontId="32" fillId="17" borderId="5" xfId="0" applyFont="1" applyFill="1" applyBorder="1" applyAlignment="1">
      <alignment vertical="center" wrapText="1"/>
    </xf>
    <xf numFmtId="0" fontId="27" fillId="17" borderId="5" xfId="0" applyFont="1" applyFill="1" applyBorder="1" applyAlignment="1">
      <alignment vertical="center"/>
    </xf>
    <xf numFmtId="4" fontId="27" fillId="17" borderId="5" xfId="0" applyNumberFormat="1" applyFont="1" applyFill="1" applyBorder="1" applyAlignment="1">
      <alignment vertical="center"/>
    </xf>
    <xf numFmtId="4" fontId="35" fillId="17" borderId="5" xfId="0" applyNumberFormat="1" applyFont="1" applyFill="1" applyBorder="1" applyAlignment="1">
      <alignment vertical="center"/>
    </xf>
    <xf numFmtId="4" fontId="32" fillId="17" borderId="5" xfId="0" applyNumberFormat="1" applyFont="1" applyFill="1" applyBorder="1" applyAlignment="1">
      <alignment vertical="center"/>
    </xf>
    <xf numFmtId="4" fontId="32" fillId="17" borderId="6" xfId="0" applyNumberFormat="1" applyFont="1" applyFill="1" applyBorder="1" applyAlignment="1">
      <alignment vertical="center"/>
    </xf>
    <xf numFmtId="4" fontId="17" fillId="15" borderId="13" xfId="0" applyNumberFormat="1" applyFont="1" applyFill="1" applyBorder="1" applyAlignment="1">
      <alignment horizontal="centerContinuous" vertical="center" wrapText="1"/>
    </xf>
    <xf numFmtId="0" fontId="60" fillId="0" borderId="0" xfId="0" applyFont="1" applyAlignment="1">
      <alignment wrapText="1"/>
    </xf>
    <xf numFmtId="0" fontId="62" fillId="0" borderId="0" xfId="0" applyFont="1" applyBorder="1" applyAlignment="1">
      <alignment vertical="center" wrapText="1"/>
    </xf>
    <xf numFmtId="0" fontId="62" fillId="0" borderId="0" xfId="0" applyFont="1" applyFill="1" applyBorder="1" applyAlignment="1">
      <alignment vertical="center" wrapText="1"/>
    </xf>
    <xf numFmtId="0" fontId="62" fillId="0" borderId="14" xfId="0" applyFont="1" applyBorder="1" applyAlignment="1">
      <alignment vertical="center" wrapText="1"/>
    </xf>
    <xf numFmtId="0" fontId="62" fillId="0" borderId="14" xfId="0" applyFont="1" applyFill="1" applyBorder="1" applyAlignment="1">
      <alignment vertical="center" wrapText="1"/>
    </xf>
    <xf numFmtId="49" fontId="62" fillId="0" borderId="14" xfId="0" applyNumberFormat="1" applyFont="1" applyBorder="1" applyAlignment="1">
      <alignment vertical="center" wrapText="1"/>
    </xf>
    <xf numFmtId="0" fontId="62" fillId="0" borderId="0" xfId="0" applyFont="1" applyBorder="1" applyAlignment="1">
      <alignment wrapText="1"/>
    </xf>
    <xf numFmtId="0" fontId="21" fillId="0" borderId="0" xfId="0" applyFont="1" applyBorder="1" applyAlignment="1">
      <alignment vertical="center" wrapText="1"/>
    </xf>
    <xf numFmtId="49" fontId="60" fillId="0" borderId="0" xfId="0" applyNumberFormat="1" applyFont="1"/>
    <xf numFmtId="0" fontId="60" fillId="0" borderId="0" xfId="0" applyFont="1" applyAlignment="1">
      <alignment vertical="center" wrapText="1"/>
    </xf>
    <xf numFmtId="4" fontId="23" fillId="0" borderId="6" xfId="0" applyNumberFormat="1" applyFont="1" applyBorder="1" applyAlignment="1">
      <alignment vertical="center"/>
    </xf>
    <xf numFmtId="4" fontId="23" fillId="11" borderId="1" xfId="0" applyNumberFormat="1" applyFont="1" applyFill="1" applyBorder="1" applyAlignment="1">
      <alignment vertical="center"/>
    </xf>
    <xf numFmtId="4" fontId="23" fillId="9" borderId="1" xfId="0" applyNumberFormat="1" applyFont="1" applyFill="1" applyBorder="1" applyAlignment="1">
      <alignment vertical="center"/>
    </xf>
    <xf numFmtId="4" fontId="55" fillId="0" borderId="7" xfId="0" applyNumberFormat="1" applyFont="1" applyBorder="1" applyAlignment="1">
      <alignment vertical="center"/>
    </xf>
    <xf numFmtId="4" fontId="76" fillId="0" borderId="10" xfId="0" applyNumberFormat="1" applyFont="1" applyBorder="1" applyAlignment="1">
      <alignment vertical="center"/>
    </xf>
    <xf numFmtId="0" fontId="77" fillId="0" borderId="1" xfId="0" applyFont="1" applyBorder="1" applyAlignment="1">
      <alignment vertical="center" wrapText="1"/>
    </xf>
    <xf numFmtId="0" fontId="77" fillId="0" borderId="0" xfId="0" applyFont="1" applyAlignment="1">
      <alignment vertical="center"/>
    </xf>
    <xf numFmtId="4" fontId="77" fillId="0" borderId="0" xfId="0" applyNumberFormat="1" applyFont="1" applyAlignment="1">
      <alignment vertical="center"/>
    </xf>
    <xf numFmtId="0" fontId="77" fillId="0" borderId="10" xfId="0" applyFont="1" applyBorder="1"/>
    <xf numFmtId="0" fontId="77" fillId="0" borderId="0" xfId="0" applyFont="1"/>
    <xf numFmtId="4" fontId="23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Protection="1"/>
    <xf numFmtId="4" fontId="22" fillId="8" borderId="5" xfId="0" applyNumberFormat="1" applyFont="1" applyFill="1" applyBorder="1" applyAlignment="1">
      <alignment horizontal="right" vertical="center" wrapText="1"/>
    </xf>
    <xf numFmtId="4" fontId="17" fillId="8" borderId="5" xfId="0" applyNumberFormat="1" applyFont="1" applyFill="1" applyBorder="1" applyAlignment="1">
      <alignment vertical="center"/>
    </xf>
    <xf numFmtId="4" fontId="6" fillId="0" borderId="0" xfId="0" applyNumberFormat="1" applyFont="1"/>
    <xf numFmtId="0" fontId="18" fillId="0" borderId="0" xfId="0" applyFont="1" applyBorder="1" applyAlignment="1">
      <alignment horizontal="left" vertical="center" wrapText="1"/>
    </xf>
    <xf numFmtId="49" fontId="78" fillId="0" borderId="0" xfId="0" applyNumberFormat="1" applyFont="1" applyBorder="1" applyAlignment="1">
      <alignment vertical="center" wrapText="1"/>
    </xf>
    <xf numFmtId="0" fontId="79" fillId="0" borderId="0" xfId="0" applyFont="1" applyFill="1" applyBorder="1" applyAlignment="1">
      <alignment horizontal="left" vertical="center"/>
    </xf>
    <xf numFmtId="0" fontId="79" fillId="0" borderId="4" xfId="0" applyFont="1" applyFill="1" applyBorder="1" applyAlignment="1">
      <alignment horizontal="left" vertical="center"/>
    </xf>
    <xf numFmtId="49" fontId="79" fillId="0" borderId="5" xfId="0" applyNumberFormat="1" applyFont="1" applyBorder="1" applyAlignment="1">
      <alignment vertical="center" wrapText="1"/>
    </xf>
    <xf numFmtId="49" fontId="79" fillId="0" borderId="4" xfId="0" applyNumberFormat="1" applyFont="1" applyBorder="1" applyAlignment="1">
      <alignment vertical="center" wrapText="1"/>
    </xf>
    <xf numFmtId="0" fontId="78" fillId="0" borderId="0" xfId="0" applyFont="1" applyBorder="1" applyAlignment="1">
      <alignment horizontal="center" vertical="center"/>
    </xf>
    <xf numFmtId="0" fontId="78" fillId="0" borderId="0" xfId="0" applyFont="1" applyBorder="1" applyAlignment="1">
      <alignment vertical="center"/>
    </xf>
    <xf numFmtId="0" fontId="78" fillId="0" borderId="0" xfId="0" quotePrefix="1" applyNumberFormat="1" applyFont="1" applyFill="1" applyBorder="1" applyAlignment="1">
      <alignment vertical="top"/>
    </xf>
    <xf numFmtId="0" fontId="78" fillId="0" borderId="0" xfId="0" applyFont="1" applyFill="1" applyBorder="1" applyAlignment="1">
      <alignment horizontal="center" vertical="center"/>
    </xf>
    <xf numFmtId="49" fontId="78" fillId="0" borderId="0" xfId="0" applyNumberFormat="1" applyFont="1" applyFill="1" applyBorder="1" applyAlignment="1">
      <alignment vertical="center" wrapText="1"/>
    </xf>
    <xf numFmtId="49" fontId="78" fillId="11" borderId="0" xfId="0" applyNumberFormat="1" applyFont="1" applyFill="1" applyBorder="1" applyAlignment="1">
      <alignment vertical="center" wrapText="1"/>
    </xf>
    <xf numFmtId="0" fontId="78" fillId="11" borderId="0" xfId="0" applyFont="1" applyFill="1" applyBorder="1" applyAlignment="1">
      <alignment horizontal="center" vertical="center"/>
    </xf>
    <xf numFmtId="49" fontId="78" fillId="7" borderId="0" xfId="0" applyNumberFormat="1" applyFont="1" applyFill="1" applyBorder="1" applyAlignment="1">
      <alignment vertical="center" wrapText="1"/>
    </xf>
    <xf numFmtId="49" fontId="79" fillId="0" borderId="0" xfId="0" applyNumberFormat="1" applyFont="1" applyBorder="1" applyAlignment="1">
      <alignment vertical="center" wrapText="1"/>
    </xf>
    <xf numFmtId="49" fontId="78" fillId="0" borderId="0" xfId="0" applyNumberFormat="1" applyFont="1" applyBorder="1" applyAlignment="1">
      <alignment horizontal="left" vertical="center" wrapText="1"/>
    </xf>
    <xf numFmtId="49" fontId="79" fillId="0" borderId="4" xfId="0" applyNumberFormat="1" applyFont="1" applyBorder="1" applyAlignment="1">
      <alignment horizontal="left" vertical="center" wrapText="1"/>
    </xf>
    <xf numFmtId="49" fontId="79" fillId="0" borderId="0" xfId="0" applyNumberFormat="1" applyFont="1" applyBorder="1" applyAlignment="1">
      <alignment horizontal="left" vertical="center" wrapText="1"/>
    </xf>
    <xf numFmtId="4" fontId="80" fillId="0" borderId="1" xfId="0" applyNumberFormat="1" applyFont="1" applyBorder="1" applyAlignment="1">
      <alignment vertical="center"/>
    </xf>
    <xf numFmtId="4" fontId="80" fillId="0" borderId="1" xfId="0" applyNumberFormat="1" applyFont="1" applyFill="1" applyBorder="1" applyAlignment="1">
      <alignment vertical="center"/>
    </xf>
    <xf numFmtId="4" fontId="81" fillId="0" borderId="1" xfId="0" applyNumberFormat="1" applyFont="1" applyBorder="1" applyAlignment="1">
      <alignment vertical="center"/>
    </xf>
    <xf numFmtId="4" fontId="81" fillId="0" borderId="6" xfId="0" applyNumberFormat="1" applyFont="1" applyBorder="1" applyAlignment="1">
      <alignment vertical="center"/>
    </xf>
    <xf numFmtId="4" fontId="80" fillId="0" borderId="0" xfId="0" applyNumberFormat="1" applyFont="1" applyBorder="1" applyAlignment="1">
      <alignment vertical="center"/>
    </xf>
    <xf numFmtId="4" fontId="81" fillId="0" borderId="0" xfId="0" applyNumberFormat="1" applyFont="1" applyBorder="1" applyAlignment="1">
      <alignment vertical="center"/>
    </xf>
    <xf numFmtId="0" fontId="18" fillId="0" borderId="0" xfId="0" applyFont="1" applyFill="1" applyBorder="1" applyAlignment="1">
      <alignment vertical="top" wrapText="1"/>
    </xf>
    <xf numFmtId="0" fontId="82" fillId="0" borderId="0" xfId="0" quotePrefix="1" applyNumberFormat="1" applyFont="1" applyBorder="1" applyAlignment="1">
      <alignment vertical="top" wrapText="1"/>
    </xf>
    <xf numFmtId="0" fontId="83" fillId="0" borderId="0" xfId="0" quotePrefix="1" applyNumberFormat="1" applyFont="1" applyBorder="1" applyAlignment="1">
      <alignment vertical="top" wrapText="1"/>
    </xf>
    <xf numFmtId="0" fontId="18" fillId="0" borderId="12" xfId="0" applyNumberFormat="1" applyFont="1" applyBorder="1" applyAlignment="1">
      <alignment horizontal="left" vertical="top" wrapText="1" readingOrder="1"/>
    </xf>
    <xf numFmtId="0" fontId="84" fillId="0" borderId="0" xfId="0" quotePrefix="1" applyNumberFormat="1" applyFont="1" applyBorder="1" applyAlignment="1">
      <alignment vertical="top" wrapText="1"/>
    </xf>
    <xf numFmtId="0" fontId="30" fillId="0" borderId="0" xfId="0" quotePrefix="1" applyNumberFormat="1" applyFont="1" applyBorder="1" applyAlignment="1">
      <alignment vertical="top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79" fillId="0" borderId="5" xfId="0" applyFont="1" applyFill="1" applyBorder="1" applyAlignment="1">
      <alignment horizontal="left" vertical="center"/>
    </xf>
    <xf numFmtId="49" fontId="79" fillId="0" borderId="5" xfId="0" applyNumberFormat="1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/>
    </xf>
    <xf numFmtId="49" fontId="17" fillId="0" borderId="2" xfId="0" applyNumberFormat="1" applyFont="1" applyBorder="1" applyAlignment="1">
      <alignment vertical="center" wrapText="1"/>
    </xf>
    <xf numFmtId="49" fontId="17" fillId="0" borderId="11" xfId="0" applyNumberFormat="1" applyFont="1" applyBorder="1" applyAlignment="1">
      <alignment vertical="center" wrapText="1"/>
    </xf>
    <xf numFmtId="0" fontId="53" fillId="0" borderId="0" xfId="0" quotePrefix="1" applyNumberFormat="1" applyFont="1" applyBorder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vertical="center"/>
    </xf>
    <xf numFmtId="0" fontId="68" fillId="0" borderId="0" xfId="0" applyFont="1" applyBorder="1" applyAlignment="1">
      <alignment horizontal="left" vertical="center"/>
    </xf>
    <xf numFmtId="49" fontId="78" fillId="0" borderId="0" xfId="0" applyNumberFormat="1" applyFont="1" applyAlignment="1">
      <alignment vertical="center"/>
    </xf>
    <xf numFmtId="4" fontId="81" fillId="0" borderId="0" xfId="0" applyNumberFormat="1" applyFont="1" applyAlignment="1">
      <alignment vertical="center"/>
    </xf>
    <xf numFmtId="4" fontId="85" fillId="0" borderId="1" xfId="0" applyNumberFormat="1" applyFont="1" applyBorder="1" applyAlignment="1">
      <alignment vertical="center"/>
    </xf>
    <xf numFmtId="4" fontId="23" fillId="0" borderId="8" xfId="0" applyNumberFormat="1" applyFont="1" applyBorder="1" applyAlignment="1">
      <alignment vertical="center"/>
    </xf>
    <xf numFmtId="4" fontId="22" fillId="0" borderId="3" xfId="0" applyNumberFormat="1" applyFont="1" applyFill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21" fillId="0" borderId="3" xfId="0" applyNumberFormat="1" applyFont="1" applyBorder="1" applyAlignment="1"/>
    <xf numFmtId="4" fontId="20" fillId="0" borderId="0" xfId="0" applyNumberFormat="1" applyFont="1" applyBorder="1" applyAlignment="1"/>
    <xf numFmtId="4" fontId="22" fillId="0" borderId="14" xfId="0" applyNumberFormat="1" applyFont="1" applyBorder="1" applyAlignment="1"/>
    <xf numFmtId="0" fontId="18" fillId="0" borderId="0" xfId="0" applyNumberFormat="1" applyFont="1" applyBorder="1" applyAlignment="1">
      <alignment vertical="top" wrapText="1"/>
    </xf>
    <xf numFmtId="0" fontId="18" fillId="0" borderId="12" xfId="0" applyNumberFormat="1" applyFont="1" applyBorder="1" applyAlignment="1">
      <alignment vertical="top" wrapText="1"/>
    </xf>
    <xf numFmtId="4" fontId="18" fillId="0" borderId="0" xfId="0" applyNumberFormat="1" applyFont="1" applyAlignment="1"/>
    <xf numFmtId="0" fontId="6" fillId="0" borderId="0" xfId="0" applyFont="1" applyAlignment="1"/>
    <xf numFmtId="0" fontId="18" fillId="0" borderId="0" xfId="0" applyFont="1" applyAlignment="1"/>
    <xf numFmtId="4" fontId="18" fillId="0" borderId="9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4" fontId="18" fillId="0" borderId="8" xfId="0" applyNumberFormat="1" applyFont="1" applyFill="1" applyBorder="1" applyAlignment="1">
      <alignment vertical="center"/>
    </xf>
    <xf numFmtId="4" fontId="23" fillId="0" borderId="9" xfId="0" applyNumberFormat="1" applyFont="1" applyFill="1" applyBorder="1" applyAlignment="1">
      <alignment vertical="center"/>
    </xf>
    <xf numFmtId="4" fontId="17" fillId="18" borderId="13" xfId="0" applyNumberFormat="1" applyFont="1" applyFill="1" applyBorder="1" applyAlignment="1">
      <alignment horizontal="centerContinuous" vertical="center" wrapText="1"/>
    </xf>
    <xf numFmtId="4" fontId="17" fillId="18" borderId="13" xfId="0" applyNumberFormat="1" applyFont="1" applyFill="1" applyBorder="1" applyAlignment="1">
      <alignment horizontal="centerContinuous" vertical="center"/>
    </xf>
    <xf numFmtId="0" fontId="17" fillId="0" borderId="13" xfId="0" applyFont="1" applyBorder="1" applyAlignment="1">
      <alignment vertical="center" wrapText="1"/>
    </xf>
    <xf numFmtId="0" fontId="18" fillId="0" borderId="3" xfId="0" applyFont="1" applyFill="1" applyBorder="1" applyAlignment="1">
      <alignment horizontal="centerContinuous" vertical="center" wrapText="1"/>
    </xf>
    <xf numFmtId="2" fontId="18" fillId="0" borderId="0" xfId="0" applyNumberFormat="1" applyFont="1" applyBorder="1" applyAlignment="1">
      <alignment vertical="center"/>
    </xf>
    <xf numFmtId="0" fontId="17" fillId="0" borderId="4" xfId="0" applyFont="1" applyFill="1" applyBorder="1" applyAlignment="1">
      <alignment horizontal="centerContinuous" vertical="center"/>
    </xf>
    <xf numFmtId="0" fontId="18" fillId="0" borderId="5" xfId="0" applyFont="1" applyFill="1" applyBorder="1" applyAlignment="1">
      <alignment horizontal="centerContinuous" vertical="center"/>
    </xf>
    <xf numFmtId="0" fontId="18" fillId="0" borderId="5" xfId="0" applyFont="1" applyFill="1" applyBorder="1" applyAlignment="1">
      <alignment horizontal="centerContinuous" vertical="center" wrapText="1"/>
    </xf>
    <xf numFmtId="4" fontId="23" fillId="0" borderId="6" xfId="0" applyNumberFormat="1" applyFont="1" applyFill="1" applyBorder="1" applyAlignment="1">
      <alignment horizontal="centerContinuous" vertical="center"/>
    </xf>
    <xf numFmtId="4" fontId="18" fillId="0" borderId="6" xfId="0" applyNumberFormat="1" applyFont="1" applyFill="1" applyBorder="1" applyAlignment="1">
      <alignment horizontal="centerContinuous" vertical="center"/>
    </xf>
    <xf numFmtId="4" fontId="23" fillId="0" borderId="13" xfId="0" applyNumberFormat="1" applyFont="1" applyFill="1" applyBorder="1" applyAlignment="1">
      <alignment horizontal="centerContinuous" vertical="center"/>
    </xf>
    <xf numFmtId="4" fontId="18" fillId="0" borderId="13" xfId="0" applyNumberFormat="1" applyFont="1" applyFill="1" applyBorder="1" applyAlignment="1">
      <alignment horizontal="centerContinuous" vertical="center"/>
    </xf>
    <xf numFmtId="4" fontId="22" fillId="0" borderId="15" xfId="0" applyNumberFormat="1" applyFont="1" applyFill="1" applyBorder="1" applyAlignment="1">
      <alignment vertical="center"/>
    </xf>
    <xf numFmtId="168" fontId="62" fillId="0" borderId="9" xfId="0" applyNumberFormat="1" applyFont="1" applyBorder="1" applyAlignment="1">
      <alignment vertical="center"/>
    </xf>
    <xf numFmtId="0" fontId="65" fillId="0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4" fontId="23" fillId="0" borderId="4" xfId="0" applyNumberFormat="1" applyFont="1" applyFill="1" applyBorder="1" applyAlignment="1">
      <alignment horizontal="center" vertical="center"/>
    </xf>
    <xf numFmtId="4" fontId="23" fillId="0" borderId="6" xfId="0" applyNumberFormat="1" applyFont="1" applyFill="1" applyBorder="1" applyAlignment="1">
      <alignment horizontal="center" vertical="center"/>
    </xf>
    <xf numFmtId="4" fontId="37" fillId="10" borderId="4" xfId="0" applyNumberFormat="1" applyFont="1" applyFill="1" applyBorder="1" applyAlignment="1">
      <alignment horizontal="center" vertical="center"/>
    </xf>
    <xf numFmtId="4" fontId="37" fillId="10" borderId="5" xfId="0" applyNumberFormat="1" applyFont="1" applyFill="1" applyBorder="1" applyAlignment="1">
      <alignment horizontal="center" vertical="center"/>
    </xf>
    <xf numFmtId="4" fontId="37" fillId="10" borderId="6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" fontId="22" fillId="0" borderId="9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15" xfId="0" applyNumberFormat="1" applyFont="1" applyFill="1" applyBorder="1" applyAlignment="1">
      <alignment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colors>
    <mruColors>
      <color rgb="FFFFFF99"/>
      <color rgb="FFFFCCFF"/>
      <color rgb="FF00FF00"/>
      <color rgb="FFCCFFCC"/>
      <color rgb="FFD9D9D9"/>
      <color rgb="FFCCFFFF"/>
      <color rgb="FF0033CC"/>
      <color rgb="FFFF00FF"/>
      <color rgb="FFC0C0C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3741"/>
  <sheetViews>
    <sheetView zoomScale="75" workbookViewId="0">
      <pane ySplit="1830" topLeftCell="A1926" activePane="bottomLeft"/>
      <selection activeCell="D1" sqref="A1:IV65536"/>
      <selection pane="bottomLeft" activeCell="N1928" sqref="N1928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5.85546875" style="183" bestFit="1" customWidth="1"/>
    <col min="4" max="4" width="60" style="420" customWidth="1"/>
    <col min="5" max="5" width="8.7109375" style="183" bestFit="1" customWidth="1"/>
    <col min="6" max="6" width="13.85546875" style="183" bestFit="1" customWidth="1"/>
    <col min="7" max="7" width="13.7109375" style="183" bestFit="1" customWidth="1"/>
    <col min="8" max="8" width="20.28515625" style="183" hidden="1" customWidth="1"/>
    <col min="9" max="9" width="20.42578125" style="218" bestFit="1" customWidth="1"/>
    <col min="10" max="10" width="20.42578125" style="218" hidden="1" customWidth="1"/>
    <col min="11" max="11" width="8.7109375" style="183" bestFit="1" customWidth="1"/>
    <col min="12" max="12" width="13.5703125" style="218" bestFit="1" customWidth="1"/>
    <col min="13" max="13" width="11.42578125" style="218" bestFit="1" customWidth="1"/>
    <col min="14" max="14" width="17.7109375" style="218" bestFit="1" customWidth="1"/>
    <col min="15" max="15" width="12.7109375" style="218" bestFit="1" customWidth="1"/>
    <col min="16" max="16" width="17.85546875" style="218" bestFit="1" customWidth="1"/>
    <col min="17" max="17" width="13.140625" style="218" bestFit="1" customWidth="1"/>
    <col min="18" max="18" width="18.7109375" style="218" bestFit="1" customWidth="1"/>
    <col min="19" max="19" width="9.28515625" style="220" bestFit="1" customWidth="1"/>
    <col min="20" max="20" width="16.28515625" style="218" customWidth="1"/>
    <col min="21" max="21" width="13" style="218" bestFit="1" customWidth="1"/>
    <col min="22" max="22" width="17.7109375" style="218" bestFit="1" customWidth="1"/>
    <col min="23" max="23" width="9.28515625" style="220" bestFit="1" customWidth="1"/>
    <col min="24" max="24" width="15.7109375" style="218" customWidth="1"/>
    <col min="25" max="25" width="13" style="220" bestFit="1" customWidth="1"/>
    <col min="26" max="26" width="17.7109375" style="218" bestFit="1" customWidth="1"/>
    <col min="27" max="32" width="9.140625" style="183"/>
    <col min="33" max="33" width="9.7109375" style="183" bestFit="1" customWidth="1"/>
    <col min="34" max="16384" width="9.140625" style="183"/>
  </cols>
  <sheetData>
    <row r="1" spans="1:39">
      <c r="A1" s="946" t="s">
        <v>1368</v>
      </c>
      <c r="B1" s="578"/>
      <c r="C1" s="579" t="s">
        <v>1035</v>
      </c>
      <c r="D1" s="580"/>
      <c r="E1" s="581"/>
      <c r="F1" s="581"/>
      <c r="G1" s="581"/>
      <c r="H1" s="581"/>
      <c r="I1" s="582"/>
      <c r="J1" s="582"/>
      <c r="K1" s="581"/>
      <c r="L1" s="582"/>
      <c r="M1" s="582"/>
      <c r="N1" s="582"/>
      <c r="O1" s="582"/>
      <c r="P1" s="582"/>
      <c r="Q1" s="582"/>
      <c r="R1" s="582"/>
      <c r="S1" s="583"/>
      <c r="T1" s="582"/>
      <c r="U1" s="582"/>
      <c r="V1" s="582"/>
      <c r="W1" s="583"/>
      <c r="X1" s="582"/>
      <c r="Y1" s="583"/>
      <c r="Z1" s="584"/>
    </row>
    <row r="2" spans="1:39">
      <c r="A2" s="947"/>
      <c r="B2" s="178"/>
      <c r="C2" s="179" t="s">
        <v>2213</v>
      </c>
      <c r="D2" s="585"/>
      <c r="E2" s="180"/>
      <c r="F2" s="180"/>
      <c r="G2" s="180"/>
      <c r="H2" s="180"/>
      <c r="I2" s="181"/>
      <c r="J2" s="181"/>
      <c r="K2" s="180"/>
      <c r="L2" s="181"/>
      <c r="M2" s="181"/>
      <c r="N2" s="181"/>
      <c r="O2" s="181"/>
      <c r="P2" s="181"/>
      <c r="Q2" s="181"/>
      <c r="R2" s="181"/>
      <c r="S2" s="182"/>
      <c r="T2" s="181"/>
      <c r="U2" s="181"/>
      <c r="V2" s="181"/>
      <c r="W2" s="182"/>
      <c r="X2" s="181"/>
      <c r="Y2" s="182"/>
      <c r="Z2" s="586"/>
    </row>
    <row r="3" spans="1:39">
      <c r="A3" s="947"/>
      <c r="B3" s="178"/>
      <c r="C3" s="179" t="s">
        <v>1036</v>
      </c>
      <c r="D3" s="585"/>
      <c r="E3" s="180"/>
      <c r="F3" s="180"/>
      <c r="G3" s="180"/>
      <c r="H3" s="180"/>
      <c r="I3" s="181"/>
      <c r="J3" s="181"/>
      <c r="K3" s="180"/>
      <c r="L3" s="181"/>
      <c r="M3" s="181"/>
      <c r="N3" s="181"/>
      <c r="O3" s="181"/>
      <c r="P3" s="181"/>
      <c r="Q3" s="181"/>
      <c r="R3" s="181"/>
      <c r="S3" s="182"/>
      <c r="T3" s="181"/>
      <c r="U3" s="181"/>
      <c r="V3" s="181"/>
      <c r="W3" s="182"/>
      <c r="X3" s="181"/>
      <c r="Y3" s="182"/>
      <c r="Z3" s="586"/>
    </row>
    <row r="4" spans="1:39">
      <c r="A4" s="947"/>
      <c r="B4" s="178"/>
      <c r="C4" s="179"/>
      <c r="D4" s="585"/>
      <c r="E4" s="180"/>
      <c r="F4" s="935" t="s">
        <v>1806</v>
      </c>
      <c r="G4" s="936"/>
      <c r="H4" s="936"/>
      <c r="I4" s="937"/>
      <c r="J4" s="393"/>
      <c r="K4" s="180"/>
      <c r="L4" s="181"/>
      <c r="M4" s="184" t="s">
        <v>1806</v>
      </c>
      <c r="N4" s="184"/>
      <c r="O4" s="184"/>
      <c r="P4" s="184"/>
      <c r="Q4" s="184"/>
      <c r="R4" s="493"/>
      <c r="S4" s="493"/>
      <c r="T4" s="493"/>
      <c r="U4" s="184"/>
      <c r="V4" s="184"/>
      <c r="W4" s="184"/>
      <c r="X4" s="184"/>
      <c r="Y4" s="184"/>
      <c r="Z4" s="184"/>
    </row>
    <row r="5" spans="1:39">
      <c r="A5" s="948"/>
      <c r="B5" s="178"/>
      <c r="C5" s="186"/>
      <c r="D5" s="587"/>
      <c r="E5" s="187"/>
      <c r="F5" s="938"/>
      <c r="G5" s="939"/>
      <c r="H5" s="939"/>
      <c r="I5" s="940"/>
      <c r="J5" s="394"/>
      <c r="K5" s="187"/>
      <c r="L5" s="188"/>
      <c r="M5" s="607" t="s">
        <v>2466</v>
      </c>
      <c r="N5" s="607"/>
      <c r="O5" s="610" t="s">
        <v>2467</v>
      </c>
      <c r="P5" s="610"/>
      <c r="Q5" s="608" t="s">
        <v>2468</v>
      </c>
      <c r="R5" s="608"/>
      <c r="S5" s="609" t="s">
        <v>23</v>
      </c>
      <c r="T5" s="608"/>
      <c r="U5" s="608" t="s">
        <v>2469</v>
      </c>
      <c r="V5" s="608"/>
      <c r="W5" s="609" t="s">
        <v>341</v>
      </c>
      <c r="X5" s="608"/>
      <c r="Y5" s="609" t="s">
        <v>2470</v>
      </c>
      <c r="Z5" s="608"/>
    </row>
    <row r="6" spans="1:39" ht="14.25">
      <c r="A6" s="192" t="s">
        <v>1788</v>
      </c>
      <c r="B6" s="193" t="s">
        <v>462</v>
      </c>
      <c r="C6" s="194"/>
      <c r="D6" s="195" t="s">
        <v>1889</v>
      </c>
      <c r="E6" s="194" t="s">
        <v>1890</v>
      </c>
      <c r="F6" s="204" t="s">
        <v>1891</v>
      </c>
      <c r="G6" s="196" t="s">
        <v>1892</v>
      </c>
      <c r="H6" s="205" t="s">
        <v>1893</v>
      </c>
      <c r="I6" s="199" t="s">
        <v>2207</v>
      </c>
      <c r="J6" s="206"/>
      <c r="K6" s="194" t="s">
        <v>1890</v>
      </c>
      <c r="L6" s="197" t="s">
        <v>1892</v>
      </c>
      <c r="M6" s="198" t="s">
        <v>1891</v>
      </c>
      <c r="N6" s="199" t="s">
        <v>2207</v>
      </c>
      <c r="O6" s="198" t="s">
        <v>1891</v>
      </c>
      <c r="P6" s="199" t="s">
        <v>2207</v>
      </c>
      <c r="Q6" s="198" t="s">
        <v>1891</v>
      </c>
      <c r="R6" s="199" t="s">
        <v>2207</v>
      </c>
      <c r="S6" s="200" t="s">
        <v>1891</v>
      </c>
      <c r="T6" s="199" t="s">
        <v>2207</v>
      </c>
      <c r="U6" s="198" t="s">
        <v>1891</v>
      </c>
      <c r="V6" s="199" t="s">
        <v>2207</v>
      </c>
      <c r="W6" s="200" t="s">
        <v>1891</v>
      </c>
      <c r="X6" s="199" t="s">
        <v>2207</v>
      </c>
      <c r="Y6" s="200" t="s">
        <v>1891</v>
      </c>
      <c r="Z6" s="199" t="s">
        <v>2207</v>
      </c>
    </row>
    <row r="7" spans="1:39">
      <c r="A7" s="201"/>
      <c r="B7" s="202"/>
      <c r="C7" s="202"/>
      <c r="D7" s="203"/>
      <c r="E7" s="202"/>
      <c r="F7" s="204" t="s">
        <v>1894</v>
      </c>
      <c r="G7" s="196" t="s">
        <v>1895</v>
      </c>
      <c r="H7" s="205" t="s">
        <v>1896</v>
      </c>
      <c r="I7" s="392" t="s">
        <v>1779</v>
      </c>
      <c r="J7" s="206"/>
      <c r="K7" s="202"/>
      <c r="L7" s="206" t="s">
        <v>1895</v>
      </c>
      <c r="M7" s="207" t="s">
        <v>1894</v>
      </c>
      <c r="N7" s="208"/>
      <c r="O7" s="207" t="s">
        <v>1894</v>
      </c>
      <c r="P7" s="208"/>
      <c r="Q7" s="207" t="s">
        <v>1894</v>
      </c>
      <c r="R7" s="208"/>
      <c r="S7" s="209" t="s">
        <v>1894</v>
      </c>
      <c r="T7" s="208"/>
      <c r="U7" s="207" t="s">
        <v>1894</v>
      </c>
      <c r="V7" s="208"/>
      <c r="W7" s="209" t="s">
        <v>1894</v>
      </c>
      <c r="X7" s="208"/>
      <c r="Y7" s="209" t="s">
        <v>1894</v>
      </c>
      <c r="Z7" s="208"/>
    </row>
    <row r="8" spans="1:39" ht="15">
      <c r="A8" s="210"/>
      <c r="B8" s="211"/>
      <c r="C8" s="211"/>
      <c r="D8" s="212"/>
      <c r="E8" s="211"/>
      <c r="F8" s="213" t="s">
        <v>1890</v>
      </c>
      <c r="G8" s="395" t="s">
        <v>1897</v>
      </c>
      <c r="H8" s="396" t="s">
        <v>1897</v>
      </c>
      <c r="I8" s="215"/>
      <c r="J8" s="413"/>
      <c r="K8" s="211"/>
      <c r="L8" s="214" t="s">
        <v>1897</v>
      </c>
      <c r="M8" s="215" t="s">
        <v>1890</v>
      </c>
      <c r="N8" s="215"/>
      <c r="O8" s="215" t="s">
        <v>1890</v>
      </c>
      <c r="P8" s="215"/>
      <c r="Q8" s="215" t="s">
        <v>1890</v>
      </c>
      <c r="R8" s="215"/>
      <c r="S8" s="216" t="s">
        <v>1890</v>
      </c>
      <c r="T8" s="215"/>
      <c r="U8" s="215" t="s">
        <v>1890</v>
      </c>
      <c r="V8" s="215"/>
      <c r="W8" s="216" t="s">
        <v>1890</v>
      </c>
      <c r="X8" s="215"/>
      <c r="Y8" s="216" t="s">
        <v>1890</v>
      </c>
      <c r="Z8" s="215"/>
    </row>
    <row r="9" spans="1:39" ht="15">
      <c r="A9" s="192"/>
      <c r="B9" s="194"/>
      <c r="C9" s="194"/>
      <c r="D9" s="194"/>
      <c r="E9" s="194"/>
      <c r="F9" s="507" t="s">
        <v>942</v>
      </c>
      <c r="G9" s="194"/>
      <c r="H9" s="501"/>
      <c r="I9" s="390"/>
      <c r="J9" s="390"/>
      <c r="K9" s="194"/>
      <c r="L9" s="217">
        <v>2013</v>
      </c>
      <c r="M9" s="222"/>
      <c r="N9" s="222"/>
      <c r="O9" s="222"/>
      <c r="P9" s="222"/>
      <c r="Q9" s="223"/>
      <c r="R9" s="222"/>
      <c r="S9" s="224"/>
      <c r="T9" s="222"/>
      <c r="U9" s="222"/>
      <c r="V9" s="222"/>
      <c r="W9" s="224"/>
      <c r="X9" s="222"/>
      <c r="Y9" s="224"/>
      <c r="Z9" s="588"/>
    </row>
    <row r="10" spans="1:39" ht="45">
      <c r="A10" s="201"/>
      <c r="B10" s="202"/>
      <c r="C10" s="202"/>
      <c r="D10" s="589" t="s">
        <v>2211</v>
      </c>
      <c r="E10" s="590"/>
      <c r="F10" s="505"/>
      <c r="G10" s="326" t="s">
        <v>440</v>
      </c>
      <c r="H10" s="202"/>
      <c r="I10" s="390"/>
      <c r="J10" s="390"/>
      <c r="K10" s="590"/>
      <c r="L10" s="507" t="s">
        <v>942</v>
      </c>
      <c r="M10" s="222"/>
      <c r="N10" s="222"/>
      <c r="O10" s="222"/>
      <c r="P10" s="222"/>
      <c r="Q10" s="223"/>
      <c r="R10" s="222"/>
      <c r="S10" s="224"/>
      <c r="T10" s="222"/>
      <c r="U10" s="222"/>
      <c r="V10" s="222"/>
      <c r="W10" s="224"/>
      <c r="X10" s="222"/>
      <c r="Y10" s="224"/>
      <c r="Z10" s="588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</row>
    <row r="11" spans="1:39" ht="45">
      <c r="A11" s="201"/>
      <c r="B11" s="202"/>
      <c r="C11" s="202"/>
      <c r="D11" s="589" t="s">
        <v>2212</v>
      </c>
      <c r="E11" s="590"/>
      <c r="F11" s="504"/>
      <c r="G11" s="326" t="s">
        <v>439</v>
      </c>
      <c r="H11" s="202"/>
      <c r="I11" s="390"/>
      <c r="J11" s="390"/>
      <c r="K11" s="590"/>
      <c r="L11" s="227"/>
      <c r="M11" s="222"/>
      <c r="N11" s="222"/>
      <c r="O11" s="222"/>
      <c r="P11" s="222"/>
      <c r="Q11" s="223"/>
      <c r="R11" s="222"/>
      <c r="S11" s="224"/>
      <c r="T11" s="222"/>
      <c r="U11" s="222"/>
      <c r="V11" s="222"/>
      <c r="W11" s="224"/>
      <c r="X11" s="222"/>
      <c r="Y11" s="224"/>
      <c r="Z11" s="588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</row>
    <row r="12" spans="1:39" ht="50.25" customHeight="1">
      <c r="A12" s="210"/>
      <c r="B12" s="211"/>
      <c r="C12" s="211"/>
      <c r="D12" s="591" t="s">
        <v>275</v>
      </c>
      <c r="E12" s="592"/>
      <c r="F12" s="506"/>
      <c r="G12" s="593" t="s">
        <v>441</v>
      </c>
      <c r="H12" s="211"/>
      <c r="I12" s="413"/>
      <c r="J12" s="413"/>
      <c r="K12" s="592"/>
      <c r="L12" s="594"/>
      <c r="M12" s="500"/>
      <c r="N12" s="500"/>
      <c r="O12" s="500"/>
      <c r="P12" s="500"/>
      <c r="Q12" s="595"/>
      <c r="R12" s="500"/>
      <c r="S12" s="596"/>
      <c r="T12" s="500"/>
      <c r="U12" s="500"/>
      <c r="V12" s="500"/>
      <c r="W12" s="596"/>
      <c r="X12" s="500"/>
      <c r="Y12" s="596"/>
      <c r="Z12" s="597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</row>
    <row r="13" spans="1:39" s="235" customFormat="1" ht="15">
      <c r="A13" s="228"/>
      <c r="B13" s="229"/>
      <c r="C13" s="229"/>
      <c r="D13" s="230"/>
      <c r="E13" s="229"/>
      <c r="F13" s="231"/>
      <c r="G13" s="232"/>
      <c r="H13" s="231"/>
      <c r="I13" s="232"/>
      <c r="J13" s="232"/>
      <c r="K13" s="229"/>
      <c r="L13" s="232"/>
      <c r="M13" s="233"/>
      <c r="N13" s="234"/>
      <c r="O13" s="233"/>
      <c r="P13" s="234"/>
      <c r="Q13" s="233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39" s="247" customFormat="1" ht="15">
      <c r="A14" s="236"/>
      <c r="B14" s="237"/>
      <c r="C14" s="237"/>
      <c r="D14" s="238"/>
      <c r="E14" s="237"/>
      <c r="F14" s="239"/>
      <c r="G14" s="240"/>
      <c r="H14" s="239"/>
      <c r="I14" s="240"/>
      <c r="J14" s="240"/>
      <c r="K14" s="237"/>
      <c r="L14" s="241"/>
      <c r="M14" s="241"/>
      <c r="N14" s="242"/>
      <c r="O14" s="243"/>
      <c r="P14" s="242"/>
      <c r="Q14" s="244"/>
      <c r="R14" s="245"/>
      <c r="S14" s="245"/>
      <c r="T14" s="245"/>
      <c r="U14" s="245"/>
      <c r="V14" s="245"/>
      <c r="W14" s="245"/>
      <c r="X14" s="245"/>
      <c r="Y14" s="245"/>
      <c r="Z14" s="245"/>
    </row>
    <row r="15" spans="1:39" s="247" customFormat="1" ht="15">
      <c r="A15" s="236"/>
      <c r="B15" s="237"/>
      <c r="C15" s="248">
        <v>51</v>
      </c>
      <c r="D15" s="249" t="s">
        <v>1444</v>
      </c>
      <c r="E15" s="237"/>
      <c r="F15" s="239"/>
      <c r="G15" s="240"/>
      <c r="H15" s="239"/>
      <c r="I15" s="240"/>
      <c r="J15" s="240"/>
      <c r="K15" s="237"/>
      <c r="L15" s="243"/>
      <c r="M15" s="243"/>
      <c r="N15" s="242"/>
      <c r="O15" s="243"/>
      <c r="P15" s="242"/>
      <c r="Q15" s="244"/>
      <c r="R15" s="245"/>
      <c r="S15" s="245"/>
      <c r="T15" s="245"/>
      <c r="U15" s="245"/>
      <c r="V15" s="245"/>
      <c r="W15" s="245"/>
      <c r="X15" s="245"/>
      <c r="Y15" s="245"/>
      <c r="Z15" s="245"/>
    </row>
    <row r="16" spans="1:39" s="247" customFormat="1" ht="15">
      <c r="A16" s="236"/>
      <c r="B16" s="237"/>
      <c r="C16" s="248"/>
      <c r="D16" s="238" t="s">
        <v>562</v>
      </c>
      <c r="E16" s="237"/>
      <c r="F16" s="239"/>
      <c r="G16" s="240"/>
      <c r="H16" s="239"/>
      <c r="I16" s="240"/>
      <c r="J16" s="240"/>
      <c r="K16" s="237"/>
      <c r="L16" s="243"/>
      <c r="M16" s="243"/>
      <c r="N16" s="242"/>
      <c r="O16" s="243"/>
      <c r="P16" s="242"/>
      <c r="Q16" s="244"/>
      <c r="R16" s="245"/>
      <c r="S16" s="245"/>
      <c r="T16" s="245"/>
      <c r="U16" s="245"/>
      <c r="V16" s="245"/>
      <c r="W16" s="245"/>
      <c r="X16" s="245"/>
      <c r="Y16" s="245"/>
      <c r="Z16" s="245"/>
    </row>
    <row r="17" spans="1:26" ht="15" customHeight="1">
      <c r="A17" s="250">
        <v>1</v>
      </c>
      <c r="B17" s="251"/>
      <c r="C17" s="646" t="s">
        <v>2028</v>
      </c>
      <c r="D17" s="526" t="s">
        <v>2029</v>
      </c>
      <c r="E17" s="251" t="s">
        <v>534</v>
      </c>
      <c r="F17" s="252">
        <f>M17+O17+Q17+S17+U17+W17+Y17</f>
        <v>108</v>
      </c>
      <c r="G17" s="253">
        <f>L17</f>
        <v>38.15</v>
      </c>
      <c r="H17" s="254">
        <f>INT(F17*G17*100+0.5)/100</f>
        <v>4120.2</v>
      </c>
      <c r="I17" s="253">
        <f>N17+P17+R17+T17+V17+X17+Z17</f>
        <v>4120.2</v>
      </c>
      <c r="J17" s="253"/>
      <c r="K17" s="251" t="s">
        <v>534</v>
      </c>
      <c r="L17" s="255">
        <v>38.15</v>
      </c>
      <c r="M17" s="256">
        <v>32</v>
      </c>
      <c r="N17" s="257">
        <f t="shared" ref="N17:N61" si="0">INT($L17*M17*100+0.5)/100</f>
        <v>1220.8</v>
      </c>
      <c r="O17" s="256">
        <v>24</v>
      </c>
      <c r="P17" s="257">
        <f t="shared" ref="P17:P61" si="1">INT($L17*O17*100+0.5)/100</f>
        <v>915.6</v>
      </c>
      <c r="Q17" s="256">
        <v>12</v>
      </c>
      <c r="R17" s="257">
        <f t="shared" ref="R17:R61" si="2">INT($L17*Q17*100+0.5)/100</f>
        <v>457.8</v>
      </c>
      <c r="S17" s="258">
        <v>0</v>
      </c>
      <c r="T17" s="257">
        <f t="shared" ref="T17:T61" si="3">INT($L17*S17*100+0.5)/100</f>
        <v>0</v>
      </c>
      <c r="U17" s="256">
        <v>32</v>
      </c>
      <c r="V17" s="257">
        <f t="shared" ref="V17:V61" si="4">INT($L17*U17*100+0.5)/100</f>
        <v>1220.8</v>
      </c>
      <c r="W17" s="258">
        <v>8</v>
      </c>
      <c r="X17" s="257">
        <f t="shared" ref="X17:X61" si="5">INT($L17*W17*100+0.5)/100</f>
        <v>305.2</v>
      </c>
      <c r="Y17" s="258">
        <v>0</v>
      </c>
      <c r="Z17" s="257">
        <f t="shared" ref="Z17:Z61" si="6">INT($L17*Y17*100+0.5)/100</f>
        <v>0</v>
      </c>
    </row>
    <row r="18" spans="1:26" ht="15" customHeight="1">
      <c r="A18" s="250">
        <f>A17+1</f>
        <v>2</v>
      </c>
      <c r="B18" s="251"/>
      <c r="C18" s="646" t="s">
        <v>2136</v>
      </c>
      <c r="D18" s="526" t="s">
        <v>533</v>
      </c>
      <c r="E18" s="251" t="s">
        <v>534</v>
      </c>
      <c r="F18" s="252">
        <f>M18+O18+Q18+S18+U18+W18+Y18</f>
        <v>108</v>
      </c>
      <c r="G18" s="253">
        <f t="shared" ref="G18:G87" si="7">L18</f>
        <v>36.159999999999997</v>
      </c>
      <c r="H18" s="254">
        <f>INT(F18*G18*100+0.5)/100</f>
        <v>3905.28</v>
      </c>
      <c r="I18" s="253">
        <f>N18+P18+R18+T18+V18+X18+Z18</f>
        <v>3905.2799999999997</v>
      </c>
      <c r="J18" s="253"/>
      <c r="K18" s="251" t="s">
        <v>534</v>
      </c>
      <c r="L18" s="255">
        <v>36.159999999999997</v>
      </c>
      <c r="M18" s="256">
        <v>32</v>
      </c>
      <c r="N18" s="257">
        <f t="shared" si="0"/>
        <v>1157.1199999999999</v>
      </c>
      <c r="O18" s="256">
        <v>24</v>
      </c>
      <c r="P18" s="257">
        <f t="shared" si="1"/>
        <v>867.84</v>
      </c>
      <c r="Q18" s="256">
        <v>12</v>
      </c>
      <c r="R18" s="257">
        <f t="shared" si="2"/>
        <v>433.92</v>
      </c>
      <c r="S18" s="258">
        <v>0</v>
      </c>
      <c r="T18" s="257">
        <f t="shared" si="3"/>
        <v>0</v>
      </c>
      <c r="U18" s="256">
        <v>32</v>
      </c>
      <c r="V18" s="257">
        <f t="shared" si="4"/>
        <v>1157.1199999999999</v>
      </c>
      <c r="W18" s="258">
        <v>8</v>
      </c>
      <c r="X18" s="257">
        <f t="shared" si="5"/>
        <v>289.27999999999997</v>
      </c>
      <c r="Y18" s="258">
        <v>0</v>
      </c>
      <c r="Z18" s="257">
        <f t="shared" si="6"/>
        <v>0</v>
      </c>
    </row>
    <row r="19" spans="1:26" ht="15" customHeight="1">
      <c r="A19" s="250">
        <f>A18+1</f>
        <v>3</v>
      </c>
      <c r="B19" s="251"/>
      <c r="C19" s="646" t="s">
        <v>2137</v>
      </c>
      <c r="D19" s="526" t="s">
        <v>535</v>
      </c>
      <c r="E19" s="251" t="s">
        <v>534</v>
      </c>
      <c r="F19" s="252">
        <f>M19+O19+Q19+S19+U19+W19+Y19</f>
        <v>108</v>
      </c>
      <c r="G19" s="253">
        <f t="shared" si="7"/>
        <v>33.39</v>
      </c>
      <c r="H19" s="254">
        <f>INT(F19*G19*100+0.5)/100</f>
        <v>3606.12</v>
      </c>
      <c r="I19" s="253">
        <f>N19+P19+R19+T19+V19+X19+Z19</f>
        <v>3606.12</v>
      </c>
      <c r="J19" s="253"/>
      <c r="K19" s="251" t="s">
        <v>534</v>
      </c>
      <c r="L19" s="255">
        <v>33.39</v>
      </c>
      <c r="M19" s="256">
        <v>32</v>
      </c>
      <c r="N19" s="257">
        <f t="shared" si="0"/>
        <v>1068.48</v>
      </c>
      <c r="O19" s="256">
        <v>24</v>
      </c>
      <c r="P19" s="257">
        <f t="shared" si="1"/>
        <v>801.36</v>
      </c>
      <c r="Q19" s="256">
        <v>12</v>
      </c>
      <c r="R19" s="257">
        <f t="shared" si="2"/>
        <v>400.68</v>
      </c>
      <c r="S19" s="258">
        <v>0</v>
      </c>
      <c r="T19" s="257">
        <f t="shared" si="3"/>
        <v>0</v>
      </c>
      <c r="U19" s="256">
        <v>32</v>
      </c>
      <c r="V19" s="257">
        <f t="shared" si="4"/>
        <v>1068.48</v>
      </c>
      <c r="W19" s="258">
        <v>8</v>
      </c>
      <c r="X19" s="257">
        <f t="shared" si="5"/>
        <v>267.12</v>
      </c>
      <c r="Y19" s="258">
        <v>0</v>
      </c>
      <c r="Z19" s="257">
        <f t="shared" si="6"/>
        <v>0</v>
      </c>
    </row>
    <row r="20" spans="1:26" ht="15" customHeight="1">
      <c r="A20" s="250">
        <f>A19+1</f>
        <v>4</v>
      </c>
      <c r="B20" s="251"/>
      <c r="C20" s="646" t="s">
        <v>2138</v>
      </c>
      <c r="D20" s="526" t="s">
        <v>2139</v>
      </c>
      <c r="E20" s="251" t="s">
        <v>534</v>
      </c>
      <c r="F20" s="252">
        <f>M20+O20+Q20+S20+U20+W20+Y20</f>
        <v>108</v>
      </c>
      <c r="G20" s="253">
        <f t="shared" si="7"/>
        <v>29.67</v>
      </c>
      <c r="H20" s="254">
        <f>INT(F20*G20*100+0.5)/100</f>
        <v>3204.36</v>
      </c>
      <c r="I20" s="253">
        <f>N20+P20+R20+T20+V20+X20+Z20</f>
        <v>3204.36</v>
      </c>
      <c r="J20" s="253"/>
      <c r="K20" s="251" t="s">
        <v>534</v>
      </c>
      <c r="L20" s="255">
        <v>29.67</v>
      </c>
      <c r="M20" s="256">
        <v>32</v>
      </c>
      <c r="N20" s="257">
        <f t="shared" si="0"/>
        <v>949.44</v>
      </c>
      <c r="O20" s="256">
        <v>24</v>
      </c>
      <c r="P20" s="257">
        <f t="shared" si="1"/>
        <v>712.08</v>
      </c>
      <c r="Q20" s="256">
        <v>12</v>
      </c>
      <c r="R20" s="257">
        <f t="shared" si="2"/>
        <v>356.04</v>
      </c>
      <c r="S20" s="258">
        <v>0</v>
      </c>
      <c r="T20" s="257">
        <f t="shared" si="3"/>
        <v>0</v>
      </c>
      <c r="U20" s="256">
        <v>32</v>
      </c>
      <c r="V20" s="257">
        <f t="shared" si="4"/>
        <v>949.44</v>
      </c>
      <c r="W20" s="258">
        <v>8</v>
      </c>
      <c r="X20" s="257">
        <f t="shared" si="5"/>
        <v>237.36</v>
      </c>
      <c r="Y20" s="258">
        <v>0</v>
      </c>
      <c r="Z20" s="257">
        <f t="shared" si="6"/>
        <v>0</v>
      </c>
    </row>
    <row r="21" spans="1:26" ht="15" customHeight="1">
      <c r="A21" s="250"/>
      <c r="B21" s="251"/>
      <c r="C21" s="646"/>
      <c r="D21" s="526" t="s">
        <v>563</v>
      </c>
      <c r="E21" s="251"/>
      <c r="F21" s="252"/>
      <c r="G21" s="253"/>
      <c r="H21" s="254"/>
      <c r="I21" s="253"/>
      <c r="J21" s="253"/>
      <c r="K21" s="251"/>
      <c r="L21" s="255"/>
      <c r="M21" s="256"/>
      <c r="N21" s="257"/>
      <c r="O21" s="256"/>
      <c r="P21" s="257"/>
      <c r="Q21" s="256"/>
      <c r="R21" s="257"/>
      <c r="S21" s="258"/>
      <c r="T21" s="257"/>
      <c r="U21" s="256"/>
      <c r="V21" s="257"/>
      <c r="W21" s="258"/>
      <c r="X21" s="257"/>
      <c r="Y21" s="258"/>
      <c r="Z21" s="257"/>
    </row>
    <row r="22" spans="1:26" ht="15" customHeight="1">
      <c r="A22" s="250">
        <f>A20+1</f>
        <v>5</v>
      </c>
      <c r="B22" s="251"/>
      <c r="C22" s="646" t="s">
        <v>2226</v>
      </c>
      <c r="D22" s="526" t="s">
        <v>2104</v>
      </c>
      <c r="E22" s="251" t="s">
        <v>534</v>
      </c>
      <c r="F22" s="252">
        <f>M22+O22+Q22+S22+U22+W22+Y22</f>
        <v>53</v>
      </c>
      <c r="G22" s="253">
        <f t="shared" si="7"/>
        <v>47.04</v>
      </c>
      <c r="H22" s="254">
        <f>INT(F22*G22*100+0.5)/100</f>
        <v>2493.12</v>
      </c>
      <c r="I22" s="253">
        <f>N22+P22+R22+T22+V22+X22+Z22</f>
        <v>2493.12</v>
      </c>
      <c r="J22" s="253"/>
      <c r="K22" s="251" t="s">
        <v>534</v>
      </c>
      <c r="L22" s="255">
        <v>47.04</v>
      </c>
      <c r="M22" s="256">
        <v>16</v>
      </c>
      <c r="N22" s="257">
        <f t="shared" si="0"/>
        <v>752.64</v>
      </c>
      <c r="O22" s="256">
        <v>12</v>
      </c>
      <c r="P22" s="257">
        <f t="shared" si="1"/>
        <v>564.48</v>
      </c>
      <c r="Q22" s="256">
        <v>8</v>
      </c>
      <c r="R22" s="257">
        <f t="shared" si="2"/>
        <v>376.32</v>
      </c>
      <c r="S22" s="258">
        <v>0</v>
      </c>
      <c r="T22" s="257">
        <f t="shared" si="3"/>
        <v>0</v>
      </c>
      <c r="U22" s="256">
        <v>12</v>
      </c>
      <c r="V22" s="257">
        <f t="shared" si="4"/>
        <v>564.48</v>
      </c>
      <c r="W22" s="258">
        <v>5</v>
      </c>
      <c r="X22" s="257">
        <f t="shared" si="5"/>
        <v>235.2</v>
      </c>
      <c r="Y22" s="258">
        <v>0</v>
      </c>
      <c r="Z22" s="257">
        <f t="shared" si="6"/>
        <v>0</v>
      </c>
    </row>
    <row r="23" spans="1:26" ht="15" customHeight="1">
      <c r="A23" s="250">
        <f>A22+1</f>
        <v>6</v>
      </c>
      <c r="B23" s="251"/>
      <c r="C23" s="646" t="s">
        <v>2227</v>
      </c>
      <c r="D23" s="526" t="s">
        <v>1805</v>
      </c>
      <c r="E23" s="251" t="s">
        <v>534</v>
      </c>
      <c r="F23" s="252">
        <f>M23+O23+Q23+S23+U23+W23+Y23</f>
        <v>53</v>
      </c>
      <c r="G23" s="253">
        <f t="shared" si="7"/>
        <v>51.05</v>
      </c>
      <c r="H23" s="254">
        <f>INT(F23*G23*100+0.5)/100</f>
        <v>2705.65</v>
      </c>
      <c r="I23" s="253">
        <f>N23+P23+R23+T23+V23+X23+Z23</f>
        <v>2705.65</v>
      </c>
      <c r="J23" s="253"/>
      <c r="K23" s="251" t="s">
        <v>534</v>
      </c>
      <c r="L23" s="255">
        <v>51.05</v>
      </c>
      <c r="M23" s="256">
        <v>16</v>
      </c>
      <c r="N23" s="257">
        <f t="shared" si="0"/>
        <v>816.8</v>
      </c>
      <c r="O23" s="256">
        <v>12</v>
      </c>
      <c r="P23" s="257">
        <f t="shared" si="1"/>
        <v>612.6</v>
      </c>
      <c r="Q23" s="256">
        <v>8</v>
      </c>
      <c r="R23" s="257">
        <f t="shared" si="2"/>
        <v>408.4</v>
      </c>
      <c r="S23" s="258">
        <v>0</v>
      </c>
      <c r="T23" s="257">
        <f t="shared" si="3"/>
        <v>0</v>
      </c>
      <c r="U23" s="256">
        <v>12</v>
      </c>
      <c r="V23" s="257">
        <f t="shared" si="4"/>
        <v>612.6</v>
      </c>
      <c r="W23" s="258">
        <v>5</v>
      </c>
      <c r="X23" s="257">
        <f t="shared" si="5"/>
        <v>255.25</v>
      </c>
      <c r="Y23" s="258">
        <v>0</v>
      </c>
      <c r="Z23" s="257">
        <f t="shared" si="6"/>
        <v>0</v>
      </c>
    </row>
    <row r="24" spans="1:26" ht="15" customHeight="1">
      <c r="A24" s="250">
        <f>A22+1</f>
        <v>6</v>
      </c>
      <c r="B24" s="251"/>
      <c r="C24" s="646" t="s">
        <v>2228</v>
      </c>
      <c r="D24" s="526" t="s">
        <v>2103</v>
      </c>
      <c r="E24" s="251" t="s">
        <v>534</v>
      </c>
      <c r="F24" s="252">
        <f>M24+O24+Q24+S24+U24+W24+Y24</f>
        <v>53</v>
      </c>
      <c r="G24" s="253">
        <f t="shared" si="7"/>
        <v>53.89</v>
      </c>
      <c r="H24" s="254">
        <f>INT(F24*G24*100+0.5)/100</f>
        <v>2856.17</v>
      </c>
      <c r="I24" s="253">
        <f>N24+P24+R24+T24+V24+X24+Z24</f>
        <v>2856.1699999999996</v>
      </c>
      <c r="J24" s="253"/>
      <c r="K24" s="251" t="s">
        <v>534</v>
      </c>
      <c r="L24" s="255">
        <v>53.89</v>
      </c>
      <c r="M24" s="256">
        <v>16</v>
      </c>
      <c r="N24" s="257">
        <f t="shared" si="0"/>
        <v>862.24</v>
      </c>
      <c r="O24" s="256">
        <v>12</v>
      </c>
      <c r="P24" s="257">
        <f t="shared" si="1"/>
        <v>646.67999999999995</v>
      </c>
      <c r="Q24" s="256">
        <v>8</v>
      </c>
      <c r="R24" s="257">
        <f t="shared" si="2"/>
        <v>431.12</v>
      </c>
      <c r="S24" s="258">
        <v>0</v>
      </c>
      <c r="T24" s="257">
        <f t="shared" si="3"/>
        <v>0</v>
      </c>
      <c r="U24" s="256">
        <v>12</v>
      </c>
      <c r="V24" s="257">
        <f t="shared" si="4"/>
        <v>646.67999999999995</v>
      </c>
      <c r="W24" s="258">
        <v>5</v>
      </c>
      <c r="X24" s="257">
        <f t="shared" si="5"/>
        <v>269.45</v>
      </c>
      <c r="Y24" s="258">
        <v>0</v>
      </c>
      <c r="Z24" s="257">
        <f t="shared" si="6"/>
        <v>0</v>
      </c>
    </row>
    <row r="25" spans="1:26" ht="15">
      <c r="A25" s="250">
        <f>A24+1</f>
        <v>7</v>
      </c>
      <c r="B25" s="251"/>
      <c r="C25" s="646" t="s">
        <v>2229</v>
      </c>
      <c r="D25" s="526" t="s">
        <v>576</v>
      </c>
      <c r="E25" s="251" t="s">
        <v>534</v>
      </c>
      <c r="F25" s="252">
        <f>M25+O25+Q25+S25+U25+W25+Y25</f>
        <v>53</v>
      </c>
      <c r="G25" s="253">
        <f t="shared" si="7"/>
        <v>61.68</v>
      </c>
      <c r="H25" s="254">
        <f>INT(F25*G25*100+0.5)/100</f>
        <v>3269.04</v>
      </c>
      <c r="I25" s="253">
        <f>N25+P25+R25+T25+V25+X25+Z25</f>
        <v>3269.04</v>
      </c>
      <c r="J25" s="253"/>
      <c r="K25" s="251" t="s">
        <v>534</v>
      </c>
      <c r="L25" s="255">
        <v>61.68</v>
      </c>
      <c r="M25" s="258">
        <v>16</v>
      </c>
      <c r="N25" s="257">
        <f t="shared" si="0"/>
        <v>986.88</v>
      </c>
      <c r="O25" s="258">
        <v>12</v>
      </c>
      <c r="P25" s="257">
        <f t="shared" si="1"/>
        <v>740.16</v>
      </c>
      <c r="Q25" s="258">
        <v>8</v>
      </c>
      <c r="R25" s="257">
        <f t="shared" si="2"/>
        <v>493.44</v>
      </c>
      <c r="S25" s="258">
        <v>0</v>
      </c>
      <c r="T25" s="257">
        <f t="shared" si="3"/>
        <v>0</v>
      </c>
      <c r="U25" s="258">
        <v>12</v>
      </c>
      <c r="V25" s="257">
        <f t="shared" si="4"/>
        <v>740.16</v>
      </c>
      <c r="W25" s="258">
        <v>5</v>
      </c>
      <c r="X25" s="257">
        <f t="shared" si="5"/>
        <v>308.39999999999998</v>
      </c>
      <c r="Y25" s="258">
        <v>0</v>
      </c>
      <c r="Z25" s="257">
        <f t="shared" si="6"/>
        <v>0</v>
      </c>
    </row>
    <row r="26" spans="1:26" ht="15" customHeight="1">
      <c r="A26" s="250">
        <f>A25+1</f>
        <v>8</v>
      </c>
      <c r="B26" s="251"/>
      <c r="C26" s="646" t="s">
        <v>2230</v>
      </c>
      <c r="D26" s="526" t="s">
        <v>2265</v>
      </c>
      <c r="E26" s="251" t="s">
        <v>593</v>
      </c>
      <c r="F26" s="252">
        <f>M26+O26+Q26+S26+U26+W26+Y26</f>
        <v>0</v>
      </c>
      <c r="G26" s="253">
        <f t="shared" si="7"/>
        <v>26.6</v>
      </c>
      <c r="H26" s="254">
        <f>INT(F26*G26*100+0.5)/100</f>
        <v>0</v>
      </c>
      <c r="I26" s="253">
        <f>N26+P26+R26+T26+V26+X26+Z26</f>
        <v>0</v>
      </c>
      <c r="J26" s="253"/>
      <c r="K26" s="251" t="s">
        <v>593</v>
      </c>
      <c r="L26" s="255">
        <v>26.6</v>
      </c>
      <c r="M26" s="258">
        <v>0</v>
      </c>
      <c r="N26" s="257">
        <f t="shared" si="0"/>
        <v>0</v>
      </c>
      <c r="O26" s="258">
        <v>0</v>
      </c>
      <c r="P26" s="257">
        <f t="shared" si="1"/>
        <v>0</v>
      </c>
      <c r="Q26" s="258">
        <v>0</v>
      </c>
      <c r="R26" s="257">
        <f t="shared" si="2"/>
        <v>0</v>
      </c>
      <c r="S26" s="258">
        <v>0</v>
      </c>
      <c r="T26" s="257">
        <f t="shared" si="3"/>
        <v>0</v>
      </c>
      <c r="U26" s="258">
        <v>0</v>
      </c>
      <c r="V26" s="257">
        <f t="shared" si="4"/>
        <v>0</v>
      </c>
      <c r="W26" s="258">
        <v>0</v>
      </c>
      <c r="X26" s="257">
        <f t="shared" si="5"/>
        <v>0</v>
      </c>
      <c r="Y26" s="258">
        <v>0</v>
      </c>
      <c r="Z26" s="257">
        <f t="shared" si="6"/>
        <v>0</v>
      </c>
    </row>
    <row r="27" spans="1:26" ht="15" customHeight="1">
      <c r="A27" s="250"/>
      <c r="B27" s="251"/>
      <c r="C27" s="646"/>
      <c r="D27" s="526"/>
      <c r="E27" s="251"/>
      <c r="F27" s="252"/>
      <c r="G27" s="253"/>
      <c r="H27" s="254"/>
      <c r="I27" s="253"/>
      <c r="J27" s="253"/>
      <c r="K27" s="251"/>
      <c r="L27" s="255"/>
      <c r="M27" s="258"/>
      <c r="N27" s="257"/>
      <c r="O27" s="258"/>
      <c r="P27" s="257"/>
      <c r="Q27" s="258"/>
      <c r="R27" s="257"/>
      <c r="S27" s="258"/>
      <c r="T27" s="257"/>
      <c r="U27" s="258"/>
      <c r="V27" s="257"/>
      <c r="W27" s="258"/>
      <c r="X27" s="257"/>
      <c r="Y27" s="258"/>
      <c r="Z27" s="257"/>
    </row>
    <row r="28" spans="1:26" ht="25.5">
      <c r="A28" s="250">
        <f>A26+1</f>
        <v>9</v>
      </c>
      <c r="B28" s="251"/>
      <c r="C28" s="646" t="s">
        <v>2232</v>
      </c>
      <c r="D28" s="526" t="s">
        <v>2216</v>
      </c>
      <c r="E28" s="251" t="s">
        <v>534</v>
      </c>
      <c r="F28" s="252">
        <f>M28+O28+Q28+S28+U28+W28+Y28</f>
        <v>20</v>
      </c>
      <c r="G28" s="253">
        <f>L28</f>
        <v>53.34</v>
      </c>
      <c r="H28" s="254">
        <f>INT(F28*G28*100+0.5)/100</f>
        <v>1066.8</v>
      </c>
      <c r="I28" s="253">
        <f>N28+P28+R28+T28+V28+X28+Z28</f>
        <v>1066.8</v>
      </c>
      <c r="J28" s="253"/>
      <c r="K28" s="251" t="s">
        <v>534</v>
      </c>
      <c r="L28" s="255">
        <v>53.34</v>
      </c>
      <c r="M28" s="258">
        <v>5</v>
      </c>
      <c r="N28" s="257">
        <f>INT($L28*M28*100+0.5)/100</f>
        <v>266.7</v>
      </c>
      <c r="O28" s="258">
        <v>5</v>
      </c>
      <c r="P28" s="257">
        <f>INT($L28*O28*100+0.5)/100</f>
        <v>266.7</v>
      </c>
      <c r="Q28" s="258">
        <v>5</v>
      </c>
      <c r="R28" s="257">
        <f>INT($L28*Q28*100+0.5)/100</f>
        <v>266.7</v>
      </c>
      <c r="S28" s="258">
        <v>0</v>
      </c>
      <c r="T28" s="257">
        <f>INT($L28*S28*100+0.5)/100</f>
        <v>0</v>
      </c>
      <c r="U28" s="258">
        <v>5</v>
      </c>
      <c r="V28" s="257">
        <f>INT($L28*U28*100+0.5)/100</f>
        <v>266.7</v>
      </c>
      <c r="W28" s="258">
        <v>0</v>
      </c>
      <c r="X28" s="257">
        <f>INT($L28*W28*100+0.5)/100</f>
        <v>0</v>
      </c>
      <c r="Y28" s="258">
        <v>0</v>
      </c>
      <c r="Z28" s="257">
        <f>INT($L28*Y28*100+0.5)/100</f>
        <v>0</v>
      </c>
    </row>
    <row r="29" spans="1:26" ht="15" customHeight="1">
      <c r="A29" s="250">
        <f>A26+1</f>
        <v>9</v>
      </c>
      <c r="B29" s="251"/>
      <c r="C29" s="646" t="s">
        <v>2231</v>
      </c>
      <c r="D29" s="526" t="s">
        <v>1166</v>
      </c>
      <c r="E29" s="251" t="s">
        <v>534</v>
      </c>
      <c r="F29" s="252">
        <f>M29+O29+Q29+S29+U29+W29+Y29</f>
        <v>20</v>
      </c>
      <c r="G29" s="253">
        <f t="shared" si="7"/>
        <v>64.290000000000006</v>
      </c>
      <c r="H29" s="254">
        <f>INT(F29*G29*100+0.5)/100</f>
        <v>1285.8</v>
      </c>
      <c r="I29" s="253">
        <f>N29+P29+R29+T29+V29+X29+Z29</f>
        <v>1285.8</v>
      </c>
      <c r="J29" s="253"/>
      <c r="K29" s="251" t="s">
        <v>534</v>
      </c>
      <c r="L29" s="255">
        <v>64.290000000000006</v>
      </c>
      <c r="M29" s="258">
        <v>5</v>
      </c>
      <c r="N29" s="257">
        <f t="shared" si="0"/>
        <v>321.45</v>
      </c>
      <c r="O29" s="258">
        <v>5</v>
      </c>
      <c r="P29" s="257">
        <f t="shared" si="1"/>
        <v>321.45</v>
      </c>
      <c r="Q29" s="258">
        <v>5</v>
      </c>
      <c r="R29" s="257">
        <f t="shared" si="2"/>
        <v>321.45</v>
      </c>
      <c r="S29" s="258">
        <v>0</v>
      </c>
      <c r="T29" s="257">
        <f t="shared" si="3"/>
        <v>0</v>
      </c>
      <c r="U29" s="258">
        <v>5</v>
      </c>
      <c r="V29" s="257">
        <f t="shared" si="4"/>
        <v>321.45</v>
      </c>
      <c r="W29" s="258">
        <v>0</v>
      </c>
      <c r="X29" s="257">
        <f t="shared" si="5"/>
        <v>0</v>
      </c>
      <c r="Y29" s="258">
        <v>0</v>
      </c>
      <c r="Z29" s="257">
        <f t="shared" si="6"/>
        <v>0</v>
      </c>
    </row>
    <row r="30" spans="1:26" ht="15" customHeight="1">
      <c r="A30" s="250">
        <f>A29+1</f>
        <v>10</v>
      </c>
      <c r="B30" s="251"/>
      <c r="C30" s="646" t="s">
        <v>2233</v>
      </c>
      <c r="D30" s="526" t="s">
        <v>1442</v>
      </c>
      <c r="E30" s="251" t="s">
        <v>534</v>
      </c>
      <c r="F30" s="252">
        <f>M30+O30+Q30+S30+U30+W30+Y30</f>
        <v>20</v>
      </c>
      <c r="G30" s="253">
        <f t="shared" si="7"/>
        <v>70.13</v>
      </c>
      <c r="H30" s="254">
        <f>INT(F30*G30*100+0.5)/100</f>
        <v>1402.6</v>
      </c>
      <c r="I30" s="253">
        <f>N30+P30+R30+T30+V30+X30+Z30</f>
        <v>1402.6</v>
      </c>
      <c r="J30" s="253"/>
      <c r="K30" s="251" t="s">
        <v>534</v>
      </c>
      <c r="L30" s="255">
        <v>70.13</v>
      </c>
      <c r="M30" s="258">
        <v>5</v>
      </c>
      <c r="N30" s="257">
        <f t="shared" si="0"/>
        <v>350.65</v>
      </c>
      <c r="O30" s="258">
        <v>5</v>
      </c>
      <c r="P30" s="257">
        <f t="shared" si="1"/>
        <v>350.65</v>
      </c>
      <c r="Q30" s="258">
        <v>5</v>
      </c>
      <c r="R30" s="257">
        <f t="shared" si="2"/>
        <v>350.65</v>
      </c>
      <c r="S30" s="258">
        <v>0</v>
      </c>
      <c r="T30" s="257">
        <f t="shared" si="3"/>
        <v>0</v>
      </c>
      <c r="U30" s="258">
        <v>5</v>
      </c>
      <c r="V30" s="257">
        <f t="shared" si="4"/>
        <v>350.65</v>
      </c>
      <c r="W30" s="258">
        <v>0</v>
      </c>
      <c r="X30" s="257">
        <f t="shared" si="5"/>
        <v>0</v>
      </c>
      <c r="Y30" s="258">
        <v>0</v>
      </c>
      <c r="Z30" s="257">
        <f t="shared" si="6"/>
        <v>0</v>
      </c>
    </row>
    <row r="31" spans="1:26" ht="25.5">
      <c r="A31" s="250">
        <f>A30+1</f>
        <v>11</v>
      </c>
      <c r="B31" s="251"/>
      <c r="C31" s="646" t="s">
        <v>2214</v>
      </c>
      <c r="D31" s="526" t="s">
        <v>2215</v>
      </c>
      <c r="E31" s="251" t="s">
        <v>534</v>
      </c>
      <c r="F31" s="252">
        <f>M31+O31+Q31+S31+U31+W31+Y31</f>
        <v>10</v>
      </c>
      <c r="G31" s="253">
        <f t="shared" si="7"/>
        <v>90.62</v>
      </c>
      <c r="H31" s="254">
        <f>INT(F31*G31*100+0.5)/100</f>
        <v>906.2</v>
      </c>
      <c r="I31" s="253">
        <f>N31+P31+R31+T31+V31+X31+Z31</f>
        <v>906.2</v>
      </c>
      <c r="J31" s="253"/>
      <c r="K31" s="251" t="s">
        <v>534</v>
      </c>
      <c r="L31" s="255">
        <v>90.62</v>
      </c>
      <c r="M31" s="258">
        <v>5</v>
      </c>
      <c r="N31" s="257">
        <f t="shared" si="0"/>
        <v>453.1</v>
      </c>
      <c r="O31" s="258">
        <v>5</v>
      </c>
      <c r="P31" s="257">
        <f t="shared" si="1"/>
        <v>453.1</v>
      </c>
      <c r="Q31" s="258">
        <v>0</v>
      </c>
      <c r="R31" s="257">
        <f t="shared" si="2"/>
        <v>0</v>
      </c>
      <c r="S31" s="258">
        <v>0</v>
      </c>
      <c r="T31" s="257">
        <f t="shared" si="3"/>
        <v>0</v>
      </c>
      <c r="U31" s="258">
        <v>0</v>
      </c>
      <c r="V31" s="257">
        <f t="shared" si="4"/>
        <v>0</v>
      </c>
      <c r="W31" s="258">
        <v>0</v>
      </c>
      <c r="X31" s="257">
        <f t="shared" si="5"/>
        <v>0</v>
      </c>
      <c r="Y31" s="258">
        <v>0</v>
      </c>
      <c r="Z31" s="257">
        <f t="shared" si="6"/>
        <v>0</v>
      </c>
    </row>
    <row r="32" spans="1:26" ht="15">
      <c r="A32" s="250"/>
      <c r="B32" s="251"/>
      <c r="C32" s="646"/>
      <c r="D32" s="526"/>
      <c r="E32" s="251"/>
      <c r="F32" s="252"/>
      <c r="G32" s="253"/>
      <c r="H32" s="254"/>
      <c r="I32" s="253"/>
      <c r="J32" s="253"/>
      <c r="K32" s="251"/>
      <c r="L32" s="255"/>
      <c r="M32" s="258"/>
      <c r="N32" s="257"/>
      <c r="O32" s="258"/>
      <c r="P32" s="257"/>
      <c r="Q32" s="258"/>
      <c r="R32" s="257"/>
      <c r="S32" s="258"/>
      <c r="T32" s="257"/>
      <c r="U32" s="258"/>
      <c r="V32" s="257"/>
      <c r="W32" s="258"/>
      <c r="X32" s="257"/>
      <c r="Y32" s="258"/>
      <c r="Z32" s="257"/>
    </row>
    <row r="33" spans="1:26" ht="25.5">
      <c r="A33" s="250">
        <f>A31+1</f>
        <v>12</v>
      </c>
      <c r="B33" s="251"/>
      <c r="C33" s="646" t="s">
        <v>2217</v>
      </c>
      <c r="D33" s="526" t="s">
        <v>2218</v>
      </c>
      <c r="E33" s="251" t="s">
        <v>534</v>
      </c>
      <c r="F33" s="252">
        <f>M33+O33+Q33+S33+U33+W33+Y33</f>
        <v>10</v>
      </c>
      <c r="G33" s="253">
        <f>L33</f>
        <v>48.78</v>
      </c>
      <c r="H33" s="254">
        <f>INT(F33*G33*100+0.5)/100</f>
        <v>487.8</v>
      </c>
      <c r="I33" s="253">
        <f>N33+P33+R33+T33+V33+X33+Z33</f>
        <v>487.8</v>
      </c>
      <c r="J33" s="253"/>
      <c r="K33" s="251" t="s">
        <v>534</v>
      </c>
      <c r="L33" s="255">
        <v>48.78</v>
      </c>
      <c r="M33" s="258">
        <v>0</v>
      </c>
      <c r="N33" s="257">
        <f>INT($L33*M33*100+0.5)/100</f>
        <v>0</v>
      </c>
      <c r="O33" s="258">
        <v>0</v>
      </c>
      <c r="P33" s="257">
        <f>INT($L33*O33*100+0.5)/100</f>
        <v>0</v>
      </c>
      <c r="Q33" s="258">
        <v>0</v>
      </c>
      <c r="R33" s="257">
        <f>INT($L33*Q33*100+0.5)/100</f>
        <v>0</v>
      </c>
      <c r="S33" s="258">
        <v>5</v>
      </c>
      <c r="T33" s="257">
        <f>INT($L33*S33*100+0.5)/100</f>
        <v>243.9</v>
      </c>
      <c r="U33" s="258">
        <v>5</v>
      </c>
      <c r="V33" s="257">
        <f>INT($L33*U33*100+0.5)/100</f>
        <v>243.9</v>
      </c>
      <c r="W33" s="258">
        <v>0</v>
      </c>
      <c r="X33" s="257">
        <f>INT($L33*W33*100+0.5)/100</f>
        <v>0</v>
      </c>
      <c r="Y33" s="258">
        <v>0</v>
      </c>
      <c r="Z33" s="257">
        <f>INT($L33*Y33*100+0.5)/100</f>
        <v>0</v>
      </c>
    </row>
    <row r="34" spans="1:26" ht="25.5">
      <c r="A34" s="250">
        <f>A33+1</f>
        <v>13</v>
      </c>
      <c r="B34" s="251"/>
      <c r="C34" s="646" t="s">
        <v>2220</v>
      </c>
      <c r="D34" s="526" t="s">
        <v>1443</v>
      </c>
      <c r="E34" s="251" t="s">
        <v>534</v>
      </c>
      <c r="F34" s="252">
        <f>M34+O34+Q34+S34+U34+W34+Y34</f>
        <v>15</v>
      </c>
      <c r="G34" s="253">
        <f t="shared" si="7"/>
        <v>55.27</v>
      </c>
      <c r="H34" s="254">
        <f>INT(F34*G34*100+0.5)/100</f>
        <v>829.05</v>
      </c>
      <c r="I34" s="253">
        <f>N34+P34+R34+T34+V34+X34+Z34</f>
        <v>829.05000000000007</v>
      </c>
      <c r="J34" s="253"/>
      <c r="K34" s="251" t="s">
        <v>534</v>
      </c>
      <c r="L34" s="255">
        <v>55.27</v>
      </c>
      <c r="M34" s="258">
        <v>5</v>
      </c>
      <c r="N34" s="257">
        <f t="shared" si="0"/>
        <v>276.35000000000002</v>
      </c>
      <c r="O34" s="258">
        <v>5</v>
      </c>
      <c r="P34" s="257">
        <f t="shared" si="1"/>
        <v>276.35000000000002</v>
      </c>
      <c r="Q34" s="258">
        <v>5</v>
      </c>
      <c r="R34" s="257">
        <f t="shared" si="2"/>
        <v>276.35000000000002</v>
      </c>
      <c r="S34" s="258">
        <v>0</v>
      </c>
      <c r="T34" s="257">
        <f t="shared" si="3"/>
        <v>0</v>
      </c>
      <c r="U34" s="258">
        <v>0</v>
      </c>
      <c r="V34" s="257">
        <f t="shared" si="4"/>
        <v>0</v>
      </c>
      <c r="W34" s="258">
        <v>0</v>
      </c>
      <c r="X34" s="257">
        <f t="shared" si="5"/>
        <v>0</v>
      </c>
      <c r="Y34" s="258">
        <v>0</v>
      </c>
      <c r="Z34" s="257">
        <f t="shared" si="6"/>
        <v>0</v>
      </c>
    </row>
    <row r="35" spans="1:26" ht="15" customHeight="1">
      <c r="A35" s="250"/>
      <c r="B35" s="251"/>
      <c r="C35" s="646"/>
      <c r="D35" s="526"/>
      <c r="E35" s="251"/>
      <c r="F35" s="252"/>
      <c r="G35" s="253"/>
      <c r="H35" s="254"/>
      <c r="I35" s="253"/>
      <c r="J35" s="253"/>
      <c r="K35" s="251"/>
      <c r="L35" s="255"/>
      <c r="M35" s="258"/>
      <c r="N35" s="257"/>
      <c r="O35" s="258"/>
      <c r="P35" s="257"/>
      <c r="Q35" s="258"/>
      <c r="R35" s="257"/>
      <c r="S35" s="258"/>
      <c r="T35" s="257"/>
      <c r="U35" s="258"/>
      <c r="V35" s="257"/>
      <c r="W35" s="258"/>
      <c r="X35" s="257"/>
      <c r="Y35" s="258"/>
      <c r="Z35" s="257"/>
    </row>
    <row r="36" spans="1:26" ht="25.5">
      <c r="A36" s="250">
        <f>A34+1</f>
        <v>14</v>
      </c>
      <c r="B36" s="251"/>
      <c r="C36" s="646" t="s">
        <v>2221</v>
      </c>
      <c r="D36" s="526" t="s">
        <v>2219</v>
      </c>
      <c r="E36" s="251" t="s">
        <v>534</v>
      </c>
      <c r="F36" s="252">
        <f>M36+O36+Q36+S36+U36+W36+Y36</f>
        <v>20</v>
      </c>
      <c r="G36" s="253">
        <f t="shared" si="7"/>
        <v>34.049999999999997</v>
      </c>
      <c r="H36" s="254">
        <f>INT(F36*G36*100+0.5)/100</f>
        <v>681</v>
      </c>
      <c r="I36" s="253">
        <f>N36+P36+R36+T36+V36+X36+Z36</f>
        <v>681</v>
      </c>
      <c r="J36" s="253"/>
      <c r="K36" s="251" t="s">
        <v>534</v>
      </c>
      <c r="L36" s="255">
        <v>34.049999999999997</v>
      </c>
      <c r="M36" s="258">
        <v>5</v>
      </c>
      <c r="N36" s="257">
        <f t="shared" si="0"/>
        <v>170.25</v>
      </c>
      <c r="O36" s="258">
        <v>5</v>
      </c>
      <c r="P36" s="257">
        <f t="shared" si="1"/>
        <v>170.25</v>
      </c>
      <c r="Q36" s="258">
        <v>5</v>
      </c>
      <c r="R36" s="257">
        <f t="shared" si="2"/>
        <v>170.25</v>
      </c>
      <c r="S36" s="258">
        <v>0</v>
      </c>
      <c r="T36" s="257">
        <f t="shared" si="3"/>
        <v>0</v>
      </c>
      <c r="U36" s="258">
        <v>5</v>
      </c>
      <c r="V36" s="257">
        <f t="shared" si="4"/>
        <v>170.25</v>
      </c>
      <c r="W36" s="258">
        <v>0</v>
      </c>
      <c r="X36" s="257">
        <f t="shared" si="5"/>
        <v>0</v>
      </c>
      <c r="Y36" s="258">
        <v>0</v>
      </c>
      <c r="Z36" s="257">
        <f t="shared" si="6"/>
        <v>0</v>
      </c>
    </row>
    <row r="37" spans="1:26" ht="25.5">
      <c r="A37" s="250">
        <f>A36+1</f>
        <v>15</v>
      </c>
      <c r="B37" s="251"/>
      <c r="C37" s="646" t="s">
        <v>2222</v>
      </c>
      <c r="D37" s="526" t="s">
        <v>2223</v>
      </c>
      <c r="E37" s="251" t="s">
        <v>534</v>
      </c>
      <c r="F37" s="252">
        <f>M37+O37+Q37+S37+U37+W37+Y37</f>
        <v>20</v>
      </c>
      <c r="G37" s="253">
        <f t="shared" si="7"/>
        <v>59.56</v>
      </c>
      <c r="H37" s="254">
        <f>INT(F37*G37*100+0.5)/100</f>
        <v>1191.2</v>
      </c>
      <c r="I37" s="253">
        <f>N37+P37+R37+T37+V37+X37+Z37</f>
        <v>1191.2</v>
      </c>
      <c r="J37" s="253"/>
      <c r="K37" s="251" t="s">
        <v>534</v>
      </c>
      <c r="L37" s="255">
        <v>59.56</v>
      </c>
      <c r="M37" s="258">
        <v>5</v>
      </c>
      <c r="N37" s="257">
        <f t="shared" si="0"/>
        <v>297.8</v>
      </c>
      <c r="O37" s="258">
        <v>5</v>
      </c>
      <c r="P37" s="257">
        <f t="shared" si="1"/>
        <v>297.8</v>
      </c>
      <c r="Q37" s="258">
        <v>5</v>
      </c>
      <c r="R37" s="257">
        <f t="shared" si="2"/>
        <v>297.8</v>
      </c>
      <c r="S37" s="258">
        <v>0</v>
      </c>
      <c r="T37" s="257">
        <f t="shared" si="3"/>
        <v>0</v>
      </c>
      <c r="U37" s="258">
        <v>5</v>
      </c>
      <c r="V37" s="257">
        <f t="shared" si="4"/>
        <v>297.8</v>
      </c>
      <c r="W37" s="258">
        <v>0</v>
      </c>
      <c r="X37" s="257">
        <f t="shared" si="5"/>
        <v>0</v>
      </c>
      <c r="Y37" s="258">
        <v>0</v>
      </c>
      <c r="Z37" s="257">
        <f t="shared" si="6"/>
        <v>0</v>
      </c>
    </row>
    <row r="38" spans="1:26" ht="25.5">
      <c r="A38" s="250">
        <f>A37+1</f>
        <v>16</v>
      </c>
      <c r="B38" s="251"/>
      <c r="C38" s="646" t="s">
        <v>2224</v>
      </c>
      <c r="D38" s="526" t="s">
        <v>2225</v>
      </c>
      <c r="E38" s="251" t="s">
        <v>534</v>
      </c>
      <c r="F38" s="252">
        <f>M38+O38+Q38+S38+U38+W38+Y38</f>
        <v>20</v>
      </c>
      <c r="G38" s="253">
        <f>L38</f>
        <v>60.53</v>
      </c>
      <c r="H38" s="254">
        <f>INT(F38*G38*100+0.5)/100</f>
        <v>1210.5999999999999</v>
      </c>
      <c r="I38" s="253">
        <f>N38+P38+R38+T38+V38+X38+Z38</f>
        <v>1210.5999999999999</v>
      </c>
      <c r="J38" s="253"/>
      <c r="K38" s="251" t="s">
        <v>534</v>
      </c>
      <c r="L38" s="255">
        <v>60.53</v>
      </c>
      <c r="M38" s="258">
        <v>5</v>
      </c>
      <c r="N38" s="257">
        <f>INT($L38*M38*100+0.5)/100</f>
        <v>302.64999999999998</v>
      </c>
      <c r="O38" s="258">
        <v>5</v>
      </c>
      <c r="P38" s="257">
        <f>INT($L38*O38*100+0.5)/100</f>
        <v>302.64999999999998</v>
      </c>
      <c r="Q38" s="258">
        <v>5</v>
      </c>
      <c r="R38" s="257">
        <f>INT($L38*Q38*100+0.5)/100</f>
        <v>302.64999999999998</v>
      </c>
      <c r="S38" s="258">
        <v>0</v>
      </c>
      <c r="T38" s="257">
        <f>INT($L38*S38*100+0.5)/100</f>
        <v>0</v>
      </c>
      <c r="U38" s="258">
        <v>5</v>
      </c>
      <c r="V38" s="257">
        <f>INT($L38*U38*100+0.5)/100</f>
        <v>302.64999999999998</v>
      </c>
      <c r="W38" s="258">
        <v>0</v>
      </c>
      <c r="X38" s="257">
        <f>INT($L38*W38*100+0.5)/100</f>
        <v>0</v>
      </c>
      <c r="Y38" s="258">
        <v>0</v>
      </c>
      <c r="Z38" s="257">
        <f>INT($L38*Y38*100+0.5)/100</f>
        <v>0</v>
      </c>
    </row>
    <row r="39" spans="1:26" ht="15" customHeight="1">
      <c r="A39" s="250"/>
      <c r="B39" s="251"/>
      <c r="C39" s="526"/>
      <c r="D39" s="526"/>
      <c r="E39" s="251"/>
      <c r="F39" s="252"/>
      <c r="G39" s="253"/>
      <c r="H39" s="254"/>
      <c r="I39" s="253"/>
      <c r="J39" s="253"/>
      <c r="K39" s="251"/>
      <c r="L39" s="255"/>
      <c r="M39" s="258"/>
      <c r="N39" s="257"/>
      <c r="O39" s="258"/>
      <c r="P39" s="257"/>
      <c r="Q39" s="258"/>
      <c r="R39" s="257"/>
      <c r="S39" s="258"/>
      <c r="T39" s="257"/>
      <c r="U39" s="258"/>
      <c r="V39" s="257"/>
      <c r="W39" s="258"/>
      <c r="X39" s="257"/>
      <c r="Y39" s="258"/>
      <c r="Z39" s="257"/>
    </row>
    <row r="40" spans="1:26" ht="25.5">
      <c r="A40" s="250">
        <f>A38+1</f>
        <v>17</v>
      </c>
      <c r="B40" s="251"/>
      <c r="C40" s="646" t="s">
        <v>2234</v>
      </c>
      <c r="D40" s="526" t="s">
        <v>1167</v>
      </c>
      <c r="E40" s="251" t="s">
        <v>534</v>
      </c>
      <c r="F40" s="252">
        <f>M40+O40+Q40+S40+U40+W40+Y40</f>
        <v>20</v>
      </c>
      <c r="G40" s="253">
        <f t="shared" si="7"/>
        <v>4.2300000000000004</v>
      </c>
      <c r="H40" s="254">
        <f>INT(F40*G40*100+0.5)/100</f>
        <v>84.6</v>
      </c>
      <c r="I40" s="253">
        <f>N40+P40+R40+T40+V40+X40+Z40</f>
        <v>84.6</v>
      </c>
      <c r="J40" s="253"/>
      <c r="K40" s="251" t="s">
        <v>534</v>
      </c>
      <c r="L40" s="255">
        <v>4.2300000000000004</v>
      </c>
      <c r="M40" s="258">
        <v>5</v>
      </c>
      <c r="N40" s="257">
        <f t="shared" si="0"/>
        <v>21.15</v>
      </c>
      <c r="O40" s="258">
        <v>5</v>
      </c>
      <c r="P40" s="257">
        <f t="shared" si="1"/>
        <v>21.15</v>
      </c>
      <c r="Q40" s="258">
        <v>5</v>
      </c>
      <c r="R40" s="257">
        <f t="shared" si="2"/>
        <v>21.15</v>
      </c>
      <c r="S40" s="258">
        <v>0</v>
      </c>
      <c r="T40" s="257">
        <f t="shared" si="3"/>
        <v>0</v>
      </c>
      <c r="U40" s="258">
        <v>5</v>
      </c>
      <c r="V40" s="257">
        <f t="shared" si="4"/>
        <v>21.15</v>
      </c>
      <c r="W40" s="258">
        <v>0</v>
      </c>
      <c r="X40" s="257">
        <f t="shared" si="5"/>
        <v>0</v>
      </c>
      <c r="Y40" s="258">
        <v>0</v>
      </c>
      <c r="Z40" s="257">
        <f t="shared" si="6"/>
        <v>0</v>
      </c>
    </row>
    <row r="41" spans="1:26" ht="25.5">
      <c r="A41" s="250">
        <f>A40+1</f>
        <v>18</v>
      </c>
      <c r="B41" s="251"/>
      <c r="C41" s="646" t="s">
        <v>2235</v>
      </c>
      <c r="D41" s="526" t="s">
        <v>2236</v>
      </c>
      <c r="E41" s="251" t="s">
        <v>534</v>
      </c>
      <c r="F41" s="252">
        <f>M41+O41+Q41+S41+U41+W41+Y41</f>
        <v>20</v>
      </c>
      <c r="G41" s="253">
        <f>L41</f>
        <v>5.79</v>
      </c>
      <c r="H41" s="254">
        <f>INT(F41*G41*100+0.5)/100</f>
        <v>115.8</v>
      </c>
      <c r="I41" s="253">
        <f>N41+P41+R41+T41+V41+X41+Z41</f>
        <v>115.8</v>
      </c>
      <c r="J41" s="253"/>
      <c r="K41" s="251" t="s">
        <v>534</v>
      </c>
      <c r="L41" s="255">
        <v>5.79</v>
      </c>
      <c r="M41" s="258">
        <v>5</v>
      </c>
      <c r="N41" s="257">
        <f>INT($L41*M41*100+0.5)/100</f>
        <v>28.95</v>
      </c>
      <c r="O41" s="258">
        <v>5</v>
      </c>
      <c r="P41" s="257">
        <f>INT($L41*O41*100+0.5)/100</f>
        <v>28.95</v>
      </c>
      <c r="Q41" s="258">
        <v>5</v>
      </c>
      <c r="R41" s="257">
        <f>INT($L41*Q41*100+0.5)/100</f>
        <v>28.95</v>
      </c>
      <c r="S41" s="258">
        <v>0</v>
      </c>
      <c r="T41" s="257">
        <f>INT($L41*S41*100+0.5)/100</f>
        <v>0</v>
      </c>
      <c r="U41" s="258">
        <v>5</v>
      </c>
      <c r="V41" s="257">
        <f>INT($L41*U41*100+0.5)/100</f>
        <v>28.95</v>
      </c>
      <c r="W41" s="258">
        <v>0</v>
      </c>
      <c r="X41" s="257">
        <f>INT($L41*W41*100+0.5)/100</f>
        <v>0</v>
      </c>
      <c r="Y41" s="258">
        <v>0</v>
      </c>
      <c r="Z41" s="257">
        <f>INT($L41*Y41*100+0.5)/100</f>
        <v>0</v>
      </c>
    </row>
    <row r="42" spans="1:26" ht="15">
      <c r="A42" s="250"/>
      <c r="B42" s="251"/>
      <c r="C42" s="526"/>
      <c r="D42" s="526"/>
      <c r="E42" s="251"/>
      <c r="F42" s="252"/>
      <c r="G42" s="253"/>
      <c r="H42" s="254"/>
      <c r="I42" s="253"/>
      <c r="J42" s="253"/>
      <c r="K42" s="251"/>
      <c r="L42" s="262"/>
      <c r="M42" s="258"/>
      <c r="N42" s="257"/>
      <c r="O42" s="258"/>
      <c r="P42" s="257"/>
      <c r="Q42" s="258"/>
      <c r="R42" s="257"/>
      <c r="S42" s="258"/>
      <c r="T42" s="257"/>
      <c r="U42" s="258"/>
      <c r="V42" s="257"/>
      <c r="W42" s="258"/>
      <c r="X42" s="257"/>
      <c r="Y42" s="258"/>
      <c r="Z42" s="257"/>
    </row>
    <row r="43" spans="1:26" ht="25.5">
      <c r="A43" s="250">
        <f>A41+1</f>
        <v>19</v>
      </c>
      <c r="B43" s="251"/>
      <c r="C43" s="646" t="s">
        <v>2237</v>
      </c>
      <c r="D43" s="526" t="s">
        <v>2140</v>
      </c>
      <c r="E43" s="251" t="s">
        <v>534</v>
      </c>
      <c r="F43" s="252">
        <f>M43+O43+Q43+S43+U43+W43+Y43</f>
        <v>33</v>
      </c>
      <c r="G43" s="253">
        <f t="shared" si="7"/>
        <v>13.97</v>
      </c>
      <c r="H43" s="254">
        <f>INT(F43*G43*100+0.5)/100</f>
        <v>461.01</v>
      </c>
      <c r="I43" s="253">
        <f>N43+P43+R43+T43+V43+X43+Z43</f>
        <v>461.01</v>
      </c>
      <c r="J43" s="253"/>
      <c r="K43" s="251" t="s">
        <v>534</v>
      </c>
      <c r="L43" s="255">
        <v>13.97</v>
      </c>
      <c r="M43" s="258">
        <v>12</v>
      </c>
      <c r="N43" s="257">
        <f t="shared" si="0"/>
        <v>167.64</v>
      </c>
      <c r="O43" s="258">
        <v>8</v>
      </c>
      <c r="P43" s="257">
        <f t="shared" si="1"/>
        <v>111.76</v>
      </c>
      <c r="Q43" s="258">
        <v>5</v>
      </c>
      <c r="R43" s="257">
        <f t="shared" si="2"/>
        <v>69.849999999999994</v>
      </c>
      <c r="S43" s="258">
        <v>0</v>
      </c>
      <c r="T43" s="257">
        <f t="shared" si="3"/>
        <v>0</v>
      </c>
      <c r="U43" s="258">
        <v>8</v>
      </c>
      <c r="V43" s="257">
        <f t="shared" si="4"/>
        <v>111.76</v>
      </c>
      <c r="W43" s="258">
        <v>0</v>
      </c>
      <c r="X43" s="257">
        <f t="shared" si="5"/>
        <v>0</v>
      </c>
      <c r="Y43" s="258">
        <v>0</v>
      </c>
      <c r="Z43" s="257">
        <f t="shared" si="6"/>
        <v>0</v>
      </c>
    </row>
    <row r="44" spans="1:26" ht="25.5">
      <c r="A44" s="250">
        <f>A43+1</f>
        <v>20</v>
      </c>
      <c r="B44" s="251"/>
      <c r="C44" s="646" t="s">
        <v>2238</v>
      </c>
      <c r="D44" s="526" t="s">
        <v>1168</v>
      </c>
      <c r="E44" s="251" t="s">
        <v>534</v>
      </c>
      <c r="F44" s="252">
        <f>M44+O44+Q44+S44+U44+W44+Y44</f>
        <v>33</v>
      </c>
      <c r="G44" s="253">
        <f t="shared" si="7"/>
        <v>17.32</v>
      </c>
      <c r="H44" s="254">
        <f>INT(F44*G44*100+0.5)/100</f>
        <v>571.55999999999995</v>
      </c>
      <c r="I44" s="253">
        <f>N44+P44+R44+T44+V44+X44+Z44</f>
        <v>571.55999999999995</v>
      </c>
      <c r="J44" s="253"/>
      <c r="K44" s="251" t="s">
        <v>534</v>
      </c>
      <c r="L44" s="255">
        <v>17.32</v>
      </c>
      <c r="M44" s="258">
        <v>12</v>
      </c>
      <c r="N44" s="257">
        <f t="shared" si="0"/>
        <v>207.84</v>
      </c>
      <c r="O44" s="258">
        <v>8</v>
      </c>
      <c r="P44" s="257">
        <f t="shared" si="1"/>
        <v>138.56</v>
      </c>
      <c r="Q44" s="258">
        <v>5</v>
      </c>
      <c r="R44" s="257">
        <f t="shared" si="2"/>
        <v>86.6</v>
      </c>
      <c r="S44" s="258">
        <v>0</v>
      </c>
      <c r="T44" s="257">
        <f t="shared" si="3"/>
        <v>0</v>
      </c>
      <c r="U44" s="258">
        <v>8</v>
      </c>
      <c r="V44" s="257">
        <f t="shared" si="4"/>
        <v>138.56</v>
      </c>
      <c r="W44" s="258">
        <v>0</v>
      </c>
      <c r="X44" s="257">
        <f t="shared" si="5"/>
        <v>0</v>
      </c>
      <c r="Y44" s="258">
        <v>0</v>
      </c>
      <c r="Z44" s="257">
        <f t="shared" si="6"/>
        <v>0</v>
      </c>
    </row>
    <row r="45" spans="1:26" ht="38.25">
      <c r="A45" s="250">
        <f>A44+1</f>
        <v>21</v>
      </c>
      <c r="B45" s="251"/>
      <c r="C45" s="646" t="s">
        <v>2239</v>
      </c>
      <c r="D45" s="526" t="s">
        <v>554</v>
      </c>
      <c r="E45" s="251" t="s">
        <v>534</v>
      </c>
      <c r="F45" s="252">
        <f>M45+O45+Q45+S45+U45+W45+Y45</f>
        <v>33</v>
      </c>
      <c r="G45" s="253">
        <f t="shared" si="7"/>
        <v>7.83</v>
      </c>
      <c r="H45" s="254">
        <f>INT(F45*G45*100+0.5)/100</f>
        <v>258.39</v>
      </c>
      <c r="I45" s="253">
        <f>N45+P45+R45+T45+V45+X45+Z45</f>
        <v>258.39</v>
      </c>
      <c r="J45" s="253"/>
      <c r="K45" s="251" t="s">
        <v>534</v>
      </c>
      <c r="L45" s="255">
        <v>7.83</v>
      </c>
      <c r="M45" s="258">
        <v>12</v>
      </c>
      <c r="N45" s="257">
        <f t="shared" si="0"/>
        <v>93.96</v>
      </c>
      <c r="O45" s="258">
        <v>8</v>
      </c>
      <c r="P45" s="257">
        <f t="shared" si="1"/>
        <v>62.64</v>
      </c>
      <c r="Q45" s="258">
        <v>5</v>
      </c>
      <c r="R45" s="257">
        <f t="shared" si="2"/>
        <v>39.15</v>
      </c>
      <c r="S45" s="258">
        <v>0</v>
      </c>
      <c r="T45" s="257">
        <f t="shared" si="3"/>
        <v>0</v>
      </c>
      <c r="U45" s="258">
        <v>8</v>
      </c>
      <c r="V45" s="257">
        <f t="shared" si="4"/>
        <v>62.64</v>
      </c>
      <c r="W45" s="258">
        <v>0</v>
      </c>
      <c r="X45" s="257">
        <f t="shared" si="5"/>
        <v>0</v>
      </c>
      <c r="Y45" s="258">
        <v>0</v>
      </c>
      <c r="Z45" s="257">
        <f t="shared" si="6"/>
        <v>0</v>
      </c>
    </row>
    <row r="46" spans="1:26" ht="25.5">
      <c r="A46" s="250">
        <f>A45+1</f>
        <v>22</v>
      </c>
      <c r="B46" s="251"/>
      <c r="C46" s="646" t="s">
        <v>2240</v>
      </c>
      <c r="D46" s="526" t="s">
        <v>1312</v>
      </c>
      <c r="E46" s="251" t="s">
        <v>534</v>
      </c>
      <c r="F46" s="252">
        <f>M46+O46+Q46+S46+U46+W46+Y46</f>
        <v>24</v>
      </c>
      <c r="G46" s="253">
        <f t="shared" si="7"/>
        <v>10.78</v>
      </c>
      <c r="H46" s="254">
        <f>INT(F46*G46*100+0.5)/100</f>
        <v>258.72000000000003</v>
      </c>
      <c r="I46" s="253">
        <f>N46+P46+R46+T46+V46+X46+Z46</f>
        <v>258.71999999999997</v>
      </c>
      <c r="J46" s="253"/>
      <c r="K46" s="251" t="s">
        <v>534</v>
      </c>
      <c r="L46" s="255">
        <v>10.78</v>
      </c>
      <c r="M46" s="258">
        <v>8</v>
      </c>
      <c r="N46" s="257">
        <f t="shared" si="0"/>
        <v>86.24</v>
      </c>
      <c r="O46" s="258">
        <v>8</v>
      </c>
      <c r="P46" s="257">
        <f t="shared" si="1"/>
        <v>86.24</v>
      </c>
      <c r="Q46" s="258">
        <v>0</v>
      </c>
      <c r="R46" s="257">
        <f t="shared" si="2"/>
        <v>0</v>
      </c>
      <c r="S46" s="258">
        <v>0</v>
      </c>
      <c r="T46" s="257">
        <f t="shared" si="3"/>
        <v>0</v>
      </c>
      <c r="U46" s="258">
        <v>8</v>
      </c>
      <c r="V46" s="257">
        <f t="shared" si="4"/>
        <v>86.24</v>
      </c>
      <c r="W46" s="258">
        <v>0</v>
      </c>
      <c r="X46" s="257">
        <f t="shared" si="5"/>
        <v>0</v>
      </c>
      <c r="Y46" s="258">
        <v>0</v>
      </c>
      <c r="Z46" s="257">
        <f t="shared" si="6"/>
        <v>0</v>
      </c>
    </row>
    <row r="47" spans="1:26" ht="38.25">
      <c r="A47" s="250">
        <f>A46+1</f>
        <v>23</v>
      </c>
      <c r="B47" s="251"/>
      <c r="C47" s="646" t="s">
        <v>2241</v>
      </c>
      <c r="D47" s="526" t="s">
        <v>1313</v>
      </c>
      <c r="E47" s="251" t="s">
        <v>534</v>
      </c>
      <c r="F47" s="252">
        <f>M47+O47+Q47+S47+U47+W47+Y47</f>
        <v>29</v>
      </c>
      <c r="G47" s="253">
        <f t="shared" si="7"/>
        <v>24.41</v>
      </c>
      <c r="H47" s="254">
        <f>INT(F47*G47*100+0.5)/100</f>
        <v>707.89</v>
      </c>
      <c r="I47" s="253">
        <f>N47+P47+R47+T47+V47+X47+Z47</f>
        <v>707.89</v>
      </c>
      <c r="J47" s="253"/>
      <c r="K47" s="251" t="s">
        <v>534</v>
      </c>
      <c r="L47" s="255">
        <v>24.41</v>
      </c>
      <c r="M47" s="258">
        <v>8</v>
      </c>
      <c r="N47" s="257">
        <f t="shared" si="0"/>
        <v>195.28</v>
      </c>
      <c r="O47" s="258">
        <v>8</v>
      </c>
      <c r="P47" s="257">
        <f t="shared" si="1"/>
        <v>195.28</v>
      </c>
      <c r="Q47" s="258">
        <v>5</v>
      </c>
      <c r="R47" s="257">
        <f t="shared" si="2"/>
        <v>122.05</v>
      </c>
      <c r="S47" s="258">
        <v>0</v>
      </c>
      <c r="T47" s="257">
        <f t="shared" si="3"/>
        <v>0</v>
      </c>
      <c r="U47" s="258">
        <v>8</v>
      </c>
      <c r="V47" s="257">
        <f t="shared" si="4"/>
        <v>195.28</v>
      </c>
      <c r="W47" s="258">
        <v>0</v>
      </c>
      <c r="X47" s="257">
        <f t="shared" si="5"/>
        <v>0</v>
      </c>
      <c r="Y47" s="258">
        <v>0</v>
      </c>
      <c r="Z47" s="257">
        <f t="shared" si="6"/>
        <v>0</v>
      </c>
    </row>
    <row r="48" spans="1:26" ht="15">
      <c r="A48" s="250"/>
      <c r="B48" s="251"/>
      <c r="C48" s="646"/>
      <c r="D48" s="526"/>
      <c r="E48" s="251"/>
      <c r="F48" s="252"/>
      <c r="G48" s="253"/>
      <c r="H48" s="254"/>
      <c r="I48" s="253"/>
      <c r="J48" s="253"/>
      <c r="K48" s="251"/>
      <c r="L48" s="255"/>
      <c r="M48" s="258"/>
      <c r="N48" s="257"/>
      <c r="O48" s="258"/>
      <c r="P48" s="257"/>
      <c r="Q48" s="258"/>
      <c r="R48" s="257"/>
      <c r="S48" s="258"/>
      <c r="T48" s="257"/>
      <c r="U48" s="258"/>
      <c r="V48" s="257"/>
      <c r="W48" s="258"/>
      <c r="X48" s="257"/>
      <c r="Y48" s="258"/>
      <c r="Z48" s="257"/>
    </row>
    <row r="49" spans="1:26" ht="25.5">
      <c r="A49" s="250">
        <f>A47+1</f>
        <v>24</v>
      </c>
      <c r="B49" s="251"/>
      <c r="C49" s="646" t="s">
        <v>2242</v>
      </c>
      <c r="D49" s="526" t="s">
        <v>2245</v>
      </c>
      <c r="E49" s="251" t="s">
        <v>534</v>
      </c>
      <c r="F49" s="252">
        <f>M49+O49+Q49+S49+U49+W49+Y49</f>
        <v>32</v>
      </c>
      <c r="G49" s="253">
        <f t="shared" si="7"/>
        <v>2.54</v>
      </c>
      <c r="H49" s="254">
        <f>INT(F49*G49*100+0.5)/100</f>
        <v>81.28</v>
      </c>
      <c r="I49" s="253">
        <f>N49+P49+R49+T49+V49+X49+Z49</f>
        <v>81.28</v>
      </c>
      <c r="J49" s="253"/>
      <c r="K49" s="251" t="s">
        <v>534</v>
      </c>
      <c r="L49" s="255">
        <v>2.54</v>
      </c>
      <c r="M49" s="258">
        <v>8</v>
      </c>
      <c r="N49" s="257">
        <f t="shared" si="0"/>
        <v>20.32</v>
      </c>
      <c r="O49" s="258">
        <v>8</v>
      </c>
      <c r="P49" s="257">
        <f t="shared" si="1"/>
        <v>20.32</v>
      </c>
      <c r="Q49" s="258">
        <v>8</v>
      </c>
      <c r="R49" s="257">
        <f t="shared" si="2"/>
        <v>20.32</v>
      </c>
      <c r="S49" s="258">
        <v>0</v>
      </c>
      <c r="T49" s="257">
        <f t="shared" si="3"/>
        <v>0</v>
      </c>
      <c r="U49" s="258">
        <v>8</v>
      </c>
      <c r="V49" s="257">
        <f t="shared" si="4"/>
        <v>20.32</v>
      </c>
      <c r="W49" s="258">
        <v>0</v>
      </c>
      <c r="X49" s="257">
        <f t="shared" si="5"/>
        <v>0</v>
      </c>
      <c r="Y49" s="258">
        <v>0</v>
      </c>
      <c r="Z49" s="257">
        <f t="shared" si="6"/>
        <v>0</v>
      </c>
    </row>
    <row r="50" spans="1:26" ht="15">
      <c r="A50" s="250">
        <f>A49+1</f>
        <v>25</v>
      </c>
      <c r="B50" s="251"/>
      <c r="C50" s="646" t="s">
        <v>2243</v>
      </c>
      <c r="D50" s="526" t="s">
        <v>2244</v>
      </c>
      <c r="E50" s="251" t="s">
        <v>534</v>
      </c>
      <c r="F50" s="252">
        <f>M50+O50+Q50+S50+U50+W50+Y50</f>
        <v>32</v>
      </c>
      <c r="G50" s="253">
        <f>L50</f>
        <v>59.21</v>
      </c>
      <c r="H50" s="254">
        <f>INT(F50*G50*100+0.5)/100</f>
        <v>1894.72</v>
      </c>
      <c r="I50" s="253">
        <f>N50+P50+R50+T50+V50+X50+Z50</f>
        <v>1894.72</v>
      </c>
      <c r="J50" s="253"/>
      <c r="K50" s="251" t="s">
        <v>534</v>
      </c>
      <c r="L50" s="255">
        <v>59.21</v>
      </c>
      <c r="M50" s="258">
        <v>8</v>
      </c>
      <c r="N50" s="257">
        <f>INT($L50*M50*100+0.5)/100</f>
        <v>473.68</v>
      </c>
      <c r="O50" s="258">
        <v>8</v>
      </c>
      <c r="P50" s="257">
        <f>INT($L50*O50*100+0.5)/100</f>
        <v>473.68</v>
      </c>
      <c r="Q50" s="258">
        <v>8</v>
      </c>
      <c r="R50" s="257">
        <f>INT($L50*Q50*100+0.5)/100</f>
        <v>473.68</v>
      </c>
      <c r="S50" s="258">
        <v>0</v>
      </c>
      <c r="T50" s="257">
        <f>INT($L50*S50*100+0.5)/100</f>
        <v>0</v>
      </c>
      <c r="U50" s="258">
        <v>8</v>
      </c>
      <c r="V50" s="257">
        <f>INT($L50*U50*100+0.5)/100</f>
        <v>473.68</v>
      </c>
      <c r="W50" s="258">
        <v>0</v>
      </c>
      <c r="X50" s="257">
        <f>INT($L50*W50*100+0.5)/100</f>
        <v>0</v>
      </c>
      <c r="Y50" s="258">
        <v>0</v>
      </c>
      <c r="Z50" s="257">
        <f>INT($L50*Y50*100+0.5)/100</f>
        <v>0</v>
      </c>
    </row>
    <row r="51" spans="1:26" ht="15" customHeight="1">
      <c r="A51" s="250"/>
      <c r="B51" s="251"/>
      <c r="C51" s="526"/>
      <c r="D51" s="526"/>
      <c r="E51" s="251"/>
      <c r="F51" s="252"/>
      <c r="G51" s="253"/>
      <c r="H51" s="254"/>
      <c r="I51" s="253"/>
      <c r="J51" s="253"/>
      <c r="K51" s="251"/>
      <c r="L51" s="255"/>
      <c r="M51" s="258"/>
      <c r="N51" s="257"/>
      <c r="O51" s="258"/>
      <c r="P51" s="257"/>
      <c r="Q51" s="258"/>
      <c r="R51" s="257"/>
      <c r="S51" s="258"/>
      <c r="T51" s="257"/>
      <c r="U51" s="258"/>
      <c r="V51" s="257"/>
      <c r="W51" s="258"/>
      <c r="X51" s="257"/>
      <c r="Y51" s="258"/>
      <c r="Z51" s="257"/>
    </row>
    <row r="52" spans="1:26" ht="25.5">
      <c r="A52" s="250">
        <f>A50+1</f>
        <v>26</v>
      </c>
      <c r="B52" s="251"/>
      <c r="C52" s="646" t="s">
        <v>2246</v>
      </c>
      <c r="D52" s="526" t="s">
        <v>302</v>
      </c>
      <c r="E52" s="251" t="s">
        <v>534</v>
      </c>
      <c r="F52" s="252">
        <f>M52+O52+Q52+S52+U52+W52+Y52</f>
        <v>32</v>
      </c>
      <c r="G52" s="253">
        <f t="shared" si="7"/>
        <v>2.08</v>
      </c>
      <c r="H52" s="254">
        <f>INT(F52*G52*100+0.5)/100</f>
        <v>66.56</v>
      </c>
      <c r="I52" s="253">
        <f>N52+P52+R52+T52+V52+X52+Z52</f>
        <v>66.56</v>
      </c>
      <c r="J52" s="253"/>
      <c r="K52" s="251" t="s">
        <v>534</v>
      </c>
      <c r="L52" s="255">
        <v>2.08</v>
      </c>
      <c r="M52" s="258">
        <v>8</v>
      </c>
      <c r="N52" s="257">
        <f t="shared" si="0"/>
        <v>16.64</v>
      </c>
      <c r="O52" s="258">
        <v>8</v>
      </c>
      <c r="P52" s="257">
        <f t="shared" si="1"/>
        <v>16.64</v>
      </c>
      <c r="Q52" s="258">
        <v>8</v>
      </c>
      <c r="R52" s="257">
        <f t="shared" si="2"/>
        <v>16.64</v>
      </c>
      <c r="S52" s="258">
        <v>0</v>
      </c>
      <c r="T52" s="257">
        <f t="shared" si="3"/>
        <v>0</v>
      </c>
      <c r="U52" s="258">
        <v>8</v>
      </c>
      <c r="V52" s="257">
        <f t="shared" si="4"/>
        <v>16.64</v>
      </c>
      <c r="W52" s="258">
        <v>0</v>
      </c>
      <c r="X52" s="257">
        <f t="shared" si="5"/>
        <v>0</v>
      </c>
      <c r="Y52" s="258">
        <v>0</v>
      </c>
      <c r="Z52" s="257">
        <f t="shared" si="6"/>
        <v>0</v>
      </c>
    </row>
    <row r="53" spans="1:26" ht="15">
      <c r="A53" s="250">
        <f>A52+1</f>
        <v>27</v>
      </c>
      <c r="B53" s="251"/>
      <c r="C53" s="646" t="s">
        <v>2247</v>
      </c>
      <c r="D53" s="526" t="s">
        <v>555</v>
      </c>
      <c r="E53" s="251" t="s">
        <v>534</v>
      </c>
      <c r="F53" s="252">
        <f>M53+O53+Q53+S53+U53+W53+Y53</f>
        <v>32</v>
      </c>
      <c r="G53" s="253">
        <f t="shared" si="7"/>
        <v>14.14</v>
      </c>
      <c r="H53" s="254">
        <f>INT(F53*G53*100+0.5)/100</f>
        <v>452.48</v>
      </c>
      <c r="I53" s="253">
        <f>N53+P53+R53+T53+V53+X53+Z53</f>
        <v>452.48</v>
      </c>
      <c r="J53" s="253"/>
      <c r="K53" s="251" t="s">
        <v>534</v>
      </c>
      <c r="L53" s="255">
        <v>14.14</v>
      </c>
      <c r="M53" s="258">
        <v>8</v>
      </c>
      <c r="N53" s="257">
        <f t="shared" si="0"/>
        <v>113.12</v>
      </c>
      <c r="O53" s="258">
        <v>8</v>
      </c>
      <c r="P53" s="257">
        <f t="shared" si="1"/>
        <v>113.12</v>
      </c>
      <c r="Q53" s="258">
        <v>8</v>
      </c>
      <c r="R53" s="257">
        <f t="shared" si="2"/>
        <v>113.12</v>
      </c>
      <c r="S53" s="258">
        <v>0</v>
      </c>
      <c r="T53" s="257">
        <f t="shared" si="3"/>
        <v>0</v>
      </c>
      <c r="U53" s="258">
        <v>8</v>
      </c>
      <c r="V53" s="257">
        <f t="shared" si="4"/>
        <v>113.12</v>
      </c>
      <c r="W53" s="258">
        <v>0</v>
      </c>
      <c r="X53" s="257">
        <f t="shared" si="5"/>
        <v>0</v>
      </c>
      <c r="Y53" s="258">
        <v>0</v>
      </c>
      <c r="Z53" s="257">
        <f t="shared" si="6"/>
        <v>0</v>
      </c>
    </row>
    <row r="54" spans="1:26" ht="15" customHeight="1">
      <c r="A54" s="250"/>
      <c r="B54" s="251"/>
      <c r="C54" s="646"/>
      <c r="D54" s="526"/>
      <c r="E54" s="251"/>
      <c r="F54" s="252"/>
      <c r="G54" s="253"/>
      <c r="H54" s="254"/>
      <c r="I54" s="253"/>
      <c r="J54" s="253"/>
      <c r="K54" s="251"/>
      <c r="L54" s="255"/>
      <c r="M54" s="258"/>
      <c r="N54" s="257"/>
      <c r="O54" s="258"/>
      <c r="P54" s="257"/>
      <c r="Q54" s="258"/>
      <c r="R54" s="257"/>
      <c r="S54" s="258"/>
      <c r="T54" s="257"/>
      <c r="U54" s="258"/>
      <c r="V54" s="257"/>
      <c r="W54" s="258"/>
      <c r="X54" s="257"/>
      <c r="Y54" s="258"/>
      <c r="Z54" s="257"/>
    </row>
    <row r="55" spans="1:26" ht="25.5">
      <c r="A55" s="250">
        <f>A53+1</f>
        <v>28</v>
      </c>
      <c r="B55" s="251"/>
      <c r="C55" s="646" t="s">
        <v>2248</v>
      </c>
      <c r="D55" s="526" t="s">
        <v>1314</v>
      </c>
      <c r="E55" s="251" t="s">
        <v>1907</v>
      </c>
      <c r="F55" s="252">
        <f>M55+O55+Q55+S55+U55+W55+Y55</f>
        <v>20</v>
      </c>
      <c r="G55" s="253">
        <f t="shared" si="7"/>
        <v>43.02</v>
      </c>
      <c r="H55" s="254">
        <f>INT(F55*G55*100+0.5)/100</f>
        <v>860.4</v>
      </c>
      <c r="I55" s="253">
        <f>N55+P55+R55+T55+V55+X55+Z55</f>
        <v>860.4</v>
      </c>
      <c r="J55" s="253"/>
      <c r="K55" s="251" t="s">
        <v>1907</v>
      </c>
      <c r="L55" s="255">
        <v>43.02</v>
      </c>
      <c r="M55" s="258">
        <v>5</v>
      </c>
      <c r="N55" s="257">
        <f t="shared" si="0"/>
        <v>215.1</v>
      </c>
      <c r="O55" s="258">
        <v>5</v>
      </c>
      <c r="P55" s="257">
        <f t="shared" si="1"/>
        <v>215.1</v>
      </c>
      <c r="Q55" s="258">
        <v>5</v>
      </c>
      <c r="R55" s="257">
        <f t="shared" si="2"/>
        <v>215.1</v>
      </c>
      <c r="S55" s="258">
        <v>0</v>
      </c>
      <c r="T55" s="257">
        <f t="shared" si="3"/>
        <v>0</v>
      </c>
      <c r="U55" s="258">
        <v>5</v>
      </c>
      <c r="V55" s="257">
        <f t="shared" si="4"/>
        <v>215.1</v>
      </c>
      <c r="W55" s="258">
        <v>0</v>
      </c>
      <c r="X55" s="257">
        <f t="shared" si="5"/>
        <v>0</v>
      </c>
      <c r="Y55" s="258">
        <v>0</v>
      </c>
      <c r="Z55" s="257">
        <f t="shared" si="6"/>
        <v>0</v>
      </c>
    </row>
    <row r="56" spans="1:26" ht="15" customHeight="1">
      <c r="A56" s="250"/>
      <c r="B56" s="251"/>
      <c r="C56" s="526"/>
      <c r="D56" s="526"/>
      <c r="E56" s="251"/>
      <c r="F56" s="252"/>
      <c r="G56" s="253"/>
      <c r="H56" s="254"/>
      <c r="I56" s="253"/>
      <c r="J56" s="253"/>
      <c r="K56" s="251"/>
      <c r="L56" s="255"/>
      <c r="M56" s="258"/>
      <c r="N56" s="257"/>
      <c r="O56" s="258"/>
      <c r="P56" s="257"/>
      <c r="Q56" s="258"/>
      <c r="R56" s="257"/>
      <c r="S56" s="258"/>
      <c r="T56" s="257"/>
      <c r="U56" s="258"/>
      <c r="V56" s="257"/>
      <c r="W56" s="258"/>
      <c r="X56" s="257"/>
      <c r="Y56" s="258"/>
      <c r="Z56" s="257"/>
    </row>
    <row r="57" spans="1:26" ht="25.5">
      <c r="A57" s="250">
        <f>A55+1</f>
        <v>29</v>
      </c>
      <c r="B57" s="251"/>
      <c r="C57" s="646" t="s">
        <v>556</v>
      </c>
      <c r="D57" s="526" t="s">
        <v>557</v>
      </c>
      <c r="E57" s="251" t="s">
        <v>534</v>
      </c>
      <c r="F57" s="252">
        <f>M57+O57+Q57+S57+U57+W57+Y57</f>
        <v>20</v>
      </c>
      <c r="G57" s="253">
        <f t="shared" si="7"/>
        <v>4.42</v>
      </c>
      <c r="H57" s="254">
        <f>INT(F57*G57*100+0.5)/100</f>
        <v>88.4</v>
      </c>
      <c r="I57" s="253">
        <f>N57+P57+R57+T57+V57+X57+Z57</f>
        <v>88.4</v>
      </c>
      <c r="J57" s="253"/>
      <c r="K57" s="251" t="s">
        <v>534</v>
      </c>
      <c r="L57" s="255">
        <v>4.42</v>
      </c>
      <c r="M57" s="258">
        <v>5</v>
      </c>
      <c r="N57" s="257">
        <f t="shared" si="0"/>
        <v>22.1</v>
      </c>
      <c r="O57" s="258">
        <v>5</v>
      </c>
      <c r="P57" s="257">
        <f t="shared" si="1"/>
        <v>22.1</v>
      </c>
      <c r="Q57" s="258">
        <v>5</v>
      </c>
      <c r="R57" s="257">
        <f t="shared" si="2"/>
        <v>22.1</v>
      </c>
      <c r="S57" s="258">
        <v>0</v>
      </c>
      <c r="T57" s="257">
        <f t="shared" si="3"/>
        <v>0</v>
      </c>
      <c r="U57" s="258">
        <v>5</v>
      </c>
      <c r="V57" s="257">
        <f t="shared" si="4"/>
        <v>22.1</v>
      </c>
      <c r="W57" s="258">
        <v>0</v>
      </c>
      <c r="X57" s="257">
        <f t="shared" si="5"/>
        <v>0</v>
      </c>
      <c r="Y57" s="258">
        <v>0</v>
      </c>
      <c r="Z57" s="257">
        <f t="shared" si="6"/>
        <v>0</v>
      </c>
    </row>
    <row r="58" spans="1:26" ht="25.5">
      <c r="A58" s="250">
        <f>A57+1</f>
        <v>30</v>
      </c>
      <c r="B58" s="251"/>
      <c r="C58" s="646" t="s">
        <v>558</v>
      </c>
      <c r="D58" s="526" t="s">
        <v>559</v>
      </c>
      <c r="E58" s="251" t="s">
        <v>534</v>
      </c>
      <c r="F58" s="252">
        <f>M58+O58+Q58+S58+U58+W58+Y58</f>
        <v>15</v>
      </c>
      <c r="G58" s="253">
        <f t="shared" si="7"/>
        <v>2.41</v>
      </c>
      <c r="H58" s="254">
        <f>INT(F58*G58*100+0.5)/100</f>
        <v>36.15</v>
      </c>
      <c r="I58" s="253">
        <f>N58+P58+R58+T58+V58+X58+Z58</f>
        <v>36.150000000000006</v>
      </c>
      <c r="J58" s="253"/>
      <c r="K58" s="251" t="s">
        <v>534</v>
      </c>
      <c r="L58" s="255">
        <v>2.41</v>
      </c>
      <c r="M58" s="258">
        <v>5</v>
      </c>
      <c r="N58" s="257">
        <f t="shared" si="0"/>
        <v>12.05</v>
      </c>
      <c r="O58" s="258">
        <v>5</v>
      </c>
      <c r="P58" s="257">
        <f t="shared" si="1"/>
        <v>12.05</v>
      </c>
      <c r="Q58" s="258">
        <v>5</v>
      </c>
      <c r="R58" s="257">
        <f t="shared" si="2"/>
        <v>12.05</v>
      </c>
      <c r="S58" s="258">
        <v>0</v>
      </c>
      <c r="T58" s="257">
        <f t="shared" si="3"/>
        <v>0</v>
      </c>
      <c r="U58" s="258">
        <v>0</v>
      </c>
      <c r="V58" s="257">
        <f t="shared" si="4"/>
        <v>0</v>
      </c>
      <c r="W58" s="258">
        <v>0</v>
      </c>
      <c r="X58" s="257">
        <f t="shared" si="5"/>
        <v>0</v>
      </c>
      <c r="Y58" s="258">
        <v>0</v>
      </c>
      <c r="Z58" s="257">
        <f t="shared" si="6"/>
        <v>0</v>
      </c>
    </row>
    <row r="59" spans="1:26" ht="25.5">
      <c r="A59" s="250">
        <f>A58+1</f>
        <v>31</v>
      </c>
      <c r="B59" s="251"/>
      <c r="C59" s="646" t="s">
        <v>2249</v>
      </c>
      <c r="D59" s="526" t="s">
        <v>560</v>
      </c>
      <c r="E59" s="251" t="s">
        <v>534</v>
      </c>
      <c r="F59" s="252">
        <f>M59+O59+Q59+S59+U59+W59+Y59</f>
        <v>20</v>
      </c>
      <c r="G59" s="253">
        <f t="shared" si="7"/>
        <v>6.46</v>
      </c>
      <c r="H59" s="254">
        <f>INT(F59*G59*100+0.5)/100</f>
        <v>129.19999999999999</v>
      </c>
      <c r="I59" s="253">
        <f>N59+P59+R59+T59+V59+X59+Z59</f>
        <v>129.19999999999999</v>
      </c>
      <c r="J59" s="253"/>
      <c r="K59" s="251" t="s">
        <v>534</v>
      </c>
      <c r="L59" s="255">
        <v>6.46</v>
      </c>
      <c r="M59" s="258">
        <v>5</v>
      </c>
      <c r="N59" s="257">
        <f t="shared" si="0"/>
        <v>32.299999999999997</v>
      </c>
      <c r="O59" s="258">
        <v>5</v>
      </c>
      <c r="P59" s="257">
        <f t="shared" si="1"/>
        <v>32.299999999999997</v>
      </c>
      <c r="Q59" s="258">
        <v>5</v>
      </c>
      <c r="R59" s="257">
        <f t="shared" si="2"/>
        <v>32.299999999999997</v>
      </c>
      <c r="S59" s="258">
        <v>0</v>
      </c>
      <c r="T59" s="257">
        <f t="shared" si="3"/>
        <v>0</v>
      </c>
      <c r="U59" s="258">
        <v>5</v>
      </c>
      <c r="V59" s="257">
        <f t="shared" si="4"/>
        <v>32.299999999999997</v>
      </c>
      <c r="W59" s="258">
        <v>0</v>
      </c>
      <c r="X59" s="257">
        <f t="shared" si="5"/>
        <v>0</v>
      </c>
      <c r="Y59" s="258">
        <v>0</v>
      </c>
      <c r="Z59" s="257">
        <f t="shared" si="6"/>
        <v>0</v>
      </c>
    </row>
    <row r="60" spans="1:26" ht="25.5">
      <c r="A60" s="250">
        <f>A59+1</f>
        <v>32</v>
      </c>
      <c r="B60" s="251"/>
      <c r="C60" s="646" t="s">
        <v>2250</v>
      </c>
      <c r="D60" s="526" t="s">
        <v>2251</v>
      </c>
      <c r="E60" s="251" t="s">
        <v>534</v>
      </c>
      <c r="F60" s="252">
        <f>M60+O60+Q60+S60+U60+W60+Y60</f>
        <v>15</v>
      </c>
      <c r="G60" s="253">
        <f t="shared" si="7"/>
        <v>1.82</v>
      </c>
      <c r="H60" s="254">
        <f>INT(F60*G60*100+0.5)/100</f>
        <v>27.3</v>
      </c>
      <c r="I60" s="253">
        <f>N60+P60+R60+T60+V60+X60+Z60</f>
        <v>27.299999999999997</v>
      </c>
      <c r="J60" s="253"/>
      <c r="K60" s="251" t="s">
        <v>534</v>
      </c>
      <c r="L60" s="255">
        <v>1.82</v>
      </c>
      <c r="M60" s="258">
        <v>5</v>
      </c>
      <c r="N60" s="257">
        <f t="shared" si="0"/>
        <v>9.1</v>
      </c>
      <c r="O60" s="258">
        <v>5</v>
      </c>
      <c r="P60" s="257">
        <f t="shared" si="1"/>
        <v>9.1</v>
      </c>
      <c r="Q60" s="258">
        <v>5</v>
      </c>
      <c r="R60" s="257">
        <f t="shared" si="2"/>
        <v>9.1</v>
      </c>
      <c r="S60" s="258">
        <v>0</v>
      </c>
      <c r="T60" s="257">
        <f t="shared" si="3"/>
        <v>0</v>
      </c>
      <c r="U60" s="258">
        <v>0</v>
      </c>
      <c r="V60" s="257">
        <f t="shared" si="4"/>
        <v>0</v>
      </c>
      <c r="W60" s="258">
        <v>0</v>
      </c>
      <c r="X60" s="257">
        <f t="shared" si="5"/>
        <v>0</v>
      </c>
      <c r="Y60" s="258">
        <v>0</v>
      </c>
      <c r="Z60" s="257">
        <f t="shared" si="6"/>
        <v>0</v>
      </c>
    </row>
    <row r="61" spans="1:26" ht="25.5">
      <c r="A61" s="250">
        <f>A60+1</f>
        <v>33</v>
      </c>
      <c r="B61" s="251"/>
      <c r="C61" s="646" t="s">
        <v>2252</v>
      </c>
      <c r="D61" s="526" t="s">
        <v>561</v>
      </c>
      <c r="E61" s="251" t="s">
        <v>534</v>
      </c>
      <c r="F61" s="252">
        <f>M61+O61+Q61+S61+U61+W61+Y61</f>
        <v>15</v>
      </c>
      <c r="G61" s="253">
        <f t="shared" si="7"/>
        <v>4.26</v>
      </c>
      <c r="H61" s="254">
        <f>INT(F61*G61*100+0.5)/100</f>
        <v>63.9</v>
      </c>
      <c r="I61" s="253">
        <f>N61+P61+R61+T61+V61+X61+Z61</f>
        <v>63.900000000000006</v>
      </c>
      <c r="J61" s="253"/>
      <c r="K61" s="251" t="s">
        <v>534</v>
      </c>
      <c r="L61" s="255">
        <v>4.26</v>
      </c>
      <c r="M61" s="258">
        <v>5</v>
      </c>
      <c r="N61" s="257">
        <f t="shared" si="0"/>
        <v>21.3</v>
      </c>
      <c r="O61" s="258">
        <v>5</v>
      </c>
      <c r="P61" s="257">
        <f t="shared" si="1"/>
        <v>21.3</v>
      </c>
      <c r="Q61" s="258">
        <v>5</v>
      </c>
      <c r="R61" s="257">
        <f t="shared" si="2"/>
        <v>21.3</v>
      </c>
      <c r="S61" s="258">
        <v>0</v>
      </c>
      <c r="T61" s="257">
        <f t="shared" si="3"/>
        <v>0</v>
      </c>
      <c r="U61" s="258">
        <v>0</v>
      </c>
      <c r="V61" s="257">
        <f t="shared" si="4"/>
        <v>0</v>
      </c>
      <c r="W61" s="258">
        <v>0</v>
      </c>
      <c r="X61" s="257">
        <f t="shared" si="5"/>
        <v>0</v>
      </c>
      <c r="Y61" s="258">
        <v>0</v>
      </c>
      <c r="Z61" s="257">
        <f t="shared" si="6"/>
        <v>0</v>
      </c>
    </row>
    <row r="62" spans="1:26" ht="15" customHeight="1">
      <c r="A62" s="250"/>
      <c r="B62" s="251"/>
      <c r="C62" s="646"/>
      <c r="D62" s="526"/>
      <c r="E62" s="251"/>
      <c r="F62" s="252"/>
      <c r="G62" s="253"/>
      <c r="H62" s="254"/>
      <c r="I62" s="253"/>
      <c r="J62" s="253"/>
      <c r="K62" s="251"/>
      <c r="L62" s="255"/>
      <c r="M62" s="256"/>
      <c r="N62" s="260"/>
      <c r="O62" s="256"/>
      <c r="P62" s="260"/>
      <c r="Q62" s="256"/>
      <c r="R62" s="260"/>
      <c r="S62" s="256"/>
      <c r="T62" s="260"/>
      <c r="U62" s="256"/>
      <c r="V62" s="260"/>
      <c r="W62" s="256"/>
      <c r="X62" s="260"/>
      <c r="Y62" s="256"/>
      <c r="Z62" s="260"/>
    </row>
    <row r="63" spans="1:26" ht="15" customHeight="1">
      <c r="A63" s="250"/>
      <c r="B63" s="251"/>
      <c r="C63" s="646"/>
      <c r="D63" s="526" t="s">
        <v>564</v>
      </c>
      <c r="E63" s="251"/>
      <c r="F63" s="252"/>
      <c r="G63" s="253"/>
      <c r="H63" s="254"/>
      <c r="I63" s="253"/>
      <c r="J63" s="253"/>
      <c r="K63" s="251"/>
      <c r="L63" s="255"/>
      <c r="M63" s="256"/>
      <c r="N63" s="260"/>
      <c r="O63" s="256"/>
      <c r="P63" s="260"/>
      <c r="Q63" s="256"/>
      <c r="R63" s="260"/>
      <c r="S63" s="256"/>
      <c r="T63" s="260"/>
      <c r="U63" s="256"/>
      <c r="V63" s="260"/>
      <c r="W63" s="256"/>
      <c r="X63" s="260"/>
      <c r="Y63" s="256"/>
      <c r="Z63" s="260"/>
    </row>
    <row r="64" spans="1:26" ht="25.5">
      <c r="A64" s="250">
        <f>A61+1</f>
        <v>34</v>
      </c>
      <c r="B64" s="251"/>
      <c r="C64" s="646" t="s">
        <v>2253</v>
      </c>
      <c r="D64" s="526" t="s">
        <v>565</v>
      </c>
      <c r="E64" s="251" t="s">
        <v>2461</v>
      </c>
      <c r="F64" s="252">
        <f>M64+O64+Q64+S64+U64+W64+Y64</f>
        <v>35</v>
      </c>
      <c r="G64" s="253">
        <f t="shared" si="7"/>
        <v>21.51</v>
      </c>
      <c r="H64" s="254">
        <f>INT(F64*G64*100+0.5)/100</f>
        <v>752.85</v>
      </c>
      <c r="I64" s="253">
        <f>N64+P64+R64+T64+V64+X64+Z64</f>
        <v>752.84999999999991</v>
      </c>
      <c r="J64" s="253"/>
      <c r="K64" s="251" t="s">
        <v>2461</v>
      </c>
      <c r="L64" s="255">
        <v>21.51</v>
      </c>
      <c r="M64" s="258">
        <v>10</v>
      </c>
      <c r="N64" s="257">
        <f t="shared" ref="N64:N104" si="8">INT($L64*M64*100+0.5)/100</f>
        <v>215.1</v>
      </c>
      <c r="O64" s="258">
        <v>10</v>
      </c>
      <c r="P64" s="257">
        <f t="shared" ref="P64:P104" si="9">INT($L64*O64*100+0.5)/100</f>
        <v>215.1</v>
      </c>
      <c r="Q64" s="258">
        <v>10</v>
      </c>
      <c r="R64" s="257">
        <f t="shared" ref="R64:R104" si="10">INT($L64*Q64*100+0.5)/100</f>
        <v>215.1</v>
      </c>
      <c r="S64" s="258">
        <v>0</v>
      </c>
      <c r="T64" s="257">
        <f t="shared" ref="T64:T104" si="11">INT($L64*S64*100+0.5)/100</f>
        <v>0</v>
      </c>
      <c r="U64" s="258">
        <v>5</v>
      </c>
      <c r="V64" s="257">
        <f t="shared" ref="V64:V104" si="12">INT($L64*U64*100+0.5)/100</f>
        <v>107.55</v>
      </c>
      <c r="W64" s="258">
        <v>0</v>
      </c>
      <c r="X64" s="257">
        <f t="shared" ref="X64:X104" si="13">INT($L64*W64*100+0.5)/100</f>
        <v>0</v>
      </c>
      <c r="Y64" s="258">
        <v>0</v>
      </c>
      <c r="Z64" s="257">
        <f t="shared" ref="Z64:Z104" si="14">INT($L64*Y64*100+0.5)/100</f>
        <v>0</v>
      </c>
    </row>
    <row r="65" spans="1:26" ht="15">
      <c r="A65" s="250">
        <f>A64+1</f>
        <v>35</v>
      </c>
      <c r="B65" s="251"/>
      <c r="C65" s="646" t="s">
        <v>2254</v>
      </c>
      <c r="D65" s="526" t="s">
        <v>566</v>
      </c>
      <c r="E65" s="251" t="s">
        <v>2461</v>
      </c>
      <c r="F65" s="252">
        <f>M65+O65+Q65+S65+U65+W65+Y65</f>
        <v>35</v>
      </c>
      <c r="G65" s="253">
        <f t="shared" si="7"/>
        <v>20.97</v>
      </c>
      <c r="H65" s="254">
        <f>INT(F65*G65*100+0.5)/100</f>
        <v>733.95</v>
      </c>
      <c r="I65" s="253">
        <f>N65+P65+R65+T65+V65+X65+Z65</f>
        <v>733.94999999999993</v>
      </c>
      <c r="J65" s="253"/>
      <c r="K65" s="251" t="s">
        <v>2461</v>
      </c>
      <c r="L65" s="255">
        <v>20.97</v>
      </c>
      <c r="M65" s="258">
        <v>10</v>
      </c>
      <c r="N65" s="257">
        <f t="shared" si="8"/>
        <v>209.7</v>
      </c>
      <c r="O65" s="258">
        <v>10</v>
      </c>
      <c r="P65" s="257">
        <f t="shared" si="9"/>
        <v>209.7</v>
      </c>
      <c r="Q65" s="258">
        <v>10</v>
      </c>
      <c r="R65" s="257">
        <f t="shared" si="10"/>
        <v>209.7</v>
      </c>
      <c r="S65" s="258">
        <v>0</v>
      </c>
      <c r="T65" s="257">
        <f t="shared" si="11"/>
        <v>0</v>
      </c>
      <c r="U65" s="258">
        <v>5</v>
      </c>
      <c r="V65" s="257">
        <f t="shared" si="12"/>
        <v>104.85</v>
      </c>
      <c r="W65" s="258">
        <v>0</v>
      </c>
      <c r="X65" s="257">
        <f t="shared" si="13"/>
        <v>0</v>
      </c>
      <c r="Y65" s="258">
        <v>0</v>
      </c>
      <c r="Z65" s="257">
        <f t="shared" si="14"/>
        <v>0</v>
      </c>
    </row>
    <row r="66" spans="1:26" ht="15" customHeight="1">
      <c r="A66" s="250">
        <f>A65+1</f>
        <v>36</v>
      </c>
      <c r="B66" s="251"/>
      <c r="C66" s="646" t="s">
        <v>2255</v>
      </c>
      <c r="D66" s="526" t="s">
        <v>2256</v>
      </c>
      <c r="E66" s="251" t="s">
        <v>2461</v>
      </c>
      <c r="F66" s="252">
        <f>M66+O66+Q66+S66+U66+W66+Y66</f>
        <v>35</v>
      </c>
      <c r="G66" s="253">
        <f t="shared" si="7"/>
        <v>22.16</v>
      </c>
      <c r="H66" s="254">
        <f>INT(F66*G66*100+0.5)/100</f>
        <v>775.6</v>
      </c>
      <c r="I66" s="253">
        <f>N66+P66+R66+T66+V66+X66+Z66</f>
        <v>775.59999999999991</v>
      </c>
      <c r="J66" s="253"/>
      <c r="K66" s="251" t="s">
        <v>2461</v>
      </c>
      <c r="L66" s="255">
        <v>22.16</v>
      </c>
      <c r="M66" s="258">
        <v>10</v>
      </c>
      <c r="N66" s="257">
        <f t="shared" si="8"/>
        <v>221.6</v>
      </c>
      <c r="O66" s="258">
        <v>10</v>
      </c>
      <c r="P66" s="257">
        <f t="shared" si="9"/>
        <v>221.6</v>
      </c>
      <c r="Q66" s="258">
        <v>10</v>
      </c>
      <c r="R66" s="257">
        <f t="shared" si="10"/>
        <v>221.6</v>
      </c>
      <c r="S66" s="258">
        <v>0</v>
      </c>
      <c r="T66" s="257">
        <f t="shared" si="11"/>
        <v>0</v>
      </c>
      <c r="U66" s="258">
        <v>5</v>
      </c>
      <c r="V66" s="257">
        <f t="shared" si="12"/>
        <v>110.8</v>
      </c>
      <c r="W66" s="258">
        <v>0</v>
      </c>
      <c r="X66" s="257">
        <f t="shared" si="13"/>
        <v>0</v>
      </c>
      <c r="Y66" s="258">
        <v>0</v>
      </c>
      <c r="Z66" s="257">
        <f t="shared" si="14"/>
        <v>0</v>
      </c>
    </row>
    <row r="67" spans="1:26" ht="15" customHeight="1">
      <c r="A67" s="250"/>
      <c r="B67" s="251"/>
      <c r="C67" s="646"/>
      <c r="D67" s="526"/>
      <c r="E67" s="251"/>
      <c r="F67" s="252"/>
      <c r="G67" s="253"/>
      <c r="H67" s="254"/>
      <c r="I67" s="253"/>
      <c r="J67" s="253"/>
      <c r="K67" s="251"/>
      <c r="L67" s="255"/>
      <c r="M67" s="256"/>
      <c r="N67" s="260"/>
      <c r="O67" s="256"/>
      <c r="P67" s="260"/>
      <c r="Q67" s="256"/>
      <c r="R67" s="260"/>
      <c r="S67" s="256"/>
      <c r="T67" s="260"/>
      <c r="U67" s="256"/>
      <c r="V67" s="260"/>
      <c r="W67" s="256"/>
      <c r="X67" s="260"/>
      <c r="Y67" s="256"/>
      <c r="Z67" s="260"/>
    </row>
    <row r="68" spans="1:26" ht="15" customHeight="1">
      <c r="A68" s="250">
        <f>A65+1</f>
        <v>36</v>
      </c>
      <c r="B68" s="251"/>
      <c r="C68" s="646" t="s">
        <v>2257</v>
      </c>
      <c r="D68" s="526" t="s">
        <v>567</v>
      </c>
      <c r="E68" s="251" t="s">
        <v>1439</v>
      </c>
      <c r="F68" s="252">
        <f>M68+O68+Q68+S68+U68+W68+Y68</f>
        <v>3500</v>
      </c>
      <c r="G68" s="253">
        <f t="shared" si="7"/>
        <v>0.11</v>
      </c>
      <c r="H68" s="254">
        <f>INT(F68*G68*100+0.5)/100</f>
        <v>385</v>
      </c>
      <c r="I68" s="253">
        <f>N68+P68+R68+T68+V68+X68+Z68</f>
        <v>385</v>
      </c>
      <c r="J68" s="253"/>
      <c r="K68" s="251" t="s">
        <v>1439</v>
      </c>
      <c r="L68" s="255">
        <v>0.11</v>
      </c>
      <c r="M68" s="258">
        <v>1000</v>
      </c>
      <c r="N68" s="257">
        <f t="shared" si="8"/>
        <v>110</v>
      </c>
      <c r="O68" s="258">
        <v>1000</v>
      </c>
      <c r="P68" s="257">
        <f t="shared" si="9"/>
        <v>110</v>
      </c>
      <c r="Q68" s="258">
        <v>1000</v>
      </c>
      <c r="R68" s="257">
        <f t="shared" si="10"/>
        <v>110</v>
      </c>
      <c r="S68" s="258">
        <v>0</v>
      </c>
      <c r="T68" s="257">
        <f t="shared" si="11"/>
        <v>0</v>
      </c>
      <c r="U68" s="258">
        <v>500</v>
      </c>
      <c r="V68" s="257">
        <f t="shared" si="12"/>
        <v>55</v>
      </c>
      <c r="W68" s="258">
        <v>0</v>
      </c>
      <c r="X68" s="257">
        <f t="shared" si="13"/>
        <v>0</v>
      </c>
      <c r="Y68" s="258">
        <v>0</v>
      </c>
      <c r="Z68" s="257">
        <f t="shared" si="14"/>
        <v>0</v>
      </c>
    </row>
    <row r="69" spans="1:26" ht="25.5">
      <c r="A69" s="250">
        <f>A66+1</f>
        <v>37</v>
      </c>
      <c r="B69" s="251"/>
      <c r="C69" s="646" t="s">
        <v>2258</v>
      </c>
      <c r="D69" s="526" t="s">
        <v>568</v>
      </c>
      <c r="E69" s="251" t="s">
        <v>1439</v>
      </c>
      <c r="F69" s="252">
        <f>M69+O69+Q69+S69+U69+W69+Y69</f>
        <v>0</v>
      </c>
      <c r="G69" s="253">
        <f t="shared" si="7"/>
        <v>0.19</v>
      </c>
      <c r="H69" s="254">
        <f>INT(F69*G69*100+0.5)/100</f>
        <v>0</v>
      </c>
      <c r="I69" s="253">
        <f>N69+P69+R69+T69+V69+X69+Z69</f>
        <v>0</v>
      </c>
      <c r="J69" s="253"/>
      <c r="K69" s="251" t="s">
        <v>1439</v>
      </c>
      <c r="L69" s="255">
        <v>0.19</v>
      </c>
      <c r="M69" s="258">
        <v>0</v>
      </c>
      <c r="N69" s="257">
        <f t="shared" si="8"/>
        <v>0</v>
      </c>
      <c r="O69" s="258">
        <v>0</v>
      </c>
      <c r="P69" s="257">
        <f t="shared" si="9"/>
        <v>0</v>
      </c>
      <c r="Q69" s="258">
        <v>0</v>
      </c>
      <c r="R69" s="257">
        <f t="shared" si="10"/>
        <v>0</v>
      </c>
      <c r="S69" s="258">
        <v>0</v>
      </c>
      <c r="T69" s="257">
        <f t="shared" si="11"/>
        <v>0</v>
      </c>
      <c r="U69" s="258">
        <v>0</v>
      </c>
      <c r="V69" s="257">
        <f t="shared" si="12"/>
        <v>0</v>
      </c>
      <c r="W69" s="258">
        <v>0</v>
      </c>
      <c r="X69" s="257">
        <f t="shared" si="13"/>
        <v>0</v>
      </c>
      <c r="Y69" s="258">
        <v>0</v>
      </c>
      <c r="Z69" s="257">
        <f t="shared" si="14"/>
        <v>0</v>
      </c>
    </row>
    <row r="70" spans="1:26" ht="15" customHeight="1">
      <c r="A70" s="250"/>
      <c r="B70" s="251"/>
      <c r="C70" s="646"/>
      <c r="D70" s="526"/>
      <c r="E70" s="251"/>
      <c r="F70" s="252"/>
      <c r="G70" s="253"/>
      <c r="H70" s="254"/>
      <c r="I70" s="253"/>
      <c r="J70" s="253"/>
      <c r="K70" s="251"/>
      <c r="L70" s="255"/>
      <c r="M70" s="258"/>
      <c r="N70" s="257"/>
      <c r="O70" s="258"/>
      <c r="P70" s="257"/>
      <c r="Q70" s="258"/>
      <c r="R70" s="257"/>
      <c r="S70" s="258"/>
      <c r="T70" s="257"/>
      <c r="U70" s="258"/>
      <c r="V70" s="257"/>
      <c r="W70" s="258"/>
      <c r="X70" s="257"/>
      <c r="Y70" s="258"/>
      <c r="Z70" s="257"/>
    </row>
    <row r="71" spans="1:26" ht="15" customHeight="1">
      <c r="A71" s="250">
        <f>A69+1</f>
        <v>38</v>
      </c>
      <c r="B71" s="251"/>
      <c r="C71" s="646" t="s">
        <v>569</v>
      </c>
      <c r="D71" s="526" t="s">
        <v>1315</v>
      </c>
      <c r="E71" s="251" t="s">
        <v>570</v>
      </c>
      <c r="F71" s="252">
        <f>M71+O71+Q71+S71+U71+W71+Y71</f>
        <v>1500</v>
      </c>
      <c r="G71" s="253">
        <f t="shared" si="7"/>
        <v>0.31</v>
      </c>
      <c r="H71" s="254">
        <f>INT(F71*G71*100+0.5)/100</f>
        <v>465</v>
      </c>
      <c r="I71" s="253">
        <f>N71+P71+R71+T71+V71+X71+Z71</f>
        <v>465</v>
      </c>
      <c r="J71" s="253"/>
      <c r="K71" s="251" t="s">
        <v>570</v>
      </c>
      <c r="L71" s="255">
        <v>0.31</v>
      </c>
      <c r="M71" s="258">
        <v>500</v>
      </c>
      <c r="N71" s="257">
        <f t="shared" si="8"/>
        <v>155</v>
      </c>
      <c r="O71" s="258">
        <v>500</v>
      </c>
      <c r="P71" s="257">
        <f t="shared" si="9"/>
        <v>155</v>
      </c>
      <c r="Q71" s="258">
        <v>500</v>
      </c>
      <c r="R71" s="257">
        <f t="shared" si="10"/>
        <v>155</v>
      </c>
      <c r="S71" s="258">
        <v>0</v>
      </c>
      <c r="T71" s="257">
        <f t="shared" si="11"/>
        <v>0</v>
      </c>
      <c r="U71" s="258">
        <v>0</v>
      </c>
      <c r="V71" s="257">
        <f t="shared" si="12"/>
        <v>0</v>
      </c>
      <c r="W71" s="258">
        <v>0</v>
      </c>
      <c r="X71" s="257">
        <f t="shared" si="13"/>
        <v>0</v>
      </c>
      <c r="Y71" s="258">
        <v>0</v>
      </c>
      <c r="Z71" s="257">
        <f t="shared" si="14"/>
        <v>0</v>
      </c>
    </row>
    <row r="72" spans="1:26" ht="15" customHeight="1">
      <c r="A72" s="250"/>
      <c r="B72" s="251"/>
      <c r="C72" s="646"/>
      <c r="D72" s="526"/>
      <c r="E72" s="251"/>
      <c r="F72" s="252"/>
      <c r="G72" s="253"/>
      <c r="H72" s="254"/>
      <c r="I72" s="253"/>
      <c r="J72" s="253"/>
      <c r="K72" s="251"/>
      <c r="L72" s="255"/>
      <c r="M72" s="256"/>
      <c r="N72" s="260"/>
      <c r="O72" s="256"/>
      <c r="P72" s="260"/>
      <c r="Q72" s="256"/>
      <c r="R72" s="260"/>
      <c r="S72" s="256"/>
      <c r="T72" s="260"/>
      <c r="U72" s="256"/>
      <c r="V72" s="260"/>
      <c r="W72" s="256"/>
      <c r="X72" s="260"/>
      <c r="Y72" s="256"/>
      <c r="Z72" s="260"/>
    </row>
    <row r="73" spans="1:26" ht="15" customHeight="1">
      <c r="A73" s="250">
        <f>A71+1</f>
        <v>39</v>
      </c>
      <c r="B73" s="251"/>
      <c r="C73" s="646" t="s">
        <v>2259</v>
      </c>
      <c r="D73" s="526" t="s">
        <v>2266</v>
      </c>
      <c r="E73" s="251" t="s">
        <v>2461</v>
      </c>
      <c r="F73" s="252">
        <f>M73+O73+Q73+S73+U73+W73+Y73</f>
        <v>20</v>
      </c>
      <c r="G73" s="253">
        <f t="shared" si="7"/>
        <v>76.62</v>
      </c>
      <c r="H73" s="254">
        <f>INT(F73*G73*100+0.5)/100</f>
        <v>1532.4</v>
      </c>
      <c r="I73" s="253">
        <f>N73+P73+R73+T73+V73+X73+Z73</f>
        <v>1532.4</v>
      </c>
      <c r="J73" s="253"/>
      <c r="K73" s="251" t="s">
        <v>2461</v>
      </c>
      <c r="L73" s="255">
        <v>76.62</v>
      </c>
      <c r="M73" s="258">
        <v>5</v>
      </c>
      <c r="N73" s="257">
        <f t="shared" si="8"/>
        <v>383.1</v>
      </c>
      <c r="O73" s="258">
        <v>5</v>
      </c>
      <c r="P73" s="257">
        <f t="shared" si="9"/>
        <v>383.1</v>
      </c>
      <c r="Q73" s="258">
        <v>5</v>
      </c>
      <c r="R73" s="257">
        <f t="shared" si="10"/>
        <v>383.1</v>
      </c>
      <c r="S73" s="258">
        <v>0</v>
      </c>
      <c r="T73" s="257">
        <f t="shared" si="11"/>
        <v>0</v>
      </c>
      <c r="U73" s="258">
        <v>5</v>
      </c>
      <c r="V73" s="257">
        <f t="shared" si="12"/>
        <v>383.1</v>
      </c>
      <c r="W73" s="258">
        <v>0</v>
      </c>
      <c r="X73" s="257">
        <f t="shared" si="13"/>
        <v>0</v>
      </c>
      <c r="Y73" s="258">
        <v>0</v>
      </c>
      <c r="Z73" s="257">
        <f t="shared" si="14"/>
        <v>0</v>
      </c>
    </row>
    <row r="74" spans="1:26" ht="15" customHeight="1">
      <c r="A74" s="250"/>
      <c r="B74" s="251"/>
      <c r="C74" s="646"/>
      <c r="D74" s="526"/>
      <c r="E74" s="251"/>
      <c r="F74" s="252"/>
      <c r="G74" s="253"/>
      <c r="H74" s="254"/>
      <c r="I74" s="253"/>
      <c r="J74" s="253"/>
      <c r="K74" s="251"/>
      <c r="L74" s="255"/>
      <c r="M74" s="256"/>
      <c r="N74" s="260"/>
      <c r="O74" s="256"/>
      <c r="P74" s="260"/>
      <c r="Q74" s="256"/>
      <c r="R74" s="260"/>
      <c r="S74" s="256"/>
      <c r="T74" s="260"/>
      <c r="U74" s="256"/>
      <c r="V74" s="260"/>
      <c r="W74" s="256"/>
      <c r="X74" s="260"/>
      <c r="Y74" s="256"/>
      <c r="Z74" s="260"/>
    </row>
    <row r="75" spans="1:26" ht="15">
      <c r="A75" s="250">
        <f>A73+1</f>
        <v>40</v>
      </c>
      <c r="B75" s="251"/>
      <c r="C75" s="646" t="s">
        <v>571</v>
      </c>
      <c r="D75" s="526" t="s">
        <v>2267</v>
      </c>
      <c r="E75" s="251" t="s">
        <v>2461</v>
      </c>
      <c r="F75" s="252">
        <f>M75+O75+Q75+S75+U75+W75+Y75</f>
        <v>29</v>
      </c>
      <c r="G75" s="253">
        <f t="shared" si="7"/>
        <v>84.99</v>
      </c>
      <c r="H75" s="254">
        <f>INT(F75*G75*100+0.5)/100</f>
        <v>2464.71</v>
      </c>
      <c r="I75" s="253">
        <f>N75+P75+R75+T75+V75+X75+Z75</f>
        <v>2464.71</v>
      </c>
      <c r="J75" s="253"/>
      <c r="K75" s="251" t="s">
        <v>2461</v>
      </c>
      <c r="L75" s="255">
        <v>84.99</v>
      </c>
      <c r="M75" s="258">
        <v>8</v>
      </c>
      <c r="N75" s="257">
        <f t="shared" si="8"/>
        <v>679.92</v>
      </c>
      <c r="O75" s="258">
        <v>8</v>
      </c>
      <c r="P75" s="257">
        <f t="shared" si="9"/>
        <v>679.92</v>
      </c>
      <c r="Q75" s="258">
        <v>5</v>
      </c>
      <c r="R75" s="257">
        <f t="shared" si="10"/>
        <v>424.95</v>
      </c>
      <c r="S75" s="258">
        <v>0</v>
      </c>
      <c r="T75" s="257">
        <f t="shared" si="11"/>
        <v>0</v>
      </c>
      <c r="U75" s="258">
        <v>8</v>
      </c>
      <c r="V75" s="257">
        <f t="shared" si="12"/>
        <v>679.92</v>
      </c>
      <c r="W75" s="258">
        <v>0</v>
      </c>
      <c r="X75" s="257">
        <f t="shared" si="13"/>
        <v>0</v>
      </c>
      <c r="Y75" s="258">
        <v>0</v>
      </c>
      <c r="Z75" s="257">
        <f t="shared" si="14"/>
        <v>0</v>
      </c>
    </row>
    <row r="76" spans="1:26" ht="15" customHeight="1">
      <c r="A76" s="250"/>
      <c r="B76" s="251"/>
      <c r="C76" s="646"/>
      <c r="D76" s="526"/>
      <c r="E76" s="251"/>
      <c r="F76" s="252"/>
      <c r="G76" s="253"/>
      <c r="H76" s="254"/>
      <c r="I76" s="253"/>
      <c r="J76" s="253"/>
      <c r="K76" s="251"/>
      <c r="L76" s="255"/>
      <c r="M76" s="256"/>
      <c r="N76" s="260"/>
      <c r="O76" s="256"/>
      <c r="P76" s="260"/>
      <c r="Q76" s="256"/>
      <c r="R76" s="260"/>
      <c r="S76" s="256"/>
      <c r="T76" s="260"/>
      <c r="U76" s="256"/>
      <c r="V76" s="260"/>
      <c r="W76" s="256"/>
      <c r="X76" s="260"/>
      <c r="Y76" s="256"/>
      <c r="Z76" s="260"/>
    </row>
    <row r="77" spans="1:26" ht="15">
      <c r="A77" s="250">
        <f>A75+1</f>
        <v>41</v>
      </c>
      <c r="B77" s="251"/>
      <c r="C77" s="646" t="s">
        <v>2260</v>
      </c>
      <c r="D77" s="526" t="s">
        <v>1316</v>
      </c>
      <c r="E77" s="251" t="s">
        <v>1439</v>
      </c>
      <c r="F77" s="252">
        <f>M77+O77+Q77+S77+U77+W77+Y77</f>
        <v>3000</v>
      </c>
      <c r="G77" s="253">
        <f t="shared" si="7"/>
        <v>0.78</v>
      </c>
      <c r="H77" s="254">
        <f>INT(F77*G77*100+0.5)/100</f>
        <v>2340</v>
      </c>
      <c r="I77" s="253">
        <f>N77+P77+R77+T77+V77+X77+Z77</f>
        <v>2340</v>
      </c>
      <c r="J77" s="253"/>
      <c r="K77" s="251" t="s">
        <v>1439</v>
      </c>
      <c r="L77" s="255">
        <v>0.78</v>
      </c>
      <c r="M77" s="258">
        <v>1000</v>
      </c>
      <c r="N77" s="257">
        <f t="shared" si="8"/>
        <v>780</v>
      </c>
      <c r="O77" s="258">
        <v>1000</v>
      </c>
      <c r="P77" s="257">
        <f t="shared" si="9"/>
        <v>780</v>
      </c>
      <c r="Q77" s="258">
        <v>1000</v>
      </c>
      <c r="R77" s="257">
        <f t="shared" si="10"/>
        <v>780</v>
      </c>
      <c r="S77" s="258">
        <v>0</v>
      </c>
      <c r="T77" s="257">
        <f t="shared" si="11"/>
        <v>0</v>
      </c>
      <c r="U77" s="258">
        <v>0</v>
      </c>
      <c r="V77" s="257">
        <f t="shared" si="12"/>
        <v>0</v>
      </c>
      <c r="W77" s="258">
        <v>0</v>
      </c>
      <c r="X77" s="257">
        <f t="shared" si="13"/>
        <v>0</v>
      </c>
      <c r="Y77" s="258">
        <v>0</v>
      </c>
      <c r="Z77" s="257">
        <f t="shared" si="14"/>
        <v>0</v>
      </c>
    </row>
    <row r="78" spans="1:26" ht="15" customHeight="1">
      <c r="A78" s="250"/>
      <c r="B78" s="251"/>
      <c r="C78" s="526"/>
      <c r="D78" s="526"/>
      <c r="E78" s="251"/>
      <c r="F78" s="252"/>
      <c r="G78" s="253"/>
      <c r="H78" s="254"/>
      <c r="I78" s="253"/>
      <c r="J78" s="253"/>
      <c r="K78" s="251"/>
      <c r="L78" s="255"/>
      <c r="M78" s="256"/>
      <c r="N78" s="260"/>
      <c r="O78" s="256"/>
      <c r="P78" s="260"/>
      <c r="Q78" s="256"/>
      <c r="R78" s="260"/>
      <c r="S78" s="256"/>
      <c r="T78" s="260"/>
      <c r="U78" s="256"/>
      <c r="V78" s="260"/>
      <c r="W78" s="256"/>
      <c r="X78" s="260"/>
      <c r="Y78" s="256"/>
      <c r="Z78" s="260"/>
    </row>
    <row r="79" spans="1:26" ht="15" customHeight="1">
      <c r="A79" s="250">
        <f>A77+1</f>
        <v>42</v>
      </c>
      <c r="B79" s="251"/>
      <c r="C79" s="646" t="s">
        <v>2261</v>
      </c>
      <c r="D79" s="526" t="s">
        <v>572</v>
      </c>
      <c r="E79" s="251" t="s">
        <v>2461</v>
      </c>
      <c r="F79" s="252">
        <f>M79+O79+Q79+S79+U79+W79+Y79</f>
        <v>3</v>
      </c>
      <c r="G79" s="253">
        <f t="shared" si="7"/>
        <v>430.4</v>
      </c>
      <c r="H79" s="254">
        <f>INT(F79*G79*100+0.5)/100</f>
        <v>1291.2</v>
      </c>
      <c r="I79" s="253">
        <f>N79+P79+R79+T79+V79+X79+Z79</f>
        <v>1291.1999999999998</v>
      </c>
      <c r="J79" s="253"/>
      <c r="K79" s="251" t="s">
        <v>2461</v>
      </c>
      <c r="L79" s="255">
        <v>430.4</v>
      </c>
      <c r="M79" s="258">
        <v>1</v>
      </c>
      <c r="N79" s="257">
        <f t="shared" si="8"/>
        <v>430.4</v>
      </c>
      <c r="O79" s="258">
        <v>1</v>
      </c>
      <c r="P79" s="257">
        <f t="shared" si="9"/>
        <v>430.4</v>
      </c>
      <c r="Q79" s="258">
        <v>1</v>
      </c>
      <c r="R79" s="257">
        <f t="shared" si="10"/>
        <v>430.4</v>
      </c>
      <c r="S79" s="258">
        <v>0</v>
      </c>
      <c r="T79" s="257">
        <f t="shared" si="11"/>
        <v>0</v>
      </c>
      <c r="U79" s="258">
        <v>0</v>
      </c>
      <c r="V79" s="257">
        <f t="shared" si="12"/>
        <v>0</v>
      </c>
      <c r="W79" s="258">
        <v>0</v>
      </c>
      <c r="X79" s="257">
        <f t="shared" si="13"/>
        <v>0</v>
      </c>
      <c r="Y79" s="258">
        <v>0</v>
      </c>
      <c r="Z79" s="257">
        <f t="shared" si="14"/>
        <v>0</v>
      </c>
    </row>
    <row r="80" spans="1:26" ht="15" customHeight="1">
      <c r="A80" s="250"/>
      <c r="B80" s="251"/>
      <c r="C80" s="646"/>
      <c r="D80" s="526"/>
      <c r="E80" s="251"/>
      <c r="F80" s="252"/>
      <c r="G80" s="253"/>
      <c r="H80" s="254"/>
      <c r="I80" s="253"/>
      <c r="J80" s="253"/>
      <c r="K80" s="251"/>
      <c r="L80" s="255"/>
      <c r="M80" s="256"/>
      <c r="N80" s="260"/>
      <c r="O80" s="256"/>
      <c r="P80" s="260"/>
      <c r="Q80" s="256"/>
      <c r="R80" s="260"/>
      <c r="S80" s="256"/>
      <c r="T80" s="260"/>
      <c r="U80" s="256"/>
      <c r="V80" s="260"/>
      <c r="W80" s="256"/>
      <c r="X80" s="260"/>
      <c r="Y80" s="256"/>
      <c r="Z80" s="260"/>
    </row>
    <row r="81" spans="1:26" ht="15" customHeight="1">
      <c r="A81" s="250">
        <f>A79+1</f>
        <v>43</v>
      </c>
      <c r="B81" s="251"/>
      <c r="C81" s="646" t="s">
        <v>2262</v>
      </c>
      <c r="D81" s="526" t="s">
        <v>573</v>
      </c>
      <c r="E81" s="251" t="s">
        <v>2461</v>
      </c>
      <c r="F81" s="252">
        <f>M81+O81+Q81+S81+U81+W81+Y81</f>
        <v>3</v>
      </c>
      <c r="G81" s="253">
        <f t="shared" si="7"/>
        <v>293.3</v>
      </c>
      <c r="H81" s="254">
        <f>INT(F81*G81*100+0.5)/100</f>
        <v>879.9</v>
      </c>
      <c r="I81" s="253">
        <f>N81+P81+R81+T81+V81+X81+Z81</f>
        <v>879.90000000000009</v>
      </c>
      <c r="J81" s="253"/>
      <c r="K81" s="251" t="s">
        <v>2461</v>
      </c>
      <c r="L81" s="255">
        <v>293.3</v>
      </c>
      <c r="M81" s="258">
        <v>1</v>
      </c>
      <c r="N81" s="257">
        <f t="shared" si="8"/>
        <v>293.3</v>
      </c>
      <c r="O81" s="258">
        <v>1</v>
      </c>
      <c r="P81" s="257">
        <f t="shared" si="9"/>
        <v>293.3</v>
      </c>
      <c r="Q81" s="258">
        <v>1</v>
      </c>
      <c r="R81" s="257">
        <f t="shared" si="10"/>
        <v>293.3</v>
      </c>
      <c r="S81" s="258">
        <v>0</v>
      </c>
      <c r="T81" s="257">
        <f t="shared" si="11"/>
        <v>0</v>
      </c>
      <c r="U81" s="258">
        <v>0</v>
      </c>
      <c r="V81" s="257">
        <f t="shared" si="12"/>
        <v>0</v>
      </c>
      <c r="W81" s="258">
        <v>0</v>
      </c>
      <c r="X81" s="257">
        <f t="shared" si="13"/>
        <v>0</v>
      </c>
      <c r="Y81" s="258">
        <v>0</v>
      </c>
      <c r="Z81" s="257">
        <f t="shared" si="14"/>
        <v>0</v>
      </c>
    </row>
    <row r="82" spans="1:26" ht="15" customHeight="1">
      <c r="A82" s="250">
        <f>A81+1</f>
        <v>44</v>
      </c>
      <c r="B82" s="251"/>
      <c r="C82" s="646" t="s">
        <v>2263</v>
      </c>
      <c r="D82" s="526" t="s">
        <v>2264</v>
      </c>
      <c r="E82" s="251" t="s">
        <v>2461</v>
      </c>
      <c r="F82" s="252">
        <f>M82+O82+Q82+S82+U82+W82+Y82</f>
        <v>3</v>
      </c>
      <c r="G82" s="253">
        <f>L82</f>
        <v>327.64999999999998</v>
      </c>
      <c r="H82" s="254">
        <f>INT(F82*G82*100+0.5)/100</f>
        <v>982.95</v>
      </c>
      <c r="I82" s="253">
        <f>N82+P82+R82+T82+V82+X82+Z82</f>
        <v>982.94999999999993</v>
      </c>
      <c r="J82" s="253"/>
      <c r="K82" s="251" t="s">
        <v>2461</v>
      </c>
      <c r="L82" s="255">
        <v>327.64999999999998</v>
      </c>
      <c r="M82" s="258">
        <v>1</v>
      </c>
      <c r="N82" s="257">
        <f>INT($L82*M82*100+0.5)/100</f>
        <v>327.64999999999998</v>
      </c>
      <c r="O82" s="258">
        <v>1</v>
      </c>
      <c r="P82" s="257">
        <f>INT($L82*O82*100+0.5)/100</f>
        <v>327.64999999999998</v>
      </c>
      <c r="Q82" s="258">
        <v>1</v>
      </c>
      <c r="R82" s="257">
        <f>INT($L82*Q82*100+0.5)/100</f>
        <v>327.64999999999998</v>
      </c>
      <c r="S82" s="258">
        <v>0</v>
      </c>
      <c r="T82" s="257">
        <f>INT($L82*S82*100+0.5)/100</f>
        <v>0</v>
      </c>
      <c r="U82" s="258">
        <v>0</v>
      </c>
      <c r="V82" s="257">
        <f>INT($L82*U82*100+0.5)/100</f>
        <v>0</v>
      </c>
      <c r="W82" s="258">
        <v>0</v>
      </c>
      <c r="X82" s="257">
        <f>INT($L82*W82*100+0.5)/100</f>
        <v>0</v>
      </c>
      <c r="Y82" s="258">
        <v>0</v>
      </c>
      <c r="Z82" s="257">
        <f>INT($L82*Y82*100+0.5)/100</f>
        <v>0</v>
      </c>
    </row>
    <row r="83" spans="1:26" ht="15" customHeight="1">
      <c r="A83" s="250"/>
      <c r="B83" s="251"/>
      <c r="C83" s="646"/>
      <c r="D83" s="526"/>
      <c r="E83" s="251"/>
      <c r="F83" s="252"/>
      <c r="G83" s="253"/>
      <c r="H83" s="254"/>
      <c r="I83" s="253"/>
      <c r="J83" s="253"/>
      <c r="K83" s="251"/>
      <c r="L83" s="255"/>
      <c r="M83" s="256"/>
      <c r="N83" s="260"/>
      <c r="O83" s="256"/>
      <c r="P83" s="260"/>
      <c r="Q83" s="256"/>
      <c r="R83" s="260"/>
      <c r="S83" s="256"/>
      <c r="T83" s="260"/>
      <c r="U83" s="256"/>
      <c r="V83" s="260"/>
      <c r="W83" s="256"/>
      <c r="X83" s="260"/>
      <c r="Y83" s="256"/>
      <c r="Z83" s="260"/>
    </row>
    <row r="84" spans="1:26" ht="25.5">
      <c r="A84" s="250">
        <f>A82+1</f>
        <v>45</v>
      </c>
      <c r="B84" s="251"/>
      <c r="C84" s="646" t="s">
        <v>2279</v>
      </c>
      <c r="D84" s="526" t="s">
        <v>2434</v>
      </c>
      <c r="E84" s="251" t="s">
        <v>2475</v>
      </c>
      <c r="F84" s="252">
        <f>M84+O84+Q84+S84+U84+W84+Y84</f>
        <v>10</v>
      </c>
      <c r="G84" s="253">
        <f t="shared" si="7"/>
        <v>39.56</v>
      </c>
      <c r="H84" s="254">
        <f>INT(F84*G84*100+0.5)/100</f>
        <v>395.6</v>
      </c>
      <c r="I84" s="253">
        <f>N84+P84+R84+T84+V84+X84+Z84</f>
        <v>395.6</v>
      </c>
      <c r="J84" s="253"/>
      <c r="K84" s="251" t="s">
        <v>2475</v>
      </c>
      <c r="L84" s="255">
        <v>39.56</v>
      </c>
      <c r="M84" s="258">
        <v>10</v>
      </c>
      <c r="N84" s="257">
        <f t="shared" si="8"/>
        <v>395.6</v>
      </c>
      <c r="O84" s="258">
        <v>0</v>
      </c>
      <c r="P84" s="257">
        <f t="shared" si="9"/>
        <v>0</v>
      </c>
      <c r="Q84" s="258">
        <v>0</v>
      </c>
      <c r="R84" s="257">
        <f t="shared" si="10"/>
        <v>0</v>
      </c>
      <c r="S84" s="258">
        <v>0</v>
      </c>
      <c r="T84" s="257">
        <f t="shared" si="11"/>
        <v>0</v>
      </c>
      <c r="U84" s="258">
        <v>0</v>
      </c>
      <c r="V84" s="257">
        <f t="shared" si="12"/>
        <v>0</v>
      </c>
      <c r="W84" s="258">
        <v>0</v>
      </c>
      <c r="X84" s="257">
        <f t="shared" si="13"/>
        <v>0</v>
      </c>
      <c r="Y84" s="258">
        <v>0</v>
      </c>
      <c r="Z84" s="257">
        <f t="shared" si="14"/>
        <v>0</v>
      </c>
    </row>
    <row r="85" spans="1:26" ht="25.5">
      <c r="A85" s="250">
        <f>A84+1</f>
        <v>46</v>
      </c>
      <c r="B85" s="251"/>
      <c r="C85" s="646" t="s">
        <v>2280</v>
      </c>
      <c r="D85" s="526" t="s">
        <v>2433</v>
      </c>
      <c r="E85" s="251" t="s">
        <v>2475</v>
      </c>
      <c r="F85" s="252">
        <f>M85+O85+Q85+S85+U85+W85+Y85</f>
        <v>10</v>
      </c>
      <c r="G85" s="253">
        <f t="shared" si="7"/>
        <v>44.31</v>
      </c>
      <c r="H85" s="254">
        <f>INT(F85*G85*100+0.5)/100</f>
        <v>443.1</v>
      </c>
      <c r="I85" s="253">
        <f>N85+P85+R85+T85+V85+X85+Z85</f>
        <v>443.1</v>
      </c>
      <c r="J85" s="253"/>
      <c r="K85" s="251" t="s">
        <v>2475</v>
      </c>
      <c r="L85" s="255">
        <v>44.31</v>
      </c>
      <c r="M85" s="258">
        <v>10</v>
      </c>
      <c r="N85" s="257">
        <f t="shared" si="8"/>
        <v>443.1</v>
      </c>
      <c r="O85" s="258">
        <v>0</v>
      </c>
      <c r="P85" s="257">
        <f t="shared" si="9"/>
        <v>0</v>
      </c>
      <c r="Q85" s="258">
        <v>0</v>
      </c>
      <c r="R85" s="257">
        <f t="shared" si="10"/>
        <v>0</v>
      </c>
      <c r="S85" s="258">
        <v>0</v>
      </c>
      <c r="T85" s="257">
        <f t="shared" si="11"/>
        <v>0</v>
      </c>
      <c r="U85" s="258">
        <v>0</v>
      </c>
      <c r="V85" s="257">
        <f t="shared" si="12"/>
        <v>0</v>
      </c>
      <c r="W85" s="258">
        <v>0</v>
      </c>
      <c r="X85" s="257">
        <f t="shared" si="13"/>
        <v>0</v>
      </c>
      <c r="Y85" s="258">
        <v>0</v>
      </c>
      <c r="Z85" s="257">
        <f t="shared" si="14"/>
        <v>0</v>
      </c>
    </row>
    <row r="86" spans="1:26" ht="25.5">
      <c r="A86" s="250">
        <f>A85+1</f>
        <v>47</v>
      </c>
      <c r="B86" s="251"/>
      <c r="C86" s="646" t="s">
        <v>2281</v>
      </c>
      <c r="D86" s="526" t="s">
        <v>1317</v>
      </c>
      <c r="E86" s="251" t="s">
        <v>2475</v>
      </c>
      <c r="F86" s="252">
        <f>M86+O86+Q86+S86+U86+W86+Y86</f>
        <v>10</v>
      </c>
      <c r="G86" s="253">
        <f t="shared" si="7"/>
        <v>52.74</v>
      </c>
      <c r="H86" s="254">
        <f>INT(F86*G86*100+0.5)/100</f>
        <v>527.4</v>
      </c>
      <c r="I86" s="253">
        <f>N86+P86+R86+T86+V86+X86+Z86</f>
        <v>527.4</v>
      </c>
      <c r="J86" s="253"/>
      <c r="K86" s="251" t="s">
        <v>2475</v>
      </c>
      <c r="L86" s="255">
        <v>52.74</v>
      </c>
      <c r="M86" s="258">
        <v>10</v>
      </c>
      <c r="N86" s="257">
        <f t="shared" si="8"/>
        <v>527.4</v>
      </c>
      <c r="O86" s="258">
        <v>0</v>
      </c>
      <c r="P86" s="257">
        <f t="shared" si="9"/>
        <v>0</v>
      </c>
      <c r="Q86" s="258">
        <v>0</v>
      </c>
      <c r="R86" s="257">
        <f t="shared" si="10"/>
        <v>0</v>
      </c>
      <c r="S86" s="258">
        <v>0</v>
      </c>
      <c r="T86" s="257">
        <f t="shared" si="11"/>
        <v>0</v>
      </c>
      <c r="U86" s="258">
        <v>0</v>
      </c>
      <c r="V86" s="257">
        <f t="shared" si="12"/>
        <v>0</v>
      </c>
      <c r="W86" s="258">
        <v>0</v>
      </c>
      <c r="X86" s="257">
        <f t="shared" si="13"/>
        <v>0</v>
      </c>
      <c r="Y86" s="258">
        <v>0</v>
      </c>
      <c r="Z86" s="257">
        <f t="shared" si="14"/>
        <v>0</v>
      </c>
    </row>
    <row r="87" spans="1:26" ht="25.5">
      <c r="A87" s="250">
        <f>A86+1</f>
        <v>48</v>
      </c>
      <c r="B87" s="251"/>
      <c r="C87" s="646" t="s">
        <v>2282</v>
      </c>
      <c r="D87" s="526" t="s">
        <v>2435</v>
      </c>
      <c r="E87" s="251" t="s">
        <v>2475</v>
      </c>
      <c r="F87" s="252">
        <f>M87+O87+Q87+S87+U87+W87+Y87</f>
        <v>10</v>
      </c>
      <c r="G87" s="253">
        <f t="shared" si="7"/>
        <v>61.48</v>
      </c>
      <c r="H87" s="254">
        <f>INT(F87*G87*100+0.5)/100</f>
        <v>614.79999999999995</v>
      </c>
      <c r="I87" s="253">
        <f>N87+P87+R87+T87+V87+X87+Z87</f>
        <v>614.79999999999995</v>
      </c>
      <c r="J87" s="253"/>
      <c r="K87" s="251" t="s">
        <v>2475</v>
      </c>
      <c r="L87" s="255">
        <v>61.48</v>
      </c>
      <c r="M87" s="258">
        <v>10</v>
      </c>
      <c r="N87" s="257">
        <f t="shared" si="8"/>
        <v>614.79999999999995</v>
      </c>
      <c r="O87" s="258">
        <v>0</v>
      </c>
      <c r="P87" s="257">
        <f t="shared" si="9"/>
        <v>0</v>
      </c>
      <c r="Q87" s="258">
        <v>0</v>
      </c>
      <c r="R87" s="257">
        <f t="shared" si="10"/>
        <v>0</v>
      </c>
      <c r="S87" s="258">
        <v>0</v>
      </c>
      <c r="T87" s="257">
        <f t="shared" si="11"/>
        <v>0</v>
      </c>
      <c r="U87" s="258">
        <v>0</v>
      </c>
      <c r="V87" s="257">
        <f t="shared" si="12"/>
        <v>0</v>
      </c>
      <c r="W87" s="258">
        <v>0</v>
      </c>
      <c r="X87" s="257">
        <f t="shared" si="13"/>
        <v>0</v>
      </c>
      <c r="Y87" s="258">
        <v>0</v>
      </c>
      <c r="Z87" s="257">
        <f t="shared" si="14"/>
        <v>0</v>
      </c>
    </row>
    <row r="88" spans="1:26" ht="25.5">
      <c r="A88" s="250">
        <f>A87+1</f>
        <v>49</v>
      </c>
      <c r="B88" s="251"/>
      <c r="C88" s="646" t="s">
        <v>2283</v>
      </c>
      <c r="D88" s="526" t="s">
        <v>2284</v>
      </c>
      <c r="E88" s="251" t="s">
        <v>2475</v>
      </c>
      <c r="F88" s="252">
        <f>M88+O88+Q88+S88+U88+W88+Y88</f>
        <v>10</v>
      </c>
      <c r="G88" s="253">
        <f>L88</f>
        <v>84.82</v>
      </c>
      <c r="H88" s="254">
        <f>INT(F88*G88*100+0.5)/100</f>
        <v>848.2</v>
      </c>
      <c r="I88" s="253">
        <f>N88+P88+R88+T88+V88+X88+Z88</f>
        <v>848.2</v>
      </c>
      <c r="J88" s="253"/>
      <c r="K88" s="251" t="s">
        <v>2475</v>
      </c>
      <c r="L88" s="255">
        <v>84.82</v>
      </c>
      <c r="M88" s="258">
        <v>10</v>
      </c>
      <c r="N88" s="257">
        <f>INT($L88*M88*100+0.5)/100</f>
        <v>848.2</v>
      </c>
      <c r="O88" s="258">
        <v>0</v>
      </c>
      <c r="P88" s="257">
        <f>INT($L88*O88*100+0.5)/100</f>
        <v>0</v>
      </c>
      <c r="Q88" s="258">
        <v>0</v>
      </c>
      <c r="R88" s="257">
        <f>INT($L88*Q88*100+0.5)/100</f>
        <v>0</v>
      </c>
      <c r="S88" s="258">
        <v>0</v>
      </c>
      <c r="T88" s="257">
        <f>INT($L88*S88*100+0.5)/100</f>
        <v>0</v>
      </c>
      <c r="U88" s="258">
        <v>0</v>
      </c>
      <c r="V88" s="257">
        <f>INT($L88*U88*100+0.5)/100</f>
        <v>0</v>
      </c>
      <c r="W88" s="258">
        <v>0</v>
      </c>
      <c r="X88" s="257">
        <f>INT($L88*W88*100+0.5)/100</f>
        <v>0</v>
      </c>
      <c r="Y88" s="258">
        <v>0</v>
      </c>
      <c r="Z88" s="257">
        <f>INT($L88*Y88*100+0.5)/100</f>
        <v>0</v>
      </c>
    </row>
    <row r="89" spans="1:26" ht="15" customHeight="1">
      <c r="A89" s="250"/>
      <c r="B89" s="251"/>
      <c r="C89" s="526"/>
      <c r="D89" s="526"/>
      <c r="E89" s="251"/>
      <c r="F89" s="252"/>
      <c r="G89" s="253"/>
      <c r="H89" s="254"/>
      <c r="I89" s="253"/>
      <c r="J89" s="253"/>
      <c r="K89" s="251"/>
      <c r="L89" s="255"/>
      <c r="M89" s="256"/>
      <c r="N89" s="260"/>
      <c r="O89" s="256"/>
      <c r="P89" s="260"/>
      <c r="Q89" s="256"/>
      <c r="R89" s="260"/>
      <c r="S89" s="256"/>
      <c r="T89" s="260"/>
      <c r="U89" s="256"/>
      <c r="V89" s="260"/>
      <c r="W89" s="256"/>
      <c r="X89" s="260"/>
      <c r="Y89" s="256"/>
      <c r="Z89" s="260"/>
    </row>
    <row r="90" spans="1:26" ht="25.5">
      <c r="A90" s="250">
        <f>A88+1</f>
        <v>50</v>
      </c>
      <c r="B90" s="251"/>
      <c r="C90" s="646" t="s">
        <v>2285</v>
      </c>
      <c r="D90" s="526" t="s">
        <v>2436</v>
      </c>
      <c r="E90" s="251" t="s">
        <v>1620</v>
      </c>
      <c r="F90" s="252">
        <f>M90+O90+Q90+S90+U90+W90+Y90</f>
        <v>400</v>
      </c>
      <c r="G90" s="253">
        <f>L90</f>
        <v>0.28000000000000003</v>
      </c>
      <c r="H90" s="254">
        <f>INT(F90*G90*100+0.5)/100</f>
        <v>112</v>
      </c>
      <c r="I90" s="253">
        <f>N90+P90+R90+T90+V90+X90+Z90</f>
        <v>112</v>
      </c>
      <c r="J90" s="253"/>
      <c r="K90" s="251" t="s">
        <v>1620</v>
      </c>
      <c r="L90" s="255">
        <v>0.28000000000000003</v>
      </c>
      <c r="M90" s="258">
        <v>400</v>
      </c>
      <c r="N90" s="257">
        <f t="shared" si="8"/>
        <v>112</v>
      </c>
      <c r="O90" s="258">
        <v>0</v>
      </c>
      <c r="P90" s="257">
        <f t="shared" si="9"/>
        <v>0</v>
      </c>
      <c r="Q90" s="258">
        <v>0</v>
      </c>
      <c r="R90" s="257">
        <f t="shared" si="10"/>
        <v>0</v>
      </c>
      <c r="S90" s="258">
        <v>0</v>
      </c>
      <c r="T90" s="257">
        <f t="shared" si="11"/>
        <v>0</v>
      </c>
      <c r="U90" s="258">
        <v>0</v>
      </c>
      <c r="V90" s="257">
        <f t="shared" si="12"/>
        <v>0</v>
      </c>
      <c r="W90" s="258">
        <v>0</v>
      </c>
      <c r="X90" s="257">
        <f t="shared" si="13"/>
        <v>0</v>
      </c>
      <c r="Y90" s="258">
        <v>0</v>
      </c>
      <c r="Z90" s="257">
        <f t="shared" si="14"/>
        <v>0</v>
      </c>
    </row>
    <row r="91" spans="1:26" ht="25.5">
      <c r="A91" s="250">
        <f>A90+1</f>
        <v>51</v>
      </c>
      <c r="B91" s="251"/>
      <c r="C91" s="646" t="s">
        <v>2286</v>
      </c>
      <c r="D91" s="526" t="s">
        <v>2437</v>
      </c>
      <c r="E91" s="251" t="s">
        <v>1620</v>
      </c>
      <c r="F91" s="252">
        <f>M91+O91+Q91+S91+U91+W91+Y91</f>
        <v>600</v>
      </c>
      <c r="G91" s="253">
        <f>L91</f>
        <v>0.45</v>
      </c>
      <c r="H91" s="254">
        <f>INT(F91*G91*100+0.5)/100</f>
        <v>270</v>
      </c>
      <c r="I91" s="253">
        <f>N91+P91+R91+T91+V91+X91+Z91</f>
        <v>270</v>
      </c>
      <c r="J91" s="253"/>
      <c r="K91" s="251" t="s">
        <v>1620</v>
      </c>
      <c r="L91" s="255">
        <v>0.45</v>
      </c>
      <c r="M91" s="258">
        <v>600</v>
      </c>
      <c r="N91" s="257">
        <f t="shared" si="8"/>
        <v>270</v>
      </c>
      <c r="O91" s="258">
        <v>0</v>
      </c>
      <c r="P91" s="257">
        <f t="shared" si="9"/>
        <v>0</v>
      </c>
      <c r="Q91" s="258">
        <v>0</v>
      </c>
      <c r="R91" s="257">
        <f t="shared" si="10"/>
        <v>0</v>
      </c>
      <c r="S91" s="258">
        <v>0</v>
      </c>
      <c r="T91" s="257">
        <f t="shared" si="11"/>
        <v>0</v>
      </c>
      <c r="U91" s="258">
        <v>0</v>
      </c>
      <c r="V91" s="257">
        <f t="shared" si="12"/>
        <v>0</v>
      </c>
      <c r="W91" s="258">
        <v>0</v>
      </c>
      <c r="X91" s="257">
        <f t="shared" si="13"/>
        <v>0</v>
      </c>
      <c r="Y91" s="258">
        <v>0</v>
      </c>
      <c r="Z91" s="257">
        <f t="shared" si="14"/>
        <v>0</v>
      </c>
    </row>
    <row r="92" spans="1:26" ht="25.5">
      <c r="A92" s="250">
        <f>A91+1</f>
        <v>52</v>
      </c>
      <c r="B92" s="251"/>
      <c r="C92" s="646" t="s">
        <v>2287</v>
      </c>
      <c r="D92" s="526" t="s">
        <v>2288</v>
      </c>
      <c r="E92" s="251" t="s">
        <v>1620</v>
      </c>
      <c r="F92" s="252">
        <f>M92+O92+Q92+S92+U92+W92+Y92</f>
        <v>600</v>
      </c>
      <c r="G92" s="253">
        <f>L92</f>
        <v>0.99</v>
      </c>
      <c r="H92" s="254">
        <f>INT(F92*G92*100+0.5)/100</f>
        <v>594</v>
      </c>
      <c r="I92" s="253">
        <f>N92+P92+R92+T92+V92+X92+Z92</f>
        <v>594</v>
      </c>
      <c r="J92" s="253"/>
      <c r="K92" s="251" t="s">
        <v>1620</v>
      </c>
      <c r="L92" s="255">
        <v>0.99</v>
      </c>
      <c r="M92" s="258">
        <v>600</v>
      </c>
      <c r="N92" s="257">
        <f>INT($L92*M92*100+0.5)/100</f>
        <v>594</v>
      </c>
      <c r="O92" s="258">
        <v>0</v>
      </c>
      <c r="P92" s="257">
        <f>INT($L92*O92*100+0.5)/100</f>
        <v>0</v>
      </c>
      <c r="Q92" s="258">
        <v>0</v>
      </c>
      <c r="R92" s="257">
        <f>INT($L92*Q92*100+0.5)/100</f>
        <v>0</v>
      </c>
      <c r="S92" s="258">
        <v>0</v>
      </c>
      <c r="T92" s="257">
        <f>INT($L92*S92*100+0.5)/100</f>
        <v>0</v>
      </c>
      <c r="U92" s="258">
        <v>0</v>
      </c>
      <c r="V92" s="257">
        <f>INT($L92*U92*100+0.5)/100</f>
        <v>0</v>
      </c>
      <c r="W92" s="258">
        <v>0</v>
      </c>
      <c r="X92" s="257">
        <f>INT($L92*W92*100+0.5)/100</f>
        <v>0</v>
      </c>
      <c r="Y92" s="258">
        <v>0</v>
      </c>
      <c r="Z92" s="257">
        <f>INT($L92*Y92*100+0.5)/100</f>
        <v>0</v>
      </c>
    </row>
    <row r="93" spans="1:26" ht="25.5">
      <c r="A93" s="250">
        <f>A92+1</f>
        <v>53</v>
      </c>
      <c r="B93" s="251"/>
      <c r="C93" s="646" t="s">
        <v>2289</v>
      </c>
      <c r="D93" s="526" t="s">
        <v>2438</v>
      </c>
      <c r="E93" s="251" t="s">
        <v>1620</v>
      </c>
      <c r="F93" s="252">
        <f>M93+O93+Q93+S93+U93+W93+Y93</f>
        <v>500</v>
      </c>
      <c r="G93" s="253">
        <f>L93</f>
        <v>2.11</v>
      </c>
      <c r="H93" s="254">
        <f>INT(F93*G93*100+0.5)/100</f>
        <v>1055</v>
      </c>
      <c r="I93" s="253">
        <f>N93+P93+R93+T93+V93+X93+Z93</f>
        <v>1055</v>
      </c>
      <c r="J93" s="253"/>
      <c r="K93" s="251" t="s">
        <v>1620</v>
      </c>
      <c r="L93" s="255">
        <v>2.11</v>
      </c>
      <c r="M93" s="258">
        <v>500</v>
      </c>
      <c r="N93" s="257">
        <f t="shared" si="8"/>
        <v>1055</v>
      </c>
      <c r="O93" s="258">
        <v>0</v>
      </c>
      <c r="P93" s="257">
        <f t="shared" si="9"/>
        <v>0</v>
      </c>
      <c r="Q93" s="258">
        <v>0</v>
      </c>
      <c r="R93" s="257">
        <f t="shared" si="10"/>
        <v>0</v>
      </c>
      <c r="S93" s="258">
        <v>0</v>
      </c>
      <c r="T93" s="257">
        <f t="shared" si="11"/>
        <v>0</v>
      </c>
      <c r="U93" s="258">
        <v>0</v>
      </c>
      <c r="V93" s="257">
        <f t="shared" si="12"/>
        <v>0</v>
      </c>
      <c r="W93" s="258">
        <v>0</v>
      </c>
      <c r="X93" s="257">
        <f t="shared" si="13"/>
        <v>0</v>
      </c>
      <c r="Y93" s="258">
        <v>0</v>
      </c>
      <c r="Z93" s="257">
        <f t="shared" si="14"/>
        <v>0</v>
      </c>
    </row>
    <row r="94" spans="1:26" ht="15" customHeight="1">
      <c r="A94" s="250"/>
      <c r="B94" s="251"/>
      <c r="C94" s="646"/>
      <c r="D94" s="526"/>
      <c r="E94" s="251"/>
      <c r="F94" s="252"/>
      <c r="G94" s="253"/>
      <c r="H94" s="254"/>
      <c r="I94" s="253"/>
      <c r="J94" s="253"/>
      <c r="K94" s="251"/>
      <c r="L94" s="255"/>
      <c r="M94" s="256"/>
      <c r="N94" s="260"/>
      <c r="O94" s="256"/>
      <c r="P94" s="260"/>
      <c r="Q94" s="256"/>
      <c r="R94" s="260"/>
      <c r="S94" s="256"/>
      <c r="T94" s="260"/>
      <c r="U94" s="256"/>
      <c r="V94" s="260"/>
      <c r="W94" s="256"/>
      <c r="X94" s="260"/>
      <c r="Y94" s="256"/>
      <c r="Z94" s="260"/>
    </row>
    <row r="95" spans="1:26" ht="25.5">
      <c r="A95" s="250">
        <f>A93+1</f>
        <v>54</v>
      </c>
      <c r="B95" s="251"/>
      <c r="C95" s="646" t="s">
        <v>2290</v>
      </c>
      <c r="D95" s="526" t="s">
        <v>2439</v>
      </c>
      <c r="E95" s="251" t="s">
        <v>1439</v>
      </c>
      <c r="F95" s="252">
        <f>M95+O95+Q95+S95+U95+W95+Y95</f>
        <v>100</v>
      </c>
      <c r="G95" s="253">
        <f>L95</f>
        <v>3.03</v>
      </c>
      <c r="H95" s="254">
        <f>INT(F95*G95*100+0.5)/100</f>
        <v>303</v>
      </c>
      <c r="I95" s="253">
        <f>N95+P95+R95+T95+V95+X95+Z95</f>
        <v>303</v>
      </c>
      <c r="J95" s="253"/>
      <c r="K95" s="251" t="s">
        <v>1439</v>
      </c>
      <c r="L95" s="255">
        <v>3.03</v>
      </c>
      <c r="M95" s="258">
        <v>100</v>
      </c>
      <c r="N95" s="257">
        <f t="shared" si="8"/>
        <v>303</v>
      </c>
      <c r="O95" s="258">
        <v>0</v>
      </c>
      <c r="P95" s="257">
        <f t="shared" si="9"/>
        <v>0</v>
      </c>
      <c r="Q95" s="258">
        <v>0</v>
      </c>
      <c r="R95" s="257">
        <f t="shared" si="10"/>
        <v>0</v>
      </c>
      <c r="S95" s="258">
        <v>0</v>
      </c>
      <c r="T95" s="257">
        <f t="shared" si="11"/>
        <v>0</v>
      </c>
      <c r="U95" s="258">
        <v>0</v>
      </c>
      <c r="V95" s="257">
        <f t="shared" si="12"/>
        <v>0</v>
      </c>
      <c r="W95" s="258">
        <v>0</v>
      </c>
      <c r="X95" s="257">
        <f t="shared" si="13"/>
        <v>0</v>
      </c>
      <c r="Y95" s="258">
        <v>0</v>
      </c>
      <c r="Z95" s="257">
        <f t="shared" si="14"/>
        <v>0</v>
      </c>
    </row>
    <row r="96" spans="1:26" ht="38.25">
      <c r="A96" s="250">
        <f>A95+1</f>
        <v>55</v>
      </c>
      <c r="B96" s="251"/>
      <c r="C96" s="646" t="s">
        <v>2291</v>
      </c>
      <c r="D96" s="526" t="s">
        <v>2440</v>
      </c>
      <c r="E96" s="251" t="s">
        <v>1439</v>
      </c>
      <c r="F96" s="252">
        <f>M96+O96+Q96+S96+U96+W96+Y96</f>
        <v>240</v>
      </c>
      <c r="G96" s="253">
        <f>L96</f>
        <v>2.08</v>
      </c>
      <c r="H96" s="254">
        <f>INT(F96*G96*100+0.5)/100</f>
        <v>499.2</v>
      </c>
      <c r="I96" s="253">
        <f>N96+P96+R96+T96+V96+X96+Z96</f>
        <v>499.2</v>
      </c>
      <c r="J96" s="253"/>
      <c r="K96" s="251" t="s">
        <v>1439</v>
      </c>
      <c r="L96" s="255">
        <v>2.08</v>
      </c>
      <c r="M96" s="258">
        <v>240</v>
      </c>
      <c r="N96" s="257">
        <f t="shared" si="8"/>
        <v>499.2</v>
      </c>
      <c r="O96" s="258">
        <v>0</v>
      </c>
      <c r="P96" s="257">
        <f t="shared" si="9"/>
        <v>0</v>
      </c>
      <c r="Q96" s="258">
        <v>0</v>
      </c>
      <c r="R96" s="257">
        <f t="shared" si="10"/>
        <v>0</v>
      </c>
      <c r="S96" s="258">
        <v>0</v>
      </c>
      <c r="T96" s="257">
        <f t="shared" si="11"/>
        <v>0</v>
      </c>
      <c r="U96" s="258">
        <v>0</v>
      </c>
      <c r="V96" s="257">
        <f t="shared" si="12"/>
        <v>0</v>
      </c>
      <c r="W96" s="258">
        <v>0</v>
      </c>
      <c r="X96" s="257">
        <f t="shared" si="13"/>
        <v>0</v>
      </c>
      <c r="Y96" s="258">
        <v>0</v>
      </c>
      <c r="Z96" s="257">
        <f t="shared" si="14"/>
        <v>0</v>
      </c>
    </row>
    <row r="97" spans="1:26" ht="15" customHeight="1">
      <c r="A97" s="250"/>
      <c r="B97" s="251"/>
      <c r="C97" s="646"/>
      <c r="D97" s="526"/>
      <c r="E97" s="251"/>
      <c r="F97" s="252"/>
      <c r="G97" s="253"/>
      <c r="H97" s="254"/>
      <c r="I97" s="253"/>
      <c r="J97" s="253"/>
      <c r="K97" s="251"/>
      <c r="L97" s="255"/>
      <c r="M97" s="256"/>
      <c r="N97" s="260"/>
      <c r="O97" s="256"/>
      <c r="P97" s="260"/>
      <c r="Q97" s="256"/>
      <c r="R97" s="260"/>
      <c r="S97" s="256"/>
      <c r="T97" s="260"/>
      <c r="U97" s="256"/>
      <c r="V97" s="260"/>
      <c r="W97" s="256"/>
      <c r="X97" s="260"/>
      <c r="Y97" s="256"/>
      <c r="Z97" s="260"/>
    </row>
    <row r="98" spans="1:26" ht="25.5">
      <c r="A98" s="250">
        <f>A96+1</f>
        <v>56</v>
      </c>
      <c r="B98" s="251"/>
      <c r="C98" s="646" t="s">
        <v>2292</v>
      </c>
      <c r="D98" s="526" t="s">
        <v>2441</v>
      </c>
      <c r="E98" s="251" t="s">
        <v>1898</v>
      </c>
      <c r="F98" s="252">
        <f>M98+O98+Q98+S98+U98+W98+Y98</f>
        <v>250</v>
      </c>
      <c r="G98" s="253">
        <f>L98</f>
        <v>2.25</v>
      </c>
      <c r="H98" s="254">
        <f>INT(F98*G98*100+0.5)/100</f>
        <v>562.5</v>
      </c>
      <c r="I98" s="253">
        <f>N98+P98+R98+T98+V98+X98+Z98</f>
        <v>562.5</v>
      </c>
      <c r="J98" s="253"/>
      <c r="K98" s="251" t="s">
        <v>1898</v>
      </c>
      <c r="L98" s="255">
        <v>2.25</v>
      </c>
      <c r="M98" s="258">
        <v>50</v>
      </c>
      <c r="N98" s="257">
        <f t="shared" si="8"/>
        <v>112.5</v>
      </c>
      <c r="O98" s="258">
        <v>50</v>
      </c>
      <c r="P98" s="257">
        <f t="shared" si="9"/>
        <v>112.5</v>
      </c>
      <c r="Q98" s="258">
        <v>50</v>
      </c>
      <c r="R98" s="257">
        <f t="shared" si="10"/>
        <v>112.5</v>
      </c>
      <c r="S98" s="258">
        <v>0</v>
      </c>
      <c r="T98" s="257">
        <f t="shared" si="11"/>
        <v>0</v>
      </c>
      <c r="U98" s="258">
        <v>100</v>
      </c>
      <c r="V98" s="257">
        <f t="shared" si="12"/>
        <v>225</v>
      </c>
      <c r="W98" s="258">
        <v>0</v>
      </c>
      <c r="X98" s="257">
        <f t="shared" si="13"/>
        <v>0</v>
      </c>
      <c r="Y98" s="258">
        <v>0</v>
      </c>
      <c r="Z98" s="257">
        <f t="shared" si="14"/>
        <v>0</v>
      </c>
    </row>
    <row r="99" spans="1:26" ht="15" customHeight="1">
      <c r="A99" s="250"/>
      <c r="B99" s="251"/>
      <c r="C99" s="646"/>
      <c r="D99" s="526"/>
      <c r="E99" s="251"/>
      <c r="F99" s="252"/>
      <c r="G99" s="253"/>
      <c r="H99" s="254"/>
      <c r="I99" s="253"/>
      <c r="J99" s="253"/>
      <c r="K99" s="251"/>
      <c r="L99" s="255"/>
      <c r="M99" s="256"/>
      <c r="N99" s="260"/>
      <c r="O99" s="256"/>
      <c r="P99" s="260"/>
      <c r="Q99" s="256"/>
      <c r="R99" s="260"/>
      <c r="S99" s="256"/>
      <c r="T99" s="260"/>
      <c r="U99" s="256"/>
      <c r="V99" s="260"/>
      <c r="W99" s="256"/>
      <c r="X99" s="260"/>
      <c r="Y99" s="256"/>
      <c r="Z99" s="260"/>
    </row>
    <row r="100" spans="1:26" ht="25.5">
      <c r="A100" s="250">
        <f>A98+1</f>
        <v>57</v>
      </c>
      <c r="B100" s="251"/>
      <c r="C100" s="646" t="s">
        <v>2293</v>
      </c>
      <c r="D100" s="526" t="s">
        <v>1318</v>
      </c>
      <c r="E100" s="251" t="s">
        <v>1439</v>
      </c>
      <c r="F100" s="252">
        <f>M100+O100+Q100+S100+U100+W100+Y100</f>
        <v>30</v>
      </c>
      <c r="G100" s="253">
        <f>L100</f>
        <v>16.25</v>
      </c>
      <c r="H100" s="254">
        <f>INT(F100*G100*100+0.5)/100</f>
        <v>487.5</v>
      </c>
      <c r="I100" s="253">
        <f>N100+P100+R100+T100+V100+X100+Z100</f>
        <v>487.5</v>
      </c>
      <c r="J100" s="253"/>
      <c r="K100" s="251" t="s">
        <v>1439</v>
      </c>
      <c r="L100" s="255">
        <v>16.25</v>
      </c>
      <c r="M100" s="258">
        <v>10</v>
      </c>
      <c r="N100" s="257">
        <f t="shared" si="8"/>
        <v>162.5</v>
      </c>
      <c r="O100" s="258">
        <v>10</v>
      </c>
      <c r="P100" s="257">
        <f t="shared" si="9"/>
        <v>162.5</v>
      </c>
      <c r="Q100" s="258">
        <v>10</v>
      </c>
      <c r="R100" s="257">
        <f t="shared" si="10"/>
        <v>162.5</v>
      </c>
      <c r="S100" s="258">
        <v>0</v>
      </c>
      <c r="T100" s="257">
        <f t="shared" si="11"/>
        <v>0</v>
      </c>
      <c r="U100" s="258">
        <v>0</v>
      </c>
      <c r="V100" s="257">
        <f t="shared" si="12"/>
        <v>0</v>
      </c>
      <c r="W100" s="258">
        <v>0</v>
      </c>
      <c r="X100" s="257">
        <f t="shared" si="13"/>
        <v>0</v>
      </c>
      <c r="Y100" s="258">
        <v>0</v>
      </c>
      <c r="Z100" s="257">
        <f t="shared" si="14"/>
        <v>0</v>
      </c>
    </row>
    <row r="101" spans="1:26" ht="25.5">
      <c r="A101" s="250">
        <f>A100+1</f>
        <v>58</v>
      </c>
      <c r="B101" s="251"/>
      <c r="C101" s="646" t="s">
        <v>2294</v>
      </c>
      <c r="D101" s="526" t="s">
        <v>1319</v>
      </c>
      <c r="E101" s="251" t="s">
        <v>1439</v>
      </c>
      <c r="F101" s="252">
        <f>M101+O101+Q101+S101+U101+W101+Y101</f>
        <v>30</v>
      </c>
      <c r="G101" s="253">
        <f>L101</f>
        <v>13.95</v>
      </c>
      <c r="H101" s="254">
        <f>INT(F101*G101*100+0.5)/100</f>
        <v>418.5</v>
      </c>
      <c r="I101" s="253">
        <f>N101+P101+R101+T101+V101+X101+Z101</f>
        <v>418.5</v>
      </c>
      <c r="J101" s="253"/>
      <c r="K101" s="251" t="s">
        <v>1439</v>
      </c>
      <c r="L101" s="255">
        <v>13.95</v>
      </c>
      <c r="M101" s="258">
        <v>10</v>
      </c>
      <c r="N101" s="257">
        <f t="shared" si="8"/>
        <v>139.5</v>
      </c>
      <c r="O101" s="258">
        <v>10</v>
      </c>
      <c r="P101" s="257">
        <f t="shared" si="9"/>
        <v>139.5</v>
      </c>
      <c r="Q101" s="258">
        <v>10</v>
      </c>
      <c r="R101" s="257">
        <f t="shared" si="10"/>
        <v>139.5</v>
      </c>
      <c r="S101" s="258">
        <v>0</v>
      </c>
      <c r="T101" s="257">
        <f t="shared" si="11"/>
        <v>0</v>
      </c>
      <c r="U101" s="258">
        <v>0</v>
      </c>
      <c r="V101" s="257">
        <f t="shared" si="12"/>
        <v>0</v>
      </c>
      <c r="W101" s="258">
        <v>0</v>
      </c>
      <c r="X101" s="257">
        <f t="shared" si="13"/>
        <v>0</v>
      </c>
      <c r="Y101" s="258">
        <v>0</v>
      </c>
      <c r="Z101" s="257">
        <f t="shared" si="14"/>
        <v>0</v>
      </c>
    </row>
    <row r="102" spans="1:26" ht="25.5">
      <c r="A102" s="250">
        <f>A101+1</f>
        <v>59</v>
      </c>
      <c r="B102" s="251"/>
      <c r="C102" s="646" t="s">
        <v>2295</v>
      </c>
      <c r="D102" s="526" t="s">
        <v>1320</v>
      </c>
      <c r="E102" s="251" t="s">
        <v>1439</v>
      </c>
      <c r="F102" s="252">
        <f>M102+O102+Q102+S102+U102+W102+Y102</f>
        <v>30</v>
      </c>
      <c r="G102" s="253">
        <f>L102</f>
        <v>17.350000000000001</v>
      </c>
      <c r="H102" s="254">
        <f>INT(F102*G102*100+0.5)/100</f>
        <v>520.5</v>
      </c>
      <c r="I102" s="253">
        <f>N102+P102+R102+T102+V102+X102+Z102</f>
        <v>520.5</v>
      </c>
      <c r="J102" s="253"/>
      <c r="K102" s="251" t="s">
        <v>1439</v>
      </c>
      <c r="L102" s="255">
        <v>17.350000000000001</v>
      </c>
      <c r="M102" s="258">
        <v>10</v>
      </c>
      <c r="N102" s="257">
        <f t="shared" si="8"/>
        <v>173.5</v>
      </c>
      <c r="O102" s="258">
        <v>10</v>
      </c>
      <c r="P102" s="257">
        <f t="shared" si="9"/>
        <v>173.5</v>
      </c>
      <c r="Q102" s="258">
        <v>10</v>
      </c>
      <c r="R102" s="257">
        <f t="shared" si="10"/>
        <v>173.5</v>
      </c>
      <c r="S102" s="258">
        <v>0</v>
      </c>
      <c r="T102" s="257">
        <f t="shared" si="11"/>
        <v>0</v>
      </c>
      <c r="U102" s="258">
        <v>0</v>
      </c>
      <c r="V102" s="257">
        <f t="shared" si="12"/>
        <v>0</v>
      </c>
      <c r="W102" s="258">
        <v>0</v>
      </c>
      <c r="X102" s="257">
        <f t="shared" si="13"/>
        <v>0</v>
      </c>
      <c r="Y102" s="258">
        <v>0</v>
      </c>
      <c r="Z102" s="257">
        <f t="shared" si="14"/>
        <v>0</v>
      </c>
    </row>
    <row r="103" spans="1:26" ht="15" customHeight="1">
      <c r="A103" s="250"/>
      <c r="B103" s="251"/>
      <c r="C103" s="646"/>
      <c r="D103" s="526"/>
      <c r="E103" s="251"/>
      <c r="F103" s="252"/>
      <c r="G103" s="253"/>
      <c r="H103" s="254"/>
      <c r="I103" s="253"/>
      <c r="J103" s="253"/>
      <c r="K103" s="251"/>
      <c r="L103" s="255"/>
      <c r="M103" s="256"/>
      <c r="N103" s="260"/>
      <c r="O103" s="256"/>
      <c r="P103" s="260"/>
      <c r="Q103" s="256"/>
      <c r="R103" s="260"/>
      <c r="S103" s="256"/>
      <c r="T103" s="260"/>
      <c r="U103" s="256"/>
      <c r="V103" s="260"/>
      <c r="W103" s="256"/>
      <c r="X103" s="260"/>
      <c r="Y103" s="256"/>
      <c r="Z103" s="260"/>
    </row>
    <row r="104" spans="1:26" ht="15" customHeight="1">
      <c r="A104" s="250">
        <f>A102+1</f>
        <v>60</v>
      </c>
      <c r="B104" s="251"/>
      <c r="C104" s="646" t="s">
        <v>2442</v>
      </c>
      <c r="D104" s="526" t="s">
        <v>2443</v>
      </c>
      <c r="E104" s="251" t="s">
        <v>2444</v>
      </c>
      <c r="F104" s="252">
        <f>M104+O104+Q104+S104+U104+W104+Y104</f>
        <v>40</v>
      </c>
      <c r="G104" s="253">
        <f>L104</f>
        <v>1.55</v>
      </c>
      <c r="H104" s="254">
        <f>INT(F104*G104*100+0.5)/100</f>
        <v>62</v>
      </c>
      <c r="I104" s="253">
        <f>N104+P104+R104+T104+V104+X104+Z104</f>
        <v>62</v>
      </c>
      <c r="J104" s="253"/>
      <c r="K104" s="251" t="s">
        <v>2444</v>
      </c>
      <c r="L104" s="262">
        <v>1.55</v>
      </c>
      <c r="M104" s="258">
        <v>10</v>
      </c>
      <c r="N104" s="257">
        <f t="shared" si="8"/>
        <v>15.5</v>
      </c>
      <c r="O104" s="258">
        <v>10</v>
      </c>
      <c r="P104" s="257">
        <f t="shared" si="9"/>
        <v>15.5</v>
      </c>
      <c r="Q104" s="258">
        <v>10</v>
      </c>
      <c r="R104" s="257">
        <f t="shared" si="10"/>
        <v>15.5</v>
      </c>
      <c r="S104" s="258">
        <v>0</v>
      </c>
      <c r="T104" s="257">
        <f t="shared" si="11"/>
        <v>0</v>
      </c>
      <c r="U104" s="258">
        <v>10</v>
      </c>
      <c r="V104" s="257">
        <f t="shared" si="12"/>
        <v>15.5</v>
      </c>
      <c r="W104" s="258">
        <v>0</v>
      </c>
      <c r="X104" s="257">
        <f t="shared" si="13"/>
        <v>0</v>
      </c>
      <c r="Y104" s="258">
        <v>0</v>
      </c>
      <c r="Z104" s="257">
        <f t="shared" si="14"/>
        <v>0</v>
      </c>
    </row>
    <row r="105" spans="1:26" ht="15" customHeight="1">
      <c r="A105" s="250"/>
      <c r="B105" s="251"/>
      <c r="C105" s="526"/>
      <c r="D105" s="526"/>
      <c r="E105" s="251"/>
      <c r="F105" s="252"/>
      <c r="G105" s="253"/>
      <c r="H105" s="254"/>
      <c r="I105" s="253"/>
      <c r="J105" s="253"/>
      <c r="K105" s="251"/>
      <c r="L105" s="255"/>
      <c r="M105" s="256"/>
      <c r="N105" s="260"/>
      <c r="O105" s="256"/>
      <c r="P105" s="260"/>
      <c r="Q105" s="256"/>
      <c r="R105" s="260"/>
      <c r="S105" s="256"/>
      <c r="T105" s="260"/>
      <c r="U105" s="256"/>
      <c r="V105" s="260"/>
      <c r="W105" s="256"/>
      <c r="X105" s="260"/>
      <c r="Y105" s="256"/>
      <c r="Z105" s="260"/>
    </row>
    <row r="106" spans="1:26" ht="15" customHeight="1">
      <c r="A106" s="264"/>
      <c r="B106" s="265"/>
      <c r="C106" s="266" t="s">
        <v>2031</v>
      </c>
      <c r="D106" s="267" t="s">
        <v>2030</v>
      </c>
      <c r="E106" s="265"/>
      <c r="F106" s="268"/>
      <c r="G106" s="263"/>
      <c r="H106" s="263"/>
      <c r="I106" s="272">
        <f>N106+P106+R106+T106+V106+X106+Z106</f>
        <v>61696.21</v>
      </c>
      <c r="J106" s="269">
        <f>SUM(N106:Z106)</f>
        <v>61696.21</v>
      </c>
      <c r="K106" s="265"/>
      <c r="L106" s="270"/>
      <c r="M106" s="271"/>
      <c r="N106" s="271">
        <f>SUM(N17:N105)</f>
        <v>22061.690000000002</v>
      </c>
      <c r="O106" s="271"/>
      <c r="P106" s="271">
        <f>SUM(P17:P105)</f>
        <v>14289.31</v>
      </c>
      <c r="Q106" s="271"/>
      <c r="R106" s="271">
        <f>SUM(R17:R105)</f>
        <v>10801.330000000002</v>
      </c>
      <c r="S106" s="271"/>
      <c r="T106" s="271">
        <f>SUM(T17:T105)</f>
        <v>243.9</v>
      </c>
      <c r="U106" s="271"/>
      <c r="V106" s="271">
        <f>SUM(V17:V105)</f>
        <v>12132.719999999998</v>
      </c>
      <c r="W106" s="271"/>
      <c r="X106" s="271">
        <f>SUM(X17:X105)</f>
        <v>2167.2600000000002</v>
      </c>
      <c r="Y106" s="271"/>
      <c r="Z106" s="271">
        <f>SUM(Z17:Z105)</f>
        <v>0</v>
      </c>
    </row>
    <row r="107" spans="1:26" ht="15" customHeight="1">
      <c r="A107" s="250"/>
      <c r="B107" s="251"/>
      <c r="C107" s="526"/>
      <c r="D107" s="526"/>
      <c r="E107" s="251"/>
      <c r="F107" s="252"/>
      <c r="G107" s="253"/>
      <c r="H107" s="254"/>
      <c r="I107" s="253"/>
      <c r="J107" s="253"/>
      <c r="K107" s="251"/>
      <c r="L107" s="255"/>
      <c r="M107" s="256"/>
      <c r="N107" s="494">
        <f>N106/$N$1928</f>
        <v>0.10988156013886052</v>
      </c>
      <c r="O107" s="256"/>
      <c r="P107" s="260"/>
      <c r="Q107" s="256"/>
      <c r="R107" s="260"/>
      <c r="S107" s="256"/>
      <c r="T107" s="260"/>
      <c r="U107" s="256"/>
      <c r="V107" s="260"/>
      <c r="W107" s="256"/>
      <c r="X107" s="260"/>
      <c r="Y107" s="256"/>
      <c r="Z107" s="260"/>
    </row>
    <row r="108" spans="1:26" ht="15" customHeight="1">
      <c r="A108" s="250"/>
      <c r="B108" s="251"/>
      <c r="C108" s="526"/>
      <c r="D108" s="526" t="s">
        <v>2445</v>
      </c>
      <c r="E108" s="251"/>
      <c r="F108" s="252"/>
      <c r="G108" s="253"/>
      <c r="H108" s="254"/>
      <c r="I108" s="253"/>
      <c r="J108" s="253"/>
      <c r="K108" s="251"/>
      <c r="L108" s="255"/>
      <c r="M108" s="256"/>
      <c r="N108" s="260"/>
      <c r="O108" s="256"/>
      <c r="P108" s="260"/>
      <c r="Q108" s="256"/>
      <c r="R108" s="260"/>
      <c r="S108" s="256"/>
      <c r="T108" s="260"/>
      <c r="U108" s="256"/>
      <c r="V108" s="260"/>
      <c r="W108" s="256"/>
      <c r="X108" s="260"/>
      <c r="Y108" s="256"/>
      <c r="Z108" s="260"/>
    </row>
    <row r="109" spans="1:26" ht="25.5">
      <c r="A109" s="250"/>
      <c r="B109" s="251"/>
      <c r="C109" s="453" t="s">
        <v>1446</v>
      </c>
      <c r="D109" s="453" t="s">
        <v>1445</v>
      </c>
      <c r="E109" s="251"/>
      <c r="F109" s="252"/>
      <c r="G109" s="253"/>
      <c r="H109" s="254"/>
      <c r="I109" s="253"/>
      <c r="J109" s="253"/>
      <c r="K109" s="251"/>
      <c r="L109" s="261"/>
      <c r="M109" s="256"/>
      <c r="N109" s="260"/>
      <c r="O109" s="256"/>
      <c r="P109" s="260"/>
      <c r="Q109" s="256"/>
      <c r="R109" s="260"/>
      <c r="S109" s="256"/>
      <c r="T109" s="260"/>
      <c r="U109" s="256"/>
      <c r="V109" s="260"/>
      <c r="W109" s="256"/>
      <c r="X109" s="260"/>
      <c r="Y109" s="256"/>
      <c r="Z109" s="260"/>
    </row>
    <row r="110" spans="1:26" s="281" customFormat="1" ht="25.5">
      <c r="A110" s="274">
        <f>A104+1</f>
        <v>61</v>
      </c>
      <c r="B110" s="275"/>
      <c r="C110" s="527" t="s">
        <v>1874</v>
      </c>
      <c r="D110" s="238" t="s">
        <v>1031</v>
      </c>
      <c r="E110" s="277" t="s">
        <v>539</v>
      </c>
      <c r="F110" s="252">
        <f>M110+O110+Q110+S110+U110+W110+Y110</f>
        <v>1</v>
      </c>
      <c r="G110" s="269">
        <f>L110</f>
        <v>5000</v>
      </c>
      <c r="H110" s="409">
        <f>INT(F110*G110*100+0.5)/100</f>
        <v>5000</v>
      </c>
      <c r="I110" s="272">
        <f>N110+P110+R110+T110+V110+X110+Z110</f>
        <v>5000</v>
      </c>
      <c r="J110" s="269">
        <f>SUM(N110:Z110)-O110</f>
        <v>5000</v>
      </c>
      <c r="K110" s="277" t="s">
        <v>539</v>
      </c>
      <c r="L110" s="410">
        <v>5000</v>
      </c>
      <c r="M110" s="411">
        <v>0.5</v>
      </c>
      <c r="N110" s="412">
        <f>INT($L110*M110*100+0.5)/100</f>
        <v>2500</v>
      </c>
      <c r="O110" s="411">
        <v>0.5</v>
      </c>
      <c r="P110" s="412">
        <f>INT($L110*O110*100+0.5)/100</f>
        <v>2500</v>
      </c>
      <c r="Q110" s="411">
        <v>0</v>
      </c>
      <c r="R110" s="412">
        <f>INT($L110*Q110*100+0.5)/100</f>
        <v>0</v>
      </c>
      <c r="S110" s="411">
        <v>0</v>
      </c>
      <c r="T110" s="412">
        <f>INT($L110*S110*100+0.5)/100</f>
        <v>0</v>
      </c>
      <c r="U110" s="411">
        <v>0</v>
      </c>
      <c r="V110" s="412">
        <f>INT($L110*U110*100+0.5)/100</f>
        <v>0</v>
      </c>
      <c r="W110" s="411">
        <v>0</v>
      </c>
      <c r="X110" s="412">
        <f>INT($L110*W110*100+0.5)/100</f>
        <v>0</v>
      </c>
      <c r="Y110" s="411">
        <v>0</v>
      </c>
      <c r="Z110" s="412">
        <f>INT($L110*Y110*100+0.5)/100</f>
        <v>0</v>
      </c>
    </row>
    <row r="111" spans="1:26" s="281" customFormat="1" ht="25.5">
      <c r="A111" s="274"/>
      <c r="B111" s="275"/>
      <c r="C111" s="282"/>
      <c r="D111" s="238" t="s">
        <v>1032</v>
      </c>
      <c r="E111" s="277" t="s">
        <v>333</v>
      </c>
      <c r="F111" s="283"/>
      <c r="G111" s="253"/>
      <c r="H111" s="283"/>
      <c r="I111" s="528"/>
      <c r="J111" s="528"/>
      <c r="K111" s="277" t="s">
        <v>333</v>
      </c>
      <c r="L111" s="262"/>
      <c r="M111" s="280"/>
      <c r="N111" s="494">
        <f>N110/$N$1928</f>
        <v>1.2451625435184308E-2</v>
      </c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</row>
    <row r="112" spans="1:26" ht="15">
      <c r="A112" s="284"/>
      <c r="B112" s="237"/>
      <c r="C112" s="285"/>
      <c r="D112" s="292"/>
      <c r="E112" s="251"/>
      <c r="F112" s="239"/>
      <c r="G112" s="253"/>
      <c r="H112" s="239"/>
      <c r="I112" s="225"/>
      <c r="J112" s="225"/>
      <c r="K112" s="251"/>
      <c r="L112" s="255"/>
      <c r="M112" s="260"/>
      <c r="N112" s="260"/>
      <c r="O112" s="260"/>
      <c r="P112" s="260"/>
      <c r="Q112" s="260"/>
      <c r="R112" s="257"/>
      <c r="S112" s="260"/>
      <c r="T112" s="257"/>
      <c r="U112" s="260"/>
      <c r="V112" s="257"/>
      <c r="W112" s="260"/>
      <c r="X112" s="257"/>
      <c r="Y112" s="260"/>
      <c r="Z112" s="257"/>
    </row>
    <row r="113" spans="1:26" ht="25.5">
      <c r="A113" s="284"/>
      <c r="B113" s="237"/>
      <c r="C113" s="248">
        <v>53</v>
      </c>
      <c r="D113" s="330" t="s">
        <v>1447</v>
      </c>
      <c r="E113" s="251"/>
      <c r="F113" s="239"/>
      <c r="G113" s="253"/>
      <c r="H113" s="239"/>
      <c r="I113" s="225"/>
      <c r="J113" s="225"/>
      <c r="K113" s="251"/>
      <c r="L113" s="255"/>
      <c r="M113" s="260"/>
      <c r="N113" s="260"/>
      <c r="O113" s="260"/>
      <c r="P113" s="260"/>
      <c r="Q113" s="260"/>
      <c r="R113" s="257"/>
      <c r="S113" s="260"/>
      <c r="T113" s="257"/>
      <c r="U113" s="260"/>
      <c r="V113" s="257"/>
      <c r="W113" s="260"/>
      <c r="X113" s="257"/>
      <c r="Y113" s="260"/>
      <c r="Z113" s="257"/>
    </row>
    <row r="114" spans="1:26" ht="15" customHeight="1">
      <c r="A114" s="250">
        <f>A110+1</f>
        <v>62</v>
      </c>
      <c r="B114" s="251"/>
      <c r="C114" s="647" t="s">
        <v>1790</v>
      </c>
      <c r="D114" s="526" t="s">
        <v>1625</v>
      </c>
      <c r="E114" s="251" t="s">
        <v>1607</v>
      </c>
      <c r="F114" s="252">
        <f>M114+O114+Q114+S114+U114+W114+Y114</f>
        <v>0</v>
      </c>
      <c r="G114" s="253">
        <f>L114</f>
        <v>2.8</v>
      </c>
      <c r="H114" s="254">
        <f>INT(F114*G114*100+0.5)/100</f>
        <v>0</v>
      </c>
      <c r="I114" s="253">
        <f>N114+P114+R114+T114+V114+X114+Z114</f>
        <v>0</v>
      </c>
      <c r="J114" s="253"/>
      <c r="K114" s="251" t="s">
        <v>1607</v>
      </c>
      <c r="L114" s="255">
        <v>2.8</v>
      </c>
      <c r="M114" s="258">
        <v>0</v>
      </c>
      <c r="N114" s="257">
        <f>INT($L114*M114*100+0.5)/100</f>
        <v>0</v>
      </c>
      <c r="O114" s="258">
        <v>0</v>
      </c>
      <c r="P114" s="257">
        <f>INT($L114*O114*100+0.5)/100</f>
        <v>0</v>
      </c>
      <c r="Q114" s="258">
        <v>0</v>
      </c>
      <c r="R114" s="257">
        <f>INT($L114*Q114*100+0.5)/100</f>
        <v>0</v>
      </c>
      <c r="S114" s="258">
        <v>0</v>
      </c>
      <c r="T114" s="257">
        <f>INT($L114*S114*100+0.5)/100</f>
        <v>0</v>
      </c>
      <c r="U114" s="258">
        <v>0</v>
      </c>
      <c r="V114" s="257">
        <f>INT($L114*U114*100+0.5)/100</f>
        <v>0</v>
      </c>
      <c r="W114" s="258">
        <v>0</v>
      </c>
      <c r="X114" s="257">
        <f>INT($L114*W114*100+0.5)/100</f>
        <v>0</v>
      </c>
      <c r="Y114" s="258">
        <v>0</v>
      </c>
      <c r="Z114" s="257">
        <f>INT($L114*Y114*100+0.5)/100</f>
        <v>0</v>
      </c>
    </row>
    <row r="115" spans="1:26" ht="15" customHeight="1">
      <c r="A115" s="250"/>
      <c r="B115" s="251"/>
      <c r="C115" s="648"/>
      <c r="D115" s="526" t="s">
        <v>1624</v>
      </c>
      <c r="E115" s="251"/>
      <c r="F115" s="252"/>
      <c r="G115" s="253"/>
      <c r="H115" s="254"/>
      <c r="I115" s="253"/>
      <c r="J115" s="253"/>
      <c r="K115" s="251"/>
      <c r="L115" s="255"/>
      <c r="M115" s="258"/>
      <c r="N115" s="257"/>
      <c r="O115" s="258"/>
      <c r="P115" s="257"/>
      <c r="Q115" s="258"/>
      <c r="R115" s="257"/>
      <c r="S115" s="258"/>
      <c r="T115" s="257"/>
      <c r="U115" s="258"/>
      <c r="V115" s="257"/>
      <c r="W115" s="258"/>
      <c r="X115" s="257"/>
      <c r="Y115" s="258"/>
      <c r="Z115" s="257"/>
    </row>
    <row r="116" spans="1:26" ht="15" customHeight="1">
      <c r="A116" s="250"/>
      <c r="B116" s="251"/>
      <c r="C116" s="648"/>
      <c r="D116" s="292"/>
      <c r="E116" s="251"/>
      <c r="F116" s="252"/>
      <c r="G116" s="253"/>
      <c r="H116" s="254"/>
      <c r="I116" s="253"/>
      <c r="J116" s="253"/>
      <c r="K116" s="251"/>
      <c r="L116" s="255"/>
      <c r="M116" s="258"/>
      <c r="N116" s="257"/>
      <c r="O116" s="258"/>
      <c r="P116" s="257"/>
      <c r="Q116" s="258"/>
      <c r="R116" s="257"/>
      <c r="S116" s="258"/>
      <c r="T116" s="257"/>
      <c r="U116" s="258"/>
      <c r="V116" s="257"/>
      <c r="W116" s="258"/>
      <c r="X116" s="257"/>
      <c r="Y116" s="258"/>
      <c r="Z116" s="257"/>
    </row>
    <row r="117" spans="1:26" ht="15" customHeight="1">
      <c r="A117" s="250">
        <f>A114+1</f>
        <v>63</v>
      </c>
      <c r="B117" s="251"/>
      <c r="C117" s="647" t="s">
        <v>1563</v>
      </c>
      <c r="D117" s="526" t="s">
        <v>1627</v>
      </c>
      <c r="E117" s="251" t="s">
        <v>1606</v>
      </c>
      <c r="F117" s="252">
        <f>M117+O117+Q117+S117+U117+W117+Y117</f>
        <v>0</v>
      </c>
      <c r="G117" s="253">
        <f>L117</f>
        <v>52.01</v>
      </c>
      <c r="H117" s="254">
        <f>INT(F117*G117*100+0.5)/100</f>
        <v>0</v>
      </c>
      <c r="I117" s="253">
        <f>N117+P117+R117+T117+V117+X117+Z117</f>
        <v>0</v>
      </c>
      <c r="J117" s="253"/>
      <c r="K117" s="251" t="s">
        <v>1606</v>
      </c>
      <c r="L117" s="255">
        <v>52.01</v>
      </c>
      <c r="M117" s="258">
        <v>0</v>
      </c>
      <c r="N117" s="257">
        <f>INT($L117*M117*100+0.5)/100</f>
        <v>0</v>
      </c>
      <c r="O117" s="258">
        <v>0</v>
      </c>
      <c r="P117" s="257">
        <f>INT($L117*O117*100+0.5)/100</f>
        <v>0</v>
      </c>
      <c r="Q117" s="258">
        <v>0</v>
      </c>
      <c r="R117" s="257">
        <f>INT($L117*Q117*100+0.5)/100</f>
        <v>0</v>
      </c>
      <c r="S117" s="258">
        <v>0</v>
      </c>
      <c r="T117" s="257">
        <f>INT($L117*S117*100+0.5)/100</f>
        <v>0</v>
      </c>
      <c r="U117" s="258">
        <v>0</v>
      </c>
      <c r="V117" s="257">
        <f>INT($L117*U117*100+0.5)/100</f>
        <v>0</v>
      </c>
      <c r="W117" s="258">
        <v>0</v>
      </c>
      <c r="X117" s="257">
        <f>INT($L117*W117*100+0.5)/100</f>
        <v>0</v>
      </c>
      <c r="Y117" s="258">
        <v>0</v>
      </c>
      <c r="Z117" s="257">
        <f>INT($L117*Y117*100+0.5)/100</f>
        <v>0</v>
      </c>
    </row>
    <row r="118" spans="1:26" ht="15" customHeight="1">
      <c r="A118" s="250"/>
      <c r="B118" s="251"/>
      <c r="C118" s="649"/>
      <c r="D118" s="526" t="s">
        <v>1626</v>
      </c>
      <c r="E118" s="251"/>
      <c r="F118" s="252"/>
      <c r="G118" s="253"/>
      <c r="H118" s="254"/>
      <c r="I118" s="253"/>
      <c r="J118" s="253"/>
      <c r="K118" s="251"/>
      <c r="L118" s="255"/>
      <c r="M118" s="258"/>
      <c r="N118" s="257"/>
      <c r="O118" s="258"/>
      <c r="P118" s="257"/>
      <c r="Q118" s="258"/>
      <c r="R118" s="257"/>
      <c r="S118" s="258"/>
      <c r="T118" s="257"/>
      <c r="U118" s="258"/>
      <c r="V118" s="257"/>
      <c r="W118" s="258"/>
      <c r="X118" s="257"/>
      <c r="Y118" s="258"/>
      <c r="Z118" s="257"/>
    </row>
    <row r="119" spans="1:26" ht="15" customHeight="1">
      <c r="A119" s="250"/>
      <c r="B119" s="251"/>
      <c r="C119" s="649"/>
      <c r="D119" s="292"/>
      <c r="E119" s="251"/>
      <c r="F119" s="252"/>
      <c r="G119" s="253"/>
      <c r="H119" s="254"/>
      <c r="I119" s="253"/>
      <c r="J119" s="253"/>
      <c r="K119" s="251"/>
      <c r="L119" s="255"/>
      <c r="M119" s="258"/>
      <c r="N119" s="257"/>
      <c r="O119" s="258"/>
      <c r="P119" s="257"/>
      <c r="Q119" s="258"/>
      <c r="R119" s="257"/>
      <c r="S119" s="258"/>
      <c r="T119" s="257"/>
      <c r="U119" s="258"/>
      <c r="V119" s="257"/>
      <c r="W119" s="258"/>
      <c r="X119" s="257"/>
      <c r="Y119" s="258"/>
      <c r="Z119" s="257"/>
    </row>
    <row r="120" spans="1:26" ht="15" customHeight="1">
      <c r="A120" s="250">
        <f>A117+1</f>
        <v>64</v>
      </c>
      <c r="B120" s="251"/>
      <c r="C120" s="647" t="s">
        <v>1564</v>
      </c>
      <c r="D120" s="526" t="s">
        <v>1631</v>
      </c>
      <c r="E120" s="251" t="s">
        <v>1606</v>
      </c>
      <c r="F120" s="252">
        <f>M120+O120+Q120+S120+U120+W120+Y120</f>
        <v>0</v>
      </c>
      <c r="G120" s="253">
        <f>L120</f>
        <v>79.75</v>
      </c>
      <c r="H120" s="254">
        <f>INT(F120*G120*100+0.5)/100</f>
        <v>0</v>
      </c>
      <c r="I120" s="253">
        <f>N120+P120+R120+T120+V120+X120+Z120</f>
        <v>0</v>
      </c>
      <c r="J120" s="253"/>
      <c r="K120" s="251" t="s">
        <v>1606</v>
      </c>
      <c r="L120" s="255">
        <v>79.75</v>
      </c>
      <c r="M120" s="258">
        <v>0</v>
      </c>
      <c r="N120" s="257">
        <f>INT($L120*M120*100+0.5)/100</f>
        <v>0</v>
      </c>
      <c r="O120" s="258">
        <v>0</v>
      </c>
      <c r="P120" s="257">
        <f>INT($L120*O120*100+0.5)/100</f>
        <v>0</v>
      </c>
      <c r="Q120" s="258">
        <v>0</v>
      </c>
      <c r="R120" s="257">
        <f>INT($L120*Q120*100+0.5)/100</f>
        <v>0</v>
      </c>
      <c r="S120" s="258">
        <v>0</v>
      </c>
      <c r="T120" s="257">
        <f>INT($L120*S120*100+0.5)/100</f>
        <v>0</v>
      </c>
      <c r="U120" s="258">
        <v>0</v>
      </c>
      <c r="V120" s="257">
        <f>INT($L120*U120*100+0.5)/100</f>
        <v>0</v>
      </c>
      <c r="W120" s="258">
        <v>0</v>
      </c>
      <c r="X120" s="257">
        <f>INT($L120*W120*100+0.5)/100</f>
        <v>0</v>
      </c>
      <c r="Y120" s="258">
        <v>0</v>
      </c>
      <c r="Z120" s="257">
        <f>INT($L120*Y120*100+0.5)/100</f>
        <v>0</v>
      </c>
    </row>
    <row r="121" spans="1:26" ht="15" customHeight="1">
      <c r="A121" s="250"/>
      <c r="B121" s="251"/>
      <c r="C121" s="649"/>
      <c r="D121" s="526" t="s">
        <v>1628</v>
      </c>
      <c r="E121" s="251"/>
      <c r="F121" s="252"/>
      <c r="G121" s="253"/>
      <c r="H121" s="254"/>
      <c r="I121" s="253"/>
      <c r="J121" s="253"/>
      <c r="K121" s="251"/>
      <c r="L121" s="255"/>
      <c r="M121" s="258"/>
      <c r="N121" s="257"/>
      <c r="O121" s="258"/>
      <c r="P121" s="257"/>
      <c r="Q121" s="258"/>
      <c r="R121" s="257"/>
      <c r="S121" s="258"/>
      <c r="T121" s="257"/>
      <c r="U121" s="258"/>
      <c r="V121" s="257"/>
      <c r="W121" s="258"/>
      <c r="X121" s="257"/>
      <c r="Y121" s="258"/>
      <c r="Z121" s="257"/>
    </row>
    <row r="122" spans="1:26" ht="15" customHeight="1">
      <c r="A122" s="250"/>
      <c r="B122" s="251"/>
      <c r="C122" s="649"/>
      <c r="D122" s="292"/>
      <c r="E122" s="251"/>
      <c r="F122" s="252"/>
      <c r="G122" s="253"/>
      <c r="H122" s="254"/>
      <c r="I122" s="253"/>
      <c r="J122" s="253"/>
      <c r="K122" s="251"/>
      <c r="L122" s="255"/>
      <c r="M122" s="258"/>
      <c r="N122" s="257"/>
      <c r="O122" s="258"/>
      <c r="P122" s="257"/>
      <c r="Q122" s="258"/>
      <c r="R122" s="257"/>
      <c r="S122" s="258"/>
      <c r="T122" s="257"/>
      <c r="U122" s="258"/>
      <c r="V122" s="257"/>
      <c r="W122" s="258"/>
      <c r="X122" s="257"/>
      <c r="Y122" s="258"/>
      <c r="Z122" s="257"/>
    </row>
    <row r="123" spans="1:26" ht="15" customHeight="1">
      <c r="A123" s="250">
        <f>A120+1</f>
        <v>65</v>
      </c>
      <c r="B123" s="251"/>
      <c r="C123" s="647" t="s">
        <v>1565</v>
      </c>
      <c r="D123" s="526" t="s">
        <v>1632</v>
      </c>
      <c r="E123" s="251" t="s">
        <v>1606</v>
      </c>
      <c r="F123" s="252">
        <f>M123+O123+Q123+S123+U123+W123+Y123</f>
        <v>0</v>
      </c>
      <c r="G123" s="253">
        <f>L123</f>
        <v>102.22</v>
      </c>
      <c r="H123" s="254">
        <f>INT(F123*G123*100+0.5)/100</f>
        <v>0</v>
      </c>
      <c r="I123" s="253">
        <f>N123+P123+R123+T123+V123+X123+Z123</f>
        <v>0</v>
      </c>
      <c r="J123" s="253"/>
      <c r="K123" s="251" t="s">
        <v>1606</v>
      </c>
      <c r="L123" s="255">
        <v>102.22</v>
      </c>
      <c r="M123" s="258">
        <v>0</v>
      </c>
      <c r="N123" s="257">
        <f>INT($L123*M123*100+0.5)/100</f>
        <v>0</v>
      </c>
      <c r="O123" s="258">
        <v>0</v>
      </c>
      <c r="P123" s="257">
        <f>INT($L123*O123*100+0.5)/100</f>
        <v>0</v>
      </c>
      <c r="Q123" s="258">
        <v>0</v>
      </c>
      <c r="R123" s="257">
        <f>INT($L123*Q123*100+0.5)/100</f>
        <v>0</v>
      </c>
      <c r="S123" s="258">
        <v>0</v>
      </c>
      <c r="T123" s="257">
        <f>INT($L123*S123*100+0.5)/100</f>
        <v>0</v>
      </c>
      <c r="U123" s="258">
        <v>0</v>
      </c>
      <c r="V123" s="257">
        <f>INT($L123*U123*100+0.5)/100</f>
        <v>0</v>
      </c>
      <c r="W123" s="258">
        <v>0</v>
      </c>
      <c r="X123" s="257">
        <f>INT($L123*W123*100+0.5)/100</f>
        <v>0</v>
      </c>
      <c r="Y123" s="258">
        <v>0</v>
      </c>
      <c r="Z123" s="257">
        <f>INT($L123*Y123*100+0.5)/100</f>
        <v>0</v>
      </c>
    </row>
    <row r="124" spans="1:26" ht="15" customHeight="1">
      <c r="A124" s="250"/>
      <c r="B124" s="251"/>
      <c r="C124" s="649"/>
      <c r="D124" s="526" t="s">
        <v>1629</v>
      </c>
      <c r="E124" s="251"/>
      <c r="F124" s="252"/>
      <c r="G124" s="253"/>
      <c r="H124" s="254"/>
      <c r="I124" s="253"/>
      <c r="J124" s="253"/>
      <c r="K124" s="251"/>
      <c r="L124" s="255"/>
      <c r="M124" s="258"/>
      <c r="N124" s="257"/>
      <c r="O124" s="258"/>
      <c r="P124" s="257"/>
      <c r="Q124" s="258"/>
      <c r="R124" s="257"/>
      <c r="S124" s="258"/>
      <c r="T124" s="257"/>
      <c r="U124" s="258"/>
      <c r="V124" s="257"/>
      <c r="W124" s="258"/>
      <c r="X124" s="257"/>
      <c r="Y124" s="258"/>
      <c r="Z124" s="257"/>
    </row>
    <row r="125" spans="1:26" ht="15" customHeight="1">
      <c r="A125" s="250"/>
      <c r="B125" s="251"/>
      <c r="C125" s="649"/>
      <c r="D125" s="292"/>
      <c r="E125" s="251"/>
      <c r="F125" s="252"/>
      <c r="G125" s="253"/>
      <c r="H125" s="254"/>
      <c r="I125" s="253"/>
      <c r="J125" s="253"/>
      <c r="K125" s="251"/>
      <c r="L125" s="255"/>
      <c r="M125" s="258"/>
      <c r="N125" s="257"/>
      <c r="O125" s="258"/>
      <c r="P125" s="257"/>
      <c r="Q125" s="258"/>
      <c r="R125" s="257"/>
      <c r="S125" s="258"/>
      <c r="T125" s="257"/>
      <c r="U125" s="258"/>
      <c r="V125" s="257"/>
      <c r="W125" s="258"/>
      <c r="X125" s="257"/>
      <c r="Y125" s="258"/>
      <c r="Z125" s="257"/>
    </row>
    <row r="126" spans="1:26" ht="15" customHeight="1">
      <c r="A126" s="250">
        <f>A123+1</f>
        <v>66</v>
      </c>
      <c r="B126" s="251"/>
      <c r="C126" s="647" t="s">
        <v>1566</v>
      </c>
      <c r="D126" s="526" t="s">
        <v>1633</v>
      </c>
      <c r="E126" s="251" t="s">
        <v>1606</v>
      </c>
      <c r="F126" s="252">
        <f>M126+O126+Q126+S126+U126+W126+Y126</f>
        <v>0</v>
      </c>
      <c r="G126" s="253">
        <f>L126</f>
        <v>144.78</v>
      </c>
      <c r="H126" s="254">
        <f>INT(F126*G126*100+0.5)/100</f>
        <v>0</v>
      </c>
      <c r="I126" s="253">
        <f>N126+P126+R126+T126+V126+X126+Z126</f>
        <v>0</v>
      </c>
      <c r="J126" s="253"/>
      <c r="K126" s="251" t="s">
        <v>1606</v>
      </c>
      <c r="L126" s="255">
        <v>144.78</v>
      </c>
      <c r="M126" s="258">
        <v>0</v>
      </c>
      <c r="N126" s="257">
        <f>INT($L126*M126*100+0.5)/100</f>
        <v>0</v>
      </c>
      <c r="O126" s="258">
        <v>0</v>
      </c>
      <c r="P126" s="257">
        <f>INT($L126*O126*100+0.5)/100</f>
        <v>0</v>
      </c>
      <c r="Q126" s="258">
        <v>0</v>
      </c>
      <c r="R126" s="257">
        <f>INT($L126*Q126*100+0.5)/100</f>
        <v>0</v>
      </c>
      <c r="S126" s="258">
        <v>0</v>
      </c>
      <c r="T126" s="257">
        <f>INT($L126*S126*100+0.5)/100</f>
        <v>0</v>
      </c>
      <c r="U126" s="258">
        <v>0</v>
      </c>
      <c r="V126" s="257">
        <f>INT($L126*U126*100+0.5)/100</f>
        <v>0</v>
      </c>
      <c r="W126" s="258">
        <v>0</v>
      </c>
      <c r="X126" s="257">
        <f>INT($L126*W126*100+0.5)/100</f>
        <v>0</v>
      </c>
      <c r="Y126" s="258">
        <v>0</v>
      </c>
      <c r="Z126" s="257">
        <f>INT($L126*Y126*100+0.5)/100</f>
        <v>0</v>
      </c>
    </row>
    <row r="127" spans="1:26" ht="15" customHeight="1">
      <c r="A127" s="250"/>
      <c r="B127" s="251"/>
      <c r="C127" s="648"/>
      <c r="D127" s="526" t="s">
        <v>1630</v>
      </c>
      <c r="E127" s="251"/>
      <c r="F127" s="252"/>
      <c r="G127" s="253"/>
      <c r="H127" s="254"/>
      <c r="I127" s="253"/>
      <c r="J127" s="253"/>
      <c r="K127" s="251"/>
      <c r="L127" s="255"/>
      <c r="M127" s="258"/>
      <c r="N127" s="257"/>
      <c r="O127" s="258"/>
      <c r="P127" s="257"/>
      <c r="Q127" s="258"/>
      <c r="R127" s="257"/>
      <c r="S127" s="258"/>
      <c r="T127" s="257"/>
      <c r="U127" s="258"/>
      <c r="V127" s="257"/>
      <c r="W127" s="258"/>
      <c r="X127" s="257"/>
      <c r="Y127" s="258"/>
      <c r="Z127" s="257"/>
    </row>
    <row r="128" spans="1:26" ht="15" customHeight="1">
      <c r="A128" s="250"/>
      <c r="B128" s="251"/>
      <c r="C128" s="648"/>
      <c r="D128" s="292"/>
      <c r="E128" s="251"/>
      <c r="F128" s="252"/>
      <c r="G128" s="253"/>
      <c r="H128" s="254"/>
      <c r="I128" s="253"/>
      <c r="J128" s="253"/>
      <c r="K128" s="251"/>
      <c r="L128" s="255"/>
      <c r="M128" s="258"/>
      <c r="N128" s="257"/>
      <c r="O128" s="258"/>
      <c r="P128" s="257"/>
      <c r="Q128" s="258"/>
      <c r="R128" s="257"/>
      <c r="S128" s="258"/>
      <c r="T128" s="257"/>
      <c r="U128" s="258"/>
      <c r="V128" s="257"/>
      <c r="W128" s="258"/>
      <c r="X128" s="257"/>
      <c r="Y128" s="258"/>
      <c r="Z128" s="257"/>
    </row>
    <row r="129" spans="1:26" ht="15" customHeight="1">
      <c r="A129" s="250">
        <f>A126+1</f>
        <v>67</v>
      </c>
      <c r="B129" s="251"/>
      <c r="C129" s="647" t="s">
        <v>1567</v>
      </c>
      <c r="D129" s="526" t="s">
        <v>1635</v>
      </c>
      <c r="E129" s="251" t="s">
        <v>1606</v>
      </c>
      <c r="F129" s="252">
        <f>M129+O129+Q129+S129+U129+W129+Y129</f>
        <v>0</v>
      </c>
      <c r="G129" s="253">
        <f>L129</f>
        <v>165.36</v>
      </c>
      <c r="H129" s="254">
        <f>INT(F129*G129*100+0.5)/100</f>
        <v>0</v>
      </c>
      <c r="I129" s="253">
        <f>N129+P129+R129+T129+V129+X129+Z129</f>
        <v>0</v>
      </c>
      <c r="J129" s="253"/>
      <c r="K129" s="251" t="s">
        <v>1606</v>
      </c>
      <c r="L129" s="255">
        <v>165.36</v>
      </c>
      <c r="M129" s="258">
        <v>0</v>
      </c>
      <c r="N129" s="257">
        <f>INT($L129*M129*100+0.5)/100</f>
        <v>0</v>
      </c>
      <c r="O129" s="258">
        <v>0</v>
      </c>
      <c r="P129" s="257">
        <f>INT($L129*O129*100+0.5)/100</f>
        <v>0</v>
      </c>
      <c r="Q129" s="258">
        <v>0</v>
      </c>
      <c r="R129" s="257">
        <f>INT($L129*Q129*100+0.5)/100</f>
        <v>0</v>
      </c>
      <c r="S129" s="258">
        <v>0</v>
      </c>
      <c r="T129" s="257">
        <f>INT($L129*S129*100+0.5)/100</f>
        <v>0</v>
      </c>
      <c r="U129" s="258">
        <v>0</v>
      </c>
      <c r="V129" s="257">
        <f>INT($L129*U129*100+0.5)/100</f>
        <v>0</v>
      </c>
      <c r="W129" s="258">
        <v>0</v>
      </c>
      <c r="X129" s="257">
        <f>INT($L129*W129*100+0.5)/100</f>
        <v>0</v>
      </c>
      <c r="Y129" s="258">
        <v>0</v>
      </c>
      <c r="Z129" s="257">
        <f>INT($L129*Y129*100+0.5)/100</f>
        <v>0</v>
      </c>
    </row>
    <row r="130" spans="1:26" ht="15" customHeight="1">
      <c r="A130" s="250"/>
      <c r="B130" s="251"/>
      <c r="C130" s="251"/>
      <c r="D130" s="526" t="s">
        <v>1634</v>
      </c>
      <c r="E130" s="251"/>
      <c r="F130" s="252"/>
      <c r="G130" s="253"/>
      <c r="H130" s="254"/>
      <c r="I130" s="253"/>
      <c r="J130" s="253"/>
      <c r="K130" s="251"/>
      <c r="L130" s="255"/>
      <c r="M130" s="258"/>
      <c r="N130" s="257"/>
      <c r="O130" s="258"/>
      <c r="P130" s="257"/>
      <c r="Q130" s="258"/>
      <c r="R130" s="257"/>
      <c r="S130" s="258"/>
      <c r="T130" s="257"/>
      <c r="U130" s="258"/>
      <c r="V130" s="257"/>
      <c r="W130" s="258"/>
      <c r="X130" s="257"/>
      <c r="Y130" s="258"/>
      <c r="Z130" s="257"/>
    </row>
    <row r="131" spans="1:26" ht="15" customHeight="1">
      <c r="A131" s="250"/>
      <c r="B131" s="251"/>
      <c r="C131" s="648"/>
      <c r="D131" s="292"/>
      <c r="E131" s="251"/>
      <c r="F131" s="252"/>
      <c r="G131" s="253"/>
      <c r="H131" s="254"/>
      <c r="I131" s="253"/>
      <c r="J131" s="253"/>
      <c r="K131" s="251"/>
      <c r="L131" s="255"/>
      <c r="M131" s="258"/>
      <c r="N131" s="257"/>
      <c r="O131" s="258"/>
      <c r="P131" s="257"/>
      <c r="Q131" s="258"/>
      <c r="R131" s="257"/>
      <c r="S131" s="258"/>
      <c r="T131" s="257"/>
      <c r="U131" s="258"/>
      <c r="V131" s="257"/>
      <c r="W131" s="258"/>
      <c r="X131" s="257"/>
      <c r="Y131" s="258"/>
      <c r="Z131" s="257"/>
    </row>
    <row r="132" spans="1:26" ht="15" customHeight="1">
      <c r="A132" s="250">
        <f>A129+1</f>
        <v>68</v>
      </c>
      <c r="B132" s="251"/>
      <c r="C132" s="647" t="s">
        <v>2296</v>
      </c>
      <c r="D132" s="526" t="s">
        <v>1636</v>
      </c>
      <c r="E132" s="251" t="s">
        <v>1898</v>
      </c>
      <c r="F132" s="252"/>
      <c r="G132" s="253"/>
      <c r="H132" s="254"/>
      <c r="I132" s="253"/>
      <c r="J132" s="253"/>
      <c r="K132" s="251" t="s">
        <v>1898</v>
      </c>
      <c r="L132" s="255"/>
      <c r="M132" s="288"/>
      <c r="N132" s="242"/>
      <c r="O132" s="288"/>
      <c r="P132" s="242"/>
      <c r="Q132" s="288"/>
      <c r="R132" s="245"/>
      <c r="S132" s="288"/>
      <c r="T132" s="245"/>
      <c r="U132" s="288"/>
      <c r="V132" s="245"/>
      <c r="W132" s="288"/>
      <c r="X132" s="245"/>
      <c r="Y132" s="288"/>
      <c r="Z132" s="245"/>
    </row>
    <row r="133" spans="1:26" ht="25.5">
      <c r="A133" s="250"/>
      <c r="B133" s="251"/>
      <c r="C133" s="648"/>
      <c r="D133" s="526" t="s">
        <v>2449</v>
      </c>
      <c r="E133" s="251"/>
      <c r="F133" s="252"/>
      <c r="G133" s="253"/>
      <c r="H133" s="290"/>
      <c r="I133" s="253"/>
      <c r="J133" s="253"/>
      <c r="K133" s="251"/>
      <c r="L133" s="255"/>
      <c r="M133" s="289"/>
      <c r="N133" s="242"/>
      <c r="O133" s="289"/>
      <c r="P133" s="245"/>
      <c r="Q133" s="289"/>
      <c r="R133" s="245"/>
      <c r="S133" s="289"/>
      <c r="T133" s="245"/>
      <c r="U133" s="289"/>
      <c r="V133" s="245"/>
      <c r="W133" s="289"/>
      <c r="X133" s="245"/>
      <c r="Y133" s="289"/>
      <c r="Z133" s="245"/>
    </row>
    <row r="134" spans="1:26" ht="15" customHeight="1">
      <c r="A134" s="250"/>
      <c r="B134" s="251"/>
      <c r="C134" s="648"/>
      <c r="D134" s="292" t="s">
        <v>2446</v>
      </c>
      <c r="E134" s="251"/>
      <c r="F134" s="252">
        <f>M134+O134+Q134+S134+U134+W134+Y134</f>
        <v>250</v>
      </c>
      <c r="G134" s="253">
        <f>L134</f>
        <v>2.79</v>
      </c>
      <c r="H134" s="254">
        <f>INT(F134*G134*100+0.5)/100</f>
        <v>697.5</v>
      </c>
      <c r="I134" s="253">
        <f>N134+P134+R134+T134+V134+X134+Z134</f>
        <v>697.5</v>
      </c>
      <c r="J134" s="253"/>
      <c r="K134" s="251"/>
      <c r="L134" s="255">
        <v>2.79</v>
      </c>
      <c r="M134" s="289">
        <v>0</v>
      </c>
      <c r="N134" s="260">
        <f>INT($L134*M134*100+0.5)/100</f>
        <v>0</v>
      </c>
      <c r="O134" s="258">
        <v>250</v>
      </c>
      <c r="P134" s="257">
        <f>INT($L134*O134*100+0.5)/100</f>
        <v>697.5</v>
      </c>
      <c r="Q134" s="258">
        <v>0</v>
      </c>
      <c r="R134" s="257">
        <f>INT($L134*Q134*100+0.5)/100</f>
        <v>0</v>
      </c>
      <c r="S134" s="258">
        <v>0</v>
      </c>
      <c r="T134" s="257">
        <f>INT($L134*S134*100+0.5)/100</f>
        <v>0</v>
      </c>
      <c r="U134" s="258">
        <v>0</v>
      </c>
      <c r="V134" s="257">
        <f>INT($L134*U134*100+0.5)/100</f>
        <v>0</v>
      </c>
      <c r="W134" s="258">
        <v>0</v>
      </c>
      <c r="X134" s="257">
        <f>INT($L134*W134*100+0.5)/100</f>
        <v>0</v>
      </c>
      <c r="Y134" s="258">
        <v>0</v>
      </c>
      <c r="Z134" s="257">
        <f>INT($L134*Y134*100+0.5)/100</f>
        <v>0</v>
      </c>
    </row>
    <row r="135" spans="1:26" ht="15" customHeight="1">
      <c r="A135" s="250"/>
      <c r="B135" s="251"/>
      <c r="C135" s="648"/>
      <c r="D135" s="526"/>
      <c r="E135" s="251"/>
      <c r="F135" s="252"/>
      <c r="G135" s="253"/>
      <c r="H135" s="290"/>
      <c r="I135" s="253"/>
      <c r="J135" s="253"/>
      <c r="K135" s="251"/>
      <c r="L135" s="255"/>
      <c r="M135" s="258"/>
      <c r="N135" s="257"/>
      <c r="O135" s="258"/>
      <c r="P135" s="257"/>
      <c r="Q135" s="258"/>
      <c r="R135" s="257"/>
      <c r="S135" s="258"/>
      <c r="T135" s="257"/>
      <c r="U135" s="258"/>
      <c r="V135" s="257"/>
      <c r="W135" s="258"/>
      <c r="X135" s="257"/>
      <c r="Y135" s="258"/>
      <c r="Z135" s="257"/>
    </row>
    <row r="136" spans="1:26" ht="15" customHeight="1">
      <c r="A136" s="250">
        <f>A132+1</f>
        <v>69</v>
      </c>
      <c r="B136" s="251"/>
      <c r="C136" s="647" t="s">
        <v>2315</v>
      </c>
      <c r="D136" s="526" t="s">
        <v>2447</v>
      </c>
      <c r="E136" s="251" t="s">
        <v>1898</v>
      </c>
      <c r="F136" s="252"/>
      <c r="G136" s="253"/>
      <c r="H136" s="254"/>
      <c r="I136" s="253"/>
      <c r="J136" s="253"/>
      <c r="K136" s="251" t="s">
        <v>1898</v>
      </c>
      <c r="L136" s="255"/>
      <c r="M136" s="288"/>
      <c r="N136" s="242"/>
      <c r="O136" s="288"/>
      <c r="P136" s="242"/>
      <c r="Q136" s="288"/>
      <c r="R136" s="245"/>
      <c r="S136" s="288"/>
      <c r="T136" s="245"/>
      <c r="U136" s="288"/>
      <c r="V136" s="245"/>
      <c r="W136" s="288"/>
      <c r="X136" s="245"/>
      <c r="Y136" s="288"/>
      <c r="Z136" s="245"/>
    </row>
    <row r="137" spans="1:26" ht="25.5">
      <c r="A137" s="250"/>
      <c r="B137" s="251"/>
      <c r="C137" s="648"/>
      <c r="D137" s="526" t="s">
        <v>2448</v>
      </c>
      <c r="E137" s="251"/>
      <c r="F137" s="252"/>
      <c r="G137" s="253"/>
      <c r="H137" s="290"/>
      <c r="I137" s="253"/>
      <c r="J137" s="253"/>
      <c r="K137" s="251"/>
      <c r="L137" s="255"/>
      <c r="M137" s="289"/>
      <c r="N137" s="242"/>
      <c r="O137" s="289"/>
      <c r="P137" s="245"/>
      <c r="Q137" s="289"/>
      <c r="R137" s="245"/>
      <c r="S137" s="289"/>
      <c r="T137" s="245"/>
      <c r="U137" s="289"/>
      <c r="V137" s="245"/>
      <c r="W137" s="289"/>
      <c r="X137" s="245"/>
      <c r="Y137" s="289"/>
      <c r="Z137" s="245"/>
    </row>
    <row r="138" spans="1:26" ht="15" customHeight="1">
      <c r="A138" s="250"/>
      <c r="B138" s="251"/>
      <c r="C138" s="648"/>
      <c r="D138" s="526" t="s">
        <v>2450</v>
      </c>
      <c r="E138" s="251"/>
      <c r="F138" s="252"/>
      <c r="G138" s="253"/>
      <c r="H138" s="290"/>
      <c r="I138" s="253"/>
      <c r="J138" s="253"/>
      <c r="K138" s="251"/>
      <c r="L138" s="255"/>
      <c r="M138" s="289">
        <v>0</v>
      </c>
      <c r="N138" s="242"/>
      <c r="O138" s="289">
        <v>0</v>
      </c>
      <c r="P138" s="245"/>
      <c r="Q138" s="289">
        <v>0</v>
      </c>
      <c r="R138" s="245"/>
      <c r="S138" s="289"/>
      <c r="T138" s="245"/>
      <c r="U138" s="289"/>
      <c r="V138" s="245"/>
      <c r="W138" s="289"/>
      <c r="X138" s="245"/>
      <c r="Y138" s="289"/>
      <c r="Z138" s="245"/>
    </row>
    <row r="139" spans="1:26" ht="15" customHeight="1">
      <c r="A139" s="250"/>
      <c r="B139" s="251"/>
      <c r="C139" s="648"/>
      <c r="D139" s="526" t="s">
        <v>1875</v>
      </c>
      <c r="E139" s="251"/>
      <c r="F139" s="252"/>
      <c r="G139" s="253"/>
      <c r="H139" s="290"/>
      <c r="I139" s="253"/>
      <c r="J139" s="253"/>
      <c r="K139" s="251"/>
      <c r="L139" s="255"/>
      <c r="M139" s="289">
        <v>0</v>
      </c>
      <c r="N139" s="242"/>
      <c r="O139" s="289">
        <v>200</v>
      </c>
      <c r="P139" s="245"/>
      <c r="Q139" s="289">
        <v>0</v>
      </c>
      <c r="R139" s="245"/>
      <c r="S139" s="289"/>
      <c r="T139" s="245"/>
      <c r="U139" s="289"/>
      <c r="V139" s="245"/>
      <c r="W139" s="289"/>
      <c r="X139" s="245"/>
      <c r="Y139" s="289"/>
      <c r="Z139" s="245"/>
    </row>
    <row r="140" spans="1:26" ht="15" customHeight="1">
      <c r="A140" s="250"/>
      <c r="B140" s="251"/>
      <c r="C140" s="648"/>
      <c r="D140" s="292" t="s">
        <v>2451</v>
      </c>
      <c r="E140" s="251"/>
      <c r="F140" s="252"/>
      <c r="G140" s="253"/>
      <c r="H140" s="290"/>
      <c r="I140" s="253"/>
      <c r="J140" s="253"/>
      <c r="K140" s="251"/>
      <c r="L140" s="255"/>
      <c r="M140" s="291">
        <v>0</v>
      </c>
      <c r="N140" s="242"/>
      <c r="O140" s="291">
        <v>0</v>
      </c>
      <c r="P140" s="245"/>
      <c r="Q140" s="291">
        <v>0</v>
      </c>
      <c r="R140" s="245"/>
      <c r="S140" s="289"/>
      <c r="T140" s="245"/>
      <c r="U140" s="289"/>
      <c r="V140" s="245"/>
      <c r="W140" s="289"/>
      <c r="X140" s="245"/>
      <c r="Y140" s="289"/>
      <c r="Z140" s="245"/>
    </row>
    <row r="141" spans="1:26" ht="15" customHeight="1">
      <c r="A141" s="250"/>
      <c r="B141" s="251"/>
      <c r="C141" s="648"/>
      <c r="D141" s="529" t="s">
        <v>1900</v>
      </c>
      <c r="E141" s="251"/>
      <c r="F141" s="252">
        <f>M141+O141+Q141+S141+U141+W141+Y141</f>
        <v>200</v>
      </c>
      <c r="G141" s="253">
        <f>L141</f>
        <v>3.7</v>
      </c>
      <c r="H141" s="254">
        <f>INT(F141*G141*100+0.5)/100</f>
        <v>740</v>
      </c>
      <c r="I141" s="253">
        <f>N141+P141+R141+T141+V141+X141+Z141</f>
        <v>740</v>
      </c>
      <c r="J141" s="253"/>
      <c r="K141" s="251"/>
      <c r="L141" s="255">
        <v>3.7</v>
      </c>
      <c r="M141" s="258">
        <f>SUM(M138:M140)</f>
        <v>0</v>
      </c>
      <c r="N141" s="260">
        <f>INT($L141*M141*100+0.5)/100</f>
        <v>0</v>
      </c>
      <c r="O141" s="258">
        <f>SUM(O138:O140)</f>
        <v>200</v>
      </c>
      <c r="P141" s="257">
        <f>INT($L141*O141*100+0.5)/100</f>
        <v>740</v>
      </c>
      <c r="Q141" s="258">
        <f>SUM(Q138:Q140)</f>
        <v>0</v>
      </c>
      <c r="R141" s="257">
        <f>INT($L141*Q141*100+0.5)/100</f>
        <v>0</v>
      </c>
      <c r="S141" s="258">
        <v>0</v>
      </c>
      <c r="T141" s="257">
        <f>INT($L141*S141*100+0.5)/100</f>
        <v>0</v>
      </c>
      <c r="U141" s="258">
        <v>0</v>
      </c>
      <c r="V141" s="257">
        <f>INT($L141*U141*100+0.5)/100</f>
        <v>0</v>
      </c>
      <c r="W141" s="258">
        <v>0</v>
      </c>
      <c r="X141" s="257">
        <f>INT($L141*W141*100+0.5)/100</f>
        <v>0</v>
      </c>
      <c r="Y141" s="258">
        <v>0</v>
      </c>
      <c r="Z141" s="257">
        <f>INT($L141*Y141*100+0.5)/100</f>
        <v>0</v>
      </c>
    </row>
    <row r="142" spans="1:26" ht="15" customHeight="1">
      <c r="A142" s="250"/>
      <c r="B142" s="251"/>
      <c r="C142" s="648"/>
      <c r="D142" s="292"/>
      <c r="E142" s="251"/>
      <c r="F142" s="252"/>
      <c r="G142" s="253"/>
      <c r="H142" s="290"/>
      <c r="I142" s="253"/>
      <c r="J142" s="253"/>
      <c r="K142" s="251"/>
      <c r="L142" s="255"/>
      <c r="M142" s="258"/>
      <c r="N142" s="257"/>
      <c r="O142" s="258"/>
      <c r="P142" s="257"/>
      <c r="Q142" s="258"/>
      <c r="R142" s="257"/>
      <c r="S142" s="258"/>
      <c r="T142" s="257"/>
      <c r="U142" s="258"/>
      <c r="V142" s="257"/>
      <c r="W142" s="258"/>
      <c r="X142" s="257"/>
      <c r="Y142" s="258"/>
      <c r="Z142" s="257"/>
    </row>
    <row r="143" spans="1:26" s="484" customFormat="1" ht="15" customHeight="1">
      <c r="A143" s="474">
        <f>A136+1</f>
        <v>70</v>
      </c>
      <c r="B143" s="475"/>
      <c r="C143" s="650" t="s">
        <v>1076</v>
      </c>
      <c r="D143" s="531"/>
      <c r="E143" s="475" t="s">
        <v>1901</v>
      </c>
      <c r="F143" s="476">
        <f>M143+O143+Q143+S143+U143+W143+Y143</f>
        <v>70</v>
      </c>
      <c r="G143" s="477">
        <f>L143</f>
        <v>110</v>
      </c>
      <c r="H143" s="478">
        <f>INT(F143*G143*100+0.5)/100</f>
        <v>7700</v>
      </c>
      <c r="I143" s="477">
        <f>N143+P143+R143+T143+V143+X143+Z143</f>
        <v>7700</v>
      </c>
      <c r="J143" s="477"/>
      <c r="K143" s="475" t="s">
        <v>1901</v>
      </c>
      <c r="L143" s="479">
        <v>110</v>
      </c>
      <c r="M143" s="480">
        <v>0</v>
      </c>
      <c r="N143" s="481">
        <f>INT($L143*M143*100+0.5)/100</f>
        <v>0</v>
      </c>
      <c r="O143" s="480">
        <v>0</v>
      </c>
      <c r="P143" s="481">
        <f>INT($L143*O143*100+0.5)/100</f>
        <v>0</v>
      </c>
      <c r="Q143" s="480">
        <v>0</v>
      </c>
      <c r="R143" s="481">
        <f>INT($L143*Q143*100+0.5)/100</f>
        <v>0</v>
      </c>
      <c r="S143" s="480">
        <v>0</v>
      </c>
      <c r="T143" s="481">
        <f>INT($L143*S143*100+0.5)/100</f>
        <v>0</v>
      </c>
      <c r="U143" s="482">
        <f>700/20*2</f>
        <v>70</v>
      </c>
      <c r="V143" s="483">
        <f>INT($L143*U143*100+0.5)/100</f>
        <v>7700</v>
      </c>
      <c r="W143" s="480">
        <v>0</v>
      </c>
      <c r="X143" s="481">
        <f>INT($L143*W143*100+0.5)/100</f>
        <v>0</v>
      </c>
      <c r="Y143" s="480">
        <v>0</v>
      </c>
      <c r="Z143" s="481">
        <f>INT($L143*Y143*100+0.5)/100</f>
        <v>0</v>
      </c>
    </row>
    <row r="144" spans="1:26" s="484" customFormat="1" ht="15" customHeight="1">
      <c r="A144" s="474"/>
      <c r="B144" s="475"/>
      <c r="C144" s="651"/>
      <c r="D144" s="530" t="s">
        <v>2070</v>
      </c>
      <c r="E144" s="475"/>
      <c r="F144" s="476"/>
      <c r="G144" s="477"/>
      <c r="H144" s="485"/>
      <c r="I144" s="477"/>
      <c r="J144" s="477"/>
      <c r="K144" s="475"/>
      <c r="L144" s="486"/>
      <c r="M144" s="480"/>
      <c r="N144" s="481"/>
      <c r="O144" s="480"/>
      <c r="P144" s="481"/>
      <c r="Q144" s="480"/>
      <c r="R144" s="481"/>
      <c r="S144" s="480"/>
      <c r="T144" s="481"/>
      <c r="U144" s="482"/>
      <c r="V144" s="481"/>
      <c r="W144" s="480"/>
      <c r="X144" s="481"/>
      <c r="Y144" s="480"/>
      <c r="Z144" s="481"/>
    </row>
    <row r="145" spans="1:26" ht="15" customHeight="1">
      <c r="A145" s="250"/>
      <c r="B145" s="251"/>
      <c r="C145" s="648"/>
      <c r="D145" s="292"/>
      <c r="E145" s="251"/>
      <c r="F145" s="252"/>
      <c r="G145" s="253"/>
      <c r="H145" s="290"/>
      <c r="I145" s="253"/>
      <c r="J145" s="253"/>
      <c r="K145" s="251"/>
      <c r="L145" s="255"/>
      <c r="M145" s="258"/>
      <c r="N145" s="257"/>
      <c r="O145" s="258"/>
      <c r="P145" s="257"/>
      <c r="Q145" s="258"/>
      <c r="R145" s="257"/>
      <c r="S145" s="258"/>
      <c r="T145" s="257"/>
      <c r="U145" s="258"/>
      <c r="V145" s="257"/>
      <c r="W145" s="258"/>
      <c r="X145" s="257"/>
      <c r="Y145" s="258"/>
      <c r="Z145" s="257"/>
    </row>
    <row r="146" spans="1:26" s="484" customFormat="1" ht="15" customHeight="1">
      <c r="A146" s="474">
        <f>A143+1</f>
        <v>71</v>
      </c>
      <c r="B146" s="475"/>
      <c r="C146" s="650"/>
      <c r="D146" s="531"/>
      <c r="E146" s="475" t="s">
        <v>1901</v>
      </c>
      <c r="F146" s="476">
        <f>M146+O146+Q146+S146+U146+W146+Y146</f>
        <v>158</v>
      </c>
      <c r="G146" s="477">
        <f>L146</f>
        <v>110</v>
      </c>
      <c r="H146" s="478">
        <f>INT(F146*G146*100+0.5)/100</f>
        <v>17380</v>
      </c>
      <c r="I146" s="477">
        <f>N146+P146+R146+T146+V146+X146+Z146</f>
        <v>17380</v>
      </c>
      <c r="J146" s="477"/>
      <c r="K146" s="475" t="s">
        <v>1901</v>
      </c>
      <c r="L146" s="479">
        <v>110</v>
      </c>
      <c r="M146" s="480">
        <v>0</v>
      </c>
      <c r="N146" s="481">
        <f>INT($L146*M146*100+0.5)/100</f>
        <v>0</v>
      </c>
      <c r="O146" s="480">
        <v>0</v>
      </c>
      <c r="P146" s="481">
        <f>INT($L146*O146*100+0.5)/100</f>
        <v>0</v>
      </c>
      <c r="Q146" s="480">
        <v>0</v>
      </c>
      <c r="R146" s="481">
        <f>INT($L146*Q146*100+0.5)/100</f>
        <v>0</v>
      </c>
      <c r="S146" s="480">
        <v>0</v>
      </c>
      <c r="T146" s="481">
        <f>INT($L146*S146*100+0.5)/100</f>
        <v>0</v>
      </c>
      <c r="U146" s="482">
        <v>158</v>
      </c>
      <c r="V146" s="483">
        <f>INT($L146*U146*100+0.5)/100</f>
        <v>17380</v>
      </c>
      <c r="W146" s="480">
        <v>0</v>
      </c>
      <c r="X146" s="481">
        <f>INT($L146*W146*100+0.5)/100</f>
        <v>0</v>
      </c>
      <c r="Y146" s="480">
        <v>0</v>
      </c>
      <c r="Z146" s="481">
        <f>INT($L146*Y146*100+0.5)/100</f>
        <v>0</v>
      </c>
    </row>
    <row r="147" spans="1:26" s="484" customFormat="1" ht="15" customHeight="1">
      <c r="A147" s="474"/>
      <c r="B147" s="475"/>
      <c r="C147" s="651"/>
      <c r="D147" s="530" t="s">
        <v>2071</v>
      </c>
      <c r="E147" s="475"/>
      <c r="F147" s="476"/>
      <c r="G147" s="477"/>
      <c r="H147" s="485"/>
      <c r="I147" s="477"/>
      <c r="J147" s="477"/>
      <c r="K147" s="475"/>
      <c r="L147" s="486"/>
      <c r="M147" s="480"/>
      <c r="N147" s="481"/>
      <c r="O147" s="480"/>
      <c r="P147" s="481"/>
      <c r="Q147" s="480"/>
      <c r="R147" s="481"/>
      <c r="S147" s="480"/>
      <c r="T147" s="481"/>
      <c r="U147" s="482"/>
      <c r="V147" s="481"/>
      <c r="W147" s="480"/>
      <c r="X147" s="481"/>
      <c r="Y147" s="480"/>
      <c r="Z147" s="481"/>
    </row>
    <row r="148" spans="1:26" ht="15" customHeight="1">
      <c r="A148" s="250"/>
      <c r="B148" s="251"/>
      <c r="C148" s="648"/>
      <c r="D148" s="292"/>
      <c r="E148" s="251"/>
      <c r="F148" s="252"/>
      <c r="G148" s="253"/>
      <c r="H148" s="290"/>
      <c r="I148" s="253"/>
      <c r="J148" s="253"/>
      <c r="K148" s="251"/>
      <c r="L148" s="255"/>
      <c r="M148" s="258"/>
      <c r="N148" s="257"/>
      <c r="O148" s="258"/>
      <c r="P148" s="257"/>
      <c r="Q148" s="258"/>
      <c r="R148" s="257"/>
      <c r="S148" s="258"/>
      <c r="T148" s="257"/>
      <c r="U148" s="258"/>
      <c r="V148" s="257"/>
      <c r="W148" s="258"/>
      <c r="X148" s="257"/>
      <c r="Y148" s="258"/>
      <c r="Z148" s="257"/>
    </row>
    <row r="149" spans="1:26" ht="15" customHeight="1">
      <c r="A149" s="250">
        <f>A146+1</f>
        <v>72</v>
      </c>
      <c r="B149" s="251"/>
      <c r="C149" s="647" t="s">
        <v>2452</v>
      </c>
      <c r="D149" s="527"/>
      <c r="E149" s="251" t="s">
        <v>2475</v>
      </c>
      <c r="F149" s="252">
        <f>M149+O149+Q149+S149+U149+W149+Y149</f>
        <v>200</v>
      </c>
      <c r="G149" s="253">
        <f>L149</f>
        <v>3.36</v>
      </c>
      <c r="H149" s="254">
        <f>INT(F149*G149*100+0.5)/100</f>
        <v>672</v>
      </c>
      <c r="I149" s="253">
        <f>N149+P149+R149+T149+V149+X149+Z149</f>
        <v>672</v>
      </c>
      <c r="J149" s="253"/>
      <c r="K149" s="251" t="s">
        <v>2475</v>
      </c>
      <c r="L149" s="262">
        <v>3.36</v>
      </c>
      <c r="M149" s="258">
        <v>100</v>
      </c>
      <c r="N149" s="257">
        <f>INT($L149*M149*100+0.5)/100</f>
        <v>336</v>
      </c>
      <c r="O149" s="258">
        <v>0</v>
      </c>
      <c r="P149" s="257">
        <f>INT($L149*O149*100+0.5)/100</f>
        <v>0</v>
      </c>
      <c r="Q149" s="258">
        <v>100</v>
      </c>
      <c r="R149" s="257">
        <f>INT($L149*Q149*100+0.5)/100</f>
        <v>336</v>
      </c>
      <c r="S149" s="258">
        <v>0</v>
      </c>
      <c r="T149" s="257">
        <f>INT($L149*S149*100+0.5)/100</f>
        <v>0</v>
      </c>
      <c r="U149" s="258">
        <v>0</v>
      </c>
      <c r="V149" s="257">
        <f>INT($L149*U149*100+0.5)/100</f>
        <v>0</v>
      </c>
      <c r="W149" s="258">
        <v>0</v>
      </c>
      <c r="X149" s="257">
        <f>INT($L149*W149*100+0.5)/100</f>
        <v>0</v>
      </c>
      <c r="Y149" s="258">
        <v>0</v>
      </c>
      <c r="Z149" s="257">
        <f>INT($L149*Y149*100+0.5)/100</f>
        <v>0</v>
      </c>
    </row>
    <row r="150" spans="1:26" ht="15" customHeight="1">
      <c r="A150" s="250"/>
      <c r="B150" s="251"/>
      <c r="C150" s="648"/>
      <c r="D150" s="526" t="s">
        <v>2453</v>
      </c>
      <c r="E150" s="251"/>
      <c r="F150" s="252"/>
      <c r="G150" s="253"/>
      <c r="H150" s="290"/>
      <c r="I150" s="253"/>
      <c r="J150" s="253"/>
      <c r="K150" s="251"/>
      <c r="L150" s="255"/>
      <c r="M150" s="258"/>
      <c r="N150" s="257"/>
      <c r="O150" s="258"/>
      <c r="P150" s="257"/>
      <c r="Q150" s="258"/>
      <c r="R150" s="257"/>
      <c r="S150" s="258"/>
      <c r="T150" s="257"/>
      <c r="U150" s="258"/>
      <c r="V150" s="257"/>
      <c r="W150" s="258"/>
      <c r="X150" s="257"/>
      <c r="Y150" s="258"/>
      <c r="Z150" s="257"/>
    </row>
    <row r="151" spans="1:26" ht="15" customHeight="1">
      <c r="A151" s="250"/>
      <c r="B151" s="251"/>
      <c r="C151" s="648"/>
      <c r="D151" s="292"/>
      <c r="E151" s="251"/>
      <c r="F151" s="252"/>
      <c r="G151" s="253"/>
      <c r="H151" s="290"/>
      <c r="I151" s="253"/>
      <c r="J151" s="253"/>
      <c r="K151" s="251"/>
      <c r="L151" s="255"/>
      <c r="M151" s="258"/>
      <c r="N151" s="257"/>
      <c r="O151" s="258"/>
      <c r="P151" s="257"/>
      <c r="Q151" s="258"/>
      <c r="R151" s="257"/>
      <c r="S151" s="258"/>
      <c r="T151" s="257"/>
      <c r="U151" s="258"/>
      <c r="V151" s="257"/>
      <c r="W151" s="258"/>
      <c r="X151" s="257"/>
      <c r="Y151" s="258"/>
      <c r="Z151" s="257"/>
    </row>
    <row r="152" spans="1:26" ht="25.5">
      <c r="A152" s="250">
        <f>A149+1</f>
        <v>73</v>
      </c>
      <c r="B152" s="251"/>
      <c r="C152" s="647" t="s">
        <v>2454</v>
      </c>
      <c r="D152" s="526" t="s">
        <v>28</v>
      </c>
      <c r="E152" s="251" t="s">
        <v>1901</v>
      </c>
      <c r="F152" s="252">
        <f>M152+O152+Q152+S152+U152+W152+Y152</f>
        <v>32</v>
      </c>
      <c r="G152" s="253">
        <f>L152</f>
        <v>16.75</v>
      </c>
      <c r="H152" s="254">
        <f>INT(F152*G152*100+0.5)/100</f>
        <v>536</v>
      </c>
      <c r="I152" s="253">
        <f>N152+P152+R152+T152+V152+X152+Z152</f>
        <v>536</v>
      </c>
      <c r="J152" s="253"/>
      <c r="K152" s="251" t="s">
        <v>1901</v>
      </c>
      <c r="L152" s="255">
        <v>16.75</v>
      </c>
      <c r="M152" s="258">
        <v>0</v>
      </c>
      <c r="N152" s="257">
        <f>INT($L152*M152*100+0.5)/100</f>
        <v>0</v>
      </c>
      <c r="O152" s="258">
        <v>0</v>
      </c>
      <c r="P152" s="257">
        <f>INT($L152*O152*100+0.5)/100</f>
        <v>0</v>
      </c>
      <c r="Q152" s="258">
        <v>0</v>
      </c>
      <c r="R152" s="257">
        <f>INT($L152*Q152*100+0.5)/100</f>
        <v>0</v>
      </c>
      <c r="S152" s="258">
        <v>0</v>
      </c>
      <c r="T152" s="257">
        <f>INT($L152*S152*100+0.5)/100</f>
        <v>0</v>
      </c>
      <c r="U152" s="258">
        <v>32</v>
      </c>
      <c r="V152" s="257">
        <f>INT($L152*U152*100+0.5)/100</f>
        <v>536</v>
      </c>
      <c r="W152" s="258">
        <v>0</v>
      </c>
      <c r="X152" s="257">
        <f>INT($L152*W152*100+0.5)/100</f>
        <v>0</v>
      </c>
      <c r="Y152" s="258">
        <v>0</v>
      </c>
      <c r="Z152" s="257">
        <f>INT($L152*Y152*100+0.5)/100</f>
        <v>0</v>
      </c>
    </row>
    <row r="153" spans="1:26" ht="25.5">
      <c r="A153" s="250"/>
      <c r="B153" s="251"/>
      <c r="C153" s="648"/>
      <c r="D153" s="526" t="s">
        <v>1525</v>
      </c>
      <c r="E153" s="251"/>
      <c r="F153" s="252"/>
      <c r="G153" s="253"/>
      <c r="H153" s="290"/>
      <c r="I153" s="253"/>
      <c r="J153" s="253"/>
      <c r="K153" s="251"/>
      <c r="L153" s="255"/>
      <c r="M153" s="258"/>
      <c r="N153" s="257"/>
      <c r="O153" s="258"/>
      <c r="P153" s="257"/>
      <c r="Q153" s="258"/>
      <c r="R153" s="257"/>
      <c r="S153" s="258"/>
      <c r="T153" s="257"/>
      <c r="U153" s="258"/>
      <c r="V153" s="257"/>
      <c r="W153" s="258"/>
      <c r="X153" s="257"/>
      <c r="Y153" s="258"/>
      <c r="Z153" s="257"/>
    </row>
    <row r="154" spans="1:26" ht="15" customHeight="1">
      <c r="A154" s="250"/>
      <c r="B154" s="251"/>
      <c r="C154" s="648"/>
      <c r="D154" s="526"/>
      <c r="E154" s="251"/>
      <c r="F154" s="252"/>
      <c r="G154" s="253"/>
      <c r="H154" s="290"/>
      <c r="I154" s="253"/>
      <c r="J154" s="253"/>
      <c r="K154" s="251"/>
      <c r="L154" s="255"/>
      <c r="M154" s="258"/>
      <c r="N154" s="257"/>
      <c r="O154" s="258"/>
      <c r="P154" s="257"/>
      <c r="Q154" s="258"/>
      <c r="R154" s="257"/>
      <c r="S154" s="258"/>
      <c r="T154" s="257"/>
      <c r="U154" s="258"/>
      <c r="V154" s="257"/>
      <c r="W154" s="258"/>
      <c r="X154" s="257"/>
      <c r="Y154" s="258"/>
      <c r="Z154" s="257"/>
    </row>
    <row r="155" spans="1:26" ht="25.5">
      <c r="A155" s="250">
        <f>A152+1</f>
        <v>74</v>
      </c>
      <c r="B155" s="251"/>
      <c r="C155" s="647" t="s">
        <v>2316</v>
      </c>
      <c r="D155" s="526" t="s">
        <v>26</v>
      </c>
      <c r="E155" s="251" t="s">
        <v>2475</v>
      </c>
      <c r="F155" s="252">
        <f>M155+O155+Q155+S155+U155+W155+Y155</f>
        <v>20</v>
      </c>
      <c r="G155" s="253">
        <f>L155</f>
        <v>36.18</v>
      </c>
      <c r="H155" s="254">
        <f>INT(F155*G155*100+0.5)/100</f>
        <v>723.6</v>
      </c>
      <c r="I155" s="253">
        <f>N155+P155+R155+T155+V155+X155+Z155</f>
        <v>723.6</v>
      </c>
      <c r="J155" s="253"/>
      <c r="K155" s="251" t="s">
        <v>2475</v>
      </c>
      <c r="L155" s="255">
        <v>36.18</v>
      </c>
      <c r="M155" s="258">
        <v>0</v>
      </c>
      <c r="N155" s="257">
        <f>INT($L155*M155*100+0.5)/100</f>
        <v>0</v>
      </c>
      <c r="O155" s="258">
        <v>0</v>
      </c>
      <c r="P155" s="257">
        <f>INT($L155*O155*100+0.5)/100</f>
        <v>0</v>
      </c>
      <c r="Q155" s="258">
        <v>0</v>
      </c>
      <c r="R155" s="257">
        <f>INT($L155*Q155*100+0.5)/100</f>
        <v>0</v>
      </c>
      <c r="S155" s="258">
        <v>20</v>
      </c>
      <c r="T155" s="257">
        <f>INT($L155*S155*100+0.5)/100</f>
        <v>723.6</v>
      </c>
      <c r="U155" s="258">
        <v>0</v>
      </c>
      <c r="V155" s="257">
        <f>INT($L155*U155*100+0.5)/100</f>
        <v>0</v>
      </c>
      <c r="W155" s="258">
        <v>0</v>
      </c>
      <c r="X155" s="257">
        <f>INT($L155*W155*100+0.5)/100</f>
        <v>0</v>
      </c>
      <c r="Y155" s="258">
        <v>0</v>
      </c>
      <c r="Z155" s="257">
        <f>INT($L155*Y155*100+0.5)/100</f>
        <v>0</v>
      </c>
    </row>
    <row r="156" spans="1:26" ht="25.5">
      <c r="A156" s="250"/>
      <c r="B156" s="251"/>
      <c r="C156" s="648"/>
      <c r="D156" s="526" t="s">
        <v>27</v>
      </c>
      <c r="E156" s="251"/>
      <c r="F156" s="252"/>
      <c r="G156" s="253"/>
      <c r="H156" s="290"/>
      <c r="I156" s="253"/>
      <c r="J156" s="253"/>
      <c r="K156" s="251"/>
      <c r="L156" s="255"/>
      <c r="M156" s="258"/>
      <c r="N156" s="257"/>
      <c r="O156" s="258"/>
      <c r="P156" s="257"/>
      <c r="Q156" s="258"/>
      <c r="R156" s="257"/>
      <c r="S156" s="258"/>
      <c r="T156" s="257"/>
      <c r="U156" s="258"/>
      <c r="V156" s="257"/>
      <c r="W156" s="258"/>
      <c r="X156" s="257"/>
      <c r="Y156" s="258"/>
      <c r="Z156" s="257"/>
    </row>
    <row r="157" spans="1:26" ht="15" customHeight="1">
      <c r="A157" s="250"/>
      <c r="B157" s="251"/>
      <c r="C157" s="648"/>
      <c r="D157" s="292"/>
      <c r="E157" s="251"/>
      <c r="F157" s="252"/>
      <c r="G157" s="253"/>
      <c r="H157" s="290"/>
      <c r="I157" s="253"/>
      <c r="J157" s="253"/>
      <c r="K157" s="251"/>
      <c r="L157" s="255"/>
      <c r="M157" s="258"/>
      <c r="N157" s="257"/>
      <c r="O157" s="258"/>
      <c r="P157" s="257"/>
      <c r="Q157" s="258"/>
      <c r="R157" s="257"/>
      <c r="S157" s="258"/>
      <c r="T157" s="257"/>
      <c r="U157" s="258"/>
      <c r="V157" s="257"/>
      <c r="W157" s="258"/>
      <c r="X157" s="257"/>
      <c r="Y157" s="258"/>
      <c r="Z157" s="257"/>
    </row>
    <row r="158" spans="1:26" ht="15" customHeight="1">
      <c r="A158" s="250">
        <f>A155+1</f>
        <v>75</v>
      </c>
      <c r="B158" s="251"/>
      <c r="C158" s="647" t="s">
        <v>2317</v>
      </c>
      <c r="D158" s="526" t="s">
        <v>24</v>
      </c>
      <c r="E158" s="251" t="s">
        <v>2475</v>
      </c>
      <c r="F158" s="252">
        <f>M158+O158+Q158+S158+U158+W158+Y158</f>
        <v>160</v>
      </c>
      <c r="G158" s="253">
        <f>L158</f>
        <v>13.02</v>
      </c>
      <c r="H158" s="254">
        <f>INT(F158*G158*100+0.5)/100</f>
        <v>2083.1999999999998</v>
      </c>
      <c r="I158" s="253">
        <f>N158+P158+R158+T158+V158+X158+Z158</f>
        <v>2083.1999999999998</v>
      </c>
      <c r="J158" s="253"/>
      <c r="K158" s="251" t="s">
        <v>2475</v>
      </c>
      <c r="L158" s="255">
        <v>13.02</v>
      </c>
      <c r="M158" s="258">
        <v>40</v>
      </c>
      <c r="N158" s="257">
        <f>INT($L158*M158*100+0.5)/100</f>
        <v>520.79999999999995</v>
      </c>
      <c r="O158" s="258">
        <v>20</v>
      </c>
      <c r="P158" s="257">
        <f>INT($L158*O158*100+0.5)/100</f>
        <v>260.39999999999998</v>
      </c>
      <c r="Q158" s="258">
        <v>0</v>
      </c>
      <c r="R158" s="257">
        <f>INT($L158*Q158*100+0.5)/100</f>
        <v>0</v>
      </c>
      <c r="S158" s="258">
        <v>0</v>
      </c>
      <c r="T158" s="257">
        <f>INT($L158*S158*100+0.5)/100</f>
        <v>0</v>
      </c>
      <c r="U158" s="258">
        <v>100</v>
      </c>
      <c r="V158" s="257">
        <f>INT($L158*U158*100+0.5)/100</f>
        <v>1302</v>
      </c>
      <c r="W158" s="258">
        <v>0</v>
      </c>
      <c r="X158" s="257">
        <f>INT($L158*W158*100+0.5)/100</f>
        <v>0</v>
      </c>
      <c r="Y158" s="258">
        <v>0</v>
      </c>
      <c r="Z158" s="257">
        <f>INT($L158*Y158*100+0.5)/100</f>
        <v>0</v>
      </c>
    </row>
    <row r="159" spans="1:26" ht="15" customHeight="1">
      <c r="A159" s="250"/>
      <c r="B159" s="251"/>
      <c r="C159" s="648"/>
      <c r="D159" s="526" t="s">
        <v>25</v>
      </c>
      <c r="E159" s="251"/>
      <c r="F159" s="252"/>
      <c r="G159" s="253"/>
      <c r="H159" s="290"/>
      <c r="I159" s="253"/>
      <c r="J159" s="253"/>
      <c r="K159" s="251"/>
      <c r="L159" s="255"/>
      <c r="M159" s="258"/>
      <c r="N159" s="257"/>
      <c r="O159" s="258"/>
      <c r="P159" s="257"/>
      <c r="Q159" s="258"/>
      <c r="R159" s="257"/>
      <c r="S159" s="258"/>
      <c r="T159" s="257"/>
      <c r="U159" s="258"/>
      <c r="V159" s="257"/>
      <c r="W159" s="258"/>
      <c r="X159" s="257"/>
      <c r="Y159" s="258"/>
      <c r="Z159" s="257"/>
    </row>
    <row r="160" spans="1:26" ht="15" customHeight="1">
      <c r="A160" s="250"/>
      <c r="B160" s="251"/>
      <c r="C160" s="648"/>
      <c r="D160" s="292"/>
      <c r="E160" s="251"/>
      <c r="F160" s="252"/>
      <c r="G160" s="253"/>
      <c r="H160" s="290"/>
      <c r="I160" s="253"/>
      <c r="J160" s="253"/>
      <c r="K160" s="251"/>
      <c r="L160" s="255"/>
      <c r="M160" s="258"/>
      <c r="N160" s="257"/>
      <c r="O160" s="258"/>
      <c r="P160" s="257"/>
      <c r="Q160" s="258"/>
      <c r="R160" s="257"/>
      <c r="S160" s="258"/>
      <c r="T160" s="257"/>
      <c r="U160" s="258"/>
      <c r="V160" s="257"/>
      <c r="W160" s="258"/>
      <c r="X160" s="257"/>
      <c r="Y160" s="258"/>
      <c r="Z160" s="257"/>
    </row>
    <row r="161" spans="1:26" ht="15" customHeight="1">
      <c r="A161" s="250">
        <f>A158+1</f>
        <v>76</v>
      </c>
      <c r="B161" s="251"/>
      <c r="C161" s="647" t="s">
        <v>2318</v>
      </c>
      <c r="D161" s="526" t="s">
        <v>1</v>
      </c>
      <c r="E161" s="251" t="s">
        <v>2475</v>
      </c>
      <c r="F161" s="252">
        <f>M161+O161+Q161+S161+U161+W161+Y161</f>
        <v>0</v>
      </c>
      <c r="G161" s="253">
        <f>L161</f>
        <v>13.4</v>
      </c>
      <c r="H161" s="254">
        <f>INT(F161*G161*100+0.5)/100</f>
        <v>0</v>
      </c>
      <c r="I161" s="253">
        <f>N161+P161+R161+T161+V161+X161+Z161</f>
        <v>0</v>
      </c>
      <c r="J161" s="253"/>
      <c r="K161" s="251" t="s">
        <v>2475</v>
      </c>
      <c r="L161" s="255">
        <v>13.4</v>
      </c>
      <c r="M161" s="258">
        <v>0</v>
      </c>
      <c r="N161" s="257">
        <f>INT($L161*M161*100+0.5)/100</f>
        <v>0</v>
      </c>
      <c r="O161" s="258">
        <v>0</v>
      </c>
      <c r="P161" s="257">
        <f>INT($L161*O161*100+0.5)/100</f>
        <v>0</v>
      </c>
      <c r="Q161" s="258">
        <v>0</v>
      </c>
      <c r="R161" s="257">
        <f>INT($L161*Q161*100+0.5)/100</f>
        <v>0</v>
      </c>
      <c r="S161" s="258">
        <v>0</v>
      </c>
      <c r="T161" s="257">
        <f>INT($L161*S161*100+0.5)/100</f>
        <v>0</v>
      </c>
      <c r="U161" s="258">
        <v>0</v>
      </c>
      <c r="V161" s="257">
        <f>INT($L161*U161*100+0.5)/100</f>
        <v>0</v>
      </c>
      <c r="W161" s="258">
        <v>0</v>
      </c>
      <c r="X161" s="257">
        <f>INT($L161*W161*100+0.5)/100</f>
        <v>0</v>
      </c>
      <c r="Y161" s="258">
        <v>0</v>
      </c>
      <c r="Z161" s="257">
        <f>INT($L161*Y161*100+0.5)/100</f>
        <v>0</v>
      </c>
    </row>
    <row r="162" spans="1:26" ht="15" customHeight="1">
      <c r="A162" s="250"/>
      <c r="B162" s="251"/>
      <c r="C162" s="648"/>
      <c r="D162" s="526" t="s">
        <v>2</v>
      </c>
      <c r="E162" s="251"/>
      <c r="F162" s="252"/>
      <c r="G162" s="253"/>
      <c r="H162" s="290"/>
      <c r="I162" s="253"/>
      <c r="J162" s="253"/>
      <c r="K162" s="251"/>
      <c r="L162" s="255"/>
      <c r="M162" s="258"/>
      <c r="N162" s="257"/>
      <c r="O162" s="258"/>
      <c r="P162" s="257"/>
      <c r="Q162" s="258"/>
      <c r="R162" s="257"/>
      <c r="S162" s="258"/>
      <c r="T162" s="257"/>
      <c r="U162" s="258"/>
      <c r="V162" s="257"/>
      <c r="W162" s="258"/>
      <c r="X162" s="257"/>
      <c r="Y162" s="258"/>
      <c r="Z162" s="257"/>
    </row>
    <row r="163" spans="1:26" ht="15" customHeight="1">
      <c r="A163" s="250"/>
      <c r="B163" s="251"/>
      <c r="C163" s="648"/>
      <c r="D163" s="292"/>
      <c r="E163" s="251"/>
      <c r="F163" s="252"/>
      <c r="G163" s="253"/>
      <c r="H163" s="290"/>
      <c r="I163" s="253"/>
      <c r="J163" s="253"/>
      <c r="K163" s="251"/>
      <c r="L163" s="255"/>
      <c r="M163" s="258"/>
      <c r="N163" s="257"/>
      <c r="O163" s="258"/>
      <c r="P163" s="257"/>
      <c r="Q163" s="258"/>
      <c r="R163" s="257"/>
      <c r="S163" s="258"/>
      <c r="T163" s="257"/>
      <c r="U163" s="258"/>
      <c r="V163" s="257"/>
      <c r="W163" s="258"/>
      <c r="X163" s="257"/>
      <c r="Y163" s="258"/>
      <c r="Z163" s="257"/>
    </row>
    <row r="164" spans="1:26" ht="25.5">
      <c r="A164" s="250">
        <f>A161+1</f>
        <v>77</v>
      </c>
      <c r="B164" s="251"/>
      <c r="C164" s="647" t="s">
        <v>2319</v>
      </c>
      <c r="D164" s="526" t="s">
        <v>1532</v>
      </c>
      <c r="E164" s="251" t="s">
        <v>2475</v>
      </c>
      <c r="F164" s="252">
        <f>M164+O164+Q164+S164+U164+W164+Y164</f>
        <v>12</v>
      </c>
      <c r="G164" s="253">
        <f>L164</f>
        <v>42.2</v>
      </c>
      <c r="H164" s="254">
        <f>INT(F164*G164*100+0.5)/100</f>
        <v>506.4</v>
      </c>
      <c r="I164" s="253">
        <f>N164+P164+R164+T164+V164+X164+Z164</f>
        <v>506.4</v>
      </c>
      <c r="J164" s="253"/>
      <c r="K164" s="251" t="s">
        <v>2475</v>
      </c>
      <c r="L164" s="255">
        <v>42.2</v>
      </c>
      <c r="M164" s="258">
        <v>0</v>
      </c>
      <c r="N164" s="257">
        <f>INT($L164*M164*100+0.5)/100</f>
        <v>0</v>
      </c>
      <c r="O164" s="258">
        <v>0</v>
      </c>
      <c r="P164" s="257">
        <f>INT($L164*O164*100+0.5)/100</f>
        <v>0</v>
      </c>
      <c r="Q164" s="258">
        <v>12</v>
      </c>
      <c r="R164" s="257">
        <f>INT($L164*Q164*100+0.5)/100</f>
        <v>506.4</v>
      </c>
      <c r="S164" s="258">
        <v>0</v>
      </c>
      <c r="T164" s="257">
        <f>INT($L164*S164*100+0.5)/100</f>
        <v>0</v>
      </c>
      <c r="U164" s="258">
        <v>0</v>
      </c>
      <c r="V164" s="257">
        <f>INT($L164*U164*100+0.5)/100</f>
        <v>0</v>
      </c>
      <c r="W164" s="258">
        <v>0</v>
      </c>
      <c r="X164" s="257">
        <f>INT($L164*W164*100+0.5)/100</f>
        <v>0</v>
      </c>
      <c r="Y164" s="258">
        <v>0</v>
      </c>
      <c r="Z164" s="257">
        <f>INT($L164*Y164*100+0.5)/100</f>
        <v>0</v>
      </c>
    </row>
    <row r="165" spans="1:26" ht="25.5">
      <c r="A165" s="250"/>
      <c r="B165" s="251"/>
      <c r="C165" s="648"/>
      <c r="D165" s="526" t="s">
        <v>1533</v>
      </c>
      <c r="E165" s="251"/>
      <c r="F165" s="252"/>
      <c r="G165" s="253"/>
      <c r="H165" s="290"/>
      <c r="I165" s="253"/>
      <c r="J165" s="253"/>
      <c r="K165" s="251"/>
      <c r="L165" s="255"/>
      <c r="M165" s="258"/>
      <c r="N165" s="257"/>
      <c r="O165" s="258"/>
      <c r="P165" s="257"/>
      <c r="Q165" s="258"/>
      <c r="R165" s="257"/>
      <c r="S165" s="258"/>
      <c r="T165" s="257"/>
      <c r="U165" s="258"/>
      <c r="V165" s="257"/>
      <c r="W165" s="258"/>
      <c r="X165" s="257"/>
      <c r="Y165" s="258"/>
      <c r="Z165" s="257"/>
    </row>
    <row r="166" spans="1:26" ht="15" customHeight="1">
      <c r="A166" s="250"/>
      <c r="B166" s="251"/>
      <c r="C166" s="648"/>
      <c r="D166" s="292"/>
      <c r="E166" s="251"/>
      <c r="F166" s="252"/>
      <c r="G166" s="253"/>
      <c r="H166" s="290"/>
      <c r="I166" s="253"/>
      <c r="J166" s="253"/>
      <c r="K166" s="251"/>
      <c r="L166" s="255"/>
      <c r="M166" s="258"/>
      <c r="N166" s="257"/>
      <c r="O166" s="258"/>
      <c r="P166" s="257"/>
      <c r="Q166" s="258"/>
      <c r="R166" s="257"/>
      <c r="S166" s="258"/>
      <c r="T166" s="257"/>
      <c r="U166" s="258"/>
      <c r="V166" s="257"/>
      <c r="W166" s="258"/>
      <c r="X166" s="257"/>
      <c r="Y166" s="258"/>
      <c r="Z166" s="257"/>
    </row>
    <row r="167" spans="1:26" ht="38.25">
      <c r="A167" s="250">
        <f>A164+1</f>
        <v>78</v>
      </c>
      <c r="B167" s="251"/>
      <c r="C167" s="647" t="s">
        <v>2320</v>
      </c>
      <c r="D167" s="526" t="s">
        <v>1534</v>
      </c>
      <c r="E167" s="251" t="s">
        <v>2475</v>
      </c>
      <c r="F167" s="252">
        <f>M167+O167+Q167+S167+U167+W167+Y167</f>
        <v>66</v>
      </c>
      <c r="G167" s="253">
        <f>L167</f>
        <v>38.700000000000003</v>
      </c>
      <c r="H167" s="254">
        <f>INT(F167*G167*100+0.5)/100</f>
        <v>2554.1999999999998</v>
      </c>
      <c r="I167" s="253">
        <f>N167+P167+R167+T167+V167+X167+Z167</f>
        <v>2554.1999999999998</v>
      </c>
      <c r="J167" s="253"/>
      <c r="K167" s="251" t="s">
        <v>2475</v>
      </c>
      <c r="L167" s="255">
        <v>38.700000000000003</v>
      </c>
      <c r="M167" s="258">
        <f>M198</f>
        <v>66</v>
      </c>
      <c r="N167" s="257">
        <f>INT($L167*M167*100+0.5)/100</f>
        <v>2554.1999999999998</v>
      </c>
      <c r="O167" s="258">
        <v>0</v>
      </c>
      <c r="P167" s="257">
        <f>INT($L167*O167*100+0.5)/100</f>
        <v>0</v>
      </c>
      <c r="Q167" s="258">
        <v>0</v>
      </c>
      <c r="R167" s="257">
        <f>INT($L167*Q167*100+0.5)/100</f>
        <v>0</v>
      </c>
      <c r="S167" s="258">
        <v>0</v>
      </c>
      <c r="T167" s="257">
        <f>INT($L167*S167*100+0.5)/100</f>
        <v>0</v>
      </c>
      <c r="U167" s="258">
        <v>0</v>
      </c>
      <c r="V167" s="257">
        <f>INT($L167*U167*100+0.5)/100</f>
        <v>0</v>
      </c>
      <c r="W167" s="258">
        <v>0</v>
      </c>
      <c r="X167" s="257">
        <f>INT($L167*W167*100+0.5)/100</f>
        <v>0</v>
      </c>
      <c r="Y167" s="258">
        <v>0</v>
      </c>
      <c r="Z167" s="257">
        <f>INT($L167*Y167*100+0.5)/100</f>
        <v>0</v>
      </c>
    </row>
    <row r="168" spans="1:26" ht="25.5">
      <c r="A168" s="250"/>
      <c r="B168" s="251"/>
      <c r="C168" s="648"/>
      <c r="D168" s="526" t="s">
        <v>1535</v>
      </c>
      <c r="E168" s="251"/>
      <c r="F168" s="252"/>
      <c r="G168" s="253"/>
      <c r="H168" s="290"/>
      <c r="I168" s="253"/>
      <c r="J168" s="253"/>
      <c r="K168" s="251"/>
      <c r="L168" s="255"/>
      <c r="M168" s="258"/>
      <c r="N168" s="257"/>
      <c r="O168" s="258"/>
      <c r="P168" s="257"/>
      <c r="Q168" s="258"/>
      <c r="R168" s="257"/>
      <c r="S168" s="258"/>
      <c r="T168" s="257"/>
      <c r="U168" s="258"/>
      <c r="V168" s="257"/>
      <c r="W168" s="258"/>
      <c r="X168" s="257"/>
      <c r="Y168" s="258"/>
      <c r="Z168" s="257"/>
    </row>
    <row r="169" spans="1:26" ht="15" customHeight="1">
      <c r="A169" s="250"/>
      <c r="B169" s="251"/>
      <c r="C169" s="648"/>
      <c r="D169" s="292"/>
      <c r="E169" s="251"/>
      <c r="F169" s="252"/>
      <c r="G169" s="253"/>
      <c r="H169" s="290"/>
      <c r="I169" s="253"/>
      <c r="J169" s="253"/>
      <c r="K169" s="251"/>
      <c r="L169" s="255"/>
      <c r="M169" s="258"/>
      <c r="N169" s="257"/>
      <c r="O169" s="258"/>
      <c r="P169" s="257"/>
      <c r="Q169" s="258"/>
      <c r="R169" s="257"/>
      <c r="S169" s="258"/>
      <c r="T169" s="257"/>
      <c r="U169" s="258"/>
      <c r="V169" s="257"/>
      <c r="W169" s="258"/>
      <c r="X169" s="257"/>
      <c r="Y169" s="258"/>
      <c r="Z169" s="257"/>
    </row>
    <row r="170" spans="1:26" ht="25.5">
      <c r="A170" s="250">
        <f>A167+1</f>
        <v>79</v>
      </c>
      <c r="B170" s="251"/>
      <c r="C170" s="647" t="s">
        <v>2321</v>
      </c>
      <c r="D170" s="526" t="s">
        <v>1536</v>
      </c>
      <c r="E170" s="251" t="s">
        <v>2475</v>
      </c>
      <c r="F170" s="252">
        <f>M170+O170+Q170+S170+U170+W170+Y170</f>
        <v>1470</v>
      </c>
      <c r="G170" s="253">
        <f>L170</f>
        <v>13.61</v>
      </c>
      <c r="H170" s="254">
        <f>INT(F170*G170*100+0.5)/100</f>
        <v>20006.7</v>
      </c>
      <c r="I170" s="253">
        <f>N170+P170+R170+T170+V170+X170+Z170</f>
        <v>20006.7</v>
      </c>
      <c r="J170" s="253"/>
      <c r="K170" s="251" t="s">
        <v>2475</v>
      </c>
      <c r="L170" s="255">
        <v>13.61</v>
      </c>
      <c r="M170" s="258">
        <v>0</v>
      </c>
      <c r="N170" s="257">
        <f>INT($L170*M170*100+0.5)/100</f>
        <v>0</v>
      </c>
      <c r="O170" s="258">
        <v>0</v>
      </c>
      <c r="P170" s="257">
        <f>INT($L170*O170*100+0.5)/100</f>
        <v>0</v>
      </c>
      <c r="Q170" s="258">
        <v>0</v>
      </c>
      <c r="R170" s="257">
        <f>INT($L170*Q170*100+0.5)/100</f>
        <v>0</v>
      </c>
      <c r="S170" s="258">
        <v>0</v>
      </c>
      <c r="T170" s="257">
        <f>INT($L170*S170*100+0.5)/100</f>
        <v>0</v>
      </c>
      <c r="U170" s="258">
        <f>2*690+40+10+40</f>
        <v>1470</v>
      </c>
      <c r="V170" s="257">
        <f>INT($L170*U170*100+0.5)/100</f>
        <v>20006.7</v>
      </c>
      <c r="W170" s="258">
        <v>0</v>
      </c>
      <c r="X170" s="257">
        <f>INT($L170*W170*100+0.5)/100</f>
        <v>0</v>
      </c>
      <c r="Y170" s="258">
        <v>0</v>
      </c>
      <c r="Z170" s="257">
        <f>INT($L170*Y170*100+0.5)/100</f>
        <v>0</v>
      </c>
    </row>
    <row r="171" spans="1:26" ht="15" customHeight="1">
      <c r="A171" s="250"/>
      <c r="B171" s="251"/>
      <c r="C171" s="648"/>
      <c r="D171" s="526" t="s">
        <v>1537</v>
      </c>
      <c r="E171" s="251"/>
      <c r="F171" s="252"/>
      <c r="G171" s="253"/>
      <c r="H171" s="290"/>
      <c r="I171" s="253"/>
      <c r="J171" s="253"/>
      <c r="K171" s="251"/>
      <c r="L171" s="255"/>
      <c r="M171" s="258"/>
      <c r="N171" s="257"/>
      <c r="O171" s="258"/>
      <c r="P171" s="257"/>
      <c r="Q171" s="258"/>
      <c r="R171" s="257"/>
      <c r="S171" s="258"/>
      <c r="T171" s="257"/>
      <c r="U171" s="258"/>
      <c r="V171" s="257"/>
      <c r="W171" s="258"/>
      <c r="X171" s="257"/>
      <c r="Y171" s="258"/>
      <c r="Z171" s="257"/>
    </row>
    <row r="172" spans="1:26" ht="15" customHeight="1">
      <c r="A172" s="250"/>
      <c r="B172" s="251"/>
      <c r="C172" s="648"/>
      <c r="D172" s="292"/>
      <c r="E172" s="251"/>
      <c r="F172" s="252"/>
      <c r="G172" s="253"/>
      <c r="H172" s="290"/>
      <c r="I172" s="253"/>
      <c r="J172" s="253"/>
      <c r="K172" s="251"/>
      <c r="L172" s="255"/>
      <c r="M172" s="258"/>
      <c r="N172" s="257"/>
      <c r="O172" s="258"/>
      <c r="P172" s="257"/>
      <c r="Q172" s="258"/>
      <c r="R172" s="257"/>
      <c r="S172" s="258"/>
      <c r="T172" s="257"/>
      <c r="U172" s="258"/>
      <c r="V172" s="257"/>
      <c r="W172" s="258"/>
      <c r="X172" s="257"/>
      <c r="Y172" s="258"/>
      <c r="Z172" s="257"/>
    </row>
    <row r="173" spans="1:26" ht="15" customHeight="1">
      <c r="A173" s="250">
        <f>A170+1</f>
        <v>80</v>
      </c>
      <c r="B173" s="251"/>
      <c r="C173" s="647" t="s">
        <v>2455</v>
      </c>
      <c r="D173" s="526" t="s">
        <v>1538</v>
      </c>
      <c r="E173" s="251" t="s">
        <v>2475</v>
      </c>
      <c r="F173" s="252">
        <f>M173+O173+Q173+S173+U173+W173+Y173</f>
        <v>2</v>
      </c>
      <c r="G173" s="253">
        <f>L173</f>
        <v>190</v>
      </c>
      <c r="H173" s="254">
        <f>INT(F173*G173*100+0.5)/100</f>
        <v>380</v>
      </c>
      <c r="I173" s="253">
        <f>N173+P173+R173+T173+V173+X173+Z173</f>
        <v>380</v>
      </c>
      <c r="J173" s="253"/>
      <c r="K173" s="251" t="s">
        <v>2475</v>
      </c>
      <c r="L173" s="255">
        <v>190</v>
      </c>
      <c r="M173" s="258">
        <v>2</v>
      </c>
      <c r="N173" s="257">
        <f>INT($L173*M173*100+0.5)/100</f>
        <v>380</v>
      </c>
      <c r="O173" s="258">
        <v>0</v>
      </c>
      <c r="P173" s="257">
        <f>INT($L173*O173*100+0.5)/100</f>
        <v>0</v>
      </c>
      <c r="Q173" s="258">
        <v>0</v>
      </c>
      <c r="R173" s="257">
        <f>INT($L173*Q173*100+0.5)/100</f>
        <v>0</v>
      </c>
      <c r="S173" s="258">
        <v>0</v>
      </c>
      <c r="T173" s="257">
        <f>INT($L173*S173*100+0.5)/100</f>
        <v>0</v>
      </c>
      <c r="U173" s="258">
        <v>0</v>
      </c>
      <c r="V173" s="257">
        <f>INT($L173*U173*100+0.5)/100</f>
        <v>0</v>
      </c>
      <c r="W173" s="258">
        <v>0</v>
      </c>
      <c r="X173" s="257">
        <f>INT($L173*W173*100+0.5)/100</f>
        <v>0</v>
      </c>
      <c r="Y173" s="258">
        <v>0</v>
      </c>
      <c r="Z173" s="257">
        <f>INT($L173*Y173*100+0.5)/100</f>
        <v>0</v>
      </c>
    </row>
    <row r="174" spans="1:26" ht="15" customHeight="1">
      <c r="A174" s="250"/>
      <c r="B174" s="251"/>
      <c r="C174" s="648"/>
      <c r="D174" s="526" t="s">
        <v>2456</v>
      </c>
      <c r="E174" s="251"/>
      <c r="F174" s="252"/>
      <c r="G174" s="253"/>
      <c r="H174" s="290"/>
      <c r="I174" s="253"/>
      <c r="J174" s="253"/>
      <c r="K174" s="251"/>
      <c r="L174" s="255"/>
      <c r="M174" s="258"/>
      <c r="N174" s="257"/>
      <c r="O174" s="258"/>
      <c r="P174" s="257"/>
      <c r="Q174" s="258"/>
      <c r="R174" s="257"/>
      <c r="S174" s="258"/>
      <c r="T174" s="257"/>
      <c r="U174" s="258"/>
      <c r="V174" s="257"/>
      <c r="W174" s="258"/>
      <c r="X174" s="257"/>
      <c r="Y174" s="258"/>
      <c r="Z174" s="257"/>
    </row>
    <row r="175" spans="1:26" ht="15" customHeight="1">
      <c r="A175" s="250"/>
      <c r="B175" s="251"/>
      <c r="C175" s="648"/>
      <c r="D175" s="292"/>
      <c r="E175" s="251"/>
      <c r="F175" s="252"/>
      <c r="G175" s="253"/>
      <c r="H175" s="290"/>
      <c r="I175" s="253"/>
      <c r="J175" s="253"/>
      <c r="K175" s="251"/>
      <c r="L175" s="255"/>
      <c r="M175" s="258"/>
      <c r="N175" s="257"/>
      <c r="O175" s="258"/>
      <c r="P175" s="257"/>
      <c r="Q175" s="258"/>
      <c r="R175" s="257"/>
      <c r="S175" s="258"/>
      <c r="T175" s="257"/>
      <c r="U175" s="258"/>
      <c r="V175" s="257"/>
      <c r="W175" s="258"/>
      <c r="X175" s="257"/>
      <c r="Y175" s="258"/>
      <c r="Z175" s="257"/>
    </row>
    <row r="176" spans="1:26" s="247" customFormat="1" ht="15" customHeight="1">
      <c r="A176" s="284">
        <f>A173+1</f>
        <v>81</v>
      </c>
      <c r="B176" s="237"/>
      <c r="C176" s="652" t="s">
        <v>1528</v>
      </c>
      <c r="D176" s="532" t="s">
        <v>1526</v>
      </c>
      <c r="E176" s="237" t="s">
        <v>1901</v>
      </c>
      <c r="F176" s="252">
        <f>M176+O176+Q176+S176+U176+W176+Y176</f>
        <v>32</v>
      </c>
      <c r="G176" s="240">
        <f>L176</f>
        <v>35.53</v>
      </c>
      <c r="H176" s="244">
        <f>INT(F176*G176*100+0.5)/100</f>
        <v>1136.96</v>
      </c>
      <c r="I176" s="253">
        <f>N176+P176+R176+T176+V176+X176+Z176</f>
        <v>1136.96</v>
      </c>
      <c r="J176" s="240"/>
      <c r="K176" s="237" t="s">
        <v>1901</v>
      </c>
      <c r="L176" s="306">
        <v>35.53</v>
      </c>
      <c r="M176" s="289">
        <v>0</v>
      </c>
      <c r="N176" s="245">
        <f>INT($L176*M176*100+0.5)/100</f>
        <v>0</v>
      </c>
      <c r="O176" s="289">
        <v>0</v>
      </c>
      <c r="P176" s="245">
        <f>INT($L176*O176*100+0.5)/100</f>
        <v>0</v>
      </c>
      <c r="Q176" s="289">
        <v>0</v>
      </c>
      <c r="R176" s="245">
        <f>INT($L176*Q176*100+0.5)/100</f>
        <v>0</v>
      </c>
      <c r="S176" s="289">
        <v>0</v>
      </c>
      <c r="T176" s="245">
        <f>INT($L176*S176*100+0.5)/100</f>
        <v>0</v>
      </c>
      <c r="U176" s="289">
        <v>32</v>
      </c>
      <c r="V176" s="245">
        <f>INT($L176*U176*100+0.5)/100</f>
        <v>1136.96</v>
      </c>
      <c r="W176" s="289">
        <v>0</v>
      </c>
      <c r="X176" s="245">
        <f>INT($L176*W176*100+0.5)/100</f>
        <v>0</v>
      </c>
      <c r="Y176" s="289">
        <v>0</v>
      </c>
      <c r="Z176" s="245">
        <f>INT($L176*Y176*100+0.5)/100</f>
        <v>0</v>
      </c>
    </row>
    <row r="177" spans="1:26" s="247" customFormat="1" ht="15" customHeight="1">
      <c r="A177" s="284"/>
      <c r="B177" s="237"/>
      <c r="C177" s="653"/>
      <c r="D177" s="532" t="s">
        <v>1527</v>
      </c>
      <c r="E177" s="237"/>
      <c r="F177" s="304"/>
      <c r="G177" s="240"/>
      <c r="H177" s="490"/>
      <c r="I177" s="240"/>
      <c r="J177" s="240"/>
      <c r="K177" s="237"/>
      <c r="L177" s="306"/>
      <c r="M177" s="289"/>
      <c r="N177" s="245"/>
      <c r="O177" s="289"/>
      <c r="P177" s="245"/>
      <c r="Q177" s="289"/>
      <c r="R177" s="245"/>
      <c r="S177" s="289"/>
      <c r="T177" s="245"/>
      <c r="U177" s="289"/>
      <c r="V177" s="245"/>
      <c r="W177" s="289"/>
      <c r="X177" s="245"/>
      <c r="Y177" s="289"/>
      <c r="Z177" s="245"/>
    </row>
    <row r="178" spans="1:26" s="247" customFormat="1" ht="15" customHeight="1">
      <c r="A178" s="284"/>
      <c r="B178" s="237"/>
      <c r="C178" s="653"/>
      <c r="D178" s="532"/>
      <c r="E178" s="237"/>
      <c r="F178" s="304"/>
      <c r="G178" s="240"/>
      <c r="H178" s="490"/>
      <c r="I178" s="240"/>
      <c r="J178" s="240"/>
      <c r="K178" s="237"/>
      <c r="L178" s="306"/>
      <c r="M178" s="289"/>
      <c r="N178" s="245"/>
      <c r="O178" s="289"/>
      <c r="P178" s="245"/>
      <c r="Q178" s="289"/>
      <c r="R178" s="245"/>
      <c r="S178" s="289"/>
      <c r="T178" s="245"/>
      <c r="U178" s="289"/>
      <c r="V178" s="245"/>
      <c r="W178" s="289"/>
      <c r="X178" s="245"/>
      <c r="Y178" s="289"/>
      <c r="Z178" s="245"/>
    </row>
    <row r="179" spans="1:26" ht="15">
      <c r="A179" s="250">
        <f>A176+1</f>
        <v>82</v>
      </c>
      <c r="B179" s="251"/>
      <c r="C179" s="647" t="s">
        <v>2322</v>
      </c>
      <c r="D179" s="526" t="s">
        <v>1529</v>
      </c>
      <c r="E179" s="251" t="s">
        <v>1898</v>
      </c>
      <c r="F179" s="252">
        <f>M179+O179+Q179+S179+U179+W179+Y179</f>
        <v>160</v>
      </c>
      <c r="G179" s="253">
        <f>L179</f>
        <v>26.47</v>
      </c>
      <c r="H179" s="254">
        <f>INT(F179*G179*100+0.5)/100</f>
        <v>4235.2</v>
      </c>
      <c r="I179" s="253">
        <f>N179+P179+R179+T179+V179+X179+Z179</f>
        <v>4235.2</v>
      </c>
      <c r="J179" s="253"/>
      <c r="K179" s="251" t="s">
        <v>1898</v>
      </c>
      <c r="L179" s="255">
        <v>26.47</v>
      </c>
      <c r="M179" s="258">
        <f>M158</f>
        <v>40</v>
      </c>
      <c r="N179" s="257">
        <f>INT($L179*M179*100+0.5)/100</f>
        <v>1058.8</v>
      </c>
      <c r="O179" s="258">
        <f>O158</f>
        <v>20</v>
      </c>
      <c r="P179" s="257">
        <f>INT($L179*O179*100+0.5)/100</f>
        <v>529.4</v>
      </c>
      <c r="Q179" s="258">
        <f>Q158</f>
        <v>0</v>
      </c>
      <c r="R179" s="257">
        <f>INT($L179*Q179*100+0.5)/100</f>
        <v>0</v>
      </c>
      <c r="S179" s="258">
        <f>S158</f>
        <v>0</v>
      </c>
      <c r="T179" s="257">
        <f>INT($L179*S179*100+0.5)/100</f>
        <v>0</v>
      </c>
      <c r="U179" s="258">
        <f>U158</f>
        <v>100</v>
      </c>
      <c r="V179" s="257">
        <f>INT($L179*U179*100+0.5)/100</f>
        <v>2647</v>
      </c>
      <c r="W179" s="258">
        <v>0</v>
      </c>
      <c r="X179" s="257">
        <f>INT($L179*W179*100+0.5)/100</f>
        <v>0</v>
      </c>
      <c r="Y179" s="258">
        <v>0</v>
      </c>
      <c r="Z179" s="257">
        <f>INT($L179*Y179*100+0.5)/100</f>
        <v>0</v>
      </c>
    </row>
    <row r="180" spans="1:26" ht="15" customHeight="1">
      <c r="A180" s="250"/>
      <c r="B180" s="251"/>
      <c r="C180" s="526"/>
      <c r="D180" s="526" t="s">
        <v>1530</v>
      </c>
      <c r="E180" s="251"/>
      <c r="F180" s="252"/>
      <c r="G180" s="253"/>
      <c r="H180" s="254"/>
      <c r="I180" s="253"/>
      <c r="J180" s="253"/>
      <c r="K180" s="251"/>
      <c r="L180" s="261"/>
      <c r="M180" s="258"/>
      <c r="N180" s="257"/>
      <c r="O180" s="258"/>
      <c r="P180" s="257"/>
      <c r="Q180" s="258"/>
      <c r="R180" s="257"/>
      <c r="S180" s="258"/>
      <c r="T180" s="257"/>
      <c r="U180" s="258"/>
      <c r="V180" s="257"/>
      <c r="W180" s="258"/>
      <c r="X180" s="257"/>
      <c r="Y180" s="258"/>
      <c r="Z180" s="257"/>
    </row>
    <row r="181" spans="1:26" ht="15" customHeight="1">
      <c r="A181" s="250"/>
      <c r="B181" s="251"/>
      <c r="C181" s="251"/>
      <c r="D181" s="292"/>
      <c r="E181" s="251"/>
      <c r="F181" s="252"/>
      <c r="G181" s="253"/>
      <c r="H181" s="290"/>
      <c r="I181" s="253"/>
      <c r="J181" s="253"/>
      <c r="K181" s="251"/>
      <c r="L181" s="255"/>
      <c r="M181" s="258"/>
      <c r="N181" s="257"/>
      <c r="O181" s="258"/>
      <c r="P181" s="257"/>
      <c r="Q181" s="258"/>
      <c r="R181" s="257"/>
      <c r="S181" s="258"/>
      <c r="T181" s="257"/>
      <c r="U181" s="258"/>
      <c r="V181" s="257"/>
      <c r="W181" s="258"/>
      <c r="X181" s="257"/>
      <c r="Y181" s="258"/>
      <c r="Z181" s="257"/>
    </row>
    <row r="182" spans="1:26" ht="15">
      <c r="A182" s="250">
        <f>A179+1</f>
        <v>83</v>
      </c>
      <c r="B182" s="251"/>
      <c r="C182" s="647" t="s">
        <v>2323</v>
      </c>
      <c r="D182" s="526" t="s">
        <v>8</v>
      </c>
      <c r="E182" s="251" t="s">
        <v>1898</v>
      </c>
      <c r="F182" s="252">
        <f>M182+O182+Q182+S182+U182+W182+Y182</f>
        <v>0</v>
      </c>
      <c r="G182" s="253">
        <f>L182</f>
        <v>27.22</v>
      </c>
      <c r="H182" s="254">
        <f>INT(F182*G182*100+0.5)/100</f>
        <v>0</v>
      </c>
      <c r="I182" s="253">
        <f>N182+P182+R182+T182+V182+X182+Z182</f>
        <v>0</v>
      </c>
      <c r="J182" s="253"/>
      <c r="K182" s="251" t="s">
        <v>1898</v>
      </c>
      <c r="L182" s="255">
        <v>27.22</v>
      </c>
      <c r="M182" s="258">
        <v>0</v>
      </c>
      <c r="N182" s="257">
        <f>INT($L182*M182*100+0.5)/100</f>
        <v>0</v>
      </c>
      <c r="O182" s="258">
        <v>0</v>
      </c>
      <c r="P182" s="257">
        <f>INT($L182*O182*100+0.5)/100</f>
        <v>0</v>
      </c>
      <c r="Q182" s="258">
        <v>0</v>
      </c>
      <c r="R182" s="257">
        <f>INT($L182*Q182*100+0.5)/100</f>
        <v>0</v>
      </c>
      <c r="S182" s="258">
        <v>0</v>
      </c>
      <c r="T182" s="257">
        <f>INT($L182*S182*100+0.5)/100</f>
        <v>0</v>
      </c>
      <c r="U182" s="258">
        <v>0</v>
      </c>
      <c r="V182" s="257">
        <f>INT($L182*U182*100+0.5)/100</f>
        <v>0</v>
      </c>
      <c r="W182" s="258">
        <v>0</v>
      </c>
      <c r="X182" s="257">
        <f>INT($L182*W182*100+0.5)/100</f>
        <v>0</v>
      </c>
      <c r="Y182" s="258">
        <v>0</v>
      </c>
      <c r="Z182" s="257">
        <f>INT($L182*Y182*100+0.5)/100</f>
        <v>0</v>
      </c>
    </row>
    <row r="183" spans="1:26" ht="15" customHeight="1">
      <c r="A183" s="250"/>
      <c r="B183" s="251"/>
      <c r="C183" s="647"/>
      <c r="D183" s="526" t="s">
        <v>7</v>
      </c>
      <c r="E183" s="251"/>
      <c r="F183" s="252"/>
      <c r="G183" s="253"/>
      <c r="H183" s="254"/>
      <c r="I183" s="253"/>
      <c r="J183" s="253"/>
      <c r="K183" s="251"/>
      <c r="L183" s="261"/>
      <c r="M183" s="258"/>
      <c r="N183" s="257"/>
      <c r="O183" s="258"/>
      <c r="P183" s="257"/>
      <c r="Q183" s="258"/>
      <c r="R183" s="257"/>
      <c r="S183" s="258"/>
      <c r="T183" s="257"/>
      <c r="U183" s="258"/>
      <c r="V183" s="257"/>
      <c r="W183" s="258"/>
      <c r="X183" s="257"/>
      <c r="Y183" s="258"/>
      <c r="Z183" s="257"/>
    </row>
    <row r="184" spans="1:26" ht="15" customHeight="1">
      <c r="A184" s="250"/>
      <c r="B184" s="251"/>
      <c r="C184" s="647"/>
      <c r="D184" s="292"/>
      <c r="E184" s="251"/>
      <c r="F184" s="252"/>
      <c r="G184" s="253"/>
      <c r="H184" s="254"/>
      <c r="I184" s="253"/>
      <c r="J184" s="253"/>
      <c r="K184" s="251"/>
      <c r="L184" s="261"/>
      <c r="M184" s="258"/>
      <c r="N184" s="257"/>
      <c r="O184" s="258"/>
      <c r="P184" s="257"/>
      <c r="Q184" s="258"/>
      <c r="R184" s="257"/>
      <c r="S184" s="258"/>
      <c r="T184" s="257"/>
      <c r="U184" s="258"/>
      <c r="V184" s="257"/>
      <c r="W184" s="258"/>
      <c r="X184" s="257"/>
      <c r="Y184" s="258"/>
      <c r="Z184" s="257"/>
    </row>
    <row r="185" spans="1:26" ht="15">
      <c r="A185" s="250">
        <f>A182+1</f>
        <v>84</v>
      </c>
      <c r="B185" s="251"/>
      <c r="C185" s="647" t="s">
        <v>2324</v>
      </c>
      <c r="D185" s="526" t="s">
        <v>678</v>
      </c>
      <c r="E185" s="251" t="s">
        <v>1898</v>
      </c>
      <c r="F185" s="252">
        <f>M185+O185+Q185+S185+U185+W185+Y185</f>
        <v>0</v>
      </c>
      <c r="G185" s="253">
        <f>L185</f>
        <v>31.5</v>
      </c>
      <c r="H185" s="254">
        <f>INT(F185*G185*100+0.5)/100</f>
        <v>0</v>
      </c>
      <c r="I185" s="253">
        <f>N185+P185+R185+T185+V185+X185+Z185</f>
        <v>0</v>
      </c>
      <c r="J185" s="253"/>
      <c r="K185" s="251" t="s">
        <v>1898</v>
      </c>
      <c r="L185" s="262">
        <v>31.5</v>
      </c>
      <c r="M185" s="258">
        <v>0</v>
      </c>
      <c r="N185" s="257">
        <f>INT($L185*M185*100+0.5)/100</f>
        <v>0</v>
      </c>
      <c r="O185" s="258">
        <v>0</v>
      </c>
      <c r="P185" s="257">
        <f>INT($L185*O185*100+0.5)/100</f>
        <v>0</v>
      </c>
      <c r="Q185" s="258">
        <v>0</v>
      </c>
      <c r="R185" s="257">
        <f>INT($L185*Q185*100+0.5)/100</f>
        <v>0</v>
      </c>
      <c r="S185" s="258">
        <v>0</v>
      </c>
      <c r="T185" s="257">
        <f>INT($L185*S185*100+0.5)/100</f>
        <v>0</v>
      </c>
      <c r="U185" s="258">
        <v>0</v>
      </c>
      <c r="V185" s="257">
        <f>INT($L185*U185*100+0.5)/100</f>
        <v>0</v>
      </c>
      <c r="W185" s="258">
        <v>0</v>
      </c>
      <c r="X185" s="257">
        <f>INT($L185*W185*100+0.5)/100</f>
        <v>0</v>
      </c>
      <c r="Y185" s="258">
        <v>0</v>
      </c>
      <c r="Z185" s="257">
        <f>INT($L185*Y185*100+0.5)/100</f>
        <v>0</v>
      </c>
    </row>
    <row r="186" spans="1:26" ht="15" customHeight="1">
      <c r="A186" s="250"/>
      <c r="B186" s="251"/>
      <c r="C186" s="647"/>
      <c r="D186" s="526" t="s">
        <v>677</v>
      </c>
      <c r="E186" s="251"/>
      <c r="F186" s="252"/>
      <c r="G186" s="253"/>
      <c r="H186" s="254"/>
      <c r="I186" s="253"/>
      <c r="J186" s="253"/>
      <c r="K186" s="251"/>
      <c r="L186" s="261"/>
      <c r="M186" s="258"/>
      <c r="N186" s="257"/>
      <c r="O186" s="258"/>
      <c r="P186" s="257"/>
      <c r="Q186" s="258"/>
      <c r="R186" s="257"/>
      <c r="S186" s="258"/>
      <c r="T186" s="257"/>
      <c r="U186" s="258"/>
      <c r="V186" s="257"/>
      <c r="W186" s="258"/>
      <c r="X186" s="257"/>
      <c r="Y186" s="258"/>
      <c r="Z186" s="257"/>
    </row>
    <row r="187" spans="1:26" ht="15" customHeight="1">
      <c r="A187" s="250"/>
      <c r="B187" s="251"/>
      <c r="C187" s="649"/>
      <c r="D187" s="292"/>
      <c r="E187" s="251"/>
      <c r="F187" s="252"/>
      <c r="G187" s="253"/>
      <c r="H187" s="254"/>
      <c r="I187" s="253"/>
      <c r="J187" s="253"/>
      <c r="K187" s="251"/>
      <c r="L187" s="261"/>
      <c r="M187" s="258"/>
      <c r="N187" s="257"/>
      <c r="O187" s="258"/>
      <c r="P187" s="257"/>
      <c r="Q187" s="258"/>
      <c r="R187" s="257"/>
      <c r="S187" s="258"/>
      <c r="T187" s="257"/>
      <c r="U187" s="258"/>
      <c r="V187" s="257"/>
      <c r="W187" s="258"/>
      <c r="X187" s="257"/>
      <c r="Y187" s="258"/>
      <c r="Z187" s="257"/>
    </row>
    <row r="188" spans="1:26" ht="15" customHeight="1">
      <c r="A188" s="250">
        <f>A185+1</f>
        <v>85</v>
      </c>
      <c r="B188" s="251"/>
      <c r="C188" s="647" t="s">
        <v>2325</v>
      </c>
      <c r="D188" s="526" t="s">
        <v>680</v>
      </c>
      <c r="E188" s="251" t="s">
        <v>2475</v>
      </c>
      <c r="F188" s="252">
        <f>M188+O188+Q188+S188+U188+W188+Y188</f>
        <v>0</v>
      </c>
      <c r="G188" s="253">
        <f>L188</f>
        <v>8.4</v>
      </c>
      <c r="H188" s="254">
        <f>INT(F188*G188*100+0.5)/100</f>
        <v>0</v>
      </c>
      <c r="I188" s="253">
        <f>N188+P188+R188+T188+V188+X188+Z188</f>
        <v>0</v>
      </c>
      <c r="J188" s="253"/>
      <c r="K188" s="251" t="s">
        <v>2475</v>
      </c>
      <c r="L188" s="262">
        <v>8.4</v>
      </c>
      <c r="M188" s="258">
        <v>0</v>
      </c>
      <c r="N188" s="257">
        <f>INT($L188*M188*100+0.5)/100</f>
        <v>0</v>
      </c>
      <c r="O188" s="258">
        <v>0</v>
      </c>
      <c r="P188" s="257">
        <f>INT($L188*O188*100+0.5)/100</f>
        <v>0</v>
      </c>
      <c r="Q188" s="258">
        <v>0</v>
      </c>
      <c r="R188" s="257">
        <f>INT($L188*Q188*100+0.5)/100</f>
        <v>0</v>
      </c>
      <c r="S188" s="258">
        <v>0</v>
      </c>
      <c r="T188" s="257">
        <f>INT($L188*S188*100+0.5)/100</f>
        <v>0</v>
      </c>
      <c r="U188" s="258">
        <v>0</v>
      </c>
      <c r="V188" s="257">
        <f>INT($L188*U188*100+0.5)/100</f>
        <v>0</v>
      </c>
      <c r="W188" s="258">
        <v>0</v>
      </c>
      <c r="X188" s="257">
        <f>INT($L188*W188*100+0.5)/100</f>
        <v>0</v>
      </c>
      <c r="Y188" s="258">
        <v>0</v>
      </c>
      <c r="Z188" s="257">
        <f>INT($L188*Y188*100+0.5)/100</f>
        <v>0</v>
      </c>
    </row>
    <row r="189" spans="1:26" ht="15">
      <c r="A189" s="250"/>
      <c r="B189" s="251"/>
      <c r="C189" s="647"/>
      <c r="D189" s="526" t="s">
        <v>679</v>
      </c>
      <c r="E189" s="251"/>
      <c r="F189" s="252"/>
      <c r="G189" s="253"/>
      <c r="H189" s="254"/>
      <c r="I189" s="253"/>
      <c r="J189" s="253"/>
      <c r="K189" s="251"/>
      <c r="L189" s="261"/>
      <c r="M189" s="258"/>
      <c r="N189" s="257"/>
      <c r="O189" s="258"/>
      <c r="P189" s="257"/>
      <c r="Q189" s="258"/>
      <c r="R189" s="257"/>
      <c r="S189" s="258"/>
      <c r="T189" s="257"/>
      <c r="U189" s="258"/>
      <c r="V189" s="257"/>
      <c r="W189" s="258"/>
      <c r="X189" s="257"/>
      <c r="Y189" s="258"/>
      <c r="Z189" s="257"/>
    </row>
    <row r="190" spans="1:26" ht="15" customHeight="1">
      <c r="A190" s="250"/>
      <c r="B190" s="251"/>
      <c r="C190" s="647"/>
      <c r="D190" s="292"/>
      <c r="E190" s="251"/>
      <c r="F190" s="252"/>
      <c r="G190" s="253"/>
      <c r="H190" s="254"/>
      <c r="I190" s="253"/>
      <c r="J190" s="253"/>
      <c r="K190" s="251"/>
      <c r="L190" s="261"/>
      <c r="M190" s="258"/>
      <c r="N190" s="257"/>
      <c r="O190" s="258"/>
      <c r="P190" s="257"/>
      <c r="Q190" s="258"/>
      <c r="R190" s="257"/>
      <c r="S190" s="258"/>
      <c r="T190" s="257"/>
      <c r="U190" s="258"/>
      <c r="V190" s="257"/>
      <c r="W190" s="258"/>
      <c r="X190" s="257"/>
      <c r="Y190" s="258"/>
      <c r="Z190" s="257"/>
    </row>
    <row r="191" spans="1:26" ht="15" customHeight="1">
      <c r="A191" s="250">
        <f>A188+1</f>
        <v>86</v>
      </c>
      <c r="B191" s="251"/>
      <c r="C191" s="654" t="s">
        <v>1321</v>
      </c>
      <c r="D191" s="526" t="s">
        <v>1531</v>
      </c>
      <c r="E191" s="251" t="s">
        <v>1901</v>
      </c>
      <c r="F191" s="252"/>
      <c r="G191" s="253"/>
      <c r="H191" s="254"/>
      <c r="I191" s="253"/>
      <c r="J191" s="253"/>
      <c r="K191" s="251" t="s">
        <v>1901</v>
      </c>
      <c r="L191" s="255"/>
      <c r="M191" s="258"/>
      <c r="N191" s="257"/>
      <c r="O191" s="258"/>
      <c r="P191" s="257"/>
      <c r="Q191" s="258"/>
      <c r="R191" s="257"/>
      <c r="S191" s="258"/>
      <c r="T191" s="257"/>
      <c r="U191" s="258"/>
      <c r="V191" s="257"/>
      <c r="W191" s="258"/>
      <c r="X191" s="257"/>
      <c r="Y191" s="258"/>
      <c r="Z191" s="257"/>
    </row>
    <row r="192" spans="1:26" ht="15">
      <c r="A192" s="250"/>
      <c r="B192" s="251"/>
      <c r="C192" s="647"/>
      <c r="D192" s="526" t="s">
        <v>2457</v>
      </c>
      <c r="E192" s="251"/>
      <c r="F192" s="252"/>
      <c r="G192" s="253"/>
      <c r="H192" s="254"/>
      <c r="I192" s="253"/>
      <c r="J192" s="253"/>
      <c r="K192" s="251"/>
      <c r="L192" s="261"/>
      <c r="M192" s="258"/>
      <c r="N192" s="257"/>
      <c r="O192" s="258"/>
      <c r="P192" s="257"/>
      <c r="Q192" s="258"/>
      <c r="R192" s="257"/>
      <c r="S192" s="258"/>
      <c r="T192" s="257"/>
      <c r="U192" s="258"/>
      <c r="V192" s="257"/>
      <c r="W192" s="258"/>
      <c r="X192" s="257"/>
      <c r="Y192" s="258"/>
      <c r="Z192" s="257"/>
    </row>
    <row r="193" spans="1:26" ht="15">
      <c r="A193" s="250"/>
      <c r="B193" s="251"/>
      <c r="C193" s="647"/>
      <c r="D193" s="526" t="s">
        <v>2458</v>
      </c>
      <c r="E193" s="251"/>
      <c r="F193" s="252"/>
      <c r="G193" s="253"/>
      <c r="H193" s="254"/>
      <c r="I193" s="253"/>
      <c r="J193" s="253"/>
      <c r="K193" s="251"/>
      <c r="L193" s="261"/>
      <c r="M193" s="258">
        <v>5</v>
      </c>
      <c r="N193" s="257"/>
      <c r="O193" s="258"/>
      <c r="P193" s="257"/>
      <c r="Q193" s="258"/>
      <c r="R193" s="257"/>
      <c r="S193" s="258"/>
      <c r="T193" s="257"/>
      <c r="U193" s="258"/>
      <c r="V193" s="257"/>
      <c r="W193" s="258"/>
      <c r="X193" s="257"/>
      <c r="Y193" s="258"/>
      <c r="Z193" s="257"/>
    </row>
    <row r="194" spans="1:26" ht="15">
      <c r="A194" s="250"/>
      <c r="B194" s="251"/>
      <c r="C194" s="647"/>
      <c r="D194" s="526" t="s">
        <v>990</v>
      </c>
      <c r="E194" s="251"/>
      <c r="F194" s="252"/>
      <c r="G194" s="253"/>
      <c r="H194" s="254"/>
      <c r="I194" s="253"/>
      <c r="J194" s="253"/>
      <c r="K194" s="251"/>
      <c r="L194" s="261"/>
      <c r="M194" s="258">
        <v>32</v>
      </c>
      <c r="N194" s="257"/>
      <c r="O194" s="258"/>
      <c r="P194" s="257"/>
      <c r="Q194" s="258"/>
      <c r="R194" s="257"/>
      <c r="S194" s="258"/>
      <c r="T194" s="257"/>
      <c r="U194" s="258"/>
      <c r="V194" s="257"/>
      <c r="W194" s="258"/>
      <c r="X194" s="257"/>
      <c r="Y194" s="258"/>
      <c r="Z194" s="257"/>
    </row>
    <row r="195" spans="1:26" ht="15">
      <c r="A195" s="250"/>
      <c r="B195" s="251"/>
      <c r="C195" s="647"/>
      <c r="D195" s="526" t="s">
        <v>2459</v>
      </c>
      <c r="E195" s="251"/>
      <c r="F195" s="252"/>
      <c r="G195" s="253"/>
      <c r="H195" s="254"/>
      <c r="I195" s="253"/>
      <c r="J195" s="253"/>
      <c r="K195" s="251"/>
      <c r="L195" s="261"/>
      <c r="M195" s="258">
        <v>4</v>
      </c>
      <c r="N195" s="257"/>
      <c r="O195" s="258"/>
      <c r="P195" s="257"/>
      <c r="Q195" s="258"/>
      <c r="R195" s="257"/>
      <c r="S195" s="258"/>
      <c r="T195" s="257"/>
      <c r="U195" s="258"/>
      <c r="V195" s="257"/>
      <c r="W195" s="258"/>
      <c r="X195" s="257"/>
      <c r="Y195" s="258"/>
      <c r="Z195" s="257"/>
    </row>
    <row r="196" spans="1:26" ht="15">
      <c r="A196" s="250"/>
      <c r="B196" s="251"/>
      <c r="C196" s="647"/>
      <c r="D196" s="526" t="s">
        <v>2476</v>
      </c>
      <c r="E196" s="251"/>
      <c r="F196" s="252"/>
      <c r="G196" s="253"/>
      <c r="H196" s="254"/>
      <c r="I196" s="253"/>
      <c r="J196" s="253"/>
      <c r="K196" s="251"/>
      <c r="L196" s="261"/>
      <c r="M196" s="258">
        <f>7*3</f>
        <v>21</v>
      </c>
      <c r="N196" s="257"/>
      <c r="O196" s="258"/>
      <c r="P196" s="257"/>
      <c r="Q196" s="258"/>
      <c r="R196" s="257"/>
      <c r="S196" s="258"/>
      <c r="T196" s="257"/>
      <c r="U196" s="258"/>
      <c r="V196" s="257"/>
      <c r="W196" s="258"/>
      <c r="X196" s="257"/>
      <c r="Y196" s="258"/>
      <c r="Z196" s="257"/>
    </row>
    <row r="197" spans="1:26" ht="15">
      <c r="A197" s="250"/>
      <c r="B197" s="251"/>
      <c r="C197" s="647"/>
      <c r="D197" s="526" t="s">
        <v>2477</v>
      </c>
      <c r="E197" s="251"/>
      <c r="F197" s="252"/>
      <c r="G197" s="253"/>
      <c r="H197" s="254"/>
      <c r="I197" s="253"/>
      <c r="J197" s="253"/>
      <c r="K197" s="251"/>
      <c r="L197" s="261"/>
      <c r="M197" s="293">
        <f>1*4</f>
        <v>4</v>
      </c>
      <c r="N197" s="257"/>
      <c r="O197" s="258"/>
      <c r="P197" s="257"/>
      <c r="Q197" s="258"/>
      <c r="R197" s="257"/>
      <c r="S197" s="258"/>
      <c r="T197" s="257"/>
      <c r="U197" s="258"/>
      <c r="V197" s="257"/>
      <c r="W197" s="258"/>
      <c r="X197" s="257"/>
      <c r="Y197" s="258"/>
      <c r="Z197" s="257"/>
    </row>
    <row r="198" spans="1:26" ht="15">
      <c r="A198" s="250"/>
      <c r="B198" s="251"/>
      <c r="C198" s="647"/>
      <c r="D198" s="526" t="s">
        <v>1900</v>
      </c>
      <c r="E198" s="251" t="s">
        <v>1901</v>
      </c>
      <c r="F198" s="252">
        <f>M198+O198+Q198+S198+U198+W198+Y198</f>
        <v>66</v>
      </c>
      <c r="G198" s="253">
        <f>L198</f>
        <v>54.88</v>
      </c>
      <c r="H198" s="254">
        <f>INT(F198*G198*100+0.5)/100</f>
        <v>3622.08</v>
      </c>
      <c r="I198" s="253">
        <f>N198+P198+R198+T198+V198+X198+Z198</f>
        <v>3622.08</v>
      </c>
      <c r="J198" s="253"/>
      <c r="K198" s="251" t="s">
        <v>1901</v>
      </c>
      <c r="L198" s="255">
        <v>54.88</v>
      </c>
      <c r="M198" s="258">
        <f>SUM(M193:M197)</f>
        <v>66</v>
      </c>
      <c r="N198" s="257">
        <f>INT($L198*M198*100+0.5)/100</f>
        <v>3622.08</v>
      </c>
      <c r="O198" s="258">
        <v>0</v>
      </c>
      <c r="P198" s="257">
        <f>INT($L198*O198*100+0.5)/100</f>
        <v>0</v>
      </c>
      <c r="Q198" s="258">
        <v>0</v>
      </c>
      <c r="R198" s="257">
        <f>INT($L198*Q198*100+0.5)/100</f>
        <v>0</v>
      </c>
      <c r="S198" s="258">
        <v>0</v>
      </c>
      <c r="T198" s="257">
        <f>INT($L198*S198*100+0.5)/100</f>
        <v>0</v>
      </c>
      <c r="U198" s="258">
        <v>0</v>
      </c>
      <c r="V198" s="257">
        <f>INT($L198*U198*100+0.5)/100</f>
        <v>0</v>
      </c>
      <c r="W198" s="258">
        <v>0</v>
      </c>
      <c r="X198" s="257">
        <f>INT($L198*W198*100+0.5)/100</f>
        <v>0</v>
      </c>
      <c r="Y198" s="258">
        <v>0</v>
      </c>
      <c r="Z198" s="257">
        <f>INT($L198*Y198*100+0.5)/100</f>
        <v>0</v>
      </c>
    </row>
    <row r="199" spans="1:26" ht="15">
      <c r="A199" s="250"/>
      <c r="B199" s="251"/>
      <c r="C199" s="647"/>
      <c r="D199" s="526"/>
      <c r="E199" s="251"/>
      <c r="F199" s="252"/>
      <c r="G199" s="253"/>
      <c r="H199" s="254"/>
      <c r="I199" s="253"/>
      <c r="J199" s="253"/>
      <c r="K199" s="251"/>
      <c r="L199" s="255"/>
      <c r="M199" s="258"/>
      <c r="N199" s="257"/>
      <c r="O199" s="258"/>
      <c r="P199" s="257"/>
      <c r="Q199" s="258"/>
      <c r="R199" s="257"/>
      <c r="S199" s="258"/>
      <c r="T199" s="257"/>
      <c r="U199" s="258"/>
      <c r="V199" s="257"/>
      <c r="W199" s="258"/>
      <c r="X199" s="257"/>
      <c r="Y199" s="258"/>
      <c r="Z199" s="257"/>
    </row>
    <row r="200" spans="1:26" ht="15" customHeight="1">
      <c r="A200" s="250">
        <f>A191+1</f>
        <v>87</v>
      </c>
      <c r="B200" s="251"/>
      <c r="C200" s="647" t="s">
        <v>2326</v>
      </c>
      <c r="D200" s="526" t="s">
        <v>1540</v>
      </c>
      <c r="E200" s="251" t="s">
        <v>2475</v>
      </c>
      <c r="F200" s="252"/>
      <c r="G200" s="253"/>
      <c r="H200" s="254"/>
      <c r="I200" s="253"/>
      <c r="J200" s="253"/>
      <c r="K200" s="251" t="s">
        <v>2475</v>
      </c>
      <c r="L200" s="255"/>
      <c r="M200" s="258"/>
      <c r="N200" s="257"/>
      <c r="O200" s="258"/>
      <c r="P200" s="257"/>
      <c r="Q200" s="258"/>
      <c r="R200" s="257"/>
      <c r="S200" s="258"/>
      <c r="T200" s="257"/>
      <c r="U200" s="258"/>
      <c r="V200" s="257"/>
      <c r="W200" s="258"/>
      <c r="X200" s="257"/>
      <c r="Y200" s="258"/>
      <c r="Z200" s="257"/>
    </row>
    <row r="201" spans="1:26" ht="15">
      <c r="A201" s="250"/>
      <c r="B201" s="251"/>
      <c r="C201" s="526"/>
      <c r="D201" s="526" t="s">
        <v>1539</v>
      </c>
      <c r="E201" s="251"/>
      <c r="F201" s="252"/>
      <c r="G201" s="253"/>
      <c r="H201" s="254"/>
      <c r="I201" s="253"/>
      <c r="J201" s="253"/>
      <c r="K201" s="251"/>
      <c r="L201" s="261"/>
      <c r="M201" s="258"/>
      <c r="N201" s="257"/>
      <c r="O201" s="258"/>
      <c r="P201" s="257"/>
      <c r="Q201" s="258"/>
      <c r="R201" s="257"/>
      <c r="S201" s="258"/>
      <c r="T201" s="257"/>
      <c r="U201" s="258"/>
      <c r="V201" s="257"/>
      <c r="W201" s="258"/>
      <c r="X201" s="257"/>
      <c r="Y201" s="258"/>
      <c r="Z201" s="257"/>
    </row>
    <row r="202" spans="1:26" ht="15" customHeight="1">
      <c r="A202" s="250"/>
      <c r="B202" s="251"/>
      <c r="C202" s="251"/>
      <c r="D202" s="292" t="s">
        <v>993</v>
      </c>
      <c r="E202" s="251"/>
      <c r="F202" s="252"/>
      <c r="G202" s="253"/>
      <c r="H202" s="254"/>
      <c r="I202" s="253"/>
      <c r="J202" s="253"/>
      <c r="K202" s="251"/>
      <c r="L202" s="255"/>
      <c r="M202" s="258">
        <v>0</v>
      </c>
      <c r="N202" s="257"/>
      <c r="O202" s="258">
        <v>0</v>
      </c>
      <c r="P202" s="257"/>
      <c r="Q202" s="258">
        <v>0</v>
      </c>
      <c r="R202" s="257"/>
      <c r="S202" s="258"/>
      <c r="T202" s="257"/>
      <c r="U202" s="258">
        <f>2*190*0</f>
        <v>0</v>
      </c>
      <c r="V202" s="257"/>
      <c r="W202" s="258"/>
      <c r="X202" s="257"/>
      <c r="Y202" s="258">
        <v>0</v>
      </c>
      <c r="Z202" s="257"/>
    </row>
    <row r="203" spans="1:26" ht="15" customHeight="1">
      <c r="A203" s="250"/>
      <c r="B203" s="251"/>
      <c r="C203" s="251"/>
      <c r="D203" s="292" t="s">
        <v>994</v>
      </c>
      <c r="E203" s="251"/>
      <c r="F203" s="252"/>
      <c r="G203" s="253"/>
      <c r="H203" s="254"/>
      <c r="I203" s="253"/>
      <c r="J203" s="253"/>
      <c r="K203" s="251"/>
      <c r="L203" s="255"/>
      <c r="M203" s="258">
        <v>0</v>
      </c>
      <c r="N203" s="257"/>
      <c r="O203" s="258">
        <v>0</v>
      </c>
      <c r="P203" s="257"/>
      <c r="Q203" s="258">
        <v>0</v>
      </c>
      <c r="R203" s="257"/>
      <c r="S203" s="258"/>
      <c r="T203" s="257"/>
      <c r="U203" s="258">
        <f>2*250*0</f>
        <v>0</v>
      </c>
      <c r="V203" s="257"/>
      <c r="W203" s="258"/>
      <c r="X203" s="257"/>
      <c r="Y203" s="258">
        <v>0</v>
      </c>
      <c r="Z203" s="257"/>
    </row>
    <row r="204" spans="1:26" ht="15" customHeight="1">
      <c r="A204" s="250"/>
      <c r="B204" s="251"/>
      <c r="C204" s="251"/>
      <c r="D204" s="292" t="s">
        <v>995</v>
      </c>
      <c r="E204" s="251"/>
      <c r="F204" s="252"/>
      <c r="G204" s="253"/>
      <c r="H204" s="254"/>
      <c r="I204" s="253"/>
      <c r="J204" s="253"/>
      <c r="K204" s="251"/>
      <c r="L204" s="255"/>
      <c r="M204" s="258">
        <v>0</v>
      </c>
      <c r="N204" s="257"/>
      <c r="O204" s="258">
        <v>0</v>
      </c>
      <c r="P204" s="257"/>
      <c r="Q204" s="258">
        <v>0</v>
      </c>
      <c r="R204" s="257"/>
      <c r="S204" s="258"/>
      <c r="T204" s="257"/>
      <c r="U204" s="258">
        <f>2*250*0</f>
        <v>0</v>
      </c>
      <c r="V204" s="257"/>
      <c r="W204" s="258"/>
      <c r="X204" s="257"/>
      <c r="Y204" s="258">
        <f>250*0</f>
        <v>0</v>
      </c>
      <c r="Z204" s="257"/>
    </row>
    <row r="205" spans="1:26" ht="15" customHeight="1">
      <c r="A205" s="250"/>
      <c r="B205" s="251"/>
      <c r="C205" s="251"/>
      <c r="D205" s="238" t="s">
        <v>927</v>
      </c>
      <c r="E205" s="251"/>
      <c r="F205" s="252"/>
      <c r="G205" s="253"/>
      <c r="H205" s="254"/>
      <c r="I205" s="253"/>
      <c r="J205" s="253"/>
      <c r="K205" s="251"/>
      <c r="L205" s="255"/>
      <c r="M205" s="258">
        <v>0</v>
      </c>
      <c r="N205" s="257"/>
      <c r="O205" s="258">
        <v>0</v>
      </c>
      <c r="P205" s="257"/>
      <c r="Q205" s="258">
        <v>0</v>
      </c>
      <c r="R205" s="257"/>
      <c r="S205" s="258"/>
      <c r="T205" s="257"/>
      <c r="U205" s="258"/>
      <c r="V205" s="257"/>
      <c r="W205" s="258"/>
      <c r="X205" s="257"/>
      <c r="Y205" s="258"/>
      <c r="Z205" s="257"/>
    </row>
    <row r="206" spans="1:26" ht="15" customHeight="1">
      <c r="A206" s="250"/>
      <c r="B206" s="251"/>
      <c r="C206" s="251"/>
      <c r="D206" s="238" t="s">
        <v>2451</v>
      </c>
      <c r="E206" s="251"/>
      <c r="F206" s="252"/>
      <c r="G206" s="253"/>
      <c r="H206" s="254"/>
      <c r="I206" s="253"/>
      <c r="J206" s="253"/>
      <c r="K206" s="251"/>
      <c r="L206" s="256">
        <v>0</v>
      </c>
      <c r="M206" s="256"/>
      <c r="N206" s="257"/>
      <c r="O206" s="258"/>
      <c r="P206" s="257"/>
      <c r="Q206" s="258"/>
      <c r="R206" s="257"/>
      <c r="S206" s="258"/>
      <c r="T206" s="257"/>
      <c r="U206" s="258"/>
      <c r="V206" s="257"/>
      <c r="W206" s="258"/>
      <c r="X206" s="257"/>
      <c r="Y206" s="258"/>
      <c r="Z206" s="257"/>
    </row>
    <row r="207" spans="1:26" ht="15" customHeight="1">
      <c r="A207" s="250"/>
      <c r="B207" s="251"/>
      <c r="C207" s="251"/>
      <c r="D207" s="238" t="s">
        <v>927</v>
      </c>
      <c r="E207" s="251"/>
      <c r="F207" s="252"/>
      <c r="G207" s="253"/>
      <c r="H207" s="254"/>
      <c r="I207" s="253"/>
      <c r="J207" s="253"/>
      <c r="K207" s="251"/>
      <c r="L207" s="256">
        <v>0</v>
      </c>
      <c r="M207" s="297"/>
      <c r="N207" s="294"/>
      <c r="O207" s="293"/>
      <c r="P207" s="294"/>
      <c r="Q207" s="293"/>
      <c r="R207" s="294"/>
      <c r="S207" s="293"/>
      <c r="T207" s="294"/>
      <c r="U207" s="293"/>
      <c r="V207" s="294"/>
      <c r="W207" s="293"/>
      <c r="X207" s="294"/>
      <c r="Y207" s="293"/>
      <c r="Z207" s="294"/>
    </row>
    <row r="208" spans="1:26" ht="15" customHeight="1">
      <c r="A208" s="250"/>
      <c r="B208" s="251"/>
      <c r="C208" s="251"/>
      <c r="D208" s="467"/>
      <c r="E208" s="251"/>
      <c r="F208" s="252">
        <f>M208+O208+Q208+S208+U208+W208+Y208</f>
        <v>0</v>
      </c>
      <c r="G208" s="253">
        <f>L208</f>
        <v>33.630000000000003</v>
      </c>
      <c r="H208" s="254">
        <f>INT(F208*G208*100+0.5)/100</f>
        <v>0</v>
      </c>
      <c r="I208" s="253">
        <f>N208+P208+R208+T208+V208+X208+Z208</f>
        <v>0</v>
      </c>
      <c r="J208" s="253"/>
      <c r="K208" s="251"/>
      <c r="L208" s="255">
        <v>33.630000000000003</v>
      </c>
      <c r="M208" s="258">
        <f>M170</f>
        <v>0</v>
      </c>
      <c r="N208" s="257">
        <f>INT($L208*M208*100+0.5)/100</f>
        <v>0</v>
      </c>
      <c r="O208" s="258">
        <f>SUM(O202:O207)</f>
        <v>0</v>
      </c>
      <c r="P208" s="257">
        <f>INT($L208*O208*100+0.5)/100</f>
        <v>0</v>
      </c>
      <c r="Q208" s="258">
        <f>SUM(Q202:Q207)</f>
        <v>0</v>
      </c>
      <c r="R208" s="257">
        <f>INT($L208*Q208*100+0.5)/100</f>
        <v>0</v>
      </c>
      <c r="S208" s="258">
        <f>SUM(S202:S207)</f>
        <v>0</v>
      </c>
      <c r="T208" s="257">
        <f>INT($L208*S208*100+0.5)/100</f>
        <v>0</v>
      </c>
      <c r="U208" s="258">
        <f>SUM(U202:U207)</f>
        <v>0</v>
      </c>
      <c r="V208" s="257">
        <f>INT($L208*U208*100+0.5)/100</f>
        <v>0</v>
      </c>
      <c r="W208" s="258">
        <f>SUM(W202:W207)</f>
        <v>0</v>
      </c>
      <c r="X208" s="257">
        <f>INT($L208*W208*100+0.5)/100</f>
        <v>0</v>
      </c>
      <c r="Y208" s="258">
        <f>SUM(Y202:Y207)</f>
        <v>0</v>
      </c>
      <c r="Z208" s="257">
        <f>INT($L208*Y208*100+0.5)/100</f>
        <v>0</v>
      </c>
    </row>
    <row r="209" spans="1:26" ht="15" customHeight="1">
      <c r="A209" s="250"/>
      <c r="B209" s="251"/>
      <c r="C209" s="526"/>
      <c r="D209" s="292"/>
      <c r="E209" s="251"/>
      <c r="F209" s="252"/>
      <c r="G209" s="253"/>
      <c r="H209" s="254"/>
      <c r="I209" s="253"/>
      <c r="J209" s="253"/>
      <c r="K209" s="251"/>
      <c r="L209" s="261"/>
      <c r="M209" s="258"/>
      <c r="N209" s="257"/>
      <c r="O209" s="258"/>
      <c r="P209" s="257"/>
      <c r="Q209" s="258"/>
      <c r="R209" s="257"/>
      <c r="S209" s="258"/>
      <c r="T209" s="257"/>
      <c r="U209" s="258"/>
      <c r="V209" s="257"/>
      <c r="W209" s="258"/>
      <c r="X209" s="257"/>
      <c r="Y209" s="258"/>
      <c r="Z209" s="257"/>
    </row>
    <row r="210" spans="1:26" s="303" customFormat="1" ht="30">
      <c r="A210" s="298"/>
      <c r="B210" s="299"/>
      <c r="C210" s="300">
        <v>53</v>
      </c>
      <c r="D210" s="333" t="s">
        <v>1447</v>
      </c>
      <c r="E210" s="299"/>
      <c r="F210" s="301"/>
      <c r="G210" s="273"/>
      <c r="H210" s="273"/>
      <c r="I210" s="272">
        <f>N210+P210+R210+T210+V210+X210+Z210</f>
        <v>62973.84</v>
      </c>
      <c r="J210" s="269">
        <f>SUM(N210:Z210)</f>
        <v>62973.84</v>
      </c>
      <c r="K210" s="299"/>
      <c r="L210" s="271"/>
      <c r="M210" s="273"/>
      <c r="N210" s="273">
        <f>SUM(N114:N209)</f>
        <v>8471.880000000001</v>
      </c>
      <c r="O210" s="273"/>
      <c r="P210" s="273">
        <f>SUM(P114:P209)</f>
        <v>2227.3000000000002</v>
      </c>
      <c r="Q210" s="273"/>
      <c r="R210" s="273">
        <f>SUM(R114:R209)</f>
        <v>842.4</v>
      </c>
      <c r="S210" s="273"/>
      <c r="T210" s="273">
        <f>SUM(T114:T209)</f>
        <v>723.6</v>
      </c>
      <c r="U210" s="273"/>
      <c r="V210" s="273">
        <f>SUM(V114:V209)</f>
        <v>50708.659999999996</v>
      </c>
      <c r="W210" s="273"/>
      <c r="X210" s="273">
        <f>SUM(X114:X209)</f>
        <v>0</v>
      </c>
      <c r="Y210" s="273"/>
      <c r="Z210" s="273">
        <f>SUM(Z114:Z209)</f>
        <v>0</v>
      </c>
    </row>
    <row r="211" spans="1:26" ht="15" customHeight="1">
      <c r="A211" s="250"/>
      <c r="B211" s="251"/>
      <c r="C211" s="526"/>
      <c r="D211" s="292"/>
      <c r="E211" s="251"/>
      <c r="F211" s="252"/>
      <c r="G211" s="253"/>
      <c r="H211" s="254"/>
      <c r="I211" s="253"/>
      <c r="J211" s="253"/>
      <c r="K211" s="251"/>
      <c r="L211" s="261"/>
      <c r="M211" s="258"/>
      <c r="N211" s="494">
        <f>N210/$N$1928</f>
        <v>4.2195470596731698E-2</v>
      </c>
      <c r="O211" s="258"/>
      <c r="P211" s="257"/>
      <c r="Q211" s="258"/>
      <c r="R211" s="257"/>
      <c r="S211" s="258"/>
      <c r="T211" s="257"/>
      <c r="U211" s="258"/>
      <c r="V211" s="257"/>
      <c r="W211" s="258"/>
      <c r="X211" s="257"/>
      <c r="Y211" s="258"/>
      <c r="Z211" s="257"/>
    </row>
    <row r="212" spans="1:26" ht="15">
      <c r="A212" s="250"/>
      <c r="B212" s="251"/>
      <c r="C212" s="526"/>
      <c r="D212" s="526"/>
      <c r="E212" s="251"/>
      <c r="F212" s="252"/>
      <c r="G212" s="253"/>
      <c r="H212" s="254"/>
      <c r="I212" s="253"/>
      <c r="J212" s="253"/>
      <c r="K212" s="251"/>
      <c r="L212" s="261"/>
      <c r="M212" s="258"/>
      <c r="N212" s="257"/>
      <c r="O212" s="258"/>
      <c r="P212" s="257"/>
      <c r="Q212" s="258"/>
      <c r="R212" s="257"/>
      <c r="S212" s="258"/>
      <c r="T212" s="257"/>
      <c r="U212" s="258"/>
      <c r="V212" s="257"/>
      <c r="W212" s="258"/>
      <c r="X212" s="257"/>
      <c r="Y212" s="258"/>
      <c r="Z212" s="257"/>
    </row>
    <row r="213" spans="1:26" ht="25.5">
      <c r="A213" s="250"/>
      <c r="B213" s="251"/>
      <c r="C213" s="453" t="s">
        <v>1448</v>
      </c>
      <c r="D213" s="330" t="s">
        <v>1449</v>
      </c>
      <c r="E213" s="251"/>
      <c r="F213" s="252"/>
      <c r="G213" s="253"/>
      <c r="H213" s="254"/>
      <c r="I213" s="253"/>
      <c r="J213" s="253"/>
      <c r="K213" s="251"/>
      <c r="L213" s="261"/>
      <c r="M213" s="258"/>
      <c r="N213" s="257"/>
      <c r="O213" s="258"/>
      <c r="P213" s="257"/>
      <c r="Q213" s="258"/>
      <c r="R213" s="257"/>
      <c r="S213" s="258"/>
      <c r="T213" s="257"/>
      <c r="U213" s="258"/>
      <c r="V213" s="257"/>
      <c r="W213" s="258"/>
      <c r="X213" s="257"/>
      <c r="Y213" s="258"/>
      <c r="Z213" s="257"/>
    </row>
    <row r="214" spans="1:26" s="247" customFormat="1" ht="15" customHeight="1">
      <c r="A214" s="284">
        <f>A200+1</f>
        <v>88</v>
      </c>
      <c r="B214" s="237"/>
      <c r="C214" s="654" t="s">
        <v>1623</v>
      </c>
      <c r="D214" s="238" t="s">
        <v>2460</v>
      </c>
      <c r="E214" s="237" t="s">
        <v>2461</v>
      </c>
      <c r="F214" s="304"/>
      <c r="G214" s="253"/>
      <c r="H214" s="244"/>
      <c r="I214" s="240"/>
      <c r="J214" s="240"/>
      <c r="K214" s="237" t="s">
        <v>2461</v>
      </c>
      <c r="L214" s="306"/>
      <c r="M214" s="289"/>
      <c r="N214" s="245"/>
      <c r="O214" s="289"/>
      <c r="P214" s="245"/>
      <c r="Q214" s="289"/>
      <c r="R214" s="245"/>
      <c r="S214" s="289"/>
      <c r="T214" s="245"/>
      <c r="U214" s="289"/>
      <c r="V214" s="245"/>
      <c r="W214" s="289"/>
      <c r="X214" s="245"/>
      <c r="Y214" s="289"/>
      <c r="Z214" s="245"/>
    </row>
    <row r="215" spans="1:26" ht="15" customHeight="1">
      <c r="A215" s="250"/>
      <c r="B215" s="251"/>
      <c r="C215" s="648"/>
      <c r="D215" s="292" t="s">
        <v>1908</v>
      </c>
      <c r="E215" s="251"/>
      <c r="F215" s="252"/>
      <c r="G215" s="253"/>
      <c r="H215" s="254"/>
      <c r="I215" s="253"/>
      <c r="J215" s="253"/>
      <c r="K215" s="251"/>
      <c r="L215" s="255"/>
      <c r="M215" s="258"/>
      <c r="N215" s="257"/>
      <c r="O215" s="258"/>
      <c r="P215" s="257"/>
      <c r="Q215" s="258"/>
      <c r="R215" s="257"/>
      <c r="S215" s="258"/>
      <c r="T215" s="257"/>
      <c r="U215" s="258"/>
      <c r="V215" s="257"/>
      <c r="W215" s="258"/>
      <c r="X215" s="257"/>
      <c r="Y215" s="258"/>
      <c r="Z215" s="257"/>
    </row>
    <row r="216" spans="1:26" ht="15" customHeight="1">
      <c r="A216" s="250"/>
      <c r="B216" s="251"/>
      <c r="C216" s="648"/>
      <c r="D216" s="292" t="s">
        <v>336</v>
      </c>
      <c r="E216" s="251"/>
      <c r="F216" s="252"/>
      <c r="G216" s="253"/>
      <c r="H216" s="254"/>
      <c r="I216" s="253"/>
      <c r="J216" s="253"/>
      <c r="K216" s="251"/>
      <c r="L216" s="255"/>
      <c r="M216" s="258">
        <v>0</v>
      </c>
      <c r="N216" s="257"/>
      <c r="O216" s="258">
        <v>0</v>
      </c>
      <c r="P216" s="257"/>
      <c r="Q216" s="258">
        <v>0</v>
      </c>
      <c r="R216" s="257"/>
      <c r="S216" s="258">
        <v>0</v>
      </c>
      <c r="T216" s="245"/>
      <c r="U216" s="258">
        <v>0</v>
      </c>
      <c r="V216" s="257"/>
      <c r="W216" s="258">
        <v>0</v>
      </c>
      <c r="X216" s="245"/>
      <c r="Y216" s="258">
        <v>0</v>
      </c>
      <c r="Z216" s="245"/>
    </row>
    <row r="217" spans="1:26" ht="15" customHeight="1">
      <c r="A217" s="250"/>
      <c r="B217" s="251"/>
      <c r="C217" s="648"/>
      <c r="D217" s="292" t="s">
        <v>337</v>
      </c>
      <c r="E217" s="251"/>
      <c r="F217" s="252"/>
      <c r="G217" s="253"/>
      <c r="H217" s="254"/>
      <c r="I217" s="253"/>
      <c r="J217" s="253"/>
      <c r="K217" s="251"/>
      <c r="L217" s="255"/>
      <c r="M217" s="258">
        <v>0</v>
      </c>
      <c r="N217" s="257"/>
      <c r="O217" s="258">
        <v>0</v>
      </c>
      <c r="P217" s="257"/>
      <c r="Q217" s="258">
        <v>0</v>
      </c>
      <c r="R217" s="257"/>
      <c r="S217" s="258">
        <v>0</v>
      </c>
      <c r="T217" s="245"/>
      <c r="U217" s="258">
        <v>0</v>
      </c>
      <c r="V217" s="257"/>
      <c r="W217" s="258">
        <v>0</v>
      </c>
      <c r="X217" s="245"/>
      <c r="Y217" s="258">
        <v>0</v>
      </c>
      <c r="Z217" s="245"/>
    </row>
    <row r="218" spans="1:26" ht="15" customHeight="1">
      <c r="A218" s="250"/>
      <c r="B218" s="251"/>
      <c r="C218" s="648"/>
      <c r="D218" s="292" t="s">
        <v>1899</v>
      </c>
      <c r="E218" s="251"/>
      <c r="F218" s="252"/>
      <c r="G218" s="253"/>
      <c r="H218" s="254"/>
      <c r="I218" s="253"/>
      <c r="J218" s="253"/>
      <c r="K218" s="251"/>
      <c r="L218" s="255"/>
      <c r="M218" s="293">
        <v>0</v>
      </c>
      <c r="N218" s="294"/>
      <c r="O218" s="293">
        <v>0</v>
      </c>
      <c r="P218" s="257"/>
      <c r="Q218" s="293">
        <v>0</v>
      </c>
      <c r="R218" s="257"/>
      <c r="S218" s="293">
        <v>0</v>
      </c>
      <c r="T218" s="294"/>
      <c r="U218" s="293">
        <v>0</v>
      </c>
      <c r="V218" s="294"/>
      <c r="W218" s="293">
        <v>0</v>
      </c>
      <c r="X218" s="294"/>
      <c r="Y218" s="293">
        <v>0</v>
      </c>
      <c r="Z218" s="294"/>
    </row>
    <row r="219" spans="1:26" ht="15" customHeight="1">
      <c r="A219" s="250"/>
      <c r="B219" s="251"/>
      <c r="C219" s="648"/>
      <c r="D219" s="292" t="s">
        <v>1900</v>
      </c>
      <c r="E219" s="251"/>
      <c r="F219" s="252">
        <f>M219+O219+Q219+S219+U219+W219+Y219</f>
        <v>0</v>
      </c>
      <c r="G219" s="253">
        <f>L219</f>
        <v>5.55</v>
      </c>
      <c r="H219" s="254">
        <f>INT(F219*G219*100+0.5)/100</f>
        <v>0</v>
      </c>
      <c r="I219" s="253">
        <f>N219+P219+R219+T219+V219+X219+Z219</f>
        <v>0</v>
      </c>
      <c r="J219" s="253"/>
      <c r="K219" s="251"/>
      <c r="L219" s="255">
        <v>5.55</v>
      </c>
      <c r="M219" s="258">
        <f>INT(SUM(M216:M218)*100+0.5)/100</f>
        <v>0</v>
      </c>
      <c r="N219" s="257">
        <f>INT($L219*M219*100+0.5)/100</f>
        <v>0</v>
      </c>
      <c r="O219" s="258">
        <f>INT(SUM(O216:O218)*100+0.5)/100</f>
        <v>0</v>
      </c>
      <c r="P219" s="257">
        <f>INT($L219*O219*100+0.5)/100</f>
        <v>0</v>
      </c>
      <c r="Q219" s="258">
        <f>INT(SUM(Q216:Q218)*100+0.5)/100</f>
        <v>0</v>
      </c>
      <c r="R219" s="257">
        <f>INT($L219*Q219*100+0.5)/100</f>
        <v>0</v>
      </c>
      <c r="S219" s="258">
        <f>INT(SUM(S216:S218)*100+0.5)/100</f>
        <v>0</v>
      </c>
      <c r="T219" s="245">
        <f>INT($L219*S219*100+0.5)/100</f>
        <v>0</v>
      </c>
      <c r="U219" s="258">
        <f>INT(SUM(U216:U218)*100+0.5)/100</f>
        <v>0</v>
      </c>
      <c r="V219" s="257">
        <f>INT($L219*U219*100+0.5)/100</f>
        <v>0</v>
      </c>
      <c r="W219" s="258">
        <f>INT(SUM(W216:W218)*100+0.5)/100</f>
        <v>0</v>
      </c>
      <c r="X219" s="245">
        <f>INT($L219*W219*100+0.5)/100</f>
        <v>0</v>
      </c>
      <c r="Y219" s="258">
        <f>INT(SUM(Y216:Y218)*100+0.5)/100</f>
        <v>0</v>
      </c>
      <c r="Z219" s="245">
        <f>INT($L219*Y219*100+0.5)/100</f>
        <v>0</v>
      </c>
    </row>
    <row r="220" spans="1:26" ht="15" customHeight="1">
      <c r="A220" s="250"/>
      <c r="B220" s="251"/>
      <c r="C220" s="648"/>
      <c r="D220" s="292"/>
      <c r="E220" s="251"/>
      <c r="F220" s="252"/>
      <c r="G220" s="253"/>
      <c r="H220" s="254"/>
      <c r="I220" s="253"/>
      <c r="J220" s="253"/>
      <c r="K220" s="251"/>
      <c r="L220" s="255"/>
      <c r="M220" s="258"/>
      <c r="N220" s="257"/>
      <c r="O220" s="258"/>
      <c r="P220" s="257"/>
      <c r="Q220" s="258"/>
      <c r="R220" s="257"/>
      <c r="S220" s="258"/>
      <c r="T220" s="257"/>
      <c r="U220" s="258"/>
      <c r="V220" s="257"/>
      <c r="W220" s="258"/>
      <c r="X220" s="257"/>
      <c r="Y220" s="258"/>
      <c r="Z220" s="257"/>
    </row>
    <row r="221" spans="1:26" ht="15" customHeight="1">
      <c r="A221" s="250">
        <f>A214+1</f>
        <v>89</v>
      </c>
      <c r="B221" s="251"/>
      <c r="C221" s="655" t="s">
        <v>1910</v>
      </c>
      <c r="D221" s="292" t="s">
        <v>1914</v>
      </c>
      <c r="E221" s="251" t="s">
        <v>2461</v>
      </c>
      <c r="F221" s="252">
        <f>M221+O221+Q221+S221+U221+W221+Y221</f>
        <v>0</v>
      </c>
      <c r="G221" s="253">
        <f>L221</f>
        <v>10.68</v>
      </c>
      <c r="H221" s="254">
        <f>INT(F221*G221*100+0.5)/100</f>
        <v>0</v>
      </c>
      <c r="I221" s="253">
        <f>N221+P221+R221+T221+V221+X221+Z221</f>
        <v>0</v>
      </c>
      <c r="J221" s="253"/>
      <c r="K221" s="251" t="s">
        <v>2461</v>
      </c>
      <c r="L221" s="255">
        <f>16.23-L219</f>
        <v>10.68</v>
      </c>
      <c r="M221" s="258">
        <v>0</v>
      </c>
      <c r="N221" s="257">
        <f>INT($L221*M221*100+0.5)/100</f>
        <v>0</v>
      </c>
      <c r="O221" s="258">
        <v>0</v>
      </c>
      <c r="P221" s="257">
        <f>INT($L221*O221*100+0.5)/100</f>
        <v>0</v>
      </c>
      <c r="Q221" s="258">
        <v>0</v>
      </c>
      <c r="R221" s="257">
        <f>INT($L221*Q221*100+0.5)/100</f>
        <v>0</v>
      </c>
      <c r="S221" s="258">
        <v>0</v>
      </c>
      <c r="T221" s="245">
        <f>INT($L221*S221*100+0.5)/100</f>
        <v>0</v>
      </c>
      <c r="U221" s="258">
        <v>0</v>
      </c>
      <c r="V221" s="257">
        <f>INT($L221*U221*100+0.5)/100</f>
        <v>0</v>
      </c>
      <c r="W221" s="258">
        <v>0</v>
      </c>
      <c r="X221" s="245">
        <f>INT($L221*W221*100+0.5)/100</f>
        <v>0</v>
      </c>
      <c r="Y221" s="258">
        <v>0</v>
      </c>
      <c r="Z221" s="245">
        <f>INT($L221*Y221*100+0.5)/100</f>
        <v>0</v>
      </c>
    </row>
    <row r="222" spans="1:26" ht="15" customHeight="1">
      <c r="A222" s="250"/>
      <c r="B222" s="251"/>
      <c r="C222" s="251"/>
      <c r="D222" s="292" t="s">
        <v>1915</v>
      </c>
      <c r="E222" s="251"/>
      <c r="F222" s="252"/>
      <c r="G222" s="253"/>
      <c r="H222" s="254"/>
      <c r="I222" s="253"/>
      <c r="J222" s="253"/>
      <c r="K222" s="251"/>
      <c r="L222" s="255"/>
      <c r="M222" s="258"/>
      <c r="N222" s="257"/>
      <c r="O222" s="258"/>
      <c r="P222" s="257"/>
      <c r="Q222" s="258"/>
      <c r="R222" s="257"/>
      <c r="S222" s="258"/>
      <c r="T222" s="245"/>
      <c r="U222" s="258"/>
      <c r="V222" s="257"/>
      <c r="W222" s="258"/>
      <c r="X222" s="245"/>
      <c r="Y222" s="258"/>
      <c r="Z222" s="245"/>
    </row>
    <row r="223" spans="1:26" ht="15" customHeight="1">
      <c r="A223" s="250"/>
      <c r="B223" s="251"/>
      <c r="C223" s="251"/>
      <c r="D223" s="292"/>
      <c r="E223" s="251"/>
      <c r="F223" s="252"/>
      <c r="G223" s="253"/>
      <c r="H223" s="254"/>
      <c r="I223" s="253"/>
      <c r="J223" s="253"/>
      <c r="K223" s="251"/>
      <c r="L223" s="255"/>
      <c r="M223" s="258"/>
      <c r="N223" s="257"/>
      <c r="O223" s="258"/>
      <c r="P223" s="257"/>
      <c r="Q223" s="258"/>
      <c r="R223" s="257"/>
      <c r="S223" s="258"/>
      <c r="T223" s="245"/>
      <c r="U223" s="258"/>
      <c r="V223" s="257"/>
      <c r="W223" s="258"/>
      <c r="X223" s="245"/>
      <c r="Y223" s="258"/>
      <c r="Z223" s="245"/>
    </row>
    <row r="224" spans="1:26" ht="25.5">
      <c r="A224" s="250">
        <f>A221+1</f>
        <v>90</v>
      </c>
      <c r="B224" s="251"/>
      <c r="C224" s="647" t="s">
        <v>2327</v>
      </c>
      <c r="D224" s="292" t="s">
        <v>1608</v>
      </c>
      <c r="E224" s="251" t="s">
        <v>2461</v>
      </c>
      <c r="F224" s="252">
        <f>M224+O224+Q224+S224+U224+W224+Y224</f>
        <v>0</v>
      </c>
      <c r="G224" s="253">
        <f>L224</f>
        <v>32.630000000000003</v>
      </c>
      <c r="H224" s="254">
        <f>INT(F224*G224*100+0.5)/100</f>
        <v>0</v>
      </c>
      <c r="I224" s="253">
        <f>N224+P224+R224+T224+V224+X224+Z224</f>
        <v>0</v>
      </c>
      <c r="J224" s="253"/>
      <c r="K224" s="251" t="s">
        <v>2461</v>
      </c>
      <c r="L224" s="255">
        <v>32.630000000000003</v>
      </c>
      <c r="M224" s="258">
        <v>0</v>
      </c>
      <c r="N224" s="257">
        <f>INT($L224*M224*100+0.5)/100</f>
        <v>0</v>
      </c>
      <c r="O224" s="258">
        <v>0</v>
      </c>
      <c r="P224" s="257">
        <f>INT($L224*O224*100+0.5)/100</f>
        <v>0</v>
      </c>
      <c r="Q224" s="258">
        <v>0</v>
      </c>
      <c r="R224" s="257">
        <f>INT($L224*Q224*100+0.5)/100</f>
        <v>0</v>
      </c>
      <c r="S224" s="258">
        <v>0</v>
      </c>
      <c r="T224" s="245">
        <f>INT($L224*S224*100+0.5)/100</f>
        <v>0</v>
      </c>
      <c r="U224" s="258">
        <v>0</v>
      </c>
      <c r="V224" s="257">
        <f>INT($L224*U224*100+0.5)/100</f>
        <v>0</v>
      </c>
      <c r="W224" s="258">
        <v>0</v>
      </c>
      <c r="X224" s="245">
        <f>INT($L224*W224*100+0.5)/100</f>
        <v>0</v>
      </c>
      <c r="Y224" s="258">
        <v>0</v>
      </c>
      <c r="Z224" s="245">
        <f>INT($L224*Y224*100+0.5)/100</f>
        <v>0</v>
      </c>
    </row>
    <row r="225" spans="1:26" ht="15" customHeight="1">
      <c r="A225" s="250"/>
      <c r="B225" s="251"/>
      <c r="C225" s="251"/>
      <c r="D225" s="292" t="s">
        <v>1609</v>
      </c>
      <c r="E225" s="251"/>
      <c r="F225" s="252"/>
      <c r="G225" s="253"/>
      <c r="H225" s="254"/>
      <c r="I225" s="253"/>
      <c r="J225" s="253"/>
      <c r="K225" s="251"/>
      <c r="L225" s="255"/>
      <c r="M225" s="258"/>
      <c r="N225" s="257"/>
      <c r="O225" s="258"/>
      <c r="P225" s="257"/>
      <c r="Q225" s="258"/>
      <c r="R225" s="257"/>
      <c r="S225" s="258"/>
      <c r="T225" s="245"/>
      <c r="U225" s="258"/>
      <c r="V225" s="257"/>
      <c r="W225" s="258"/>
      <c r="X225" s="245"/>
      <c r="Y225" s="258"/>
      <c r="Z225" s="245"/>
    </row>
    <row r="226" spans="1:26" ht="15" customHeight="1">
      <c r="A226" s="250"/>
      <c r="B226" s="251"/>
      <c r="C226" s="251"/>
      <c r="D226" s="292"/>
      <c r="E226" s="251"/>
      <c r="F226" s="252"/>
      <c r="G226" s="253"/>
      <c r="H226" s="254"/>
      <c r="I226" s="253"/>
      <c r="J226" s="253"/>
      <c r="K226" s="251"/>
      <c r="L226" s="255"/>
      <c r="M226" s="258"/>
      <c r="N226" s="257"/>
      <c r="O226" s="258"/>
      <c r="P226" s="257"/>
      <c r="Q226" s="258"/>
      <c r="R226" s="257"/>
      <c r="S226" s="258"/>
      <c r="T226" s="245"/>
      <c r="U226" s="258"/>
      <c r="V226" s="257"/>
      <c r="W226" s="258"/>
      <c r="X226" s="245"/>
      <c r="Y226" s="258"/>
      <c r="Z226" s="245"/>
    </row>
    <row r="227" spans="1:26" ht="25.5">
      <c r="A227" s="250">
        <f>A224+1</f>
        <v>91</v>
      </c>
      <c r="B227" s="251"/>
      <c r="C227" s="655" t="s">
        <v>1911</v>
      </c>
      <c r="D227" s="292" t="s">
        <v>459</v>
      </c>
      <c r="E227" s="251" t="s">
        <v>2461</v>
      </c>
      <c r="F227" s="252">
        <f>M227+O227+Q227+S227+U227+W227+Y227</f>
        <v>0</v>
      </c>
      <c r="G227" s="253">
        <f>L227</f>
        <v>10.77</v>
      </c>
      <c r="H227" s="254">
        <f>INT(F227*G227*100+0.5)/100</f>
        <v>0</v>
      </c>
      <c r="I227" s="253">
        <f>N227+P227+R227+T227+V227+X227+Z227</f>
        <v>0</v>
      </c>
      <c r="J227" s="253"/>
      <c r="K227" s="251" t="s">
        <v>2461</v>
      </c>
      <c r="L227" s="255">
        <f>16.32-L219</f>
        <v>10.77</v>
      </c>
      <c r="M227" s="258">
        <v>0</v>
      </c>
      <c r="N227" s="257">
        <f>INT($L227*M227*100+0.5)/100</f>
        <v>0</v>
      </c>
      <c r="O227" s="258">
        <v>0</v>
      </c>
      <c r="P227" s="257">
        <f>INT($L227*O227*100+0.5)/100</f>
        <v>0</v>
      </c>
      <c r="Q227" s="258">
        <v>0</v>
      </c>
      <c r="R227" s="257">
        <f>INT($L227*Q227*100+0.5)/100</f>
        <v>0</v>
      </c>
      <c r="S227" s="258">
        <v>0</v>
      </c>
      <c r="T227" s="245">
        <f>INT($L227*S227*100+0.5)/100</f>
        <v>0</v>
      </c>
      <c r="U227" s="258">
        <v>0</v>
      </c>
      <c r="V227" s="257">
        <f>INT($L227*U227*100+0.5)/100</f>
        <v>0</v>
      </c>
      <c r="W227" s="258">
        <v>0</v>
      </c>
      <c r="X227" s="245">
        <f>INT($L227*W227*100+0.5)/100</f>
        <v>0</v>
      </c>
      <c r="Y227" s="258">
        <v>0</v>
      </c>
      <c r="Z227" s="245">
        <f>INT($L227*Y227*100+0.5)/100</f>
        <v>0</v>
      </c>
    </row>
    <row r="228" spans="1:26" ht="25.5">
      <c r="A228" s="250"/>
      <c r="B228" s="251"/>
      <c r="C228" s="251"/>
      <c r="D228" s="292" t="s">
        <v>1916</v>
      </c>
      <c r="E228" s="251"/>
      <c r="F228" s="252"/>
      <c r="G228" s="253"/>
      <c r="H228" s="254"/>
      <c r="I228" s="253"/>
      <c r="J228" s="253"/>
      <c r="K228" s="251"/>
      <c r="L228" s="255"/>
      <c r="M228" s="258"/>
      <c r="N228" s="257"/>
      <c r="O228" s="258"/>
      <c r="P228" s="257"/>
      <c r="Q228" s="258"/>
      <c r="R228" s="257"/>
      <c r="S228" s="258"/>
      <c r="T228" s="245"/>
      <c r="U228" s="258"/>
      <c r="V228" s="257"/>
      <c r="W228" s="258"/>
      <c r="X228" s="245"/>
      <c r="Y228" s="258"/>
      <c r="Z228" s="245"/>
    </row>
    <row r="229" spans="1:26" ht="15" customHeight="1">
      <c r="A229" s="250"/>
      <c r="B229" s="251"/>
      <c r="C229" s="251"/>
      <c r="D229" s="292"/>
      <c r="E229" s="251"/>
      <c r="F229" s="252"/>
      <c r="G229" s="253"/>
      <c r="H229" s="254"/>
      <c r="I229" s="253"/>
      <c r="J229" s="253"/>
      <c r="K229" s="251"/>
      <c r="L229" s="255"/>
      <c r="M229" s="258"/>
      <c r="N229" s="257"/>
      <c r="O229" s="258"/>
      <c r="P229" s="257"/>
      <c r="Q229" s="258"/>
      <c r="R229" s="257"/>
      <c r="S229" s="258"/>
      <c r="T229" s="245"/>
      <c r="U229" s="258"/>
      <c r="V229" s="257"/>
      <c r="W229" s="258"/>
      <c r="X229" s="245"/>
      <c r="Y229" s="258"/>
      <c r="Z229" s="245"/>
    </row>
    <row r="230" spans="1:26" ht="15" customHeight="1">
      <c r="A230" s="250">
        <f>A227+1</f>
        <v>92</v>
      </c>
      <c r="B230" s="251"/>
      <c r="C230" s="655" t="s">
        <v>2328</v>
      </c>
      <c r="D230" s="292" t="s">
        <v>461</v>
      </c>
      <c r="E230" s="251" t="s">
        <v>2461</v>
      </c>
      <c r="F230" s="252">
        <f>M230+O230+Q230+S230+U230+W230+Y230</f>
        <v>0</v>
      </c>
      <c r="G230" s="253">
        <f>L230</f>
        <v>38.61</v>
      </c>
      <c r="H230" s="254">
        <f>INT(F230*G230*100+0.5)/100</f>
        <v>0</v>
      </c>
      <c r="I230" s="253">
        <f>N230+P230+R230+T230+V230+X230+Z230</f>
        <v>0</v>
      </c>
      <c r="J230" s="253"/>
      <c r="K230" s="251" t="s">
        <v>2461</v>
      </c>
      <c r="L230" s="255">
        <f>44.16-L219</f>
        <v>38.61</v>
      </c>
      <c r="M230" s="258">
        <v>0</v>
      </c>
      <c r="N230" s="257">
        <f>INT($L230*M230*100+0.5)/100</f>
        <v>0</v>
      </c>
      <c r="O230" s="258">
        <v>0</v>
      </c>
      <c r="P230" s="257">
        <f>INT($L230*O230*100+0.5)/100</f>
        <v>0</v>
      </c>
      <c r="Q230" s="258">
        <v>0</v>
      </c>
      <c r="R230" s="257">
        <f>INT($L230*Q230*100+0.5)/100</f>
        <v>0</v>
      </c>
      <c r="S230" s="258">
        <v>0</v>
      </c>
      <c r="T230" s="245">
        <f>INT($L230*S230*100+0.5)/100</f>
        <v>0</v>
      </c>
      <c r="U230" s="258">
        <v>0</v>
      </c>
      <c r="V230" s="257">
        <f>INT($L230*U230*100+0.5)/100</f>
        <v>0</v>
      </c>
      <c r="W230" s="258">
        <v>0</v>
      </c>
      <c r="X230" s="245">
        <f>INT($L230*W230*100+0.5)/100</f>
        <v>0</v>
      </c>
      <c r="Y230" s="258">
        <v>0</v>
      </c>
      <c r="Z230" s="245">
        <f>INT($L230*Y230*100+0.5)/100</f>
        <v>0</v>
      </c>
    </row>
    <row r="231" spans="1:26" ht="15" customHeight="1">
      <c r="A231" s="250"/>
      <c r="B231" s="251"/>
      <c r="C231" s="251"/>
      <c r="D231" s="292" t="s">
        <v>460</v>
      </c>
      <c r="E231" s="251"/>
      <c r="F231" s="252"/>
      <c r="G231" s="253"/>
      <c r="H231" s="254"/>
      <c r="I231" s="253"/>
      <c r="J231" s="253"/>
      <c r="K231" s="251"/>
      <c r="L231" s="255"/>
      <c r="M231" s="258"/>
      <c r="N231" s="257"/>
      <c r="O231" s="258"/>
      <c r="P231" s="257"/>
      <c r="Q231" s="258"/>
      <c r="R231" s="257"/>
      <c r="S231" s="258"/>
      <c r="T231" s="245"/>
      <c r="U231" s="258"/>
      <c r="V231" s="257"/>
      <c r="W231" s="258"/>
      <c r="X231" s="245"/>
      <c r="Y231" s="258"/>
      <c r="Z231" s="245"/>
    </row>
    <row r="232" spans="1:26" ht="15" customHeight="1">
      <c r="A232" s="250"/>
      <c r="B232" s="251"/>
      <c r="C232" s="251"/>
      <c r="D232" s="292"/>
      <c r="E232" s="251"/>
      <c r="F232" s="252"/>
      <c r="G232" s="253"/>
      <c r="H232" s="254"/>
      <c r="I232" s="253"/>
      <c r="J232" s="253"/>
      <c r="K232" s="251"/>
      <c r="L232" s="255"/>
      <c r="M232" s="258"/>
      <c r="N232" s="257"/>
      <c r="O232" s="258"/>
      <c r="P232" s="257"/>
      <c r="Q232" s="258"/>
      <c r="R232" s="257"/>
      <c r="S232" s="258"/>
      <c r="T232" s="245"/>
      <c r="U232" s="258"/>
      <c r="V232" s="257"/>
      <c r="W232" s="258"/>
      <c r="X232" s="245"/>
      <c r="Y232" s="258"/>
      <c r="Z232" s="245"/>
    </row>
    <row r="233" spans="1:26" ht="25.5">
      <c r="A233" s="250">
        <f>A230+1</f>
        <v>93</v>
      </c>
      <c r="B233" s="251"/>
      <c r="C233" s="655" t="s">
        <v>2329</v>
      </c>
      <c r="D233" s="292" t="s">
        <v>991</v>
      </c>
      <c r="E233" s="251" t="s">
        <v>2461</v>
      </c>
      <c r="F233" s="252"/>
      <c r="G233" s="253"/>
      <c r="H233" s="254"/>
      <c r="I233" s="253"/>
      <c r="J233" s="253"/>
      <c r="K233" s="251" t="s">
        <v>2461</v>
      </c>
      <c r="L233" s="255"/>
      <c r="M233" s="258"/>
      <c r="N233" s="257"/>
      <c r="O233" s="258"/>
      <c r="P233" s="257"/>
      <c r="Q233" s="258"/>
      <c r="R233" s="257"/>
      <c r="S233" s="258"/>
      <c r="T233" s="245"/>
      <c r="U233" s="258"/>
      <c r="V233" s="257"/>
      <c r="W233" s="258"/>
      <c r="X233" s="245"/>
      <c r="Y233" s="258"/>
      <c r="Z233" s="245"/>
    </row>
    <row r="234" spans="1:26" ht="25.5">
      <c r="A234" s="250"/>
      <c r="B234" s="251"/>
      <c r="C234" s="251"/>
      <c r="D234" s="292" t="s">
        <v>992</v>
      </c>
      <c r="E234" s="251"/>
      <c r="F234" s="252"/>
      <c r="G234" s="253"/>
      <c r="H234" s="254"/>
      <c r="I234" s="253"/>
      <c r="J234" s="253"/>
      <c r="K234" s="251"/>
      <c r="L234" s="255"/>
      <c r="M234" s="258"/>
      <c r="N234" s="257"/>
      <c r="O234" s="258"/>
      <c r="P234" s="257"/>
      <c r="Q234" s="258"/>
      <c r="R234" s="257"/>
      <c r="S234" s="258"/>
      <c r="T234" s="245"/>
      <c r="U234" s="258"/>
      <c r="V234" s="257"/>
      <c r="W234" s="258"/>
      <c r="X234" s="245"/>
      <c r="Y234" s="258"/>
      <c r="Z234" s="245"/>
    </row>
    <row r="235" spans="1:26" ht="15" customHeight="1">
      <c r="A235" s="250"/>
      <c r="B235" s="251"/>
      <c r="C235" s="251"/>
      <c r="D235" s="292" t="s">
        <v>993</v>
      </c>
      <c r="E235" s="251"/>
      <c r="F235" s="252"/>
      <c r="G235" s="253"/>
      <c r="H235" s="254"/>
      <c r="I235" s="253"/>
      <c r="J235" s="253"/>
      <c r="K235" s="251"/>
      <c r="L235" s="255"/>
      <c r="M235" s="258">
        <f>(172+10)*0.8</f>
        <v>145.6</v>
      </c>
      <c r="N235" s="257"/>
      <c r="O235" s="258"/>
      <c r="P235" s="257"/>
      <c r="Q235" s="258">
        <f>(172+10)*1.33</f>
        <v>242.06</v>
      </c>
      <c r="R235" s="257"/>
      <c r="S235" s="258"/>
      <c r="T235" s="245"/>
      <c r="U235" s="258">
        <f>172*3*0.3+172*2.7*0.3</f>
        <v>294.12</v>
      </c>
      <c r="V235" s="257"/>
      <c r="W235" s="258"/>
      <c r="X235" s="245"/>
      <c r="Y235" s="258">
        <f>(170+10)*(7.7-2.65)*0.7</f>
        <v>636.30000000000007</v>
      </c>
      <c r="Z235" s="245"/>
    </row>
    <row r="236" spans="1:26" ht="15" customHeight="1">
      <c r="A236" s="250"/>
      <c r="B236" s="251"/>
      <c r="C236" s="251"/>
      <c r="D236" s="292" t="s">
        <v>994</v>
      </c>
      <c r="E236" s="251"/>
      <c r="F236" s="252"/>
      <c r="G236" s="253"/>
      <c r="H236" s="254"/>
      <c r="I236" s="253"/>
      <c r="J236" s="253"/>
      <c r="K236" s="251"/>
      <c r="L236" s="255"/>
      <c r="M236" s="258">
        <f>(10+250+10)*0.8</f>
        <v>216</v>
      </c>
      <c r="N236" s="257"/>
      <c r="O236" s="258">
        <f>(250+10-97)*2</f>
        <v>326</v>
      </c>
      <c r="P236" s="257"/>
      <c r="Q236" s="258">
        <f>(10+250+10)*1.33</f>
        <v>359.1</v>
      </c>
      <c r="R236" s="257"/>
      <c r="S236" s="258"/>
      <c r="T236" s="245"/>
      <c r="U236" s="258">
        <f>(10+250+10)*3*0.3+(10+250+10)*3*0.3</f>
        <v>486</v>
      </c>
      <c r="V236" s="257"/>
      <c r="W236" s="258"/>
      <c r="X236" s="245"/>
      <c r="Y236" s="258">
        <f>(10+250+10)*(7.2-2.65)*0.7</f>
        <v>859.95000000000016</v>
      </c>
      <c r="Z236" s="245"/>
    </row>
    <row r="237" spans="1:26" ht="15" customHeight="1">
      <c r="A237" s="250"/>
      <c r="B237" s="251"/>
      <c r="C237" s="251"/>
      <c r="D237" s="292" t="s">
        <v>995</v>
      </c>
      <c r="E237" s="251"/>
      <c r="F237" s="252"/>
      <c r="G237" s="253"/>
      <c r="H237" s="254"/>
      <c r="I237" s="253"/>
      <c r="J237" s="253"/>
      <c r="K237" s="251"/>
      <c r="L237" s="255"/>
      <c r="M237" s="258">
        <f>(10+250)*0.8</f>
        <v>208</v>
      </c>
      <c r="N237" s="257"/>
      <c r="O237" s="258">
        <f>(10+250)*2</f>
        <v>520</v>
      </c>
      <c r="P237" s="257"/>
      <c r="Q237" s="258">
        <f>(10+250)*1.33</f>
        <v>345.8</v>
      </c>
      <c r="R237" s="257"/>
      <c r="S237" s="258"/>
      <c r="T237" s="245"/>
      <c r="U237" s="258">
        <f>(10+250)*3.4*0.3+(10+250)*3.5*0.3</f>
        <v>538.20000000000005</v>
      </c>
      <c r="V237" s="257"/>
      <c r="W237" s="258"/>
      <c r="X237" s="245"/>
      <c r="Y237" s="258">
        <f>(10+250)*(6.1-2.65)*0.7</f>
        <v>627.89999999999986</v>
      </c>
      <c r="Z237" s="245"/>
    </row>
    <row r="238" spans="1:26" ht="15" customHeight="1">
      <c r="A238" s="250"/>
      <c r="B238" s="251"/>
      <c r="C238" s="251"/>
      <c r="D238" s="292" t="s">
        <v>1232</v>
      </c>
      <c r="E238" s="251"/>
      <c r="F238" s="252"/>
      <c r="G238" s="253"/>
      <c r="H238" s="254"/>
      <c r="I238" s="253"/>
      <c r="J238" s="253"/>
      <c r="K238" s="251"/>
      <c r="L238" s="255"/>
      <c r="M238" s="458">
        <v>100</v>
      </c>
      <c r="N238" s="257"/>
      <c r="O238" s="258"/>
      <c r="P238" s="257"/>
      <c r="Q238" s="258">
        <f>(35)*0.8*1*2+(35)*0.8*1*1+70*1*1.5*1</f>
        <v>189</v>
      </c>
      <c r="R238" s="257"/>
      <c r="S238" s="258">
        <v>0</v>
      </c>
      <c r="T238" s="245"/>
      <c r="U238" s="258"/>
      <c r="V238" s="257"/>
      <c r="W238" s="258"/>
      <c r="X238" s="245"/>
      <c r="Y238" s="258"/>
      <c r="Z238" s="245"/>
    </row>
    <row r="239" spans="1:26" ht="15" customHeight="1">
      <c r="A239" s="250"/>
      <c r="B239" s="251"/>
      <c r="C239" s="251"/>
      <c r="D239" s="292" t="s">
        <v>35</v>
      </c>
      <c r="E239" s="251"/>
      <c r="F239" s="252"/>
      <c r="G239" s="253"/>
      <c r="H239" s="254"/>
      <c r="I239" s="253"/>
      <c r="J239" s="253"/>
      <c r="K239" s="251"/>
      <c r="L239" s="255"/>
      <c r="M239" s="258">
        <v>0</v>
      </c>
      <c r="N239" s="257"/>
      <c r="O239" s="258">
        <v>0</v>
      </c>
      <c r="P239" s="257"/>
      <c r="Q239" s="258">
        <v>0</v>
      </c>
      <c r="R239" s="257"/>
      <c r="S239" s="258">
        <f>10*(6.5)*0.8*1+(10+10)*1*1*1</f>
        <v>72</v>
      </c>
      <c r="T239" s="245"/>
      <c r="U239" s="258"/>
      <c r="V239" s="257"/>
      <c r="W239" s="258"/>
      <c r="X239" s="245"/>
      <c r="Y239" s="258"/>
      <c r="Z239" s="245"/>
    </row>
    <row r="240" spans="1:26" ht="15" customHeight="1">
      <c r="A240" s="250"/>
      <c r="B240" s="251"/>
      <c r="C240" s="251"/>
      <c r="D240" s="292" t="s">
        <v>2120</v>
      </c>
      <c r="E240" s="251"/>
      <c r="F240" s="252"/>
      <c r="G240" s="253"/>
      <c r="H240" s="254"/>
      <c r="I240" s="253"/>
      <c r="J240" s="253"/>
      <c r="K240" s="251"/>
      <c r="L240" s="255"/>
      <c r="M240" s="258">
        <v>0</v>
      </c>
      <c r="N240" s="257"/>
      <c r="O240" s="258">
        <f>200*0.8*1.3</f>
        <v>208</v>
      </c>
      <c r="P240" s="257"/>
      <c r="Q240" s="258"/>
      <c r="R240" s="257"/>
      <c r="S240" s="258"/>
      <c r="T240" s="245"/>
      <c r="U240" s="258"/>
      <c r="V240" s="257"/>
      <c r="W240" s="258">
        <f>158*(2+1+1)*0.4*0.3</f>
        <v>75.84</v>
      </c>
      <c r="X240" s="245"/>
      <c r="Y240" s="258">
        <f>(44*7+44*(7+5.7)/2+18*6.1*2)*0.2</f>
        <v>161.4</v>
      </c>
      <c r="Z240" s="245"/>
    </row>
    <row r="241" spans="1:26" ht="15" customHeight="1">
      <c r="A241" s="250"/>
      <c r="B241" s="251"/>
      <c r="C241" s="251"/>
      <c r="D241" s="292" t="s">
        <v>2451</v>
      </c>
      <c r="E241" s="251"/>
      <c r="F241" s="252"/>
      <c r="G241" s="253"/>
      <c r="H241" s="254"/>
      <c r="I241" s="253"/>
      <c r="J241" s="253"/>
      <c r="K241" s="251"/>
      <c r="L241" s="256">
        <f>0.2*(180+45+70+40)*0.9*1.3</f>
        <v>78.390000000000015</v>
      </c>
      <c r="M241" s="258"/>
      <c r="N241" s="257"/>
      <c r="O241" s="258"/>
      <c r="P241" s="257"/>
      <c r="Q241" s="258"/>
      <c r="R241" s="257"/>
      <c r="S241" s="258">
        <v>0</v>
      </c>
      <c r="T241" s="245"/>
      <c r="U241" s="258"/>
      <c r="V241" s="257"/>
      <c r="W241" s="258"/>
      <c r="X241" s="245"/>
      <c r="Y241" s="258"/>
      <c r="Z241" s="245"/>
    </row>
    <row r="242" spans="1:26" ht="15" customHeight="1">
      <c r="A242" s="250"/>
      <c r="B242" s="251"/>
      <c r="C242" s="648"/>
      <c r="D242" s="292" t="s">
        <v>2446</v>
      </c>
      <c r="E242" s="251"/>
      <c r="F242" s="252"/>
      <c r="G242" s="253"/>
      <c r="H242" s="254"/>
      <c r="I242" s="253"/>
      <c r="J242" s="253"/>
      <c r="K242" s="251"/>
      <c r="L242" s="256">
        <f>0.2*(55-32)*6*0.9*1.3</f>
        <v>32.292000000000009</v>
      </c>
      <c r="M242" s="293"/>
      <c r="N242" s="294"/>
      <c r="O242" s="293"/>
      <c r="P242" s="294"/>
      <c r="Q242" s="293"/>
      <c r="R242" s="294"/>
      <c r="S242" s="293"/>
      <c r="T242" s="296"/>
      <c r="U242" s="293"/>
      <c r="V242" s="294"/>
      <c r="W242" s="293"/>
      <c r="X242" s="296"/>
      <c r="Y242" s="293"/>
      <c r="Z242" s="296"/>
    </row>
    <row r="243" spans="1:26" ht="15" customHeight="1">
      <c r="A243" s="250"/>
      <c r="B243" s="251"/>
      <c r="C243" s="648"/>
      <c r="D243" s="292" t="s">
        <v>1900</v>
      </c>
      <c r="E243" s="251"/>
      <c r="F243" s="252">
        <f>M243+O243+Q243+S243+U243+W243+Y243</f>
        <v>6611.27</v>
      </c>
      <c r="G243" s="253">
        <f>L243</f>
        <v>10.47</v>
      </c>
      <c r="H243" s="254">
        <f>INT(F243*G243*100+0.5)/100</f>
        <v>69220</v>
      </c>
      <c r="I243" s="253">
        <f>N243+P243+R243+T243+V243+X243+Z243</f>
        <v>69219.989999999991</v>
      </c>
      <c r="J243" s="253"/>
      <c r="K243" s="251"/>
      <c r="L243" s="255">
        <v>10.47</v>
      </c>
      <c r="M243" s="258">
        <f>INT(SUM(M234:M242)*100+0.5)/100</f>
        <v>669.6</v>
      </c>
      <c r="N243" s="257">
        <f>INT($L243*M243*100+0.5)/100</f>
        <v>7010.71</v>
      </c>
      <c r="O243" s="258">
        <f>INT(SUM(O234:O242)*100+0.5)/100</f>
        <v>1054</v>
      </c>
      <c r="P243" s="257">
        <f>INT($L243*O243*100+0.5)/100</f>
        <v>11035.38</v>
      </c>
      <c r="Q243" s="258">
        <f>INT(SUM(Q234:Q242)*100+0.5)/100</f>
        <v>1135.96</v>
      </c>
      <c r="R243" s="257">
        <f>INT($L243*Q243*100+0.5)/100</f>
        <v>11893.5</v>
      </c>
      <c r="S243" s="258">
        <f>INT(SUM(S234:S242)*100+0.5)/100</f>
        <v>72</v>
      </c>
      <c r="T243" s="257">
        <f>INT($L243*S243*100+0.5)/100</f>
        <v>753.84</v>
      </c>
      <c r="U243" s="258">
        <f>INT(SUM(U234:U242)*100+0.5)/100</f>
        <v>1318.32</v>
      </c>
      <c r="V243" s="257">
        <f>INT($L243*U243*100+0.5)/100</f>
        <v>13802.81</v>
      </c>
      <c r="W243" s="258">
        <f>INT(SUM(W234:W242)*100+0.5)/100</f>
        <v>75.84</v>
      </c>
      <c r="X243" s="257">
        <f>INT($L243*W243*100+0.5)/100</f>
        <v>794.04</v>
      </c>
      <c r="Y243" s="258">
        <f>INT(SUM(Y234:Y242)*100+0.5)/100</f>
        <v>2285.5500000000002</v>
      </c>
      <c r="Z243" s="257">
        <f>INT($L243*Y243*100+0.5)/100</f>
        <v>23929.71</v>
      </c>
    </row>
    <row r="244" spans="1:26" ht="15" customHeight="1">
      <c r="A244" s="250"/>
      <c r="B244" s="251"/>
      <c r="C244" s="648"/>
      <c r="D244" s="292"/>
      <c r="E244" s="251"/>
      <c r="F244" s="252"/>
      <c r="G244" s="253"/>
      <c r="H244" s="254"/>
      <c r="I244" s="253"/>
      <c r="J244" s="253"/>
      <c r="K244" s="251"/>
      <c r="L244" s="255"/>
      <c r="M244" s="258"/>
      <c r="N244" s="257"/>
      <c r="O244" s="258"/>
      <c r="P244" s="257"/>
      <c r="Q244" s="258"/>
      <c r="R244" s="257"/>
      <c r="S244" s="258"/>
      <c r="T244" s="257"/>
      <c r="U244" s="258"/>
      <c r="V244" s="257"/>
      <c r="W244" s="258"/>
      <c r="X244" s="257"/>
      <c r="Y244" s="258"/>
      <c r="Z244" s="257"/>
    </row>
    <row r="245" spans="1:26" ht="15" customHeight="1">
      <c r="A245" s="250"/>
      <c r="B245" s="251"/>
      <c r="C245" s="648"/>
      <c r="D245" s="292"/>
      <c r="E245" s="251"/>
      <c r="F245" s="252"/>
      <c r="G245" s="253"/>
      <c r="H245" s="254"/>
      <c r="I245" s="253"/>
      <c r="J245" s="253"/>
      <c r="K245" s="251"/>
      <c r="L245" s="255"/>
      <c r="M245" s="258"/>
      <c r="N245" s="257"/>
      <c r="O245" s="258"/>
      <c r="P245" s="257"/>
      <c r="Q245" s="258"/>
      <c r="R245" s="257"/>
      <c r="S245" s="258"/>
      <c r="T245" s="245"/>
      <c r="U245" s="258"/>
      <c r="V245" s="257"/>
      <c r="W245" s="258"/>
      <c r="X245" s="245"/>
      <c r="Y245" s="258"/>
      <c r="Z245" s="245"/>
    </row>
    <row r="246" spans="1:26" ht="25.5">
      <c r="A246" s="250">
        <f>A233+1</f>
        <v>94</v>
      </c>
      <c r="B246" s="251"/>
      <c r="C246" s="647" t="s">
        <v>2330</v>
      </c>
      <c r="D246" s="292" t="s">
        <v>1373</v>
      </c>
      <c r="E246" s="251" t="s">
        <v>2461</v>
      </c>
      <c r="F246" s="252"/>
      <c r="G246" s="253"/>
      <c r="H246" s="254"/>
      <c r="I246" s="253"/>
      <c r="J246" s="253"/>
      <c r="K246" s="251" t="s">
        <v>2461</v>
      </c>
      <c r="L246" s="255"/>
      <c r="M246" s="258"/>
      <c r="N246" s="257"/>
      <c r="O246" s="258"/>
      <c r="P246" s="257"/>
      <c r="Q246" s="258"/>
      <c r="R246" s="257"/>
      <c r="S246" s="258"/>
      <c r="T246" s="245"/>
      <c r="U246" s="258"/>
      <c r="V246" s="257"/>
      <c r="W246" s="258"/>
      <c r="X246" s="245"/>
      <c r="Y246" s="258"/>
      <c r="Z246" s="245"/>
    </row>
    <row r="247" spans="1:26" ht="25.5">
      <c r="A247" s="250"/>
      <c r="B247" s="251"/>
      <c r="C247" s="648"/>
      <c r="D247" s="292" t="s">
        <v>1372</v>
      </c>
      <c r="E247" s="251"/>
      <c r="F247" s="252"/>
      <c r="G247" s="253"/>
      <c r="H247" s="254"/>
      <c r="I247" s="253"/>
      <c r="J247" s="253"/>
      <c r="K247" s="251"/>
      <c r="L247" s="255"/>
      <c r="M247" s="258"/>
      <c r="N247" s="257"/>
      <c r="O247" s="258"/>
      <c r="P247" s="257"/>
      <c r="Q247" s="258"/>
      <c r="R247" s="257"/>
      <c r="S247" s="258"/>
      <c r="T247" s="245"/>
      <c r="U247" s="258"/>
      <c r="V247" s="257"/>
      <c r="W247" s="258"/>
      <c r="X247" s="245"/>
      <c r="Y247" s="258"/>
      <c r="Z247" s="245"/>
    </row>
    <row r="248" spans="1:26" ht="15" customHeight="1">
      <c r="A248" s="250"/>
      <c r="B248" s="251"/>
      <c r="C248" s="648"/>
      <c r="D248" s="503" t="s">
        <v>993</v>
      </c>
      <c r="E248" s="251"/>
      <c r="F248" s="252"/>
      <c r="G248" s="253"/>
      <c r="H248" s="254"/>
      <c r="I248" s="253"/>
      <c r="J248" s="253"/>
      <c r="K248" s="251"/>
      <c r="L248" s="255"/>
      <c r="M248" s="258">
        <v>50</v>
      </c>
      <c r="N248" s="257"/>
      <c r="O248" s="458">
        <v>50</v>
      </c>
      <c r="P248" s="257"/>
      <c r="Q248" s="458">
        <v>50</v>
      </c>
      <c r="R248" s="257"/>
      <c r="S248" s="258">
        <v>0</v>
      </c>
      <c r="T248" s="245"/>
      <c r="U248" s="258"/>
      <c r="V248" s="257"/>
      <c r="W248" s="258"/>
      <c r="X248" s="245"/>
      <c r="Y248" s="258"/>
      <c r="Z248" s="245"/>
    </row>
    <row r="249" spans="1:26" ht="15" customHeight="1">
      <c r="A249" s="250"/>
      <c r="B249" s="251"/>
      <c r="C249" s="648"/>
      <c r="D249" s="503" t="s">
        <v>994</v>
      </c>
      <c r="E249" s="251"/>
      <c r="F249" s="252"/>
      <c r="G249" s="253"/>
      <c r="H249" s="254"/>
      <c r="I249" s="253"/>
      <c r="J249" s="253"/>
      <c r="K249" s="251"/>
      <c r="L249" s="255"/>
      <c r="M249" s="258">
        <v>50</v>
      </c>
      <c r="N249" s="257"/>
      <c r="O249" s="458">
        <v>50</v>
      </c>
      <c r="P249" s="257"/>
      <c r="Q249" s="458">
        <v>50</v>
      </c>
      <c r="R249" s="257"/>
      <c r="S249" s="258">
        <v>0</v>
      </c>
      <c r="T249" s="245"/>
      <c r="U249" s="258"/>
      <c r="V249" s="257"/>
      <c r="W249" s="258"/>
      <c r="X249" s="245"/>
      <c r="Y249" s="258"/>
      <c r="Z249" s="245"/>
    </row>
    <row r="250" spans="1:26" ht="15" customHeight="1">
      <c r="A250" s="250"/>
      <c r="B250" s="251"/>
      <c r="C250" s="648"/>
      <c r="D250" s="503" t="s">
        <v>995</v>
      </c>
      <c r="E250" s="251"/>
      <c r="F250" s="252"/>
      <c r="G250" s="253"/>
      <c r="H250" s="254"/>
      <c r="I250" s="253"/>
      <c r="J250" s="253"/>
      <c r="K250" s="251"/>
      <c r="L250" s="255"/>
      <c r="M250" s="258">
        <v>50</v>
      </c>
      <c r="N250" s="257"/>
      <c r="O250" s="458">
        <v>50</v>
      </c>
      <c r="P250" s="257"/>
      <c r="Q250" s="458">
        <v>50</v>
      </c>
      <c r="R250" s="257"/>
      <c r="S250" s="258">
        <v>0</v>
      </c>
      <c r="T250" s="245"/>
      <c r="U250" s="258"/>
      <c r="V250" s="257"/>
      <c r="W250" s="258"/>
      <c r="X250" s="245"/>
      <c r="Y250" s="258"/>
      <c r="Z250" s="245"/>
    </row>
    <row r="251" spans="1:26" ht="15" customHeight="1">
      <c r="A251" s="250"/>
      <c r="B251" s="251"/>
      <c r="C251" s="648"/>
      <c r="D251" s="292" t="s">
        <v>2446</v>
      </c>
      <c r="E251" s="251"/>
      <c r="F251" s="252"/>
      <c r="G251" s="253"/>
      <c r="H251" s="254"/>
      <c r="I251" s="253"/>
      <c r="J251" s="253"/>
      <c r="K251" s="251"/>
      <c r="L251" s="255"/>
      <c r="M251" s="258">
        <v>0</v>
      </c>
      <c r="N251" s="257"/>
      <c r="O251" s="458">
        <v>50</v>
      </c>
      <c r="P251" s="257"/>
      <c r="Q251" s="258">
        <v>0</v>
      </c>
      <c r="R251" s="257"/>
      <c r="S251" s="258">
        <v>0</v>
      </c>
      <c r="T251" s="245"/>
      <c r="U251" s="258"/>
      <c r="V251" s="257"/>
      <c r="W251" s="258"/>
      <c r="X251" s="245"/>
      <c r="Y251" s="258"/>
      <c r="Z251" s="245"/>
    </row>
    <row r="252" spans="1:26" ht="15" customHeight="1">
      <c r="A252" s="250"/>
      <c r="B252" s="251"/>
      <c r="C252" s="648"/>
      <c r="D252" s="292" t="s">
        <v>2451</v>
      </c>
      <c r="E252" s="251"/>
      <c r="F252" s="252"/>
      <c r="G252" s="253"/>
      <c r="H252" s="254"/>
      <c r="I252" s="253"/>
      <c r="J252" s="253"/>
      <c r="K252" s="251"/>
      <c r="L252" s="256">
        <f>0.8*(180+45+70+40)*0.9*1.3</f>
        <v>313.56000000000006</v>
      </c>
      <c r="M252" s="258"/>
      <c r="N252" s="257"/>
      <c r="O252" s="258">
        <v>0</v>
      </c>
      <c r="P252" s="257"/>
      <c r="Q252" s="258">
        <v>0</v>
      </c>
      <c r="R252" s="257"/>
      <c r="S252" s="258">
        <v>0</v>
      </c>
      <c r="T252" s="245"/>
      <c r="U252" s="258">
        <v>0</v>
      </c>
      <c r="V252" s="257"/>
      <c r="W252" s="258">
        <v>0</v>
      </c>
      <c r="X252" s="245"/>
      <c r="Y252" s="258">
        <v>0</v>
      </c>
      <c r="Z252" s="245"/>
    </row>
    <row r="253" spans="1:26" ht="15" customHeight="1">
      <c r="A253" s="250"/>
      <c r="B253" s="251"/>
      <c r="C253" s="648"/>
      <c r="D253" s="292"/>
      <c r="E253" s="251"/>
      <c r="F253" s="252"/>
      <c r="G253" s="253"/>
      <c r="H253" s="254"/>
      <c r="I253" s="253"/>
      <c r="J253" s="253"/>
      <c r="K253" s="251"/>
      <c r="L253" s="256">
        <f>0.8*(55-32)*6*0.9*1.3</f>
        <v>129.16800000000003</v>
      </c>
      <c r="M253" s="293"/>
      <c r="N253" s="294"/>
      <c r="O253" s="293"/>
      <c r="P253" s="294"/>
      <c r="Q253" s="293"/>
      <c r="R253" s="294"/>
      <c r="S253" s="293"/>
      <c r="T253" s="296"/>
      <c r="U253" s="293"/>
      <c r="V253" s="294"/>
      <c r="W253" s="293"/>
      <c r="X253" s="296"/>
      <c r="Y253" s="293"/>
      <c r="Z253" s="296"/>
    </row>
    <row r="254" spans="1:26" ht="15" customHeight="1">
      <c r="A254" s="250"/>
      <c r="B254" s="251"/>
      <c r="C254" s="648"/>
      <c r="D254" s="292" t="s">
        <v>1900</v>
      </c>
      <c r="E254" s="251"/>
      <c r="F254" s="252">
        <f>M254+O254+Q254+S254+U254+W254+Y254</f>
        <v>500</v>
      </c>
      <c r="G254" s="253">
        <f>L254</f>
        <v>9.7799999999999994</v>
      </c>
      <c r="H254" s="254">
        <f>INT(F254*G254*100+0.5)/100</f>
        <v>4890</v>
      </c>
      <c r="I254" s="253">
        <f>N254+P254+R254+T254+V254+X254+Z254</f>
        <v>4890</v>
      </c>
      <c r="J254" s="253"/>
      <c r="K254" s="251"/>
      <c r="L254" s="255">
        <v>9.7799999999999994</v>
      </c>
      <c r="M254" s="258">
        <f>INT(SUM(M247:M253)*100+0.5)/100</f>
        <v>150</v>
      </c>
      <c r="N254" s="257">
        <f>INT($L254*M254*100+0.5)/100</f>
        <v>1467</v>
      </c>
      <c r="O254" s="258">
        <f>INT(SUM(O247:O253)*100+0.5)/100</f>
        <v>200</v>
      </c>
      <c r="P254" s="257">
        <f>INT($L254*O254*100+0.5)/100</f>
        <v>1956</v>
      </c>
      <c r="Q254" s="258">
        <f>INT(SUM(Q247:Q253)*100+0.5)/100</f>
        <v>150</v>
      </c>
      <c r="R254" s="257">
        <f>INT($L254*Q254*100+0.5)/100</f>
        <v>1467</v>
      </c>
      <c r="S254" s="258">
        <f>INT(SUM(S247:S253)*100+0.5)/100</f>
        <v>0</v>
      </c>
      <c r="T254" s="257">
        <f>INT($L254*S254*100+0.5)/100</f>
        <v>0</v>
      </c>
      <c r="U254" s="258">
        <f>INT(SUM(U247:U253)*100+0.5)/100</f>
        <v>0</v>
      </c>
      <c r="V254" s="257">
        <f>INT($L254*U254*100+0.5)/100</f>
        <v>0</v>
      </c>
      <c r="W254" s="258">
        <f>INT(SUM(W247:W253)*100+0.5)/100</f>
        <v>0</v>
      </c>
      <c r="X254" s="257">
        <f>INT($L254*W254*100+0.5)/100</f>
        <v>0</v>
      </c>
      <c r="Y254" s="258">
        <f>INT(SUM(Y247:Y253)*100+0.5)/100</f>
        <v>0</v>
      </c>
      <c r="Z254" s="257">
        <f>INT($L254*Y254*100+0.5)/100</f>
        <v>0</v>
      </c>
    </row>
    <row r="255" spans="1:26" ht="15" customHeight="1">
      <c r="A255" s="250"/>
      <c r="B255" s="251"/>
      <c r="C255" s="648"/>
      <c r="D255" s="292"/>
      <c r="E255" s="251"/>
      <c r="F255" s="488">
        <f>F243+F254</f>
        <v>7111.27</v>
      </c>
      <c r="G255" s="533" t="s">
        <v>1174</v>
      </c>
      <c r="H255" s="254"/>
      <c r="I255" s="253"/>
      <c r="J255" s="253"/>
      <c r="K255" s="251"/>
      <c r="L255" s="255"/>
      <c r="M255" s="258"/>
      <c r="N255" s="257"/>
      <c r="O255" s="258"/>
      <c r="P255" s="257"/>
      <c r="Q255" s="258"/>
      <c r="R255" s="257"/>
      <c r="S255" s="258"/>
      <c r="T255" s="257"/>
      <c r="U255" s="258"/>
      <c r="V255" s="257"/>
      <c r="W255" s="258"/>
      <c r="X255" s="257"/>
      <c r="Y255" s="258"/>
      <c r="Z255" s="257"/>
    </row>
    <row r="256" spans="1:26" ht="15" customHeight="1">
      <c r="A256" s="250">
        <f>A246+1</f>
        <v>95</v>
      </c>
      <c r="B256" s="251"/>
      <c r="C256" s="647" t="s">
        <v>1912</v>
      </c>
      <c r="D256" s="292" t="s">
        <v>1914</v>
      </c>
      <c r="E256" s="251" t="s">
        <v>2461</v>
      </c>
      <c r="F256" s="252"/>
      <c r="G256" s="489">
        <f>F255/690/6.2</f>
        <v>1.6622884525479196</v>
      </c>
      <c r="H256" s="254"/>
      <c r="I256" s="253"/>
      <c r="J256" s="253"/>
      <c r="K256" s="251" t="s">
        <v>2461</v>
      </c>
      <c r="L256" s="255"/>
      <c r="M256" s="258"/>
      <c r="N256" s="257"/>
      <c r="O256" s="258"/>
      <c r="P256" s="257"/>
      <c r="Q256" s="258"/>
      <c r="R256" s="257"/>
      <c r="S256" s="258"/>
      <c r="T256" s="257"/>
      <c r="U256" s="258"/>
      <c r="V256" s="257"/>
      <c r="W256" s="258"/>
      <c r="X256" s="257"/>
      <c r="Y256" s="258"/>
      <c r="Z256" s="257"/>
    </row>
    <row r="257" spans="1:26" ht="15" customHeight="1">
      <c r="A257" s="250"/>
      <c r="B257" s="251"/>
      <c r="C257" s="648"/>
      <c r="D257" s="292" t="s">
        <v>1913</v>
      </c>
      <c r="E257" s="251"/>
      <c r="F257" s="252"/>
      <c r="G257" s="253"/>
      <c r="H257" s="254"/>
      <c r="I257" s="253"/>
      <c r="J257" s="253"/>
      <c r="K257" s="251"/>
      <c r="L257" s="255"/>
      <c r="M257" s="258"/>
      <c r="N257" s="257"/>
      <c r="O257" s="258"/>
      <c r="P257" s="257"/>
      <c r="Q257" s="258"/>
      <c r="R257" s="257"/>
      <c r="S257" s="258"/>
      <c r="T257" s="257"/>
      <c r="U257" s="258"/>
      <c r="V257" s="257"/>
      <c r="W257" s="258"/>
      <c r="X257" s="257"/>
      <c r="Y257" s="258"/>
      <c r="Z257" s="257"/>
    </row>
    <row r="258" spans="1:26" ht="15" customHeight="1">
      <c r="A258" s="250"/>
      <c r="B258" s="251"/>
      <c r="C258" s="648"/>
      <c r="D258" s="335" t="s">
        <v>442</v>
      </c>
      <c r="E258" s="251"/>
      <c r="F258" s="252">
        <f>M258+O258+Q258+S258+U258+W258+Y258</f>
        <v>1282.838</v>
      </c>
      <c r="G258" s="253">
        <f>L258</f>
        <v>10.590000000000002</v>
      </c>
      <c r="H258" s="254">
        <f>INT(F258*G258*100+0.5)/100</f>
        <v>13585.25</v>
      </c>
      <c r="I258" s="253">
        <f>N258+P258+R258+T258+V258+X258+Z258</f>
        <v>13585.239999999998</v>
      </c>
      <c r="J258" s="253"/>
      <c r="K258" s="251"/>
      <c r="L258" s="255">
        <f>20.37-L254</f>
        <v>10.590000000000002</v>
      </c>
      <c r="M258" s="258">
        <f>(M243+M254)*0.2</f>
        <v>163.92000000000002</v>
      </c>
      <c r="N258" s="257">
        <f>INT($L258*M258*100+0.5)/100</f>
        <v>1735.91</v>
      </c>
      <c r="O258" s="258">
        <f>(O243+O254)*0.2</f>
        <v>250.8</v>
      </c>
      <c r="P258" s="257">
        <f>INT($L258*O258*100+0.5)/100</f>
        <v>2655.97</v>
      </c>
      <c r="Q258" s="258">
        <f>(Q243+Q254)*0.2</f>
        <v>257.19200000000001</v>
      </c>
      <c r="R258" s="257">
        <f>INT($L258*Q258*100+0.5)/100</f>
        <v>2723.66</v>
      </c>
      <c r="S258" s="258">
        <f>(S243+S254)*0.2</f>
        <v>14.4</v>
      </c>
      <c r="T258" s="257">
        <f>INT($L258*S258*100+0.5)/100</f>
        <v>152.5</v>
      </c>
      <c r="U258" s="258">
        <f>(U243+U254)*0.1</f>
        <v>131.83199999999999</v>
      </c>
      <c r="V258" s="257">
        <f>INT($L258*U258*100+0.5)/100</f>
        <v>1396.1</v>
      </c>
      <c r="W258" s="258">
        <f>(W243+W254)*0.1</f>
        <v>7.5840000000000005</v>
      </c>
      <c r="X258" s="257">
        <f>INT($L258*W258*100+0.5)/100</f>
        <v>80.31</v>
      </c>
      <c r="Y258" s="258">
        <f>(Y243+Y254)*0.2</f>
        <v>457.11000000000007</v>
      </c>
      <c r="Z258" s="257">
        <f>INT($L258*Y258*100+0.5)/100</f>
        <v>4840.79</v>
      </c>
    </row>
    <row r="259" spans="1:26" ht="15" customHeight="1">
      <c r="A259" s="250"/>
      <c r="B259" s="251"/>
      <c r="C259" s="648"/>
      <c r="D259" s="292"/>
      <c r="E259" s="251"/>
      <c r="F259" s="252"/>
      <c r="G259" s="253"/>
      <c r="H259" s="254"/>
      <c r="I259" s="253"/>
      <c r="J259" s="253"/>
      <c r="K259" s="251"/>
      <c r="L259" s="255"/>
      <c r="M259" s="258"/>
      <c r="N259" s="257"/>
      <c r="O259" s="258"/>
      <c r="P259" s="257"/>
      <c r="Q259" s="258"/>
      <c r="R259" s="257"/>
      <c r="S259" s="258"/>
      <c r="T259" s="257"/>
      <c r="U259" s="258"/>
      <c r="V259" s="257"/>
      <c r="W259" s="258"/>
      <c r="X259" s="257"/>
      <c r="Y259" s="258"/>
      <c r="Z259" s="257"/>
    </row>
    <row r="260" spans="1:26" ht="25.5">
      <c r="A260" s="250">
        <f>A256+1</f>
        <v>96</v>
      </c>
      <c r="B260" s="251"/>
      <c r="C260" s="647" t="s">
        <v>2331</v>
      </c>
      <c r="D260" s="292" t="s">
        <v>1608</v>
      </c>
      <c r="E260" s="251" t="s">
        <v>2461</v>
      </c>
      <c r="F260" s="252"/>
      <c r="G260" s="253"/>
      <c r="H260" s="254"/>
      <c r="I260" s="253"/>
      <c r="J260" s="253"/>
      <c r="K260" s="251" t="s">
        <v>2461</v>
      </c>
      <c r="L260" s="255"/>
      <c r="M260" s="258"/>
      <c r="N260" s="257"/>
      <c r="O260" s="258"/>
      <c r="P260" s="257"/>
      <c r="Q260" s="258"/>
      <c r="R260" s="257"/>
      <c r="S260" s="258"/>
      <c r="T260" s="257"/>
      <c r="U260" s="258"/>
      <c r="V260" s="257"/>
      <c r="W260" s="258"/>
      <c r="X260" s="257"/>
      <c r="Y260" s="258"/>
      <c r="Z260" s="257"/>
    </row>
    <row r="261" spans="1:26" ht="15" customHeight="1">
      <c r="A261" s="250"/>
      <c r="B261" s="251"/>
      <c r="C261" s="648"/>
      <c r="D261" s="292" t="s">
        <v>1609</v>
      </c>
      <c r="E261" s="251"/>
      <c r="F261" s="252"/>
      <c r="G261" s="253"/>
      <c r="H261" s="254"/>
      <c r="I261" s="253"/>
      <c r="J261" s="253"/>
      <c r="K261" s="251"/>
      <c r="L261" s="255"/>
      <c r="M261" s="258"/>
      <c r="N261" s="257"/>
      <c r="O261" s="258"/>
      <c r="P261" s="257"/>
      <c r="Q261" s="258"/>
      <c r="R261" s="257"/>
      <c r="S261" s="258"/>
      <c r="T261" s="257"/>
      <c r="U261" s="258"/>
      <c r="V261" s="257"/>
      <c r="W261" s="258"/>
      <c r="X261" s="257"/>
      <c r="Y261" s="258"/>
      <c r="Z261" s="257"/>
    </row>
    <row r="262" spans="1:26" ht="15" customHeight="1">
      <c r="A262" s="250"/>
      <c r="B262" s="251"/>
      <c r="C262" s="648"/>
      <c r="D262" s="335" t="s">
        <v>443</v>
      </c>
      <c r="E262" s="251"/>
      <c r="F262" s="252">
        <f>M262+O262+Q262+S262+U262+W262+Y262</f>
        <v>343.02660000000003</v>
      </c>
      <c r="G262" s="253">
        <f>L262</f>
        <v>44.39</v>
      </c>
      <c r="H262" s="254">
        <f>INT(F262*G262*100+0.5)/100</f>
        <v>15226.95</v>
      </c>
      <c r="I262" s="253">
        <f>N262+P262+R262+T262+V262+X262+Z262</f>
        <v>15226.94</v>
      </c>
      <c r="J262" s="253"/>
      <c r="K262" s="251"/>
      <c r="L262" s="255">
        <v>44.39</v>
      </c>
      <c r="M262" s="258">
        <f>M258*0.3</f>
        <v>49.176000000000002</v>
      </c>
      <c r="N262" s="257">
        <f>INT($L262*M262*100+0.5)/100</f>
        <v>2182.92</v>
      </c>
      <c r="O262" s="258">
        <f>O258*0.3</f>
        <v>75.239999999999995</v>
      </c>
      <c r="P262" s="257">
        <f>INT($L262*O262*100+0.5)/100</f>
        <v>3339.9</v>
      </c>
      <c r="Q262" s="258">
        <f>Q258*0.3</f>
        <v>77.157600000000002</v>
      </c>
      <c r="R262" s="257">
        <f>INT($L262*Q262*100+0.5)/100</f>
        <v>3425.03</v>
      </c>
      <c r="S262" s="258">
        <f>S258*0.3</f>
        <v>4.32</v>
      </c>
      <c r="T262" s="257">
        <f>INT($L262*S262*100+0.5)/100</f>
        <v>191.76</v>
      </c>
      <c r="U262" s="258">
        <f>U258*0</f>
        <v>0</v>
      </c>
      <c r="V262" s="257">
        <f>INT($L262*U262*100+0.5)/100</f>
        <v>0</v>
      </c>
      <c r="W262" s="258">
        <f>W258*0</f>
        <v>0</v>
      </c>
      <c r="X262" s="257">
        <f>INT($L262*W262*100+0.5)/100</f>
        <v>0</v>
      </c>
      <c r="Y262" s="258">
        <f>Y258*0.3</f>
        <v>137.13300000000001</v>
      </c>
      <c r="Z262" s="257">
        <f>INT($L262*Y262*100+0.5)/100</f>
        <v>6087.33</v>
      </c>
    </row>
    <row r="263" spans="1:26" ht="15" customHeight="1">
      <c r="A263" s="250"/>
      <c r="B263" s="251"/>
      <c r="C263" s="648"/>
      <c r="D263" s="292"/>
      <c r="E263" s="251"/>
      <c r="F263" s="252"/>
      <c r="G263" s="253"/>
      <c r="H263" s="254"/>
      <c r="I263" s="253"/>
      <c r="J263" s="253"/>
      <c r="K263" s="251"/>
      <c r="L263" s="255"/>
      <c r="M263" s="258"/>
      <c r="N263" s="257"/>
      <c r="O263" s="258"/>
      <c r="P263" s="257"/>
      <c r="Q263" s="258"/>
      <c r="R263" s="257"/>
      <c r="S263" s="258"/>
      <c r="T263" s="257"/>
      <c r="U263" s="258"/>
      <c r="V263" s="257"/>
      <c r="W263" s="258"/>
      <c r="X263" s="257"/>
      <c r="Y263" s="258"/>
      <c r="Z263" s="257"/>
    </row>
    <row r="264" spans="1:26" ht="25.5">
      <c r="A264" s="250">
        <f>A260+1</f>
        <v>97</v>
      </c>
      <c r="B264" s="251"/>
      <c r="C264" s="647" t="s">
        <v>2332</v>
      </c>
      <c r="D264" s="292" t="s">
        <v>1038</v>
      </c>
      <c r="E264" s="251" t="s">
        <v>2461</v>
      </c>
      <c r="F264" s="252"/>
      <c r="G264" s="253"/>
      <c r="H264" s="254"/>
      <c r="I264" s="253"/>
      <c r="J264" s="253"/>
      <c r="K264" s="251" t="s">
        <v>2461</v>
      </c>
      <c r="L264" s="255"/>
      <c r="M264" s="258"/>
      <c r="N264" s="257"/>
      <c r="O264" s="258"/>
      <c r="P264" s="257"/>
      <c r="Q264" s="258"/>
      <c r="R264" s="257"/>
      <c r="S264" s="258"/>
      <c r="T264" s="257"/>
      <c r="U264" s="258"/>
      <c r="V264" s="257"/>
      <c r="W264" s="258"/>
      <c r="X264" s="257"/>
      <c r="Y264" s="258"/>
      <c r="Z264" s="257"/>
    </row>
    <row r="265" spans="1:26" ht="38.25">
      <c r="A265" s="250"/>
      <c r="B265" s="251"/>
      <c r="C265" s="648"/>
      <c r="D265" s="292" t="s">
        <v>1039</v>
      </c>
      <c r="E265" s="251"/>
      <c r="F265" s="252"/>
      <c r="G265" s="253"/>
      <c r="H265" s="254"/>
      <c r="I265" s="253"/>
      <c r="J265" s="253"/>
      <c r="K265" s="251"/>
      <c r="L265" s="255"/>
      <c r="M265" s="258"/>
      <c r="N265" s="257"/>
      <c r="O265" s="258"/>
      <c r="P265" s="257"/>
      <c r="Q265" s="258"/>
      <c r="R265" s="257"/>
      <c r="S265" s="258"/>
      <c r="T265" s="257"/>
      <c r="U265" s="258"/>
      <c r="V265" s="257"/>
      <c r="W265" s="258"/>
      <c r="X265" s="257"/>
      <c r="Y265" s="258"/>
      <c r="Z265" s="257"/>
    </row>
    <row r="266" spans="1:26" ht="15" customHeight="1">
      <c r="A266" s="250"/>
      <c r="B266" s="251"/>
      <c r="C266" s="648"/>
      <c r="D266" s="335" t="s">
        <v>574</v>
      </c>
      <c r="E266" s="251"/>
      <c r="F266" s="252">
        <f>M266+O266+Q266+S266+U266+W266+Y266</f>
        <v>711.12700000000007</v>
      </c>
      <c r="G266" s="253">
        <f>L266</f>
        <v>10.390000000000002</v>
      </c>
      <c r="H266" s="254">
        <f>INT(F266*G266*100+0.5)/100</f>
        <v>7388.61</v>
      </c>
      <c r="I266" s="253">
        <f>N266+P266+R266+T266+V266+X266+Z266</f>
        <v>7388.6100000000006</v>
      </c>
      <c r="J266" s="253"/>
      <c r="K266" s="251"/>
      <c r="L266" s="255">
        <f>20.17-L254</f>
        <v>10.390000000000002</v>
      </c>
      <c r="M266" s="258">
        <f>(M243+M254)*0.1</f>
        <v>81.960000000000008</v>
      </c>
      <c r="N266" s="257">
        <f>INT($L266*M266*100+0.5)/100</f>
        <v>851.56</v>
      </c>
      <c r="O266" s="258">
        <f>(O243+O254)*0.1</f>
        <v>125.4</v>
      </c>
      <c r="P266" s="257">
        <f>INT($L266*O266*100+0.5)/100</f>
        <v>1302.9100000000001</v>
      </c>
      <c r="Q266" s="258">
        <f>(Q243+Q254)*0.1</f>
        <v>128.596</v>
      </c>
      <c r="R266" s="257">
        <f>INT($L266*Q266*100+0.5)/100</f>
        <v>1336.11</v>
      </c>
      <c r="S266" s="258">
        <f>(S243+S254)*0.1</f>
        <v>7.2</v>
      </c>
      <c r="T266" s="257">
        <f>INT($L266*S266*100+0.5)/100</f>
        <v>74.81</v>
      </c>
      <c r="U266" s="258">
        <f>(U243+U254)*0.1</f>
        <v>131.83199999999999</v>
      </c>
      <c r="V266" s="257">
        <f>INT($L266*U266*100+0.5)/100</f>
        <v>1369.73</v>
      </c>
      <c r="W266" s="258">
        <f>(W243+W254)*0.1</f>
        <v>7.5840000000000005</v>
      </c>
      <c r="X266" s="257">
        <f>INT($L266*W266*100+0.5)/100</f>
        <v>78.8</v>
      </c>
      <c r="Y266" s="258">
        <f>(Y243+Y254)*0.1</f>
        <v>228.55500000000004</v>
      </c>
      <c r="Z266" s="257">
        <f>INT($L266*Y266*100+0.5)/100</f>
        <v>2374.69</v>
      </c>
    </row>
    <row r="267" spans="1:26" ht="15" customHeight="1">
      <c r="A267" s="250"/>
      <c r="B267" s="251"/>
      <c r="C267" s="648"/>
      <c r="D267" s="292"/>
      <c r="E267" s="251"/>
      <c r="F267" s="252"/>
      <c r="G267" s="253"/>
      <c r="H267" s="254"/>
      <c r="I267" s="253"/>
      <c r="J267" s="253"/>
      <c r="K267" s="251"/>
      <c r="L267" s="255"/>
      <c r="M267" s="258"/>
      <c r="N267" s="257"/>
      <c r="O267" s="258"/>
      <c r="P267" s="257"/>
      <c r="Q267" s="258"/>
      <c r="R267" s="257"/>
      <c r="S267" s="258"/>
      <c r="T267" s="257"/>
      <c r="U267" s="258"/>
      <c r="V267" s="257"/>
      <c r="W267" s="258"/>
      <c r="X267" s="257"/>
      <c r="Y267" s="258"/>
      <c r="Z267" s="257"/>
    </row>
    <row r="268" spans="1:26" ht="25.5">
      <c r="A268" s="250">
        <f>A264+1</f>
        <v>98</v>
      </c>
      <c r="B268" s="251"/>
      <c r="C268" s="647" t="s">
        <v>2333</v>
      </c>
      <c r="D268" s="292" t="s">
        <v>1877</v>
      </c>
      <c r="E268" s="251" t="s">
        <v>2461</v>
      </c>
      <c r="F268" s="252">
        <f>M268+O268+Q268+S268+U268+W268+Y268</f>
        <v>0</v>
      </c>
      <c r="G268" s="253">
        <f>L268</f>
        <v>4.7100000000000009</v>
      </c>
      <c r="H268" s="254">
        <f>INT(F268*G268*100+0.5)/100</f>
        <v>0</v>
      </c>
      <c r="I268" s="253">
        <f>N268+P268+R268+T268+V268+X268+Z268</f>
        <v>0</v>
      </c>
      <c r="J268" s="253"/>
      <c r="K268" s="251" t="s">
        <v>2461</v>
      </c>
      <c r="L268" s="255">
        <f>14.49-L254</f>
        <v>4.7100000000000009</v>
      </c>
      <c r="M268" s="258">
        <v>0</v>
      </c>
      <c r="N268" s="257">
        <f>INT($L268*M268*100+0.5)/100</f>
        <v>0</v>
      </c>
      <c r="O268" s="258">
        <v>0</v>
      </c>
      <c r="P268" s="257">
        <f>INT($L268*O268*100+0.5)/100</f>
        <v>0</v>
      </c>
      <c r="Q268" s="258">
        <v>0</v>
      </c>
      <c r="R268" s="257">
        <f>INT($L268*Q268*100+0.5)/100</f>
        <v>0</v>
      </c>
      <c r="S268" s="258">
        <v>0</v>
      </c>
      <c r="T268" s="257">
        <f>INT($L268*S268*100+0.5)/100</f>
        <v>0</v>
      </c>
      <c r="U268" s="258">
        <v>0</v>
      </c>
      <c r="V268" s="257">
        <f>INT($L268*U268*100+0.5)/100</f>
        <v>0</v>
      </c>
      <c r="W268" s="258">
        <v>0</v>
      </c>
      <c r="X268" s="257">
        <f>INT($L268*W268*100+0.5)/100</f>
        <v>0</v>
      </c>
      <c r="Y268" s="258">
        <v>0</v>
      </c>
      <c r="Z268" s="257">
        <f>INT($L268*Y268*100+0.5)/100</f>
        <v>0</v>
      </c>
    </row>
    <row r="269" spans="1:26" ht="25.5">
      <c r="A269" s="250"/>
      <c r="B269" s="251"/>
      <c r="C269" s="648"/>
      <c r="D269" s="292" t="s">
        <v>1878</v>
      </c>
      <c r="E269" s="251"/>
      <c r="F269" s="252"/>
      <c r="G269" s="253"/>
      <c r="H269" s="254"/>
      <c r="I269" s="253"/>
      <c r="J269" s="253"/>
      <c r="K269" s="251"/>
      <c r="L269" s="255"/>
      <c r="M269" s="258"/>
      <c r="N269" s="257"/>
      <c r="O269" s="258"/>
      <c r="P269" s="257"/>
      <c r="Q269" s="258"/>
      <c r="R269" s="257"/>
      <c r="S269" s="258"/>
      <c r="T269" s="257"/>
      <c r="U269" s="258"/>
      <c r="V269" s="257"/>
      <c r="W269" s="258"/>
      <c r="X269" s="257"/>
      <c r="Y269" s="258"/>
      <c r="Z269" s="257"/>
    </row>
    <row r="270" spans="1:26" ht="15" customHeight="1">
      <c r="A270" s="250"/>
      <c r="B270" s="251"/>
      <c r="C270" s="648"/>
      <c r="D270" s="292"/>
      <c r="E270" s="251"/>
      <c r="F270" s="252"/>
      <c r="G270" s="253"/>
      <c r="H270" s="254"/>
      <c r="I270" s="253"/>
      <c r="J270" s="253"/>
      <c r="K270" s="251"/>
      <c r="L270" s="255"/>
      <c r="M270" s="258"/>
      <c r="N270" s="257"/>
      <c r="O270" s="258"/>
      <c r="P270" s="257"/>
      <c r="Q270" s="258"/>
      <c r="R270" s="257"/>
      <c r="S270" s="258"/>
      <c r="T270" s="257"/>
      <c r="U270" s="258"/>
      <c r="V270" s="257"/>
      <c r="W270" s="258"/>
      <c r="X270" s="257"/>
      <c r="Y270" s="258"/>
      <c r="Z270" s="257"/>
    </row>
    <row r="271" spans="1:26" ht="15" customHeight="1">
      <c r="A271" s="250">
        <f>A268+1</f>
        <v>99</v>
      </c>
      <c r="B271" s="251"/>
      <c r="C271" s="647" t="s">
        <v>2334</v>
      </c>
      <c r="D271" s="292" t="s">
        <v>1041</v>
      </c>
      <c r="E271" s="251" t="s">
        <v>2461</v>
      </c>
      <c r="F271" s="252"/>
      <c r="G271" s="253"/>
      <c r="H271" s="254"/>
      <c r="I271" s="253"/>
      <c r="J271" s="253"/>
      <c r="K271" s="251" t="s">
        <v>2461</v>
      </c>
      <c r="L271" s="255"/>
      <c r="M271" s="258"/>
      <c r="N271" s="257"/>
      <c r="O271" s="258"/>
      <c r="P271" s="257"/>
      <c r="Q271" s="258"/>
      <c r="R271" s="257"/>
      <c r="S271" s="258"/>
      <c r="T271" s="257"/>
      <c r="U271" s="258"/>
      <c r="V271" s="257"/>
      <c r="W271" s="258"/>
      <c r="X271" s="257"/>
      <c r="Y271" s="258"/>
      <c r="Z271" s="257"/>
    </row>
    <row r="272" spans="1:26" ht="25.5">
      <c r="A272" s="250"/>
      <c r="B272" s="251"/>
      <c r="C272" s="648"/>
      <c r="D272" s="292" t="s">
        <v>1040</v>
      </c>
      <c r="E272" s="251"/>
      <c r="F272" s="252"/>
      <c r="G272" s="253"/>
      <c r="H272" s="254"/>
      <c r="I272" s="253"/>
      <c r="J272" s="253"/>
      <c r="K272" s="251"/>
      <c r="L272" s="255"/>
      <c r="M272" s="258"/>
      <c r="N272" s="257"/>
      <c r="O272" s="258"/>
      <c r="P272" s="257"/>
      <c r="Q272" s="258"/>
      <c r="R272" s="257"/>
      <c r="S272" s="258"/>
      <c r="T272" s="257"/>
      <c r="U272" s="258"/>
      <c r="V272" s="257"/>
      <c r="W272" s="258"/>
      <c r="X272" s="257"/>
      <c r="Y272" s="258"/>
      <c r="Z272" s="257"/>
    </row>
    <row r="273" spans="1:26" ht="15" customHeight="1">
      <c r="A273" s="250"/>
      <c r="B273" s="251"/>
      <c r="C273" s="648"/>
      <c r="D273" s="335" t="s">
        <v>1876</v>
      </c>
      <c r="E273" s="251"/>
      <c r="F273" s="252">
        <f>M273+O273+Q273+S273+U273+W273+Y273</f>
        <v>355.56350000000003</v>
      </c>
      <c r="G273" s="253">
        <f>L273</f>
        <v>42.019999999999996</v>
      </c>
      <c r="H273" s="254">
        <f>INT(F273*G273*100+0.5)/100</f>
        <v>14940.78</v>
      </c>
      <c r="I273" s="253">
        <f>N273+P273+R273+T273+V273+X273+Z273</f>
        <v>14940.77</v>
      </c>
      <c r="J273" s="253"/>
      <c r="K273" s="251"/>
      <c r="L273" s="255">
        <f>51.8-L254</f>
        <v>42.019999999999996</v>
      </c>
      <c r="M273" s="258">
        <f>(M243+M254)*0.05</f>
        <v>40.980000000000004</v>
      </c>
      <c r="N273" s="257">
        <f>INT($L273*M273*100+0.5)/100</f>
        <v>1721.98</v>
      </c>
      <c r="O273" s="258">
        <f>(O243+O254)*0.05</f>
        <v>62.7</v>
      </c>
      <c r="P273" s="257">
        <f>INT($L273*O273*100+0.5)/100</f>
        <v>2634.65</v>
      </c>
      <c r="Q273" s="258">
        <f>(Q243+Q254)*0.05</f>
        <v>64.298000000000002</v>
      </c>
      <c r="R273" s="257">
        <f>INT($L273*Q273*100+0.5)/100</f>
        <v>2701.8</v>
      </c>
      <c r="S273" s="258">
        <f>(S243+S254)*0.05</f>
        <v>3.6</v>
      </c>
      <c r="T273" s="257">
        <f>INT($L273*S273*100+0.5)/100</f>
        <v>151.27000000000001</v>
      </c>
      <c r="U273" s="258">
        <f>(U243+U254)*0.05</f>
        <v>65.915999999999997</v>
      </c>
      <c r="V273" s="257">
        <f>INT($L273*U273*100+0.5)/100</f>
        <v>2769.79</v>
      </c>
      <c r="W273" s="258">
        <f>(W243+W254)*0.05</f>
        <v>3.7920000000000003</v>
      </c>
      <c r="X273" s="257">
        <f>INT($L273*W273*100+0.5)/100</f>
        <v>159.34</v>
      </c>
      <c r="Y273" s="258">
        <f>(Y243+Y254)*0.05</f>
        <v>114.27750000000002</v>
      </c>
      <c r="Z273" s="257">
        <f>INT($L273*Y273*100+0.5)/100</f>
        <v>4801.9399999999996</v>
      </c>
    </row>
    <row r="274" spans="1:26" ht="15" customHeight="1">
      <c r="A274" s="250"/>
      <c r="B274" s="251"/>
      <c r="C274" s="648"/>
      <c r="D274" s="292"/>
      <c r="E274" s="251"/>
      <c r="F274" s="252"/>
      <c r="G274" s="253"/>
      <c r="H274" s="254"/>
      <c r="I274" s="253"/>
      <c r="J274" s="253"/>
      <c r="K274" s="251"/>
      <c r="L274" s="255"/>
      <c r="M274" s="258"/>
      <c r="N274" s="257"/>
      <c r="O274" s="258"/>
      <c r="P274" s="257"/>
      <c r="Q274" s="258"/>
      <c r="R274" s="257"/>
      <c r="S274" s="258"/>
      <c r="T274" s="257"/>
      <c r="U274" s="258"/>
      <c r="V274" s="257"/>
      <c r="W274" s="258"/>
      <c r="X274" s="257"/>
      <c r="Y274" s="258"/>
      <c r="Z274" s="257"/>
    </row>
    <row r="275" spans="1:26" ht="25.5">
      <c r="A275" s="250">
        <f>A271+1</f>
        <v>100</v>
      </c>
      <c r="B275" s="251"/>
      <c r="C275" s="647" t="s">
        <v>2335</v>
      </c>
      <c r="D275" s="292" t="s">
        <v>2024</v>
      </c>
      <c r="E275" s="251" t="s">
        <v>2461</v>
      </c>
      <c r="F275" s="252">
        <f>M275+O275+Q275+S275+U275+W275+Y275</f>
        <v>0</v>
      </c>
      <c r="G275" s="253">
        <f>L275</f>
        <v>36.159999999999997</v>
      </c>
      <c r="H275" s="254">
        <f>INT(F275*G275*100+0.5)/100</f>
        <v>0</v>
      </c>
      <c r="I275" s="253">
        <f>N275+P275+R275+T275+V275+X275+Z275</f>
        <v>0</v>
      </c>
      <c r="J275" s="253"/>
      <c r="K275" s="251" t="s">
        <v>2461</v>
      </c>
      <c r="L275" s="255">
        <f>45.94-L254</f>
        <v>36.159999999999997</v>
      </c>
      <c r="M275" s="258">
        <v>0</v>
      </c>
      <c r="N275" s="257">
        <f>INT($L275*M275*100+0.5)/100</f>
        <v>0</v>
      </c>
      <c r="O275" s="258">
        <v>0</v>
      </c>
      <c r="P275" s="257">
        <f>INT($L275*O275*100+0.5)/100</f>
        <v>0</v>
      </c>
      <c r="Q275" s="258">
        <v>0</v>
      </c>
      <c r="R275" s="257">
        <f>INT($L275*Q275*100+0.5)/100</f>
        <v>0</v>
      </c>
      <c r="S275" s="258">
        <v>0</v>
      </c>
      <c r="T275" s="257">
        <f>INT($L275*S275*100+0.5)/100</f>
        <v>0</v>
      </c>
      <c r="U275" s="258">
        <v>0</v>
      </c>
      <c r="V275" s="257">
        <f>INT($L275*U275*100+0.5)/100</f>
        <v>0</v>
      </c>
      <c r="W275" s="258">
        <v>0</v>
      </c>
      <c r="X275" s="257">
        <f>INT($L275*W275*100+0.5)/100</f>
        <v>0</v>
      </c>
      <c r="Y275" s="258">
        <v>0</v>
      </c>
      <c r="Z275" s="257">
        <f>INT($L275*Y275*100+0.5)/100</f>
        <v>0</v>
      </c>
    </row>
    <row r="276" spans="1:26" ht="25.5">
      <c r="A276" s="250"/>
      <c r="B276" s="251"/>
      <c r="C276" s="648"/>
      <c r="D276" s="292" t="s">
        <v>2025</v>
      </c>
      <c r="E276" s="251"/>
      <c r="F276" s="252"/>
      <c r="G276" s="253"/>
      <c r="H276" s="254"/>
      <c r="I276" s="253"/>
      <c r="J276" s="253"/>
      <c r="K276" s="251"/>
      <c r="L276" s="255"/>
      <c r="M276" s="258"/>
      <c r="N276" s="257"/>
      <c r="O276" s="258"/>
      <c r="P276" s="257"/>
      <c r="Q276" s="258"/>
      <c r="R276" s="257"/>
      <c r="S276" s="258"/>
      <c r="T276" s="257"/>
      <c r="U276" s="258"/>
      <c r="V276" s="257"/>
      <c r="W276" s="258"/>
      <c r="X276" s="257"/>
      <c r="Y276" s="258"/>
      <c r="Z276" s="257"/>
    </row>
    <row r="277" spans="1:26" ht="15" customHeight="1">
      <c r="A277" s="250"/>
      <c r="B277" s="251"/>
      <c r="C277" s="648"/>
      <c r="D277" s="292"/>
      <c r="E277" s="251"/>
      <c r="F277" s="252"/>
      <c r="G277" s="253"/>
      <c r="H277" s="254"/>
      <c r="I277" s="253"/>
      <c r="J277" s="253"/>
      <c r="K277" s="251"/>
      <c r="L277" s="255"/>
      <c r="M277" s="258"/>
      <c r="N277" s="257"/>
      <c r="O277" s="258"/>
      <c r="P277" s="257"/>
      <c r="Q277" s="258"/>
      <c r="R277" s="257"/>
      <c r="S277" s="258"/>
      <c r="T277" s="257"/>
      <c r="U277" s="258"/>
      <c r="V277" s="257"/>
      <c r="W277" s="258"/>
      <c r="X277" s="257"/>
      <c r="Y277" s="258"/>
      <c r="Z277" s="257"/>
    </row>
    <row r="278" spans="1:26" ht="15" customHeight="1">
      <c r="A278" s="250">
        <f>A275+1</f>
        <v>101</v>
      </c>
      <c r="B278" s="251"/>
      <c r="C278" s="647" t="s">
        <v>2336</v>
      </c>
      <c r="D278" s="526" t="s">
        <v>2133</v>
      </c>
      <c r="E278" s="251" t="s">
        <v>1898</v>
      </c>
      <c r="F278" s="252">
        <f>M278+O278+Q278+S278+U278+W278+Y278</f>
        <v>8823.2000000000007</v>
      </c>
      <c r="G278" s="253">
        <f>L278</f>
        <v>2.77</v>
      </c>
      <c r="H278" s="254">
        <f>INT(F278*G278*100+0.5)/100</f>
        <v>24440.26</v>
      </c>
      <c r="I278" s="253">
        <f>N278+P278+R278+T278+V278+X278+Z278</f>
        <v>24440.27</v>
      </c>
      <c r="J278" s="253"/>
      <c r="K278" s="251" t="s">
        <v>1898</v>
      </c>
      <c r="L278" s="255">
        <v>2.77</v>
      </c>
      <c r="M278" s="258">
        <f>M386+M374</f>
        <v>294.5</v>
      </c>
      <c r="N278" s="257">
        <f>INT($L278*M278*100+0.5)/100</f>
        <v>815.77</v>
      </c>
      <c r="O278" s="258">
        <f>O386+O374</f>
        <v>747.2</v>
      </c>
      <c r="P278" s="257">
        <f>INT($L278*O278*100+0.5)/100</f>
        <v>2069.7399999999998</v>
      </c>
      <c r="Q278" s="258">
        <f>Q386+Q374</f>
        <v>593.04999999999995</v>
      </c>
      <c r="R278" s="257">
        <f>INT($L278*Q278*100+0.5)/100</f>
        <v>1642.75</v>
      </c>
      <c r="S278" s="258">
        <f>S386+S374</f>
        <v>0</v>
      </c>
      <c r="T278" s="257">
        <f>INT($L278*S278*100+0.5)/100</f>
        <v>0</v>
      </c>
      <c r="U278" s="258">
        <f>U386+U374</f>
        <v>4204.8</v>
      </c>
      <c r="V278" s="257">
        <f>INT($L278*U278*100+0.5)/100</f>
        <v>11647.3</v>
      </c>
      <c r="W278" s="258">
        <f>W386+W374</f>
        <v>189.6</v>
      </c>
      <c r="X278" s="257">
        <f>INT($L278*W278*100+0.5)/100</f>
        <v>525.19000000000005</v>
      </c>
      <c r="Y278" s="258">
        <f>Y386+Y374</f>
        <v>2794.05</v>
      </c>
      <c r="Z278" s="257">
        <f>INT($L278*Y278*100+0.5)/100</f>
        <v>7739.52</v>
      </c>
    </row>
    <row r="279" spans="1:26" ht="15" customHeight="1">
      <c r="A279" s="250"/>
      <c r="B279" s="251"/>
      <c r="C279" s="647"/>
      <c r="D279" s="526" t="s">
        <v>2132</v>
      </c>
      <c r="E279" s="251"/>
      <c r="F279" s="252"/>
      <c r="G279" s="253"/>
      <c r="H279" s="254"/>
      <c r="I279" s="253"/>
      <c r="J279" s="253"/>
      <c r="K279" s="251"/>
      <c r="L279" s="261"/>
      <c r="M279" s="258"/>
      <c r="N279" s="257"/>
      <c r="O279" s="258"/>
      <c r="P279" s="257"/>
      <c r="Q279" s="258"/>
      <c r="R279" s="257"/>
      <c r="S279" s="258"/>
      <c r="T279" s="257"/>
      <c r="U279" s="258"/>
      <c r="V279" s="257"/>
      <c r="W279" s="258"/>
      <c r="X279" s="257"/>
      <c r="Y279" s="258"/>
      <c r="Z279" s="257"/>
    </row>
    <row r="280" spans="1:26" ht="15" customHeight="1">
      <c r="A280" s="250"/>
      <c r="B280" s="251"/>
      <c r="C280" s="647"/>
      <c r="D280" s="292"/>
      <c r="E280" s="251"/>
      <c r="F280" s="252"/>
      <c r="G280" s="253"/>
      <c r="H280" s="254"/>
      <c r="I280" s="253"/>
      <c r="J280" s="253"/>
      <c r="K280" s="251"/>
      <c r="L280" s="261"/>
      <c r="M280" s="258"/>
      <c r="N280" s="257"/>
      <c r="O280" s="258"/>
      <c r="P280" s="257"/>
      <c r="Q280" s="258"/>
      <c r="R280" s="257"/>
      <c r="S280" s="258"/>
      <c r="T280" s="257"/>
      <c r="U280" s="258"/>
      <c r="V280" s="257"/>
      <c r="W280" s="258"/>
      <c r="X280" s="257"/>
      <c r="Y280" s="258"/>
      <c r="Z280" s="257"/>
    </row>
    <row r="281" spans="1:26" ht="15" customHeight="1">
      <c r="A281" s="250">
        <f>A278+1</f>
        <v>102</v>
      </c>
      <c r="B281" s="251"/>
      <c r="C281" s="647" t="s">
        <v>2337</v>
      </c>
      <c r="D281" s="292" t="s">
        <v>2463</v>
      </c>
      <c r="E281" s="251" t="s">
        <v>2461</v>
      </c>
      <c r="F281" s="252"/>
      <c r="G281" s="253"/>
      <c r="H281" s="254"/>
      <c r="I281" s="253"/>
      <c r="J281" s="253"/>
      <c r="K281" s="251" t="s">
        <v>2461</v>
      </c>
      <c r="L281" s="255"/>
      <c r="M281" s="258"/>
      <c r="N281" s="257"/>
      <c r="O281" s="258"/>
      <c r="P281" s="257"/>
      <c r="Q281" s="258"/>
      <c r="R281" s="257"/>
      <c r="S281" s="258"/>
      <c r="T281" s="257"/>
      <c r="U281" s="258"/>
      <c r="V281" s="257"/>
      <c r="W281" s="258"/>
      <c r="X281" s="257"/>
      <c r="Y281" s="258"/>
      <c r="Z281" s="257"/>
    </row>
    <row r="282" spans="1:26" ht="15" customHeight="1">
      <c r="A282" s="250"/>
      <c r="B282" s="251"/>
      <c r="C282" s="648"/>
      <c r="D282" s="292" t="s">
        <v>2462</v>
      </c>
      <c r="E282" s="251"/>
      <c r="F282" s="252"/>
      <c r="G282" s="253"/>
      <c r="H282" s="254"/>
      <c r="I282" s="253"/>
      <c r="J282" s="253"/>
      <c r="K282" s="251"/>
      <c r="L282" s="255"/>
      <c r="M282" s="258"/>
      <c r="N282" s="257"/>
      <c r="O282" s="258"/>
      <c r="P282" s="257"/>
      <c r="Q282" s="258"/>
      <c r="R282" s="257"/>
      <c r="S282" s="258"/>
      <c r="T282" s="257"/>
      <c r="U282" s="258"/>
      <c r="V282" s="257"/>
      <c r="W282" s="258"/>
      <c r="X282" s="257"/>
      <c r="Y282" s="258"/>
      <c r="Z282" s="257"/>
    </row>
    <row r="283" spans="1:26" ht="15" customHeight="1">
      <c r="A283" s="250"/>
      <c r="B283" s="251"/>
      <c r="C283" s="648"/>
      <c r="D283" s="292" t="s">
        <v>993</v>
      </c>
      <c r="E283" s="251"/>
      <c r="F283" s="252"/>
      <c r="G283" s="253"/>
      <c r="H283" s="254"/>
      <c r="I283" s="253"/>
      <c r="J283" s="253"/>
      <c r="K283" s="251"/>
      <c r="L283" s="255"/>
      <c r="M283" s="258">
        <f>0.1*M235</f>
        <v>14.56</v>
      </c>
      <c r="N283" s="257"/>
      <c r="O283" s="258">
        <f>0.1*O235</f>
        <v>0</v>
      </c>
      <c r="P283" s="257"/>
      <c r="Q283" s="258">
        <f>0.1*Q235</f>
        <v>24.206000000000003</v>
      </c>
      <c r="R283" s="257"/>
      <c r="S283" s="258"/>
      <c r="T283" s="245"/>
      <c r="U283" s="258">
        <f>0.1*U235</f>
        <v>29.412000000000003</v>
      </c>
      <c r="V283" s="257"/>
      <c r="W283" s="258"/>
      <c r="X283" s="245"/>
      <c r="Y283" s="258"/>
      <c r="Z283" s="245"/>
    </row>
    <row r="284" spans="1:26" ht="15" customHeight="1">
      <c r="A284" s="250"/>
      <c r="B284" s="251"/>
      <c r="C284" s="648"/>
      <c r="D284" s="292" t="s">
        <v>994</v>
      </c>
      <c r="E284" s="251"/>
      <c r="F284" s="252"/>
      <c r="G284" s="253"/>
      <c r="H284" s="254"/>
      <c r="I284" s="253"/>
      <c r="J284" s="253"/>
      <c r="K284" s="251"/>
      <c r="L284" s="255"/>
      <c r="M284" s="258">
        <f>0.1*M236</f>
        <v>21.6</v>
      </c>
      <c r="N284" s="257"/>
      <c r="O284" s="258">
        <f>0.1*O236</f>
        <v>32.6</v>
      </c>
      <c r="P284" s="257"/>
      <c r="Q284" s="258">
        <f>0.1*Q236</f>
        <v>35.910000000000004</v>
      </c>
      <c r="R284" s="257"/>
      <c r="S284" s="258"/>
      <c r="T284" s="245"/>
      <c r="U284" s="258">
        <f>0.1*U236</f>
        <v>48.6</v>
      </c>
      <c r="V284" s="257"/>
      <c r="W284" s="258"/>
      <c r="X284" s="245"/>
      <c r="Y284" s="258"/>
      <c r="Z284" s="245"/>
    </row>
    <row r="285" spans="1:26" ht="15" customHeight="1">
      <c r="A285" s="250"/>
      <c r="B285" s="251"/>
      <c r="C285" s="648"/>
      <c r="D285" s="292" t="s">
        <v>995</v>
      </c>
      <c r="E285" s="251"/>
      <c r="F285" s="252"/>
      <c r="G285" s="253"/>
      <c r="H285" s="254"/>
      <c r="I285" s="253"/>
      <c r="J285" s="253"/>
      <c r="K285" s="251"/>
      <c r="L285" s="255"/>
      <c r="M285" s="258">
        <f>0.1*M237</f>
        <v>20.8</v>
      </c>
      <c r="N285" s="257"/>
      <c r="O285" s="258">
        <f>0.1*O237</f>
        <v>52</v>
      </c>
      <c r="P285" s="257"/>
      <c r="Q285" s="258">
        <f>0.1*Q237</f>
        <v>34.580000000000005</v>
      </c>
      <c r="R285" s="257"/>
      <c r="S285" s="258"/>
      <c r="T285" s="245"/>
      <c r="U285" s="258">
        <f>0.1*U237</f>
        <v>53.820000000000007</v>
      </c>
      <c r="V285" s="257"/>
      <c r="W285" s="258"/>
      <c r="X285" s="245"/>
      <c r="Y285" s="258"/>
      <c r="Z285" s="245"/>
    </row>
    <row r="286" spans="1:26" ht="15" customHeight="1">
      <c r="A286" s="250"/>
      <c r="B286" s="251"/>
      <c r="C286" s="648"/>
      <c r="D286" s="292" t="s">
        <v>2446</v>
      </c>
      <c r="E286" s="251"/>
      <c r="F286" s="252"/>
      <c r="G286" s="253"/>
      <c r="H286" s="254"/>
      <c r="I286" s="253"/>
      <c r="J286" s="253"/>
      <c r="K286" s="251"/>
      <c r="L286" s="255"/>
      <c r="M286" s="258">
        <f>0.1*M238</f>
        <v>10</v>
      </c>
      <c r="N286" s="257" t="s">
        <v>324</v>
      </c>
      <c r="O286" s="258">
        <f>0.1*O240</f>
        <v>20.8</v>
      </c>
      <c r="P286" s="257"/>
      <c r="Q286" s="258">
        <f>0.1*Q238</f>
        <v>18.900000000000002</v>
      </c>
      <c r="R286" s="257"/>
      <c r="S286" s="258"/>
      <c r="T286" s="245"/>
      <c r="U286" s="258">
        <f>0.1*U238</f>
        <v>0</v>
      </c>
      <c r="V286" s="257"/>
      <c r="W286" s="258">
        <f>W243</f>
        <v>75.84</v>
      </c>
      <c r="X286" s="245"/>
      <c r="Y286" s="258"/>
      <c r="Z286" s="245"/>
    </row>
    <row r="287" spans="1:26" ht="15" customHeight="1">
      <c r="A287" s="250"/>
      <c r="B287" s="251"/>
      <c r="C287" s="648"/>
      <c r="D287" s="292" t="s">
        <v>2451</v>
      </c>
      <c r="E287" s="251"/>
      <c r="F287" s="252"/>
      <c r="G287" s="253"/>
      <c r="H287" s="254"/>
      <c r="I287" s="253"/>
      <c r="J287" s="253"/>
      <c r="K287" s="251"/>
      <c r="L287" s="256">
        <f>0.1*(180+45+70+40)*0.9*1.3</f>
        <v>39.195000000000007</v>
      </c>
      <c r="M287" s="258"/>
      <c r="N287" s="257"/>
      <c r="O287" s="258"/>
      <c r="P287" s="257"/>
      <c r="Q287" s="258"/>
      <c r="R287" s="257"/>
      <c r="S287" s="258">
        <v>0</v>
      </c>
      <c r="T287" s="245"/>
      <c r="U287" s="258"/>
      <c r="V287" s="257"/>
      <c r="W287" s="258"/>
      <c r="X287" s="245"/>
      <c r="Y287" s="258">
        <v>0</v>
      </c>
      <c r="Z287" s="245"/>
    </row>
    <row r="288" spans="1:26" ht="15" customHeight="1">
      <c r="A288" s="250"/>
      <c r="B288" s="251"/>
      <c r="C288" s="648"/>
      <c r="D288" s="292" t="s">
        <v>2446</v>
      </c>
      <c r="E288" s="251"/>
      <c r="F288" s="252"/>
      <c r="G288" s="253"/>
      <c r="H288" s="254"/>
      <c r="I288" s="253"/>
      <c r="J288" s="253"/>
      <c r="K288" s="251"/>
      <c r="L288" s="256">
        <f>0.1*50*0.9*1.3</f>
        <v>5.8500000000000005</v>
      </c>
      <c r="M288" s="293"/>
      <c r="N288" s="294"/>
      <c r="O288" s="293"/>
      <c r="P288" s="294"/>
      <c r="Q288" s="293"/>
      <c r="R288" s="294"/>
      <c r="S288" s="293"/>
      <c r="T288" s="296"/>
      <c r="U288" s="293"/>
      <c r="V288" s="294"/>
      <c r="W288" s="293"/>
      <c r="X288" s="296"/>
      <c r="Y288" s="293"/>
      <c r="Z288" s="296"/>
    </row>
    <row r="289" spans="1:26" ht="15" customHeight="1">
      <c r="A289" s="250"/>
      <c r="B289" s="251"/>
      <c r="C289" s="648"/>
      <c r="D289" s="292" t="s">
        <v>444</v>
      </c>
      <c r="E289" s="251"/>
      <c r="F289" s="252">
        <f>M289+O289+Q289+S289+U289+W289+Y289</f>
        <v>493.63000000000011</v>
      </c>
      <c r="G289" s="253">
        <f>L289</f>
        <v>56.38</v>
      </c>
      <c r="H289" s="254">
        <f>INT(F289*G289*100+0.5)/100</f>
        <v>27830.86</v>
      </c>
      <c r="I289" s="253">
        <f>N289+P289+R289+T289+V289+X289+Z289</f>
        <v>27830.86</v>
      </c>
      <c r="J289" s="253"/>
      <c r="K289" s="251"/>
      <c r="L289" s="255">
        <f>56.38</f>
        <v>56.38</v>
      </c>
      <c r="M289" s="258">
        <f>INT(SUM(M282:M288)*100+0.5)/100</f>
        <v>66.959999999999994</v>
      </c>
      <c r="N289" s="257">
        <f>INT($L289*M289*100+0.5)/100</f>
        <v>3775.2</v>
      </c>
      <c r="O289" s="258">
        <f>INT(SUM(O282:O288)*100+0.5)/100</f>
        <v>105.4</v>
      </c>
      <c r="P289" s="257">
        <f>INT($L289*O289*100+0.5)/100</f>
        <v>5942.45</v>
      </c>
      <c r="Q289" s="258">
        <f>INT(SUM(Q282:Q288)*100+0.5)/100</f>
        <v>113.6</v>
      </c>
      <c r="R289" s="257">
        <f>INT($L289*Q289*100+0.5)/100</f>
        <v>6404.77</v>
      </c>
      <c r="S289" s="258">
        <f>INT(SUM(S282:S288)*100+0.5)/100</f>
        <v>0</v>
      </c>
      <c r="T289" s="257">
        <f>INT($L289*S289*100+0.5)/100</f>
        <v>0</v>
      </c>
      <c r="U289" s="258">
        <f>INT(SUM(U282:U288)*100+0.5)/100</f>
        <v>131.83000000000001</v>
      </c>
      <c r="V289" s="257">
        <f>INT($L289*U289*100+0.5)/100</f>
        <v>7432.58</v>
      </c>
      <c r="W289" s="258">
        <f>INT(SUM(W282:W288)*100+0.5)/100</f>
        <v>75.84</v>
      </c>
      <c r="X289" s="257">
        <f>INT($L289*W289*100+0.5)/100</f>
        <v>4275.8599999999997</v>
      </c>
      <c r="Y289" s="258">
        <f>INT(SUM(Y282:Y288)*100+0.5)/100</f>
        <v>0</v>
      </c>
      <c r="Z289" s="257">
        <f>INT($L289*Y289*100+0.5)/100</f>
        <v>0</v>
      </c>
    </row>
    <row r="290" spans="1:26" ht="15" customHeight="1">
      <c r="A290" s="250"/>
      <c r="B290" s="251"/>
      <c r="C290" s="648"/>
      <c r="D290" s="292"/>
      <c r="E290" s="251"/>
      <c r="F290" s="252"/>
      <c r="G290" s="253"/>
      <c r="H290" s="254"/>
      <c r="I290" s="253"/>
      <c r="J290" s="253"/>
      <c r="K290" s="251"/>
      <c r="L290" s="255"/>
      <c r="M290" s="258"/>
      <c r="N290" s="257"/>
      <c r="O290" s="258"/>
      <c r="P290" s="257"/>
      <c r="Q290" s="258"/>
      <c r="R290" s="257"/>
      <c r="S290" s="258"/>
      <c r="T290" s="257"/>
      <c r="U290" s="258"/>
      <c r="V290" s="257"/>
      <c r="W290" s="258"/>
      <c r="X290" s="257"/>
      <c r="Y290" s="258"/>
      <c r="Z290" s="257"/>
    </row>
    <row r="291" spans="1:26" ht="15" customHeight="1">
      <c r="A291" s="250">
        <f>A281+1</f>
        <v>103</v>
      </c>
      <c r="B291" s="251"/>
      <c r="C291" s="647" t="s">
        <v>1568</v>
      </c>
      <c r="D291" s="292" t="s">
        <v>1612</v>
      </c>
      <c r="E291" s="251" t="s">
        <v>2461</v>
      </c>
      <c r="F291" s="252">
        <f>M291+O291+Q291+S291+U291+W291+Y291</f>
        <v>0</v>
      </c>
      <c r="G291" s="253">
        <f>L291</f>
        <v>2.61</v>
      </c>
      <c r="H291" s="254">
        <f>INT(F291*G291*100+0.5)/100</f>
        <v>0</v>
      </c>
      <c r="I291" s="253">
        <f>N291+P291+R291+T291+V291+X291+Z291</f>
        <v>0</v>
      </c>
      <c r="J291" s="253"/>
      <c r="K291" s="251" t="s">
        <v>2461</v>
      </c>
      <c r="L291" s="255">
        <v>2.61</v>
      </c>
      <c r="M291" s="258">
        <v>0</v>
      </c>
      <c r="N291" s="257">
        <f>INT($L291*M291*100+0.5)/100</f>
        <v>0</v>
      </c>
      <c r="O291" s="258">
        <v>0</v>
      </c>
      <c r="P291" s="257">
        <f>INT($L291*O291*100+0.5)/100</f>
        <v>0</v>
      </c>
      <c r="Q291" s="258">
        <v>0</v>
      </c>
      <c r="R291" s="257">
        <f>INT($L291*Q291*100+0.5)/100</f>
        <v>0</v>
      </c>
      <c r="S291" s="258">
        <v>0</v>
      </c>
      <c r="T291" s="257">
        <f>INT($L291*S291*100+0.5)/100</f>
        <v>0</v>
      </c>
      <c r="U291" s="258">
        <v>0</v>
      </c>
      <c r="V291" s="257">
        <f>INT($L291*U291*100+0.5)/100</f>
        <v>0</v>
      </c>
      <c r="W291" s="258">
        <v>0</v>
      </c>
      <c r="X291" s="257">
        <f>INT($L291*W291*100+0.5)/100</f>
        <v>0</v>
      </c>
      <c r="Y291" s="258">
        <v>0</v>
      </c>
      <c r="Z291" s="257">
        <f>INT($L291*Y291*100+0.5)/100</f>
        <v>0</v>
      </c>
    </row>
    <row r="292" spans="1:26" ht="15" customHeight="1">
      <c r="A292" s="250"/>
      <c r="B292" s="251"/>
      <c r="C292" s="648"/>
      <c r="D292" s="292" t="s">
        <v>1610</v>
      </c>
      <c r="E292" s="251"/>
      <c r="F292" s="252"/>
      <c r="G292" s="253"/>
      <c r="H292" s="254"/>
      <c r="I292" s="253"/>
      <c r="J292" s="253"/>
      <c r="K292" s="251"/>
      <c r="L292" s="255"/>
      <c r="M292" s="258"/>
      <c r="N292" s="257"/>
      <c r="O292" s="258"/>
      <c r="P292" s="257"/>
      <c r="Q292" s="258"/>
      <c r="R292" s="257"/>
      <c r="S292" s="258"/>
      <c r="T292" s="257"/>
      <c r="U292" s="258"/>
      <c r="V292" s="257"/>
      <c r="W292" s="258"/>
      <c r="X292" s="257"/>
      <c r="Y292" s="258"/>
      <c r="Z292" s="257"/>
    </row>
    <row r="293" spans="1:26" ht="15" customHeight="1">
      <c r="A293" s="250"/>
      <c r="B293" s="251"/>
      <c r="C293" s="648"/>
      <c r="D293" s="292"/>
      <c r="E293" s="251"/>
      <c r="F293" s="252"/>
      <c r="G293" s="253"/>
      <c r="H293" s="254"/>
      <c r="I293" s="253"/>
      <c r="J293" s="253"/>
      <c r="K293" s="251"/>
      <c r="L293" s="255"/>
      <c r="M293" s="258"/>
      <c r="N293" s="257"/>
      <c r="O293" s="258"/>
      <c r="P293" s="257"/>
      <c r="Q293" s="258"/>
      <c r="R293" s="257"/>
      <c r="S293" s="258"/>
      <c r="T293" s="257"/>
      <c r="U293" s="258"/>
      <c r="V293" s="257"/>
      <c r="W293" s="258"/>
      <c r="X293" s="257"/>
      <c r="Y293" s="258"/>
      <c r="Z293" s="257"/>
    </row>
    <row r="294" spans="1:26" ht="15" customHeight="1">
      <c r="A294" s="250">
        <f>A291+1</f>
        <v>104</v>
      </c>
      <c r="B294" s="251"/>
      <c r="C294" s="647" t="s">
        <v>1569</v>
      </c>
      <c r="D294" s="292" t="s">
        <v>1613</v>
      </c>
      <c r="E294" s="251" t="s">
        <v>2461</v>
      </c>
      <c r="F294" s="252">
        <f>M294+O294+Q294+S294+U294+W294+Y294</f>
        <v>0</v>
      </c>
      <c r="G294" s="253">
        <f>L294</f>
        <v>3.26</v>
      </c>
      <c r="H294" s="254">
        <f>INT(F294*G294*100+0.5)/100</f>
        <v>0</v>
      </c>
      <c r="I294" s="253">
        <f>N294+P294+R294+T294+V294+X294+Z294</f>
        <v>0</v>
      </c>
      <c r="J294" s="253"/>
      <c r="K294" s="251" t="s">
        <v>2461</v>
      </c>
      <c r="L294" s="255">
        <v>3.26</v>
      </c>
      <c r="M294" s="258">
        <v>0</v>
      </c>
      <c r="N294" s="257">
        <f>INT($L294*M294*100+0.5)/100</f>
        <v>0</v>
      </c>
      <c r="O294" s="258">
        <v>0</v>
      </c>
      <c r="P294" s="257">
        <f>INT($L294*O294*100+0.5)/100</f>
        <v>0</v>
      </c>
      <c r="Q294" s="258">
        <v>0</v>
      </c>
      <c r="R294" s="257">
        <f>INT($L294*Q294*100+0.5)/100</f>
        <v>0</v>
      </c>
      <c r="S294" s="258">
        <v>0</v>
      </c>
      <c r="T294" s="257">
        <f>INT($L294*S294*100+0.5)/100</f>
        <v>0</v>
      </c>
      <c r="U294" s="258">
        <v>0</v>
      </c>
      <c r="V294" s="257">
        <f>INT($L294*U294*100+0.5)/100</f>
        <v>0</v>
      </c>
      <c r="W294" s="258">
        <v>0</v>
      </c>
      <c r="X294" s="257">
        <f>INT($L294*W294*100+0.5)/100</f>
        <v>0</v>
      </c>
      <c r="Y294" s="258">
        <v>0</v>
      </c>
      <c r="Z294" s="257">
        <f>INT($L294*Y294*100+0.5)/100</f>
        <v>0</v>
      </c>
    </row>
    <row r="295" spans="1:26" ht="15" customHeight="1">
      <c r="A295" s="250"/>
      <c r="B295" s="251"/>
      <c r="C295" s="251"/>
      <c r="D295" s="292" t="s">
        <v>1611</v>
      </c>
      <c r="E295" s="251"/>
      <c r="F295" s="252"/>
      <c r="G295" s="253"/>
      <c r="H295" s="254"/>
      <c r="I295" s="253"/>
      <c r="J295" s="253"/>
      <c r="K295" s="251"/>
      <c r="L295" s="255"/>
      <c r="M295" s="258"/>
      <c r="N295" s="257"/>
      <c r="O295" s="258"/>
      <c r="P295" s="257"/>
      <c r="Q295" s="258"/>
      <c r="R295" s="257"/>
      <c r="S295" s="258"/>
      <c r="T295" s="257"/>
      <c r="U295" s="258"/>
      <c r="V295" s="257"/>
      <c r="W295" s="258"/>
      <c r="X295" s="257"/>
      <c r="Y295" s="258"/>
      <c r="Z295" s="257"/>
    </row>
    <row r="296" spans="1:26" ht="15" customHeight="1">
      <c r="A296" s="250"/>
      <c r="B296" s="251"/>
      <c r="C296" s="251"/>
      <c r="D296" s="292"/>
      <c r="E296" s="251"/>
      <c r="F296" s="252"/>
      <c r="G296" s="253"/>
      <c r="H296" s="254"/>
      <c r="I296" s="253"/>
      <c r="J296" s="253"/>
      <c r="K296" s="251"/>
      <c r="L296" s="255"/>
      <c r="M296" s="258"/>
      <c r="N296" s="257"/>
      <c r="O296" s="258"/>
      <c r="P296" s="257"/>
      <c r="Q296" s="258"/>
      <c r="R296" s="257"/>
      <c r="S296" s="258"/>
      <c r="T296" s="257"/>
      <c r="U296" s="258"/>
      <c r="V296" s="257"/>
      <c r="W296" s="258"/>
      <c r="X296" s="257"/>
      <c r="Y296" s="258"/>
      <c r="Z296" s="257"/>
    </row>
    <row r="297" spans="1:26" ht="15" customHeight="1">
      <c r="A297" s="250">
        <f>A294+1</f>
        <v>105</v>
      </c>
      <c r="B297" s="251"/>
      <c r="C297" s="527" t="s">
        <v>2487</v>
      </c>
      <c r="D297" s="292"/>
      <c r="E297" s="251" t="s">
        <v>1901</v>
      </c>
      <c r="F297" s="252"/>
      <c r="G297" s="253"/>
      <c r="H297" s="254"/>
      <c r="I297" s="253"/>
      <c r="J297" s="253"/>
      <c r="K297" s="251" t="s">
        <v>1901</v>
      </c>
      <c r="L297" s="255"/>
      <c r="M297" s="258"/>
      <c r="N297" s="257"/>
      <c r="O297" s="258"/>
      <c r="P297" s="257"/>
      <c r="Q297" s="258"/>
      <c r="R297" s="257"/>
      <c r="S297" s="258"/>
      <c r="T297" s="257"/>
      <c r="U297" s="258"/>
      <c r="V297" s="257"/>
      <c r="W297" s="258"/>
      <c r="X297" s="257"/>
      <c r="Y297" s="258"/>
      <c r="Z297" s="257"/>
    </row>
    <row r="298" spans="1:26" ht="25.5">
      <c r="A298" s="250"/>
      <c r="B298" s="251"/>
      <c r="C298" s="251"/>
      <c r="D298" s="292" t="s">
        <v>2489</v>
      </c>
      <c r="E298" s="251"/>
      <c r="F298" s="252"/>
      <c r="G298" s="253"/>
      <c r="H298" s="254"/>
      <c r="I298" s="253"/>
      <c r="J298" s="253"/>
      <c r="K298" s="251"/>
      <c r="L298" s="255"/>
      <c r="M298" s="258"/>
      <c r="N298" s="257"/>
      <c r="O298" s="258"/>
      <c r="P298" s="257"/>
      <c r="Q298" s="258"/>
      <c r="R298" s="257"/>
      <c r="S298" s="258"/>
      <c r="T298" s="257"/>
      <c r="U298" s="258"/>
      <c r="V298" s="257"/>
      <c r="W298" s="258"/>
      <c r="X298" s="257"/>
      <c r="Y298" s="258"/>
      <c r="Z298" s="257"/>
    </row>
    <row r="299" spans="1:26" ht="15" customHeight="1">
      <c r="A299" s="250"/>
      <c r="B299" s="251"/>
      <c r="C299" s="251"/>
      <c r="D299" s="292" t="s">
        <v>2481</v>
      </c>
      <c r="E299" s="251"/>
      <c r="F299" s="252"/>
      <c r="G299" s="253"/>
      <c r="H299" s="254"/>
      <c r="I299" s="253"/>
      <c r="J299" s="253"/>
      <c r="K299" s="251"/>
      <c r="L299" s="255"/>
      <c r="M299" s="258">
        <f>6</f>
        <v>6</v>
      </c>
      <c r="N299" s="257"/>
      <c r="O299" s="258">
        <v>0</v>
      </c>
      <c r="P299" s="257"/>
      <c r="Q299" s="258">
        <v>0</v>
      </c>
      <c r="R299" s="257"/>
      <c r="S299" s="258"/>
      <c r="T299" s="245"/>
      <c r="U299" s="258">
        <v>0</v>
      </c>
      <c r="V299" s="257"/>
      <c r="W299" s="258">
        <v>0</v>
      </c>
      <c r="X299" s="245"/>
      <c r="Y299" s="258">
        <v>0</v>
      </c>
      <c r="Z299" s="245"/>
    </row>
    <row r="300" spans="1:26" ht="15" customHeight="1">
      <c r="A300" s="250"/>
      <c r="B300" s="251"/>
      <c r="C300" s="251"/>
      <c r="D300" s="292" t="s">
        <v>2482</v>
      </c>
      <c r="E300" s="251"/>
      <c r="F300" s="252"/>
      <c r="G300" s="253"/>
      <c r="H300" s="254"/>
      <c r="I300" s="253"/>
      <c r="J300" s="253"/>
      <c r="K300" s="251"/>
      <c r="L300" s="255"/>
      <c r="M300" s="258">
        <f>5</f>
        <v>5</v>
      </c>
      <c r="N300" s="257"/>
      <c r="O300" s="258">
        <v>0</v>
      </c>
      <c r="P300" s="257"/>
      <c r="Q300" s="258">
        <v>0</v>
      </c>
      <c r="R300" s="257"/>
      <c r="S300" s="258"/>
      <c r="T300" s="245"/>
      <c r="U300" s="258">
        <v>0</v>
      </c>
      <c r="V300" s="257"/>
      <c r="W300" s="258">
        <v>0</v>
      </c>
      <c r="X300" s="245"/>
      <c r="Y300" s="258">
        <v>0</v>
      </c>
      <c r="Z300" s="245"/>
    </row>
    <row r="301" spans="1:26" ht="15" customHeight="1">
      <c r="A301" s="250"/>
      <c r="B301" s="251"/>
      <c r="C301" s="251"/>
      <c r="D301" s="292" t="s">
        <v>2483</v>
      </c>
      <c r="E301" s="251"/>
      <c r="F301" s="252"/>
      <c r="G301" s="253"/>
      <c r="H301" s="254"/>
      <c r="I301" s="253"/>
      <c r="J301" s="253"/>
      <c r="K301" s="251"/>
      <c r="L301" s="255"/>
      <c r="M301" s="258">
        <f>17</f>
        <v>17</v>
      </c>
      <c r="N301" s="257"/>
      <c r="O301" s="258">
        <v>0</v>
      </c>
      <c r="P301" s="257"/>
      <c r="Q301" s="258">
        <v>0</v>
      </c>
      <c r="R301" s="257"/>
      <c r="S301" s="258"/>
      <c r="T301" s="245"/>
      <c r="U301" s="258">
        <v>0</v>
      </c>
      <c r="V301" s="257"/>
      <c r="W301" s="258">
        <v>0</v>
      </c>
      <c r="X301" s="245"/>
      <c r="Y301" s="258">
        <v>0</v>
      </c>
      <c r="Z301" s="245"/>
    </row>
    <row r="302" spans="1:26" ht="15" customHeight="1">
      <c r="A302" s="250"/>
      <c r="B302" s="251"/>
      <c r="C302" s="251"/>
      <c r="D302" s="292" t="s">
        <v>2480</v>
      </c>
      <c r="E302" s="251"/>
      <c r="F302" s="252"/>
      <c r="G302" s="253"/>
      <c r="H302" s="254"/>
      <c r="I302" s="253"/>
      <c r="J302" s="253"/>
      <c r="K302" s="251"/>
      <c r="L302" s="255"/>
      <c r="M302" s="258">
        <f>2</f>
        <v>2</v>
      </c>
      <c r="N302" s="257"/>
      <c r="O302" s="258">
        <v>0</v>
      </c>
      <c r="P302" s="257"/>
      <c r="Q302" s="258">
        <v>0</v>
      </c>
      <c r="R302" s="257"/>
      <c r="S302" s="258"/>
      <c r="T302" s="245"/>
      <c r="U302" s="258">
        <v>0</v>
      </c>
      <c r="V302" s="257"/>
      <c r="W302" s="258">
        <v>0</v>
      </c>
      <c r="X302" s="245"/>
      <c r="Y302" s="258">
        <v>0</v>
      </c>
      <c r="Z302" s="245"/>
    </row>
    <row r="303" spans="1:26" ht="15" customHeight="1">
      <c r="A303" s="250"/>
      <c r="B303" s="251"/>
      <c r="C303" s="251"/>
      <c r="D303" s="292" t="s">
        <v>2484</v>
      </c>
      <c r="E303" s="251"/>
      <c r="F303" s="252"/>
      <c r="G303" s="253"/>
      <c r="H303" s="254"/>
      <c r="I303" s="253"/>
      <c r="J303" s="253"/>
      <c r="K303" s="251"/>
      <c r="L303" s="255"/>
      <c r="M303" s="258">
        <f>9</f>
        <v>9</v>
      </c>
      <c r="N303" s="257"/>
      <c r="O303" s="258">
        <v>0</v>
      </c>
      <c r="P303" s="257"/>
      <c r="Q303" s="258">
        <v>0</v>
      </c>
      <c r="R303" s="257"/>
      <c r="S303" s="258"/>
      <c r="T303" s="245"/>
      <c r="U303" s="258">
        <v>0</v>
      </c>
      <c r="V303" s="257"/>
      <c r="W303" s="258">
        <v>0</v>
      </c>
      <c r="X303" s="245"/>
      <c r="Y303" s="258">
        <v>0</v>
      </c>
      <c r="Z303" s="245"/>
    </row>
    <row r="304" spans="1:26" ht="15" customHeight="1">
      <c r="A304" s="250"/>
      <c r="B304" s="251"/>
      <c r="C304" s="251"/>
      <c r="D304" s="292" t="s">
        <v>2485</v>
      </c>
      <c r="E304" s="251"/>
      <c r="F304" s="252"/>
      <c r="G304" s="253"/>
      <c r="H304" s="254"/>
      <c r="I304" s="253"/>
      <c r="J304" s="253"/>
      <c r="K304" s="251"/>
      <c r="L304" s="255"/>
      <c r="M304" s="258">
        <f>2</f>
        <v>2</v>
      </c>
      <c r="N304" s="257"/>
      <c r="O304" s="258">
        <v>0</v>
      </c>
      <c r="P304" s="257"/>
      <c r="Q304" s="258">
        <v>0</v>
      </c>
      <c r="R304" s="257"/>
      <c r="S304" s="258"/>
      <c r="T304" s="245"/>
      <c r="U304" s="258">
        <v>0</v>
      </c>
      <c r="V304" s="257"/>
      <c r="W304" s="258">
        <v>0</v>
      </c>
      <c r="X304" s="245"/>
      <c r="Y304" s="258">
        <v>0</v>
      </c>
      <c r="Z304" s="245"/>
    </row>
    <row r="305" spans="1:26" ht="15" customHeight="1">
      <c r="A305" s="250"/>
      <c r="B305" s="251"/>
      <c r="C305" s="251"/>
      <c r="D305" s="292" t="s">
        <v>2479</v>
      </c>
      <c r="E305" s="251"/>
      <c r="F305" s="252"/>
      <c r="G305" s="253"/>
      <c r="H305" s="254"/>
      <c r="I305" s="253"/>
      <c r="J305" s="253"/>
      <c r="K305" s="251"/>
      <c r="L305" s="256">
        <f>4</f>
        <v>4</v>
      </c>
      <c r="M305" s="258"/>
      <c r="N305" s="257"/>
      <c r="O305" s="258"/>
      <c r="P305" s="257"/>
      <c r="Q305" s="258"/>
      <c r="R305" s="257"/>
      <c r="S305" s="258">
        <v>0</v>
      </c>
      <c r="T305" s="245"/>
      <c r="U305" s="258"/>
      <c r="V305" s="257"/>
      <c r="W305" s="258"/>
      <c r="X305" s="245"/>
      <c r="Y305" s="258">
        <v>0</v>
      </c>
      <c r="Z305" s="245"/>
    </row>
    <row r="306" spans="1:26" ht="15" customHeight="1">
      <c r="A306" s="250"/>
      <c r="B306" s="251"/>
      <c r="C306" s="251"/>
      <c r="D306" s="292" t="s">
        <v>2478</v>
      </c>
      <c r="E306" s="251"/>
      <c r="F306" s="252"/>
      <c r="G306" s="253"/>
      <c r="H306" s="254"/>
      <c r="I306" s="253"/>
      <c r="J306" s="253"/>
      <c r="K306" s="251"/>
      <c r="L306" s="256">
        <f>(55-32)</f>
        <v>23</v>
      </c>
      <c r="M306" s="293"/>
      <c r="N306" s="294"/>
      <c r="O306" s="293"/>
      <c r="P306" s="294"/>
      <c r="Q306" s="293"/>
      <c r="R306" s="294"/>
      <c r="S306" s="293"/>
      <c r="T306" s="296"/>
      <c r="U306" s="293"/>
      <c r="V306" s="294"/>
      <c r="W306" s="293"/>
      <c r="X306" s="296"/>
      <c r="Y306" s="293"/>
      <c r="Z306" s="296"/>
    </row>
    <row r="307" spans="1:26" ht="15" customHeight="1">
      <c r="A307" s="250"/>
      <c r="B307" s="251"/>
      <c r="C307" s="251"/>
      <c r="D307" s="292" t="s">
        <v>1900</v>
      </c>
      <c r="E307" s="251"/>
      <c r="F307" s="252">
        <f>M307+O307+Q307+S307+U307+W307+Y307</f>
        <v>41</v>
      </c>
      <c r="G307" s="253">
        <f>L307</f>
        <v>210</v>
      </c>
      <c r="H307" s="254">
        <f>INT(F307*G307*100+0.5)/100</f>
        <v>8610</v>
      </c>
      <c r="I307" s="253">
        <f>N307+P307+R307+T307+V307+X307+Z307</f>
        <v>8610</v>
      </c>
      <c r="J307" s="253"/>
      <c r="K307" s="251"/>
      <c r="L307" s="656">
        <v>210</v>
      </c>
      <c r="M307" s="258">
        <f>INT(SUM(M298:M306)*100+0.5)/100</f>
        <v>41</v>
      </c>
      <c r="N307" s="257">
        <f>INT($L307*M307*100+0.5)/100</f>
        <v>8610</v>
      </c>
      <c r="O307" s="258">
        <f>INT(SUM(O298:O306)*100+0.5)/100</f>
        <v>0</v>
      </c>
      <c r="P307" s="257">
        <f>INT($L307*O307*100+0.5)/100</f>
        <v>0</v>
      </c>
      <c r="Q307" s="258">
        <f>INT(SUM(Q298:Q306)*100+0.5)/100</f>
        <v>0</v>
      </c>
      <c r="R307" s="257">
        <f>INT($L307*Q307*100+0.5)/100</f>
        <v>0</v>
      </c>
      <c r="S307" s="258">
        <f>INT(SUM(S298:S306)*100+0.5)/100</f>
        <v>0</v>
      </c>
      <c r="T307" s="257">
        <f>INT($L307*S307*100+0.5)/100</f>
        <v>0</v>
      </c>
      <c r="U307" s="258">
        <f>INT(SUM(U298:U306)*100+0.5)/100</f>
        <v>0</v>
      </c>
      <c r="V307" s="257">
        <f>INT($L307*U307*100+0.5)/100</f>
        <v>0</v>
      </c>
      <c r="W307" s="258">
        <f>INT(SUM(W298:W306)*100+0.5)/100</f>
        <v>0</v>
      </c>
      <c r="X307" s="257">
        <f>INT($L307*W307*100+0.5)/100</f>
        <v>0</v>
      </c>
      <c r="Y307" s="258">
        <f>INT(SUM(Y298:Y306)*100+0.5)/100</f>
        <v>0</v>
      </c>
      <c r="Z307" s="257">
        <f>INT($L307*Y307*100+0.5)/100</f>
        <v>0</v>
      </c>
    </row>
    <row r="308" spans="1:26" ht="15" customHeight="1">
      <c r="A308" s="250"/>
      <c r="B308" s="251"/>
      <c r="C308" s="251"/>
      <c r="D308" s="292"/>
      <c r="E308" s="251"/>
      <c r="F308" s="252"/>
      <c r="G308" s="253"/>
      <c r="H308" s="254"/>
      <c r="I308" s="253"/>
      <c r="J308" s="253"/>
      <c r="K308" s="251"/>
      <c r="L308" s="255"/>
      <c r="M308" s="258"/>
      <c r="N308" s="257"/>
      <c r="O308" s="258"/>
      <c r="P308" s="257"/>
      <c r="Q308" s="258"/>
      <c r="R308" s="257"/>
      <c r="S308" s="258"/>
      <c r="T308" s="257"/>
      <c r="U308" s="258"/>
      <c r="V308" s="257"/>
      <c r="W308" s="258"/>
      <c r="X308" s="257"/>
      <c r="Y308" s="258"/>
      <c r="Z308" s="257"/>
    </row>
    <row r="309" spans="1:26" ht="15" customHeight="1">
      <c r="A309" s="250">
        <f>A297+1</f>
        <v>106</v>
      </c>
      <c r="B309" s="251"/>
      <c r="C309" s="527" t="s">
        <v>2488</v>
      </c>
      <c r="D309" s="292"/>
      <c r="E309" s="251" t="s">
        <v>2475</v>
      </c>
      <c r="F309" s="252"/>
      <c r="G309" s="253"/>
      <c r="H309" s="254"/>
      <c r="I309" s="253"/>
      <c r="J309" s="253"/>
      <c r="K309" s="251" t="s">
        <v>2475</v>
      </c>
      <c r="L309" s="255"/>
      <c r="M309" s="258"/>
      <c r="N309" s="257"/>
      <c r="O309" s="258"/>
      <c r="P309" s="257"/>
      <c r="Q309" s="258"/>
      <c r="R309" s="257"/>
      <c r="S309" s="258"/>
      <c r="T309" s="257"/>
      <c r="U309" s="258"/>
      <c r="V309" s="257"/>
      <c r="W309" s="258"/>
      <c r="X309" s="257"/>
      <c r="Y309" s="258"/>
      <c r="Z309" s="257"/>
    </row>
    <row r="310" spans="1:26" ht="25.5">
      <c r="A310" s="250"/>
      <c r="B310" s="251"/>
      <c r="C310" s="251"/>
      <c r="D310" s="292" t="s">
        <v>2486</v>
      </c>
      <c r="E310" s="251"/>
      <c r="F310" s="252"/>
      <c r="G310" s="253"/>
      <c r="H310" s="254"/>
      <c r="I310" s="253"/>
      <c r="J310" s="253"/>
      <c r="K310" s="251"/>
      <c r="L310" s="255"/>
      <c r="M310" s="258"/>
      <c r="N310" s="257"/>
      <c r="O310" s="258"/>
      <c r="P310" s="257"/>
      <c r="Q310" s="258"/>
      <c r="R310" s="257"/>
      <c r="S310" s="258"/>
      <c r="T310" s="257"/>
      <c r="U310" s="258"/>
      <c r="V310" s="257"/>
      <c r="W310" s="258"/>
      <c r="X310" s="257"/>
      <c r="Y310" s="258"/>
      <c r="Z310" s="257"/>
    </row>
    <row r="311" spans="1:26" ht="15" customHeight="1">
      <c r="A311" s="250"/>
      <c r="B311" s="251"/>
      <c r="C311" s="251"/>
      <c r="D311" s="292" t="s">
        <v>1879</v>
      </c>
      <c r="E311" s="251"/>
      <c r="F311" s="252"/>
      <c r="G311" s="253"/>
      <c r="H311" s="254"/>
      <c r="I311" s="253"/>
      <c r="J311" s="253"/>
      <c r="K311" s="251"/>
      <c r="L311" s="255"/>
      <c r="M311" s="258">
        <f>4*4.5+2*4.5</f>
        <v>27</v>
      </c>
      <c r="N311" s="257"/>
      <c r="O311" s="258">
        <v>0</v>
      </c>
      <c r="P311" s="257"/>
      <c r="Q311" s="258">
        <v>0</v>
      </c>
      <c r="R311" s="257"/>
      <c r="S311" s="258"/>
      <c r="T311" s="245"/>
      <c r="U311" s="258">
        <v>0</v>
      </c>
      <c r="V311" s="257"/>
      <c r="W311" s="258">
        <v>0</v>
      </c>
      <c r="X311" s="245"/>
      <c r="Y311" s="258">
        <v>0</v>
      </c>
      <c r="Z311" s="245"/>
    </row>
    <row r="312" spans="1:26" ht="15" customHeight="1">
      <c r="A312" s="250"/>
      <c r="B312" s="251"/>
      <c r="C312" s="251"/>
      <c r="D312" s="292" t="s">
        <v>2482</v>
      </c>
      <c r="E312" s="251"/>
      <c r="F312" s="252"/>
      <c r="G312" s="253"/>
      <c r="H312" s="254"/>
      <c r="I312" s="253"/>
      <c r="J312" s="253"/>
      <c r="K312" s="251"/>
      <c r="L312" s="255"/>
      <c r="M312" s="258">
        <f>1*4</f>
        <v>4</v>
      </c>
      <c r="N312" s="257"/>
      <c r="O312" s="258">
        <v>0</v>
      </c>
      <c r="P312" s="257"/>
      <c r="Q312" s="258">
        <v>0</v>
      </c>
      <c r="R312" s="257"/>
      <c r="S312" s="258"/>
      <c r="T312" s="245"/>
      <c r="U312" s="258">
        <v>0</v>
      </c>
      <c r="V312" s="257"/>
      <c r="W312" s="258">
        <v>0</v>
      </c>
      <c r="X312" s="245"/>
      <c r="Y312" s="258">
        <v>0</v>
      </c>
      <c r="Z312" s="245"/>
    </row>
    <row r="313" spans="1:26" ht="15" customHeight="1">
      <c r="A313" s="250"/>
      <c r="B313" s="251"/>
      <c r="C313" s="251"/>
      <c r="D313" s="292" t="s">
        <v>1880</v>
      </c>
      <c r="E313" s="251"/>
      <c r="F313" s="252"/>
      <c r="G313" s="253"/>
      <c r="H313" s="254"/>
      <c r="I313" s="253"/>
      <c r="J313" s="253"/>
      <c r="K313" s="251"/>
      <c r="L313" s="255"/>
      <c r="M313" s="258">
        <f>12*4.5+5*8.5</f>
        <v>96.5</v>
      </c>
      <c r="N313" s="257"/>
      <c r="O313" s="258">
        <v>0</v>
      </c>
      <c r="P313" s="257"/>
      <c r="Q313" s="258">
        <v>0</v>
      </c>
      <c r="R313" s="257"/>
      <c r="S313" s="258"/>
      <c r="T313" s="245"/>
      <c r="U313" s="258">
        <v>0</v>
      </c>
      <c r="V313" s="257"/>
      <c r="W313" s="258">
        <v>0</v>
      </c>
      <c r="X313" s="245"/>
      <c r="Y313" s="258">
        <v>0</v>
      </c>
      <c r="Z313" s="245"/>
    </row>
    <row r="314" spans="1:26" ht="15" customHeight="1">
      <c r="A314" s="250"/>
      <c r="B314" s="251"/>
      <c r="C314" s="251"/>
      <c r="D314" s="292" t="s">
        <v>2480</v>
      </c>
      <c r="E314" s="251"/>
      <c r="F314" s="252"/>
      <c r="G314" s="253"/>
      <c r="H314" s="254"/>
      <c r="I314" s="253"/>
      <c r="J314" s="253"/>
      <c r="K314" s="251"/>
      <c r="L314" s="255"/>
      <c r="M314" s="258">
        <f>2*6</f>
        <v>12</v>
      </c>
      <c r="N314" s="257"/>
      <c r="O314" s="258">
        <v>0</v>
      </c>
      <c r="P314" s="257"/>
      <c r="Q314" s="258">
        <v>0</v>
      </c>
      <c r="R314" s="257"/>
      <c r="S314" s="258"/>
      <c r="T314" s="245"/>
      <c r="U314" s="258">
        <v>0</v>
      </c>
      <c r="V314" s="257"/>
      <c r="W314" s="258">
        <v>0</v>
      </c>
      <c r="X314" s="245"/>
      <c r="Y314" s="258">
        <v>0</v>
      </c>
      <c r="Z314" s="245"/>
    </row>
    <row r="315" spans="1:26" ht="15" customHeight="1">
      <c r="A315" s="250"/>
      <c r="B315" s="251"/>
      <c r="C315" s="251"/>
      <c r="D315" s="292" t="s">
        <v>1881</v>
      </c>
      <c r="E315" s="251"/>
      <c r="F315" s="252"/>
      <c r="G315" s="253"/>
      <c r="H315" s="254"/>
      <c r="I315" s="253"/>
      <c r="J315" s="253"/>
      <c r="K315" s="251"/>
      <c r="L315" s="255"/>
      <c r="M315" s="258">
        <f>5*4.5+4*8.5</f>
        <v>56.5</v>
      </c>
      <c r="N315" s="257"/>
      <c r="O315" s="258">
        <v>0</v>
      </c>
      <c r="P315" s="257"/>
      <c r="Q315" s="258">
        <v>0</v>
      </c>
      <c r="R315" s="257"/>
      <c r="S315" s="258"/>
      <c r="T315" s="245"/>
      <c r="U315" s="258">
        <v>0</v>
      </c>
      <c r="V315" s="257"/>
      <c r="W315" s="258">
        <v>0</v>
      </c>
      <c r="X315" s="245"/>
      <c r="Y315" s="258">
        <v>0</v>
      </c>
      <c r="Z315" s="245"/>
    </row>
    <row r="316" spans="1:26" ht="15" customHeight="1">
      <c r="A316" s="250"/>
      <c r="B316" s="251"/>
      <c r="C316" s="251"/>
      <c r="D316" s="292" t="s">
        <v>2485</v>
      </c>
      <c r="E316" s="251"/>
      <c r="F316" s="252"/>
      <c r="G316" s="253"/>
      <c r="H316" s="254"/>
      <c r="I316" s="253"/>
      <c r="J316" s="253"/>
      <c r="K316" s="251"/>
      <c r="L316" s="255"/>
      <c r="M316" s="258">
        <f>2*6</f>
        <v>12</v>
      </c>
      <c r="N316" s="257"/>
      <c r="O316" s="258">
        <v>0</v>
      </c>
      <c r="P316" s="257"/>
      <c r="Q316" s="258">
        <v>0</v>
      </c>
      <c r="R316" s="257"/>
      <c r="S316" s="258"/>
      <c r="T316" s="245"/>
      <c r="U316" s="258">
        <v>0</v>
      </c>
      <c r="V316" s="257"/>
      <c r="W316" s="258">
        <v>0</v>
      </c>
      <c r="X316" s="245"/>
      <c r="Y316" s="258">
        <v>0</v>
      </c>
      <c r="Z316" s="245"/>
    </row>
    <row r="317" spans="1:26" ht="15" customHeight="1">
      <c r="A317" s="250"/>
      <c r="B317" s="251"/>
      <c r="C317" s="251"/>
      <c r="D317" s="292" t="s">
        <v>2479</v>
      </c>
      <c r="E317" s="251"/>
      <c r="F317" s="252"/>
      <c r="G317" s="253"/>
      <c r="H317" s="254"/>
      <c r="I317" s="253"/>
      <c r="J317" s="253"/>
      <c r="K317" s="251"/>
      <c r="L317" s="256">
        <f>4*6</f>
        <v>24</v>
      </c>
      <c r="M317" s="258"/>
      <c r="N317" s="257"/>
      <c r="O317" s="258"/>
      <c r="P317" s="257"/>
      <c r="Q317" s="258"/>
      <c r="R317" s="257"/>
      <c r="S317" s="258">
        <v>0</v>
      </c>
      <c r="T317" s="245"/>
      <c r="U317" s="258"/>
      <c r="V317" s="257"/>
      <c r="W317" s="258"/>
      <c r="X317" s="245"/>
      <c r="Y317" s="258">
        <v>0</v>
      </c>
      <c r="Z317" s="245"/>
    </row>
    <row r="318" spans="1:26" ht="15" customHeight="1">
      <c r="A318" s="250"/>
      <c r="B318" s="251"/>
      <c r="C318" s="251"/>
      <c r="D318" s="292" t="s">
        <v>2478</v>
      </c>
      <c r="E318" s="251"/>
      <c r="F318" s="252"/>
      <c r="G318" s="253"/>
      <c r="H318" s="254"/>
      <c r="I318" s="253"/>
      <c r="J318" s="253"/>
      <c r="K318" s="251"/>
      <c r="L318" s="256">
        <f>(55-32)*6</f>
        <v>138</v>
      </c>
      <c r="M318" s="293"/>
      <c r="N318" s="294"/>
      <c r="O318" s="293"/>
      <c r="P318" s="294"/>
      <c r="Q318" s="293"/>
      <c r="R318" s="294"/>
      <c r="S318" s="293"/>
      <c r="T318" s="296"/>
      <c r="U318" s="293"/>
      <c r="V318" s="294"/>
      <c r="W318" s="293"/>
      <c r="X318" s="296"/>
      <c r="Y318" s="293"/>
      <c r="Z318" s="296"/>
    </row>
    <row r="319" spans="1:26" ht="15" customHeight="1">
      <c r="A319" s="250"/>
      <c r="B319" s="251"/>
      <c r="C319" s="251"/>
      <c r="D319" s="292" t="s">
        <v>1900</v>
      </c>
      <c r="E319" s="251"/>
      <c r="F319" s="252">
        <f>M319+O319+Q319+S319+U319+W319+Y319</f>
        <v>208</v>
      </c>
      <c r="G319" s="253">
        <f>L319</f>
        <v>157.5</v>
      </c>
      <c r="H319" s="254">
        <f>INT(F319*G319*100+0.5)/100</f>
        <v>32760</v>
      </c>
      <c r="I319" s="253">
        <f>N319+P319+R319+T319+V319+X319+Z319</f>
        <v>32760</v>
      </c>
      <c r="J319" s="253"/>
      <c r="K319" s="251"/>
      <c r="L319" s="656">
        <v>157.5</v>
      </c>
      <c r="M319" s="258">
        <f>INT(SUM(M310:M318)*100+0.5)/100</f>
        <v>208</v>
      </c>
      <c r="N319" s="257">
        <f>INT($L319*M319*100+0.5)/100</f>
        <v>32760</v>
      </c>
      <c r="O319" s="258">
        <f>INT(SUM(O310:O318)*100+0.5)/100</f>
        <v>0</v>
      </c>
      <c r="P319" s="257">
        <f>INT($L319*O319*100+0.5)/100</f>
        <v>0</v>
      </c>
      <c r="Q319" s="258">
        <f>INT(SUM(Q310:Q318)*100+0.5)/100</f>
        <v>0</v>
      </c>
      <c r="R319" s="257">
        <f>INT($L319*Q319*100+0.5)/100</f>
        <v>0</v>
      </c>
      <c r="S319" s="258">
        <f>INT(SUM(S310:S318)*100+0.5)/100</f>
        <v>0</v>
      </c>
      <c r="T319" s="257">
        <f>INT($L319*S319*100+0.5)/100</f>
        <v>0</v>
      </c>
      <c r="U319" s="258">
        <f>INT(SUM(U310:U318)*100+0.5)/100</f>
        <v>0</v>
      </c>
      <c r="V319" s="257">
        <f>INT($L319*U319*100+0.5)/100</f>
        <v>0</v>
      </c>
      <c r="W319" s="258">
        <f>INT(SUM(W310:W318)*100+0.5)/100</f>
        <v>0</v>
      </c>
      <c r="X319" s="257">
        <f>INT($L319*W319*100+0.5)/100</f>
        <v>0</v>
      </c>
      <c r="Y319" s="258">
        <f>INT(SUM(Y310:Y318)*100+0.5)/100</f>
        <v>0</v>
      </c>
      <c r="Z319" s="257">
        <f>INT($L319*Y319*100+0.5)/100</f>
        <v>0</v>
      </c>
    </row>
    <row r="320" spans="1:26" ht="15" customHeight="1">
      <c r="A320" s="250"/>
      <c r="B320" s="251"/>
      <c r="C320" s="648"/>
      <c r="D320" s="292"/>
      <c r="E320" s="251"/>
      <c r="F320" s="252"/>
      <c r="G320" s="253"/>
      <c r="H320" s="254"/>
      <c r="I320" s="253"/>
      <c r="J320" s="253"/>
      <c r="K320" s="251"/>
      <c r="L320" s="255"/>
      <c r="M320" s="258"/>
      <c r="N320" s="257"/>
      <c r="O320" s="258"/>
      <c r="P320" s="257"/>
      <c r="Q320" s="258"/>
      <c r="R320" s="257"/>
      <c r="S320" s="258"/>
      <c r="T320" s="257"/>
      <c r="U320" s="258"/>
      <c r="V320" s="257"/>
      <c r="W320" s="258"/>
      <c r="X320" s="257"/>
      <c r="Y320" s="258"/>
      <c r="Z320" s="257"/>
    </row>
    <row r="321" spans="1:26" s="247" customFormat="1" ht="15" customHeight="1">
      <c r="A321" s="284">
        <f>A309+1</f>
        <v>107</v>
      </c>
      <c r="B321" s="237"/>
      <c r="C321" s="657" t="s">
        <v>330</v>
      </c>
      <c r="D321" s="238" t="s">
        <v>328</v>
      </c>
      <c r="E321" s="237" t="s">
        <v>2475</v>
      </c>
      <c r="F321" s="252">
        <f>M321+O321+Q321+S321+U321+W321+Y321</f>
        <v>0</v>
      </c>
      <c r="G321" s="253">
        <f>L321</f>
        <v>630</v>
      </c>
      <c r="H321" s="289">
        <f>INT(F321*G321*100+0.5)/100</f>
        <v>0</v>
      </c>
      <c r="I321" s="253">
        <f>N321+P321+R321+T321+V321+X321+Z321</f>
        <v>0</v>
      </c>
      <c r="J321" s="253"/>
      <c r="K321" s="237" t="s">
        <v>2475</v>
      </c>
      <c r="L321" s="278">
        <v>630</v>
      </c>
      <c r="M321" s="289">
        <v>0</v>
      </c>
      <c r="N321" s="245">
        <f>INT($L321*M321*100+0.5)/100</f>
        <v>0</v>
      </c>
      <c r="O321" s="289">
        <v>0</v>
      </c>
      <c r="P321" s="245">
        <f>INT($L321*O321*100+0.5)/100</f>
        <v>0</v>
      </c>
      <c r="Q321" s="289">
        <v>0</v>
      </c>
      <c r="R321" s="245">
        <f>INT($L321*Q321*100+0.5)/100</f>
        <v>0</v>
      </c>
      <c r="S321" s="289">
        <v>0</v>
      </c>
      <c r="T321" s="245">
        <f>INT($L321*S321*100+0.5)/100</f>
        <v>0</v>
      </c>
      <c r="U321" s="289">
        <v>0</v>
      </c>
      <c r="V321" s="245">
        <f>INT($L321*U321*100+0.5)/100</f>
        <v>0</v>
      </c>
      <c r="W321" s="289">
        <v>0</v>
      </c>
      <c r="X321" s="245">
        <f>INT($L321*W321*100+0.5)/100</f>
        <v>0</v>
      </c>
      <c r="Y321" s="289">
        <v>0</v>
      </c>
      <c r="Z321" s="245">
        <f>INT($L321*Y321*100+0.5)/100</f>
        <v>0</v>
      </c>
    </row>
    <row r="322" spans="1:26" ht="15" customHeight="1">
      <c r="A322" s="250"/>
      <c r="B322" s="251"/>
      <c r="C322" s="654"/>
      <c r="D322" s="532" t="s">
        <v>329</v>
      </c>
      <c r="E322" s="237"/>
      <c r="F322" s="308"/>
      <c r="G322" s="253"/>
      <c r="H322" s="289"/>
      <c r="I322" s="253"/>
      <c r="J322" s="253"/>
      <c r="K322" s="237"/>
      <c r="L322" s="306"/>
      <c r="M322" s="289"/>
      <c r="N322" s="245"/>
      <c r="O322" s="289"/>
      <c r="P322" s="245"/>
      <c r="Q322" s="289"/>
      <c r="R322" s="245"/>
      <c r="S322" s="289"/>
      <c r="T322" s="245"/>
      <c r="U322" s="289"/>
      <c r="V322" s="245"/>
      <c r="W322" s="289"/>
      <c r="X322" s="245"/>
      <c r="Y322" s="289"/>
      <c r="Z322" s="245"/>
    </row>
    <row r="323" spans="1:26" ht="15" customHeight="1">
      <c r="A323" s="250"/>
      <c r="B323" s="251"/>
      <c r="C323" s="647"/>
      <c r="D323" s="526"/>
      <c r="E323" s="251"/>
      <c r="F323" s="310"/>
      <c r="G323" s="253"/>
      <c r="H323" s="258"/>
      <c r="I323" s="253"/>
      <c r="J323" s="253"/>
      <c r="K323" s="251"/>
      <c r="L323" s="255"/>
      <c r="M323" s="258"/>
      <c r="N323" s="257"/>
      <c r="O323" s="258"/>
      <c r="P323" s="257"/>
      <c r="Q323" s="258"/>
      <c r="R323" s="257"/>
      <c r="S323" s="258"/>
      <c r="T323" s="257"/>
      <c r="U323" s="258"/>
      <c r="V323" s="257"/>
      <c r="W323" s="258"/>
      <c r="X323" s="257"/>
      <c r="Y323" s="258"/>
      <c r="Z323" s="257"/>
    </row>
    <row r="324" spans="1:26" ht="15" customHeight="1">
      <c r="A324" s="250">
        <f>A321+1</f>
        <v>108</v>
      </c>
      <c r="B324" s="251"/>
      <c r="C324" s="657" t="s">
        <v>331</v>
      </c>
      <c r="D324" s="526" t="s">
        <v>332</v>
      </c>
      <c r="E324" s="251" t="s">
        <v>1439</v>
      </c>
      <c r="F324" s="252">
        <f>M324+O324+Q324+S324+U324+W324+Y324</f>
        <v>0</v>
      </c>
      <c r="G324" s="253">
        <f>L324</f>
        <v>1.78</v>
      </c>
      <c r="H324" s="258">
        <f>INT(F324*G324*100+0.5)/100</f>
        <v>0</v>
      </c>
      <c r="I324" s="253">
        <f>N324+P324+R324+T324+V324+X324+Z324</f>
        <v>0</v>
      </c>
      <c r="J324" s="253"/>
      <c r="K324" s="251" t="s">
        <v>1439</v>
      </c>
      <c r="L324" s="262">
        <v>1.78</v>
      </c>
      <c r="M324" s="258">
        <v>0</v>
      </c>
      <c r="N324" s="257">
        <f>INT($L324*M324*100+0.5)/100</f>
        <v>0</v>
      </c>
      <c r="O324" s="258">
        <v>0</v>
      </c>
      <c r="P324" s="257">
        <f>INT($L324*O324*100+0.5)/100</f>
        <v>0</v>
      </c>
      <c r="Q324" s="258">
        <v>0</v>
      </c>
      <c r="R324" s="257">
        <f>INT($L324*Q324*100+0.5)/100</f>
        <v>0</v>
      </c>
      <c r="S324" s="258">
        <v>0</v>
      </c>
      <c r="T324" s="257">
        <f>INT($L324*S324*100+0.5)/100</f>
        <v>0</v>
      </c>
      <c r="U324" s="258">
        <v>0</v>
      </c>
      <c r="V324" s="257">
        <f>INT($L324*U324*100+0.5)/100</f>
        <v>0</v>
      </c>
      <c r="W324" s="258">
        <v>0</v>
      </c>
      <c r="X324" s="257">
        <f>INT($L324*W324*100+0.5)/100</f>
        <v>0</v>
      </c>
      <c r="Y324" s="258">
        <v>0</v>
      </c>
      <c r="Z324" s="257">
        <f>INT($L324*Y324*100+0.5)/100</f>
        <v>0</v>
      </c>
    </row>
    <row r="325" spans="1:26" ht="15" customHeight="1">
      <c r="A325" s="250"/>
      <c r="B325" s="251"/>
      <c r="C325" s="647"/>
      <c r="D325" s="526" t="s">
        <v>2113</v>
      </c>
      <c r="E325" s="251"/>
      <c r="F325" s="310"/>
      <c r="G325" s="253"/>
      <c r="H325" s="258"/>
      <c r="I325" s="253"/>
      <c r="J325" s="253"/>
      <c r="K325" s="251"/>
      <c r="L325" s="255"/>
      <c r="M325" s="258"/>
      <c r="N325" s="257"/>
      <c r="O325" s="258"/>
      <c r="P325" s="257"/>
      <c r="Q325" s="258"/>
      <c r="R325" s="257"/>
      <c r="S325" s="258"/>
      <c r="T325" s="257"/>
      <c r="U325" s="258"/>
      <c r="V325" s="257"/>
      <c r="W325" s="258"/>
      <c r="X325" s="257"/>
      <c r="Y325" s="258"/>
      <c r="Z325" s="257"/>
    </row>
    <row r="326" spans="1:26" ht="15" customHeight="1">
      <c r="A326" s="250"/>
      <c r="B326" s="251"/>
      <c r="C326" s="647"/>
      <c r="D326" s="526"/>
      <c r="E326" s="251"/>
      <c r="F326" s="310"/>
      <c r="G326" s="253"/>
      <c r="H326" s="258"/>
      <c r="I326" s="253"/>
      <c r="J326" s="253"/>
      <c r="K326" s="251"/>
      <c r="L326" s="261"/>
      <c r="M326" s="258"/>
      <c r="N326" s="257"/>
      <c r="O326" s="258"/>
      <c r="P326" s="257"/>
      <c r="Q326" s="258"/>
      <c r="R326" s="257"/>
      <c r="S326" s="258"/>
      <c r="T326" s="257"/>
      <c r="U326" s="258"/>
      <c r="V326" s="257"/>
      <c r="W326" s="258"/>
      <c r="X326" s="257"/>
      <c r="Y326" s="258"/>
      <c r="Z326" s="257"/>
    </row>
    <row r="327" spans="1:26" ht="15" customHeight="1">
      <c r="A327" s="250">
        <f>A324+1</f>
        <v>109</v>
      </c>
      <c r="B327" s="251"/>
      <c r="C327" s="655" t="s">
        <v>996</v>
      </c>
      <c r="D327" s="526"/>
      <c r="E327" s="251" t="s">
        <v>2475</v>
      </c>
      <c r="F327" s="252">
        <f>M327+O327+Q327+S327+U327+W327+Y327</f>
        <v>1183</v>
      </c>
      <c r="G327" s="253">
        <f>L327</f>
        <v>3</v>
      </c>
      <c r="H327" s="254">
        <f>INT(F327*G327*100+0.5)/100</f>
        <v>3549</v>
      </c>
      <c r="I327" s="253">
        <f>N327+P327+R327+T327+V327+X327+Z327</f>
        <v>3549</v>
      </c>
      <c r="J327" s="253"/>
      <c r="K327" s="251" t="s">
        <v>2475</v>
      </c>
      <c r="L327" s="262">
        <v>3</v>
      </c>
      <c r="M327" s="258">
        <v>710</v>
      </c>
      <c r="N327" s="257">
        <f>INT($L327*M327*100+0.5)/100</f>
        <v>2130</v>
      </c>
      <c r="O327" s="258">
        <f>250-97+10+10+250</f>
        <v>423</v>
      </c>
      <c r="P327" s="257">
        <f>INT($L327*O327*100+0.5)/100</f>
        <v>1269</v>
      </c>
      <c r="Q327" s="258">
        <v>50</v>
      </c>
      <c r="R327" s="257">
        <f>INT($L327*Q327*100+0.5)/100</f>
        <v>150</v>
      </c>
      <c r="S327" s="258">
        <v>0</v>
      </c>
      <c r="T327" s="245">
        <f>INT($L327*S327*100+0.5)/100</f>
        <v>0</v>
      </c>
      <c r="U327" s="258">
        <v>0</v>
      </c>
      <c r="V327" s="257">
        <f>INT($L327*U327*100+0.5)/100</f>
        <v>0</v>
      </c>
      <c r="W327" s="258">
        <v>0</v>
      </c>
      <c r="X327" s="245">
        <f>INT($L327*W327*100+0.5)/100</f>
        <v>0</v>
      </c>
      <c r="Y327" s="258">
        <v>0</v>
      </c>
      <c r="Z327" s="245">
        <f>INT($L327*Y327*100+0.5)/100</f>
        <v>0</v>
      </c>
    </row>
    <row r="328" spans="1:26" ht="15" customHeight="1">
      <c r="A328" s="250"/>
      <c r="B328" s="251"/>
      <c r="C328" s="648"/>
      <c r="D328" s="526" t="s">
        <v>997</v>
      </c>
      <c r="E328" s="251"/>
      <c r="F328" s="252"/>
      <c r="G328" s="253"/>
      <c r="H328" s="254"/>
      <c r="I328" s="253"/>
      <c r="J328" s="253"/>
      <c r="K328" s="251"/>
      <c r="L328" s="261"/>
      <c r="M328" s="258"/>
      <c r="N328" s="257"/>
      <c r="O328" s="258"/>
      <c r="P328" s="257"/>
      <c r="Q328" s="258"/>
      <c r="R328" s="257"/>
      <c r="S328" s="258"/>
      <c r="T328" s="245"/>
      <c r="U328" s="258"/>
      <c r="V328" s="257"/>
      <c r="W328" s="258"/>
      <c r="X328" s="245"/>
      <c r="Y328" s="258"/>
      <c r="Z328" s="245"/>
    </row>
    <row r="329" spans="1:26" ht="15" customHeight="1">
      <c r="A329" s="250"/>
      <c r="B329" s="251"/>
      <c r="C329" s="648"/>
      <c r="D329" s="292"/>
      <c r="E329" s="251"/>
      <c r="F329" s="252"/>
      <c r="G329" s="253"/>
      <c r="H329" s="254"/>
      <c r="I329" s="253"/>
      <c r="J329" s="253"/>
      <c r="K329" s="251"/>
      <c r="L329" s="261"/>
      <c r="M329" s="258"/>
      <c r="N329" s="257"/>
      <c r="O329" s="258"/>
      <c r="P329" s="257"/>
      <c r="Q329" s="258"/>
      <c r="R329" s="257"/>
      <c r="S329" s="258"/>
      <c r="T329" s="257"/>
      <c r="U329" s="258"/>
      <c r="V329" s="257"/>
      <c r="W329" s="258"/>
      <c r="X329" s="257"/>
      <c r="Y329" s="258"/>
      <c r="Z329" s="257"/>
    </row>
    <row r="330" spans="1:26" ht="15" customHeight="1">
      <c r="A330" s="250">
        <f>A327+1</f>
        <v>110</v>
      </c>
      <c r="B330" s="251"/>
      <c r="C330" s="655" t="s">
        <v>998</v>
      </c>
      <c r="D330" s="526"/>
      <c r="E330" s="251" t="s">
        <v>1901</v>
      </c>
      <c r="F330" s="252">
        <f>M330+O330+Q330+S330+U330+W330+Y330</f>
        <v>0</v>
      </c>
      <c r="G330" s="253">
        <f>L330</f>
        <v>28</v>
      </c>
      <c r="H330" s="254">
        <f>INT(F330*G330*100+0.5)/100</f>
        <v>0</v>
      </c>
      <c r="I330" s="253">
        <f>N330+P330+R330+T330+V330+X330+Z330</f>
        <v>0</v>
      </c>
      <c r="J330" s="253"/>
      <c r="K330" s="251" t="s">
        <v>1901</v>
      </c>
      <c r="L330" s="261">
        <v>28</v>
      </c>
      <c r="M330" s="258">
        <v>0</v>
      </c>
      <c r="N330" s="257">
        <f>INT($L330*M330*100+0.5)/100</f>
        <v>0</v>
      </c>
      <c r="O330" s="258">
        <v>0</v>
      </c>
      <c r="P330" s="257">
        <f>INT($L330*O330*100+0.5)/100</f>
        <v>0</v>
      </c>
      <c r="Q330" s="258">
        <v>0</v>
      </c>
      <c r="R330" s="257">
        <f>INT($L330*Q330*100+0.5)/100</f>
        <v>0</v>
      </c>
      <c r="S330" s="258">
        <v>0</v>
      </c>
      <c r="T330" s="245">
        <f>INT($L330*S330*100+0.5)/100</f>
        <v>0</v>
      </c>
      <c r="U330" s="258">
        <v>0</v>
      </c>
      <c r="V330" s="257">
        <f>INT($L330*U330*100+0.5)/100</f>
        <v>0</v>
      </c>
      <c r="W330" s="258">
        <v>0</v>
      </c>
      <c r="X330" s="245">
        <f>INT($L330*W330*100+0.5)/100</f>
        <v>0</v>
      </c>
      <c r="Y330" s="258">
        <v>0</v>
      </c>
      <c r="Z330" s="245">
        <f>INT($L330*Y330*100+0.5)/100</f>
        <v>0</v>
      </c>
    </row>
    <row r="331" spans="1:26" s="281" customFormat="1" ht="15" customHeight="1">
      <c r="A331" s="463"/>
      <c r="B331" s="277"/>
      <c r="C331" s="648"/>
      <c r="D331" s="536" t="s">
        <v>999</v>
      </c>
      <c r="E331" s="277"/>
      <c r="F331" s="455"/>
      <c r="G331" s="456"/>
      <c r="H331" s="457"/>
      <c r="I331" s="456"/>
      <c r="J331" s="456"/>
      <c r="K331" s="277"/>
      <c r="L331" s="262"/>
      <c r="M331" s="458"/>
      <c r="N331" s="280"/>
      <c r="O331" s="458"/>
      <c r="P331" s="280"/>
      <c r="Q331" s="458"/>
      <c r="R331" s="280"/>
      <c r="S331" s="458"/>
      <c r="T331" s="347"/>
      <c r="U331" s="458"/>
      <c r="V331" s="280"/>
      <c r="W331" s="458"/>
      <c r="X331" s="347"/>
      <c r="Y331" s="458"/>
      <c r="Z331" s="347"/>
    </row>
    <row r="332" spans="1:26" ht="15" customHeight="1">
      <c r="A332" s="250"/>
      <c r="B332" s="251"/>
      <c r="C332" s="648"/>
      <c r="D332" s="292"/>
      <c r="E332" s="251"/>
      <c r="F332" s="252"/>
      <c r="G332" s="253"/>
      <c r="H332" s="254"/>
      <c r="I332" s="253"/>
      <c r="J332" s="253"/>
      <c r="K332" s="251"/>
      <c r="L332" s="261"/>
      <c r="M332" s="258"/>
      <c r="N332" s="257"/>
      <c r="O332" s="258"/>
      <c r="P332" s="257"/>
      <c r="Q332" s="258"/>
      <c r="R332" s="257"/>
      <c r="S332" s="258"/>
      <c r="T332" s="257"/>
      <c r="U332" s="258"/>
      <c r="V332" s="257"/>
      <c r="W332" s="258"/>
      <c r="X332" s="257"/>
      <c r="Y332" s="258"/>
      <c r="Z332" s="257"/>
    </row>
    <row r="333" spans="1:26" ht="15" customHeight="1">
      <c r="A333" s="250">
        <f>A330+1</f>
        <v>111</v>
      </c>
      <c r="B333" s="251"/>
      <c r="C333" s="655" t="s">
        <v>1000</v>
      </c>
      <c r="D333" s="526"/>
      <c r="E333" s="251" t="s">
        <v>2461</v>
      </c>
      <c r="F333" s="252">
        <f>M333+O333+Q333+S333+U333+W333+Y333</f>
        <v>310.84000000000003</v>
      </c>
      <c r="G333" s="253">
        <f>L333</f>
        <v>30</v>
      </c>
      <c r="H333" s="254">
        <f>INT(F333*G333*100+0.5)/100</f>
        <v>9325.2000000000007</v>
      </c>
      <c r="I333" s="253">
        <f>N333+P333+R333+T333+V333+X333+Z333</f>
        <v>9325.2000000000007</v>
      </c>
      <c r="J333" s="253"/>
      <c r="K333" s="251" t="s">
        <v>2461</v>
      </c>
      <c r="L333" s="656">
        <v>30</v>
      </c>
      <c r="M333" s="258">
        <v>0</v>
      </c>
      <c r="N333" s="257">
        <f>INT($L333*M333*100+0.5)/100</f>
        <v>0</v>
      </c>
      <c r="O333" s="258">
        <v>0</v>
      </c>
      <c r="P333" s="257">
        <f>INT($L333*O333*100+0.5)/100</f>
        <v>0</v>
      </c>
      <c r="Q333" s="258">
        <f>75*1*1*1</f>
        <v>75</v>
      </c>
      <c r="R333" s="257">
        <f>INT($L333*Q333*100+0.5)/100</f>
        <v>2250</v>
      </c>
      <c r="S333" s="258">
        <v>0</v>
      </c>
      <c r="T333" s="245">
        <f>INT($L333*S333*100+0.5)/100</f>
        <v>0</v>
      </c>
      <c r="U333" s="258">
        <v>0</v>
      </c>
      <c r="V333" s="257">
        <f>INT($L333*U333*100+0.5)/100</f>
        <v>0</v>
      </c>
      <c r="W333" s="258">
        <f>W243</f>
        <v>75.84</v>
      </c>
      <c r="X333" s="245">
        <f>INT($L333*W333*100+0.5)/100</f>
        <v>2275.1999999999998</v>
      </c>
      <c r="Y333" s="508">
        <f>160*2*1*0.5</f>
        <v>160</v>
      </c>
      <c r="Z333" s="245">
        <f>INT($L333*Y333*100+0.5)/100</f>
        <v>4800</v>
      </c>
    </row>
    <row r="334" spans="1:26" ht="15" customHeight="1">
      <c r="A334" s="250"/>
      <c r="B334" s="251"/>
      <c r="C334" s="648"/>
      <c r="D334" s="526" t="s">
        <v>1001</v>
      </c>
      <c r="E334" s="251"/>
      <c r="F334" s="252"/>
      <c r="G334" s="253"/>
      <c r="H334" s="254"/>
      <c r="I334" s="253"/>
      <c r="J334" s="253"/>
      <c r="K334" s="251"/>
      <c r="L334" s="261"/>
      <c r="M334" s="258"/>
      <c r="N334" s="257"/>
      <c r="O334" s="258"/>
      <c r="P334" s="257"/>
      <c r="Q334" s="258"/>
      <c r="R334" s="257"/>
      <c r="S334" s="258"/>
      <c r="T334" s="245"/>
      <c r="U334" s="258"/>
      <c r="V334" s="257"/>
      <c r="W334" s="258"/>
      <c r="X334" s="245"/>
      <c r="Y334" s="258"/>
      <c r="Z334" s="245"/>
    </row>
    <row r="335" spans="1:26" ht="15" customHeight="1">
      <c r="A335" s="250"/>
      <c r="B335" s="251"/>
      <c r="C335" s="648"/>
      <c r="D335" s="292"/>
      <c r="E335" s="251"/>
      <c r="F335" s="252"/>
      <c r="G335" s="253"/>
      <c r="H335" s="254"/>
      <c r="I335" s="253"/>
      <c r="J335" s="253"/>
      <c r="K335" s="251"/>
      <c r="L335" s="261"/>
      <c r="M335" s="258"/>
      <c r="N335" s="257"/>
      <c r="O335" s="258"/>
      <c r="P335" s="257"/>
      <c r="Q335" s="258"/>
      <c r="R335" s="257"/>
      <c r="S335" s="258"/>
      <c r="T335" s="257"/>
      <c r="U335" s="258"/>
      <c r="V335" s="257"/>
      <c r="W335" s="258"/>
      <c r="X335" s="257"/>
      <c r="Y335" s="258"/>
      <c r="Z335" s="257"/>
    </row>
    <row r="336" spans="1:26" ht="25.5">
      <c r="A336" s="250">
        <f>A333+1</f>
        <v>112</v>
      </c>
      <c r="B336" s="251"/>
      <c r="C336" s="657" t="s">
        <v>584</v>
      </c>
      <c r="D336" s="526" t="s">
        <v>390</v>
      </c>
      <c r="E336" s="251" t="s">
        <v>1898</v>
      </c>
      <c r="F336" s="252">
        <f>M336+O336+Q336+S336+U336+W336+Y336</f>
        <v>0</v>
      </c>
      <c r="G336" s="253">
        <f>L336</f>
        <v>21</v>
      </c>
      <c r="H336" s="254">
        <f>INT(F336*G336*100+0.5)/100</f>
        <v>0</v>
      </c>
      <c r="I336" s="253">
        <f>N336+P336+R336+T336+V336+X336+Z336</f>
        <v>0</v>
      </c>
      <c r="J336" s="253"/>
      <c r="K336" s="251" t="s">
        <v>1898</v>
      </c>
      <c r="L336" s="262">
        <v>21</v>
      </c>
      <c r="M336" s="258">
        <v>0</v>
      </c>
      <c r="N336" s="257">
        <f>INT($L336*M336*100+0.5)/100</f>
        <v>0</v>
      </c>
      <c r="O336" s="258">
        <v>0</v>
      </c>
      <c r="P336" s="257">
        <f>INT($L336*O336*100+0.5)/100</f>
        <v>0</v>
      </c>
      <c r="Q336" s="258">
        <v>0</v>
      </c>
      <c r="R336" s="257">
        <f>INT($L336*Q336*100+0.5)/100</f>
        <v>0</v>
      </c>
      <c r="S336" s="258">
        <v>0</v>
      </c>
      <c r="T336" s="245">
        <f>INT($L336*S336*100+0.5)/100</f>
        <v>0</v>
      </c>
      <c r="U336" s="258">
        <v>0</v>
      </c>
      <c r="V336" s="257">
        <f>INT($L336*U336*100+0.5)/100</f>
        <v>0</v>
      </c>
      <c r="W336" s="258">
        <v>0</v>
      </c>
      <c r="X336" s="245">
        <f>INT($L336*W336*100+0.5)/100</f>
        <v>0</v>
      </c>
      <c r="Y336" s="258">
        <v>0</v>
      </c>
      <c r="Z336" s="245">
        <f>INT($L336*Y336*100+0.5)/100</f>
        <v>0</v>
      </c>
    </row>
    <row r="337" spans="1:26" ht="25.5">
      <c r="A337" s="250"/>
      <c r="B337" s="251"/>
      <c r="C337" s="648"/>
      <c r="D337" s="526" t="s">
        <v>389</v>
      </c>
      <c r="E337" s="251"/>
      <c r="F337" s="252"/>
      <c r="G337" s="253"/>
      <c r="H337" s="254"/>
      <c r="I337" s="253"/>
      <c r="J337" s="253"/>
      <c r="K337" s="251"/>
      <c r="L337" s="261"/>
      <c r="M337" s="258"/>
      <c r="N337" s="257"/>
      <c r="O337" s="258"/>
      <c r="P337" s="257"/>
      <c r="Q337" s="258"/>
      <c r="R337" s="257"/>
      <c r="S337" s="258"/>
      <c r="T337" s="245"/>
      <c r="U337" s="258"/>
      <c r="V337" s="257"/>
      <c r="W337" s="258"/>
      <c r="X337" s="245"/>
      <c r="Y337" s="258"/>
      <c r="Z337" s="245"/>
    </row>
    <row r="338" spans="1:26" ht="15" customHeight="1">
      <c r="A338" s="250"/>
      <c r="B338" s="251"/>
      <c r="C338" s="648"/>
      <c r="D338" s="526"/>
      <c r="E338" s="251"/>
      <c r="F338" s="252"/>
      <c r="G338" s="253"/>
      <c r="H338" s="254"/>
      <c r="I338" s="253"/>
      <c r="J338" s="253"/>
      <c r="K338" s="251"/>
      <c r="L338" s="261"/>
      <c r="M338" s="258"/>
      <c r="N338" s="257"/>
      <c r="O338" s="258"/>
      <c r="P338" s="257"/>
      <c r="Q338" s="258"/>
      <c r="R338" s="257"/>
      <c r="S338" s="258"/>
      <c r="T338" s="245"/>
      <c r="U338" s="258"/>
      <c r="V338" s="257"/>
      <c r="W338" s="258"/>
      <c r="X338" s="245"/>
      <c r="Y338" s="258"/>
      <c r="Z338" s="245"/>
    </row>
    <row r="339" spans="1:26" ht="15" customHeight="1">
      <c r="A339" s="250">
        <f>A336+1</f>
        <v>113</v>
      </c>
      <c r="B339" s="251"/>
      <c r="C339" s="647" t="s">
        <v>1622</v>
      </c>
      <c r="D339" s="292" t="s">
        <v>1615</v>
      </c>
      <c r="E339" s="251" t="s">
        <v>2461</v>
      </c>
      <c r="F339" s="252">
        <f>M339+O339+Q339+S339+U339+W339+Y339</f>
        <v>0</v>
      </c>
      <c r="G339" s="253">
        <f>L339</f>
        <v>11.07</v>
      </c>
      <c r="H339" s="254">
        <f>INT(F339*G339*100+0.5)/100</f>
        <v>0</v>
      </c>
      <c r="I339" s="253">
        <f>N339+P339+R339+T339+V339+X339+Z339</f>
        <v>0</v>
      </c>
      <c r="J339" s="253"/>
      <c r="K339" s="251" t="s">
        <v>2461</v>
      </c>
      <c r="L339" s="255">
        <v>11.07</v>
      </c>
      <c r="M339" s="258">
        <v>0</v>
      </c>
      <c r="N339" s="257">
        <f>INT($L339*M339*100+0.5)/100</f>
        <v>0</v>
      </c>
      <c r="O339" s="258">
        <v>0</v>
      </c>
      <c r="P339" s="257">
        <f>INT($L339*O339*100+0.5)/100</f>
        <v>0</v>
      </c>
      <c r="Q339" s="258">
        <v>0</v>
      </c>
      <c r="R339" s="257">
        <f>INT($L339*Q339*100+0.5)/100</f>
        <v>0</v>
      </c>
      <c r="S339" s="258">
        <v>0</v>
      </c>
      <c r="T339" s="257">
        <f>INT($L339*S339*100+0.5)/100</f>
        <v>0</v>
      </c>
      <c r="U339" s="258">
        <v>0</v>
      </c>
      <c r="V339" s="257">
        <f>INT($L339*U339*100+0.5)/100</f>
        <v>0</v>
      </c>
      <c r="W339" s="258">
        <v>0</v>
      </c>
      <c r="X339" s="257">
        <f>INT($L339*W339*100+0.5)/100</f>
        <v>0</v>
      </c>
      <c r="Y339" s="258">
        <v>0</v>
      </c>
      <c r="Z339" s="257">
        <f>INT($L339*Y339*100+0.5)/100</f>
        <v>0</v>
      </c>
    </row>
    <row r="340" spans="1:26" ht="15" customHeight="1">
      <c r="A340" s="250"/>
      <c r="B340" s="251"/>
      <c r="C340" s="648"/>
      <c r="D340" s="292" t="s">
        <v>1614</v>
      </c>
      <c r="E340" s="251"/>
      <c r="F340" s="252"/>
      <c r="G340" s="253"/>
      <c r="H340" s="254"/>
      <c r="I340" s="253"/>
      <c r="J340" s="253"/>
      <c r="K340" s="251"/>
      <c r="L340" s="255"/>
      <c r="M340" s="258"/>
      <c r="N340" s="257"/>
      <c r="O340" s="258"/>
      <c r="P340" s="257"/>
      <c r="Q340" s="258"/>
      <c r="R340" s="257"/>
      <c r="S340" s="258"/>
      <c r="T340" s="257"/>
      <c r="U340" s="258"/>
      <c r="V340" s="257"/>
      <c r="W340" s="258"/>
      <c r="X340" s="257"/>
      <c r="Y340" s="258"/>
      <c r="Z340" s="257"/>
    </row>
    <row r="341" spans="1:26" ht="15" customHeight="1">
      <c r="A341" s="250"/>
      <c r="B341" s="251"/>
      <c r="C341" s="648"/>
      <c r="D341" s="292"/>
      <c r="E341" s="251"/>
      <c r="F341" s="252"/>
      <c r="G341" s="253"/>
      <c r="H341" s="254"/>
      <c r="I341" s="253"/>
      <c r="J341" s="253"/>
      <c r="K341" s="251"/>
      <c r="L341" s="255"/>
      <c r="M341" s="258"/>
      <c r="N341" s="257"/>
      <c r="O341" s="258"/>
      <c r="P341" s="257"/>
      <c r="Q341" s="258"/>
      <c r="R341" s="257"/>
      <c r="S341" s="258"/>
      <c r="T341" s="257"/>
      <c r="U341" s="258"/>
      <c r="V341" s="257"/>
      <c r="W341" s="258"/>
      <c r="X341" s="257"/>
      <c r="Y341" s="258"/>
      <c r="Z341" s="257"/>
    </row>
    <row r="342" spans="1:26" ht="15" customHeight="1">
      <c r="A342" s="250">
        <f>A339+1</f>
        <v>114</v>
      </c>
      <c r="B342" s="251"/>
      <c r="C342" s="647" t="s">
        <v>1621</v>
      </c>
      <c r="D342" s="292" t="s">
        <v>1617</v>
      </c>
      <c r="E342" s="251" t="s">
        <v>2461</v>
      </c>
      <c r="F342" s="252">
        <f>M342+O342+Q342+S342+U342+W342+Y342</f>
        <v>15</v>
      </c>
      <c r="G342" s="253">
        <f>L342</f>
        <v>26.16</v>
      </c>
      <c r="H342" s="254">
        <f>INT(F342*G342*100+0.5)/100</f>
        <v>392.4</v>
      </c>
      <c r="I342" s="253">
        <f>N342+P342+R342+T342+V342+X342+Z342</f>
        <v>392.40000000000003</v>
      </c>
      <c r="J342" s="253"/>
      <c r="K342" s="251" t="s">
        <v>2461</v>
      </c>
      <c r="L342" s="255">
        <v>26.16</v>
      </c>
      <c r="M342" s="458">
        <f>10*0.3*1+2</f>
        <v>5</v>
      </c>
      <c r="N342" s="257">
        <f>INT($L342*M342*100+0.5)/100</f>
        <v>130.80000000000001</v>
      </c>
      <c r="O342" s="458">
        <v>5</v>
      </c>
      <c r="P342" s="257">
        <f>INT($L342*O342*100+0.5)/100</f>
        <v>130.80000000000001</v>
      </c>
      <c r="Q342" s="458">
        <v>5</v>
      </c>
      <c r="R342" s="257">
        <f>INT($L342*Q342*100+0.5)/100</f>
        <v>130.80000000000001</v>
      </c>
      <c r="S342" s="258">
        <v>0</v>
      </c>
      <c r="T342" s="257">
        <f>INT($L342*S342*100+0.5)/100</f>
        <v>0</v>
      </c>
      <c r="U342" s="258">
        <v>0</v>
      </c>
      <c r="V342" s="257">
        <f>INT($L342*U342*100+0.5)/100</f>
        <v>0</v>
      </c>
      <c r="W342" s="258">
        <v>0</v>
      </c>
      <c r="X342" s="257">
        <f>INT($L342*W342*100+0.5)/100</f>
        <v>0</v>
      </c>
      <c r="Y342" s="258">
        <v>0</v>
      </c>
      <c r="Z342" s="257">
        <f>INT($L342*Y342*100+0.5)/100</f>
        <v>0</v>
      </c>
    </row>
    <row r="343" spans="1:26" ht="15" customHeight="1">
      <c r="A343" s="250"/>
      <c r="B343" s="251"/>
      <c r="C343" s="648"/>
      <c r="D343" s="292" t="s">
        <v>1616</v>
      </c>
      <c r="E343" s="251"/>
      <c r="F343" s="252"/>
      <c r="G343" s="253"/>
      <c r="H343" s="254"/>
      <c r="I343" s="253"/>
      <c r="J343" s="253"/>
      <c r="K343" s="251"/>
      <c r="L343" s="255"/>
      <c r="M343" s="258"/>
      <c r="N343" s="257"/>
      <c r="O343" s="258"/>
      <c r="P343" s="257"/>
      <c r="Q343" s="258"/>
      <c r="R343" s="257"/>
      <c r="S343" s="258"/>
      <c r="T343" s="257"/>
      <c r="U343" s="258"/>
      <c r="V343" s="257"/>
      <c r="W343" s="258"/>
      <c r="X343" s="257"/>
      <c r="Y343" s="258"/>
      <c r="Z343" s="257"/>
    </row>
    <row r="344" spans="1:26" ht="15" customHeight="1">
      <c r="A344" s="250"/>
      <c r="B344" s="251"/>
      <c r="C344" s="648"/>
      <c r="D344" s="292"/>
      <c r="E344" s="251"/>
      <c r="F344" s="252"/>
      <c r="G344" s="253"/>
      <c r="H344" s="254"/>
      <c r="I344" s="253"/>
      <c r="J344" s="253"/>
      <c r="K344" s="251"/>
      <c r="L344" s="255"/>
      <c r="M344" s="258"/>
      <c r="N344" s="257"/>
      <c r="O344" s="258"/>
      <c r="P344" s="257"/>
      <c r="Q344" s="258"/>
      <c r="R344" s="257"/>
      <c r="S344" s="258"/>
      <c r="T344" s="257"/>
      <c r="U344" s="258"/>
      <c r="V344" s="257"/>
      <c r="W344" s="258"/>
      <c r="X344" s="257"/>
      <c r="Y344" s="258"/>
      <c r="Z344" s="257"/>
    </row>
    <row r="345" spans="1:26" ht="15" customHeight="1">
      <c r="A345" s="250">
        <f>A342+1</f>
        <v>115</v>
      </c>
      <c r="B345" s="251"/>
      <c r="C345" s="647" t="s">
        <v>2338</v>
      </c>
      <c r="D345" s="292" t="s">
        <v>1002</v>
      </c>
      <c r="E345" s="251" t="s">
        <v>2461</v>
      </c>
      <c r="F345" s="252">
        <f>M345+O345+Q345+S345+U345+W345+Y345</f>
        <v>15</v>
      </c>
      <c r="G345" s="253">
        <f>L345</f>
        <v>141.02000000000001</v>
      </c>
      <c r="H345" s="254">
        <f>INT(F345*G345*100+0.5)/100</f>
        <v>2115.3000000000002</v>
      </c>
      <c r="I345" s="253">
        <f>N345+P345+R345+T345+V345+X345+Z345</f>
        <v>2115.3000000000002</v>
      </c>
      <c r="J345" s="253"/>
      <c r="K345" s="251" t="s">
        <v>2461</v>
      </c>
      <c r="L345" s="255">
        <v>141.02000000000001</v>
      </c>
      <c r="M345" s="458">
        <f>10*0.3*1+2</f>
        <v>5</v>
      </c>
      <c r="N345" s="257">
        <f>INT($L345*M345*100+0.5)/100</f>
        <v>705.1</v>
      </c>
      <c r="O345" s="458">
        <v>5</v>
      </c>
      <c r="P345" s="257">
        <f>INT($L345*O345*100+0.5)/100</f>
        <v>705.1</v>
      </c>
      <c r="Q345" s="458">
        <v>5</v>
      </c>
      <c r="R345" s="257">
        <f>INT($L345*Q345*100+0.5)/100</f>
        <v>705.1</v>
      </c>
      <c r="S345" s="258">
        <v>0</v>
      </c>
      <c r="T345" s="257">
        <f>INT($L345*S345*100+0.5)/100</f>
        <v>0</v>
      </c>
      <c r="U345" s="258">
        <v>0</v>
      </c>
      <c r="V345" s="257">
        <f>INT($L345*U345*100+0.5)/100</f>
        <v>0</v>
      </c>
      <c r="W345" s="258">
        <v>0</v>
      </c>
      <c r="X345" s="257">
        <f>INT($L345*W345*100+0.5)/100</f>
        <v>0</v>
      </c>
      <c r="Y345" s="258">
        <v>0</v>
      </c>
      <c r="Z345" s="257">
        <f>INT($L345*Y345*100+0.5)/100</f>
        <v>0</v>
      </c>
    </row>
    <row r="346" spans="1:26" ht="15" customHeight="1">
      <c r="A346" s="250"/>
      <c r="B346" s="251"/>
      <c r="C346" s="648"/>
      <c r="D346" s="292" t="s">
        <v>1003</v>
      </c>
      <c r="E346" s="251"/>
      <c r="F346" s="252"/>
      <c r="G346" s="253"/>
      <c r="H346" s="254"/>
      <c r="I346" s="253"/>
      <c r="J346" s="253"/>
      <c r="K346" s="251"/>
      <c r="L346" s="255"/>
      <c r="M346" s="258"/>
      <c r="N346" s="257"/>
      <c r="O346" s="258"/>
      <c r="P346" s="257"/>
      <c r="Q346" s="258"/>
      <c r="R346" s="257"/>
      <c r="S346" s="258"/>
      <c r="T346" s="257"/>
      <c r="U346" s="258"/>
      <c r="V346" s="257"/>
      <c r="W346" s="258"/>
      <c r="X346" s="257"/>
      <c r="Y346" s="258"/>
      <c r="Z346" s="257"/>
    </row>
    <row r="347" spans="1:26" ht="15" customHeight="1">
      <c r="A347" s="250"/>
      <c r="B347" s="251"/>
      <c r="C347" s="648"/>
      <c r="D347" s="292"/>
      <c r="E347" s="251"/>
      <c r="F347" s="252"/>
      <c r="G347" s="253"/>
      <c r="H347" s="254"/>
      <c r="I347" s="253"/>
      <c r="J347" s="253"/>
      <c r="K347" s="251"/>
      <c r="L347" s="255"/>
      <c r="M347" s="258"/>
      <c r="N347" s="257"/>
      <c r="O347" s="258"/>
      <c r="P347" s="257"/>
      <c r="Q347" s="258"/>
      <c r="R347" s="257"/>
      <c r="S347" s="258"/>
      <c r="T347" s="257"/>
      <c r="U347" s="258"/>
      <c r="V347" s="257"/>
      <c r="W347" s="258"/>
      <c r="X347" s="257"/>
      <c r="Y347" s="258"/>
      <c r="Z347" s="257"/>
    </row>
    <row r="348" spans="1:26" ht="15" customHeight="1">
      <c r="A348" s="250">
        <f>A345+1</f>
        <v>116</v>
      </c>
      <c r="B348" s="251"/>
      <c r="C348" s="647" t="s">
        <v>2339</v>
      </c>
      <c r="D348" s="292" t="s">
        <v>1619</v>
      </c>
      <c r="E348" s="251" t="s">
        <v>2461</v>
      </c>
      <c r="F348" s="252">
        <f>M348+O348+Q348+S348+U348+W348+Y348</f>
        <v>22</v>
      </c>
      <c r="G348" s="253">
        <f>L348</f>
        <v>253.43</v>
      </c>
      <c r="H348" s="254">
        <f>INT(F348*G348*100+0.5)/100</f>
        <v>5575.46</v>
      </c>
      <c r="I348" s="253">
        <f>N348+P348+R348+T348+V348+X348+Z348</f>
        <v>5575.46</v>
      </c>
      <c r="J348" s="253"/>
      <c r="K348" s="251" t="s">
        <v>2461</v>
      </c>
      <c r="L348" s="255">
        <v>253.43</v>
      </c>
      <c r="M348" s="458">
        <v>5</v>
      </c>
      <c r="N348" s="257">
        <f>INT($L348*M348*100+0.5)/100</f>
        <v>1267.1500000000001</v>
      </c>
      <c r="O348" s="458">
        <v>5</v>
      </c>
      <c r="P348" s="257">
        <f>INT($L348*O348*100+0.5)/100</f>
        <v>1267.1500000000001</v>
      </c>
      <c r="Q348" s="458">
        <v>5</v>
      </c>
      <c r="R348" s="257">
        <f>INT($L348*Q348*100+0.5)/100</f>
        <v>1267.1500000000001</v>
      </c>
      <c r="S348" s="258">
        <v>0</v>
      </c>
      <c r="T348" s="257">
        <f>INT($L348*S348*100+0.5)/100</f>
        <v>0</v>
      </c>
      <c r="U348" s="458">
        <v>5</v>
      </c>
      <c r="V348" s="257">
        <f>INT($L348*U348*100+0.5)/100</f>
        <v>1267.1500000000001</v>
      </c>
      <c r="W348" s="258">
        <v>2</v>
      </c>
      <c r="X348" s="257">
        <f>INT($L348*W348*100+0.5)/100</f>
        <v>506.86</v>
      </c>
      <c r="Y348" s="258">
        <v>0</v>
      </c>
      <c r="Z348" s="257">
        <f>INT($L348*Y348*100+0.5)/100</f>
        <v>0</v>
      </c>
    </row>
    <row r="349" spans="1:26" ht="15" customHeight="1">
      <c r="A349" s="250"/>
      <c r="B349" s="251"/>
      <c r="C349" s="648"/>
      <c r="D349" s="292" t="s">
        <v>1618</v>
      </c>
      <c r="E349" s="251"/>
      <c r="F349" s="252"/>
      <c r="G349" s="253"/>
      <c r="H349" s="254"/>
      <c r="I349" s="253"/>
      <c r="J349" s="253"/>
      <c r="K349" s="251"/>
      <c r="L349" s="261"/>
      <c r="M349" s="258"/>
      <c r="N349" s="257"/>
      <c r="O349" s="258"/>
      <c r="P349" s="257"/>
      <c r="Q349" s="258"/>
      <c r="R349" s="257"/>
      <c r="S349" s="258"/>
      <c r="T349" s="257"/>
      <c r="U349" s="258"/>
      <c r="V349" s="257"/>
      <c r="W349" s="258"/>
      <c r="X349" s="257"/>
      <c r="Y349" s="258"/>
      <c r="Z349" s="257"/>
    </row>
    <row r="350" spans="1:26" ht="15" customHeight="1">
      <c r="A350" s="250"/>
      <c r="B350" s="251"/>
      <c r="C350" s="648"/>
      <c r="D350" s="292"/>
      <c r="E350" s="251"/>
      <c r="F350" s="252"/>
      <c r="G350" s="253"/>
      <c r="H350" s="254"/>
      <c r="I350" s="253"/>
      <c r="J350" s="253"/>
      <c r="K350" s="251"/>
      <c r="L350" s="255"/>
      <c r="M350" s="258"/>
      <c r="N350" s="257"/>
      <c r="O350" s="258"/>
      <c r="P350" s="257"/>
      <c r="Q350" s="258"/>
      <c r="R350" s="257"/>
      <c r="S350" s="258"/>
      <c r="T350" s="257"/>
      <c r="U350" s="258"/>
      <c r="V350" s="257"/>
      <c r="W350" s="258"/>
      <c r="X350" s="257"/>
      <c r="Y350" s="258"/>
      <c r="Z350" s="257"/>
    </row>
    <row r="351" spans="1:26" ht="15" customHeight="1">
      <c r="A351" s="250">
        <f>A348+1</f>
        <v>117</v>
      </c>
      <c r="B351" s="251"/>
      <c r="C351" s="657" t="s">
        <v>2340</v>
      </c>
      <c r="D351" s="292" t="s">
        <v>1009</v>
      </c>
      <c r="E351" s="251" t="s">
        <v>1620</v>
      </c>
      <c r="F351" s="252">
        <f>M351+O351+Q351+S351+U351+W351+Y351</f>
        <v>160</v>
      </c>
      <c r="G351" s="253">
        <f>L351</f>
        <v>1.57</v>
      </c>
      <c r="H351" s="254">
        <f>INT(F351*G351*100+0.5)/100</f>
        <v>251.2</v>
      </c>
      <c r="I351" s="253">
        <f>N351+P351+R351+T351+V351+X351+Z351</f>
        <v>251.2</v>
      </c>
      <c r="J351" s="253"/>
      <c r="K351" s="251" t="s">
        <v>1620</v>
      </c>
      <c r="L351" s="255">
        <v>1.57</v>
      </c>
      <c r="M351" s="458">
        <v>80</v>
      </c>
      <c r="N351" s="257">
        <f>INT($L351*M351*100+0.5)/100</f>
        <v>125.6</v>
      </c>
      <c r="O351" s="458">
        <v>80</v>
      </c>
      <c r="P351" s="257">
        <f>INT($L351*O351*100+0.5)/100</f>
        <v>125.6</v>
      </c>
      <c r="Q351" s="258">
        <v>0</v>
      </c>
      <c r="R351" s="257">
        <f>INT($L351*Q351*100+0.5)/100</f>
        <v>0</v>
      </c>
      <c r="S351" s="258">
        <v>0</v>
      </c>
      <c r="T351" s="245">
        <f>INT($L351*S351*100+0.5)/100</f>
        <v>0</v>
      </c>
      <c r="U351" s="258">
        <v>0</v>
      </c>
      <c r="V351" s="257">
        <f>INT($L351*U351*100+0.5)/100</f>
        <v>0</v>
      </c>
      <c r="W351" s="258">
        <v>0</v>
      </c>
      <c r="X351" s="245">
        <f>INT($L351*W351*100+0.5)/100</f>
        <v>0</v>
      </c>
      <c r="Y351" s="258">
        <v>0</v>
      </c>
      <c r="Z351" s="245">
        <f>INT($L351*Y351*100+0.5)/100</f>
        <v>0</v>
      </c>
    </row>
    <row r="352" spans="1:26" ht="15" customHeight="1">
      <c r="A352" s="250"/>
      <c r="B352" s="251"/>
      <c r="C352" s="648"/>
      <c r="D352" s="292" t="s">
        <v>1010</v>
      </c>
      <c r="E352" s="251"/>
      <c r="F352" s="252"/>
      <c r="G352" s="253"/>
      <c r="H352" s="254"/>
      <c r="I352" s="253"/>
      <c r="J352" s="253"/>
      <c r="K352" s="251"/>
      <c r="L352" s="255"/>
      <c r="M352" s="458"/>
      <c r="N352" s="257"/>
      <c r="O352" s="458"/>
      <c r="P352" s="257"/>
      <c r="Q352" s="258"/>
      <c r="R352" s="257"/>
      <c r="S352" s="258"/>
      <c r="T352" s="245"/>
      <c r="U352" s="258"/>
      <c r="V352" s="257"/>
      <c r="W352" s="258"/>
      <c r="X352" s="245"/>
      <c r="Y352" s="258"/>
      <c r="Z352" s="245"/>
    </row>
    <row r="353" spans="1:26" ht="15" customHeight="1">
      <c r="A353" s="250"/>
      <c r="B353" s="251"/>
      <c r="C353" s="648"/>
      <c r="D353" s="292"/>
      <c r="E353" s="251"/>
      <c r="F353" s="252"/>
      <c r="G353" s="253"/>
      <c r="H353" s="254"/>
      <c r="I353" s="253"/>
      <c r="J353" s="253"/>
      <c r="K353" s="251"/>
      <c r="L353" s="255"/>
      <c r="M353" s="458"/>
      <c r="N353" s="257"/>
      <c r="O353" s="458"/>
      <c r="P353" s="257"/>
      <c r="Q353" s="258"/>
      <c r="R353" s="257"/>
      <c r="S353" s="258"/>
      <c r="T353" s="245"/>
      <c r="U353" s="258"/>
      <c r="V353" s="257"/>
      <c r="W353" s="258"/>
      <c r="X353" s="245"/>
      <c r="Y353" s="258"/>
      <c r="Z353" s="245"/>
    </row>
    <row r="354" spans="1:26" ht="15" customHeight="1">
      <c r="A354" s="250">
        <f>A351+1</f>
        <v>118</v>
      </c>
      <c r="B354" s="251"/>
      <c r="C354" s="647" t="s">
        <v>2341</v>
      </c>
      <c r="D354" s="292" t="s">
        <v>1011</v>
      </c>
      <c r="E354" s="251" t="s">
        <v>1620</v>
      </c>
      <c r="F354" s="252">
        <f>M354+O354+Q354+S354+U354+W354+Y354</f>
        <v>160</v>
      </c>
      <c r="G354" s="253">
        <f>L354</f>
        <v>1.97</v>
      </c>
      <c r="H354" s="254">
        <f>INT(F354*G354*100+0.5)/100</f>
        <v>315.2</v>
      </c>
      <c r="I354" s="253">
        <f>N354+P354+R354+T354+V354+X354+Z354</f>
        <v>315.2</v>
      </c>
      <c r="J354" s="253"/>
      <c r="K354" s="251" t="s">
        <v>1620</v>
      </c>
      <c r="L354" s="255">
        <v>1.97</v>
      </c>
      <c r="M354" s="458">
        <v>80</v>
      </c>
      <c r="N354" s="257">
        <f>INT($L354*M354*100+0.5)/100</f>
        <v>157.6</v>
      </c>
      <c r="O354" s="458">
        <v>80</v>
      </c>
      <c r="P354" s="257">
        <f>INT($L354*O354*100+0.5)/100</f>
        <v>157.6</v>
      </c>
      <c r="Q354" s="258">
        <v>0</v>
      </c>
      <c r="R354" s="257">
        <f>INT($L354*Q354*100+0.5)/100</f>
        <v>0</v>
      </c>
      <c r="S354" s="258">
        <v>0</v>
      </c>
      <c r="T354" s="245">
        <f>INT($L354*S354*100+0.5)/100</f>
        <v>0</v>
      </c>
      <c r="U354" s="258">
        <v>0</v>
      </c>
      <c r="V354" s="257">
        <f>INT($L354*U354*100+0.5)/100</f>
        <v>0</v>
      </c>
      <c r="W354" s="258">
        <v>0</v>
      </c>
      <c r="X354" s="245">
        <f>INT($L354*W354*100+0.5)/100</f>
        <v>0</v>
      </c>
      <c r="Y354" s="258">
        <v>0</v>
      </c>
      <c r="Z354" s="245">
        <f>INT($L354*Y354*100+0.5)/100</f>
        <v>0</v>
      </c>
    </row>
    <row r="355" spans="1:26" ht="15" customHeight="1">
      <c r="A355" s="250"/>
      <c r="B355" s="251"/>
      <c r="C355" s="251"/>
      <c r="D355" s="292" t="s">
        <v>1012</v>
      </c>
      <c r="E355" s="251"/>
      <c r="F355" s="252"/>
      <c r="G355" s="253"/>
      <c r="H355" s="254"/>
      <c r="I355" s="253"/>
      <c r="J355" s="253"/>
      <c r="K355" s="251"/>
      <c r="L355" s="255"/>
      <c r="M355" s="458"/>
      <c r="N355" s="257"/>
      <c r="O355" s="458"/>
      <c r="P355" s="257"/>
      <c r="Q355" s="258"/>
      <c r="R355" s="257"/>
      <c r="S355" s="258"/>
      <c r="T355" s="245"/>
      <c r="U355" s="258"/>
      <c r="V355" s="257"/>
      <c r="W355" s="258"/>
      <c r="X355" s="245"/>
      <c r="Y355" s="258"/>
      <c r="Z355" s="245"/>
    </row>
    <row r="356" spans="1:26" ht="15" customHeight="1">
      <c r="A356" s="250"/>
      <c r="B356" s="251"/>
      <c r="C356" s="251"/>
      <c r="D356" s="292"/>
      <c r="E356" s="251"/>
      <c r="F356" s="252"/>
      <c r="G356" s="253"/>
      <c r="H356" s="254"/>
      <c r="I356" s="253"/>
      <c r="J356" s="253"/>
      <c r="K356" s="251"/>
      <c r="L356" s="255"/>
      <c r="M356" s="458"/>
      <c r="N356" s="257"/>
      <c r="O356" s="458"/>
      <c r="P356" s="257"/>
      <c r="Q356" s="258"/>
      <c r="R356" s="257"/>
      <c r="S356" s="258"/>
      <c r="T356" s="245"/>
      <c r="U356" s="258"/>
      <c r="V356" s="257"/>
      <c r="W356" s="258"/>
      <c r="X356" s="245"/>
      <c r="Y356" s="258"/>
      <c r="Z356" s="245"/>
    </row>
    <row r="357" spans="1:26" ht="15" customHeight="1">
      <c r="A357" s="250">
        <f>A354+1</f>
        <v>119</v>
      </c>
      <c r="B357" s="251"/>
      <c r="C357" s="647" t="s">
        <v>2342</v>
      </c>
      <c r="D357" s="292" t="s">
        <v>352</v>
      </c>
      <c r="E357" s="251" t="s">
        <v>1620</v>
      </c>
      <c r="F357" s="252">
        <f>M357+O357+Q357+S357+U357+W357+Y357</f>
        <v>160</v>
      </c>
      <c r="G357" s="253">
        <f>L357</f>
        <v>2.79</v>
      </c>
      <c r="H357" s="254">
        <f>INT(F357*G357*100+0.5)/100</f>
        <v>446.4</v>
      </c>
      <c r="I357" s="253">
        <f>N357+P357+R357+T357+V357+X357+Z357</f>
        <v>446.4</v>
      </c>
      <c r="J357" s="253"/>
      <c r="K357" s="251" t="s">
        <v>1620</v>
      </c>
      <c r="L357" s="255">
        <v>2.79</v>
      </c>
      <c r="M357" s="458">
        <v>80</v>
      </c>
      <c r="N357" s="257">
        <f>INT($L357*M357*100+0.5)/100</f>
        <v>223.2</v>
      </c>
      <c r="O357" s="458">
        <v>80</v>
      </c>
      <c r="P357" s="257">
        <f>INT($L357*O357*100+0.5)/100</f>
        <v>223.2</v>
      </c>
      <c r="Q357" s="258">
        <v>0</v>
      </c>
      <c r="R357" s="257">
        <f>INT($L357*Q357*100+0.5)/100</f>
        <v>0</v>
      </c>
      <c r="S357" s="258">
        <v>0</v>
      </c>
      <c r="T357" s="245">
        <f>INT($L357*S357*100+0.5)/100</f>
        <v>0</v>
      </c>
      <c r="U357" s="258">
        <v>0</v>
      </c>
      <c r="V357" s="257">
        <f>INT($L357*U357*100+0.5)/100</f>
        <v>0</v>
      </c>
      <c r="W357" s="258">
        <v>0</v>
      </c>
      <c r="X357" s="245">
        <f>INT($L357*W357*100+0.5)/100</f>
        <v>0</v>
      </c>
      <c r="Y357" s="258">
        <v>0</v>
      </c>
      <c r="Z357" s="245">
        <f>INT($L357*Y357*100+0.5)/100</f>
        <v>0</v>
      </c>
    </row>
    <row r="358" spans="1:26" ht="15" customHeight="1">
      <c r="A358" s="250"/>
      <c r="B358" s="251"/>
      <c r="C358" s="648"/>
      <c r="D358" s="292" t="s">
        <v>353</v>
      </c>
      <c r="E358" s="251"/>
      <c r="F358" s="252"/>
      <c r="G358" s="253"/>
      <c r="H358" s="254"/>
      <c r="I358" s="253"/>
      <c r="J358" s="253"/>
      <c r="K358" s="251"/>
      <c r="L358" s="255"/>
      <c r="M358" s="458"/>
      <c r="N358" s="257"/>
      <c r="O358" s="458"/>
      <c r="P358" s="257"/>
      <c r="Q358" s="258"/>
      <c r="R358" s="257"/>
      <c r="S358" s="258"/>
      <c r="T358" s="245"/>
      <c r="U358" s="258"/>
      <c r="V358" s="257"/>
      <c r="W358" s="258"/>
      <c r="X358" s="245"/>
      <c r="Y358" s="258"/>
      <c r="Z358" s="245"/>
    </row>
    <row r="359" spans="1:26" ht="15" customHeight="1">
      <c r="A359" s="250"/>
      <c r="B359" s="251"/>
      <c r="C359" s="648"/>
      <c r="D359" s="292"/>
      <c r="E359" s="251"/>
      <c r="F359" s="252"/>
      <c r="G359" s="253"/>
      <c r="H359" s="254"/>
      <c r="I359" s="253"/>
      <c r="J359" s="253"/>
      <c r="K359" s="251"/>
      <c r="L359" s="255"/>
      <c r="M359" s="458"/>
      <c r="N359" s="257"/>
      <c r="O359" s="458"/>
      <c r="P359" s="257"/>
      <c r="Q359" s="258"/>
      <c r="R359" s="257"/>
      <c r="S359" s="258"/>
      <c r="T359" s="245"/>
      <c r="U359" s="258"/>
      <c r="V359" s="257"/>
      <c r="W359" s="258"/>
      <c r="X359" s="245"/>
      <c r="Y359" s="258"/>
      <c r="Z359" s="245"/>
    </row>
    <row r="360" spans="1:26" ht="15" customHeight="1">
      <c r="A360" s="250">
        <f>A357+1</f>
        <v>120</v>
      </c>
      <c r="B360" s="251"/>
      <c r="C360" s="647" t="s">
        <v>2343</v>
      </c>
      <c r="D360" s="292" t="s">
        <v>354</v>
      </c>
      <c r="E360" s="251" t="s">
        <v>1620</v>
      </c>
      <c r="F360" s="252">
        <f>M360+O360+Q360+S360+U360+W360+Y360</f>
        <v>360</v>
      </c>
      <c r="G360" s="253">
        <f>L360</f>
        <v>3.51</v>
      </c>
      <c r="H360" s="254">
        <f>INT(F360*G360*100+0.5)/100</f>
        <v>1263.5999999999999</v>
      </c>
      <c r="I360" s="253">
        <f>N360+P360+R360+T360+V360+X360+Z360</f>
        <v>1263.5999999999999</v>
      </c>
      <c r="J360" s="253"/>
      <c r="K360" s="251" t="s">
        <v>1620</v>
      </c>
      <c r="L360" s="255">
        <v>3.51</v>
      </c>
      <c r="M360" s="458">
        <v>200</v>
      </c>
      <c r="N360" s="257">
        <f>INT($L360*M360*100+0.5)/100</f>
        <v>702</v>
      </c>
      <c r="O360" s="458">
        <v>80</v>
      </c>
      <c r="P360" s="257">
        <f>INT($L360*O360*100+0.5)/100</f>
        <v>280.8</v>
      </c>
      <c r="Q360" s="458">
        <v>80</v>
      </c>
      <c r="R360" s="257">
        <f>INT($L360*Q360*100+0.5)/100</f>
        <v>280.8</v>
      </c>
      <c r="S360" s="258">
        <v>0</v>
      </c>
      <c r="T360" s="245">
        <f>INT($L360*S360*100+0.5)/100</f>
        <v>0</v>
      </c>
      <c r="U360" s="258">
        <v>0</v>
      </c>
      <c r="V360" s="257">
        <f>INT($L360*U360*100+0.5)/100</f>
        <v>0</v>
      </c>
      <c r="W360" s="258">
        <v>0</v>
      </c>
      <c r="X360" s="245">
        <f>INT($L360*W360*100+0.5)/100</f>
        <v>0</v>
      </c>
      <c r="Y360" s="258">
        <v>0</v>
      </c>
      <c r="Z360" s="245">
        <f>INT($L360*Y360*100+0.5)/100</f>
        <v>0</v>
      </c>
    </row>
    <row r="361" spans="1:26" ht="15" customHeight="1">
      <c r="A361" s="250"/>
      <c r="B361" s="251"/>
      <c r="C361" s="648"/>
      <c r="D361" s="292" t="s">
        <v>355</v>
      </c>
      <c r="E361" s="251"/>
      <c r="F361" s="252"/>
      <c r="G361" s="253"/>
      <c r="H361" s="254"/>
      <c r="I361" s="253"/>
      <c r="J361" s="253"/>
      <c r="K361" s="251"/>
      <c r="L361" s="255"/>
      <c r="M361" s="458"/>
      <c r="N361" s="257"/>
      <c r="O361" s="458"/>
      <c r="P361" s="257"/>
      <c r="Q361" s="458"/>
      <c r="R361" s="257"/>
      <c r="S361" s="258"/>
      <c r="T361" s="245"/>
      <c r="U361" s="258"/>
      <c r="V361" s="257"/>
      <c r="W361" s="258"/>
      <c r="X361" s="245"/>
      <c r="Y361" s="258"/>
      <c r="Z361" s="245"/>
    </row>
    <row r="362" spans="1:26" ht="15" customHeight="1">
      <c r="A362" s="250"/>
      <c r="B362" s="251"/>
      <c r="C362" s="648"/>
      <c r="D362" s="292"/>
      <c r="E362" s="251"/>
      <c r="F362" s="252"/>
      <c r="G362" s="253"/>
      <c r="H362" s="254"/>
      <c r="I362" s="253"/>
      <c r="J362" s="253"/>
      <c r="K362" s="251"/>
      <c r="L362" s="255"/>
      <c r="M362" s="458"/>
      <c r="N362" s="257"/>
      <c r="O362" s="458"/>
      <c r="P362" s="257"/>
      <c r="Q362" s="458"/>
      <c r="R362" s="257"/>
      <c r="S362" s="258"/>
      <c r="T362" s="245"/>
      <c r="U362" s="258"/>
      <c r="V362" s="257"/>
      <c r="W362" s="258"/>
      <c r="X362" s="245"/>
      <c r="Y362" s="258"/>
      <c r="Z362" s="245"/>
    </row>
    <row r="363" spans="1:26" ht="15" customHeight="1">
      <c r="A363" s="250">
        <f>A360+1</f>
        <v>121</v>
      </c>
      <c r="B363" s="251"/>
      <c r="C363" s="657" t="s">
        <v>2344</v>
      </c>
      <c r="D363" s="292" t="s">
        <v>1004</v>
      </c>
      <c r="E363" s="251" t="s">
        <v>1620</v>
      </c>
      <c r="F363" s="252">
        <f>M363+O363+Q363+S363+U363+W363+Y363</f>
        <v>360</v>
      </c>
      <c r="G363" s="253">
        <f>L363</f>
        <v>3.61</v>
      </c>
      <c r="H363" s="254">
        <f>INT(F363*G363*100+0.5)/100</f>
        <v>1299.5999999999999</v>
      </c>
      <c r="I363" s="253">
        <f>N363+P363+R363+T363+V363+X363+Z363</f>
        <v>1299.5999999999999</v>
      </c>
      <c r="J363" s="253"/>
      <c r="K363" s="251" t="s">
        <v>1620</v>
      </c>
      <c r="L363" s="255">
        <v>3.61</v>
      </c>
      <c r="M363" s="458">
        <v>200</v>
      </c>
      <c r="N363" s="257">
        <f>INT($L363*M363*100+0.5)/100</f>
        <v>722</v>
      </c>
      <c r="O363" s="458">
        <v>80</v>
      </c>
      <c r="P363" s="257">
        <f>INT($L363*O363*100+0.5)/100</f>
        <v>288.8</v>
      </c>
      <c r="Q363" s="458">
        <v>80</v>
      </c>
      <c r="R363" s="257">
        <f>INT($L363*Q363*100+0.5)/100</f>
        <v>288.8</v>
      </c>
      <c r="S363" s="258">
        <v>0</v>
      </c>
      <c r="T363" s="245">
        <f>INT($L363*S363*100+0.5)/100</f>
        <v>0</v>
      </c>
      <c r="U363" s="258">
        <v>0</v>
      </c>
      <c r="V363" s="257">
        <f>INT($L363*U363*100+0.5)/100</f>
        <v>0</v>
      </c>
      <c r="W363" s="258">
        <v>0</v>
      </c>
      <c r="X363" s="245">
        <f>INT($L363*W363*100+0.5)/100</f>
        <v>0</v>
      </c>
      <c r="Y363" s="258">
        <v>0</v>
      </c>
      <c r="Z363" s="245">
        <f>INT($L363*Y363*100+0.5)/100</f>
        <v>0</v>
      </c>
    </row>
    <row r="364" spans="1:26" ht="15" customHeight="1">
      <c r="A364" s="250"/>
      <c r="B364" s="251"/>
      <c r="C364" s="648"/>
      <c r="D364" s="292" t="s">
        <v>1005</v>
      </c>
      <c r="E364" s="251"/>
      <c r="F364" s="252"/>
      <c r="G364" s="253"/>
      <c r="H364" s="254"/>
      <c r="I364" s="253"/>
      <c r="J364" s="253"/>
      <c r="K364" s="251"/>
      <c r="L364" s="261"/>
      <c r="M364" s="258"/>
      <c r="N364" s="257"/>
      <c r="O364" s="258"/>
      <c r="P364" s="257"/>
      <c r="Q364" s="258"/>
      <c r="R364" s="257"/>
      <c r="S364" s="258"/>
      <c r="T364" s="257"/>
      <c r="U364" s="258"/>
      <c r="V364" s="257"/>
      <c r="W364" s="258"/>
      <c r="X364" s="257"/>
      <c r="Y364" s="258"/>
      <c r="Z364" s="257"/>
    </row>
    <row r="365" spans="1:26" s="247" customFormat="1" ht="15" customHeight="1">
      <c r="A365" s="284"/>
      <c r="B365" s="237"/>
      <c r="C365" s="653"/>
      <c r="D365" s="238"/>
      <c r="E365" s="237"/>
      <c r="F365" s="304"/>
      <c r="G365" s="253"/>
      <c r="H365" s="244"/>
      <c r="I365" s="240"/>
      <c r="J365" s="240"/>
      <c r="K365" s="237"/>
      <c r="L365" s="306"/>
      <c r="M365" s="289"/>
      <c r="N365" s="245"/>
      <c r="O365" s="289"/>
      <c r="P365" s="245"/>
      <c r="Q365" s="289"/>
      <c r="R365" s="245"/>
      <c r="S365" s="289"/>
      <c r="T365" s="245"/>
      <c r="U365" s="289"/>
      <c r="V365" s="245"/>
      <c r="W365" s="289"/>
      <c r="X365" s="245"/>
      <c r="Y365" s="289"/>
      <c r="Z365" s="245"/>
    </row>
    <row r="366" spans="1:26" ht="15" customHeight="1">
      <c r="A366" s="250">
        <f>A363+1</f>
        <v>122</v>
      </c>
      <c r="B366" s="251"/>
      <c r="C366" s="647" t="s">
        <v>2345</v>
      </c>
      <c r="D366" s="526" t="s">
        <v>4</v>
      </c>
      <c r="E366" s="251" t="s">
        <v>1898</v>
      </c>
      <c r="F366" s="252"/>
      <c r="G366" s="253"/>
      <c r="H366" s="254"/>
      <c r="I366" s="253"/>
      <c r="J366" s="253"/>
      <c r="K366" s="251" t="s">
        <v>1898</v>
      </c>
      <c r="L366" s="255"/>
      <c r="M366" s="258"/>
      <c r="N366" s="257"/>
      <c r="O366" s="258"/>
      <c r="P366" s="257"/>
      <c r="Q366" s="258"/>
      <c r="R366" s="257"/>
      <c r="S366" s="258"/>
      <c r="T366" s="257"/>
      <c r="U366" s="258"/>
      <c r="V366" s="257"/>
      <c r="W366" s="258"/>
      <c r="X366" s="257"/>
      <c r="Y366" s="258"/>
      <c r="Z366" s="257"/>
    </row>
    <row r="367" spans="1:26" ht="15" customHeight="1">
      <c r="A367" s="250"/>
      <c r="B367" s="251"/>
      <c r="C367" s="648"/>
      <c r="D367" s="526" t="s">
        <v>3</v>
      </c>
      <c r="E367" s="251"/>
      <c r="F367" s="252"/>
      <c r="G367" s="253"/>
      <c r="H367" s="254"/>
      <c r="I367" s="253"/>
      <c r="J367" s="253"/>
      <c r="K367" s="251"/>
      <c r="L367" s="255"/>
      <c r="M367" s="258"/>
      <c r="N367" s="257"/>
      <c r="O367" s="258"/>
      <c r="P367" s="257"/>
      <c r="Q367" s="258"/>
      <c r="R367" s="257"/>
      <c r="S367" s="258"/>
      <c r="T367" s="257"/>
      <c r="U367" s="258"/>
      <c r="V367" s="257"/>
      <c r="W367" s="258"/>
      <c r="X367" s="257"/>
      <c r="Y367" s="258"/>
      <c r="Z367" s="257"/>
    </row>
    <row r="368" spans="1:26" ht="15" customHeight="1">
      <c r="A368" s="250"/>
      <c r="B368" s="251"/>
      <c r="C368" s="648"/>
      <c r="D368" s="292" t="s">
        <v>993</v>
      </c>
      <c r="E368" s="251"/>
      <c r="F368" s="252"/>
      <c r="G368" s="253"/>
      <c r="H368" s="254"/>
      <c r="I368" s="253"/>
      <c r="J368" s="253"/>
      <c r="K368" s="251"/>
      <c r="L368" s="255"/>
      <c r="M368" s="258">
        <v>0</v>
      </c>
      <c r="N368" s="257"/>
      <c r="O368" s="258">
        <v>0</v>
      </c>
      <c r="P368" s="257"/>
      <c r="Q368" s="258">
        <v>0</v>
      </c>
      <c r="R368" s="257"/>
      <c r="S368" s="258"/>
      <c r="T368" s="245"/>
      <c r="U368" s="258">
        <f>172*3+172*2.7</f>
        <v>980.40000000000009</v>
      </c>
      <c r="V368" s="257"/>
      <c r="W368" s="258"/>
      <c r="X368" s="245"/>
      <c r="Y368" s="258">
        <v>0</v>
      </c>
      <c r="Z368" s="245"/>
    </row>
    <row r="369" spans="1:26" ht="15" customHeight="1">
      <c r="A369" s="250"/>
      <c r="B369" s="251"/>
      <c r="C369" s="648"/>
      <c r="D369" s="292" t="s">
        <v>994</v>
      </c>
      <c r="E369" s="251"/>
      <c r="F369" s="252"/>
      <c r="G369" s="253"/>
      <c r="H369" s="254"/>
      <c r="I369" s="253"/>
      <c r="J369" s="253"/>
      <c r="K369" s="251"/>
      <c r="L369" s="255"/>
      <c r="M369" s="258">
        <v>0</v>
      </c>
      <c r="N369" s="257"/>
      <c r="O369" s="258">
        <v>0</v>
      </c>
      <c r="P369" s="257"/>
      <c r="Q369" s="258">
        <v>0</v>
      </c>
      <c r="R369" s="257"/>
      <c r="S369" s="258"/>
      <c r="T369" s="245"/>
      <c r="U369" s="258">
        <f>(10+250+10)*3+(10+250+10)*3</f>
        <v>1620</v>
      </c>
      <c r="V369" s="257"/>
      <c r="W369" s="258"/>
      <c r="X369" s="245"/>
      <c r="Y369" s="258">
        <v>0</v>
      </c>
      <c r="Z369" s="245"/>
    </row>
    <row r="370" spans="1:26" ht="15" customHeight="1">
      <c r="A370" s="250"/>
      <c r="B370" s="251"/>
      <c r="C370" s="648"/>
      <c r="D370" s="292" t="s">
        <v>995</v>
      </c>
      <c r="E370" s="251"/>
      <c r="F370" s="252"/>
      <c r="G370" s="253"/>
      <c r="H370" s="254"/>
      <c r="I370" s="253"/>
      <c r="J370" s="253"/>
      <c r="K370" s="251"/>
      <c r="L370" s="255"/>
      <c r="M370" s="258">
        <v>0</v>
      </c>
      <c r="N370" s="257"/>
      <c r="O370" s="258">
        <v>0</v>
      </c>
      <c r="P370" s="257"/>
      <c r="Q370" s="258">
        <v>0</v>
      </c>
      <c r="R370" s="257"/>
      <c r="S370" s="258"/>
      <c r="T370" s="245"/>
      <c r="U370" s="258">
        <f>(10+250)*3.4+(10+250)*3.5</f>
        <v>1794</v>
      </c>
      <c r="V370" s="257"/>
      <c r="W370" s="258"/>
      <c r="X370" s="245"/>
      <c r="Y370" s="258">
        <v>0</v>
      </c>
      <c r="Z370" s="245"/>
    </row>
    <row r="371" spans="1:26" ht="15" customHeight="1">
      <c r="A371" s="250"/>
      <c r="B371" s="251"/>
      <c r="C371" s="648"/>
      <c r="D371" s="292" t="s">
        <v>446</v>
      </c>
      <c r="E371" s="251"/>
      <c r="F371" s="252"/>
      <c r="G371" s="253"/>
      <c r="H371" s="254"/>
      <c r="I371" s="253"/>
      <c r="J371" s="253"/>
      <c r="K371" s="251"/>
      <c r="L371" s="255"/>
      <c r="M371" s="258">
        <v>0</v>
      </c>
      <c r="N371" s="257"/>
      <c r="O371" s="458">
        <f>100*1.5</f>
        <v>150</v>
      </c>
      <c r="P371" s="257"/>
      <c r="Q371" s="258">
        <v>0</v>
      </c>
      <c r="R371" s="257"/>
      <c r="S371" s="258"/>
      <c r="T371" s="245"/>
      <c r="U371" s="258">
        <f>-W371</f>
        <v>-189.6</v>
      </c>
      <c r="V371" s="257"/>
      <c r="W371" s="258">
        <f>158*(2+1+1)*0.3</f>
        <v>189.6</v>
      </c>
      <c r="X371" s="245"/>
      <c r="Y371" s="258"/>
      <c r="Z371" s="245"/>
    </row>
    <row r="372" spans="1:26" ht="15" customHeight="1">
      <c r="A372" s="250"/>
      <c r="B372" s="251"/>
      <c r="C372" s="648"/>
      <c r="D372" s="292" t="s">
        <v>2451</v>
      </c>
      <c r="E372" s="251"/>
      <c r="F372" s="252"/>
      <c r="G372" s="253"/>
      <c r="H372" s="254"/>
      <c r="I372" s="253"/>
      <c r="J372" s="253"/>
      <c r="K372" s="251"/>
      <c r="L372" s="256"/>
      <c r="M372" s="258"/>
      <c r="N372" s="257"/>
      <c r="O372" s="258"/>
      <c r="P372" s="257"/>
      <c r="Q372" s="258"/>
      <c r="R372" s="257"/>
      <c r="S372" s="258">
        <v>0</v>
      </c>
      <c r="T372" s="245"/>
      <c r="U372" s="258"/>
      <c r="V372" s="257"/>
      <c r="W372" s="258"/>
      <c r="X372" s="245"/>
      <c r="Y372" s="258"/>
      <c r="Z372" s="245"/>
    </row>
    <row r="373" spans="1:26" ht="15" customHeight="1">
      <c r="A373" s="250"/>
      <c r="B373" s="251"/>
      <c r="C373" s="648"/>
      <c r="D373" s="292" t="s">
        <v>2446</v>
      </c>
      <c r="E373" s="251"/>
      <c r="F373" s="252"/>
      <c r="G373" s="253"/>
      <c r="H373" s="254"/>
      <c r="I373" s="253"/>
      <c r="J373" s="253"/>
      <c r="K373" s="251"/>
      <c r="L373" s="256"/>
      <c r="M373" s="293"/>
      <c r="N373" s="294"/>
      <c r="O373" s="293"/>
      <c r="P373" s="294"/>
      <c r="Q373" s="293"/>
      <c r="R373" s="294"/>
      <c r="S373" s="293"/>
      <c r="T373" s="296"/>
      <c r="U373" s="293"/>
      <c r="V373" s="294"/>
      <c r="W373" s="293"/>
      <c r="X373" s="296"/>
      <c r="Y373" s="293"/>
      <c r="Z373" s="296"/>
    </row>
    <row r="374" spans="1:26" ht="15" customHeight="1">
      <c r="A374" s="250"/>
      <c r="B374" s="251"/>
      <c r="C374" s="648"/>
      <c r="D374" s="292" t="s">
        <v>1900</v>
      </c>
      <c r="E374" s="251"/>
      <c r="F374" s="252">
        <f>M374+O374+Q374+S374+U374+W374+Y374</f>
        <v>4544.4000000000005</v>
      </c>
      <c r="G374" s="253">
        <f>L374</f>
        <v>2.95</v>
      </c>
      <c r="H374" s="254">
        <f>INT(F374*G374*100+0.5)/100</f>
        <v>13405.98</v>
      </c>
      <c r="I374" s="253">
        <f>N374+P374+R374+T374+V374+X374+Z374</f>
        <v>13405.98</v>
      </c>
      <c r="J374" s="253"/>
      <c r="K374" s="251"/>
      <c r="L374" s="255">
        <v>2.95</v>
      </c>
      <c r="M374" s="258">
        <f>INT(SUM(M367:M373)*100+0.5)/100</f>
        <v>0</v>
      </c>
      <c r="N374" s="257">
        <f>INT($L374*M374*100+0.5)/100</f>
        <v>0</v>
      </c>
      <c r="O374" s="258">
        <f>INT(SUM(O367:O373)*100+0.5)/100</f>
        <v>150</v>
      </c>
      <c r="P374" s="257">
        <f>INT($L374*O374*100+0.5)/100</f>
        <v>442.5</v>
      </c>
      <c r="Q374" s="258">
        <f>INT(SUM(Q367:Q373)*100+0.5)/100</f>
        <v>0</v>
      </c>
      <c r="R374" s="257">
        <f>INT($L374*Q374*100+0.5)/100</f>
        <v>0</v>
      </c>
      <c r="S374" s="258">
        <f>INT(SUM(S368:S373)*100+0.5)/100</f>
        <v>0</v>
      </c>
      <c r="T374" s="257">
        <f>INT($L374*S374*100+0.5)/100</f>
        <v>0</v>
      </c>
      <c r="U374" s="258">
        <f>INT(SUM(U368:U373)*100+0.5)/100</f>
        <v>4204.8</v>
      </c>
      <c r="V374" s="257">
        <f>INT($L374*U374*100+0.5)/100</f>
        <v>12404.16</v>
      </c>
      <c r="W374" s="258">
        <f>INT(SUM(W368:W373)*100+0.5)/100</f>
        <v>189.6</v>
      </c>
      <c r="X374" s="257">
        <f>INT($L374*W374*100+0.5)/100</f>
        <v>559.32000000000005</v>
      </c>
      <c r="Y374" s="258">
        <f>INT(SUM(Y368:Y373)*100+0.5)/100</f>
        <v>0</v>
      </c>
      <c r="Z374" s="257">
        <f>INT($L374*Y374*100+0.5)/100</f>
        <v>0</v>
      </c>
    </row>
    <row r="375" spans="1:26" ht="15" customHeight="1">
      <c r="A375" s="250"/>
      <c r="B375" s="251"/>
      <c r="C375" s="648"/>
      <c r="D375" s="292"/>
      <c r="E375" s="251"/>
      <c r="F375" s="488">
        <f>F374*0.1</f>
        <v>454.44000000000005</v>
      </c>
      <c r="G375" s="489" t="s">
        <v>1173</v>
      </c>
      <c r="H375" s="254"/>
      <c r="I375" s="253"/>
      <c r="J375" s="253"/>
      <c r="K375" s="251"/>
      <c r="L375" s="255"/>
      <c r="M375" s="258"/>
      <c r="N375" s="257"/>
      <c r="O375" s="258"/>
      <c r="P375" s="257"/>
      <c r="Q375" s="258"/>
      <c r="R375" s="257"/>
      <c r="S375" s="258"/>
      <c r="T375" s="257"/>
      <c r="U375" s="258"/>
      <c r="V375" s="257"/>
      <c r="W375" s="258"/>
      <c r="X375" s="257"/>
      <c r="Y375" s="258"/>
      <c r="Z375" s="257"/>
    </row>
    <row r="376" spans="1:26" ht="15" customHeight="1">
      <c r="A376" s="250">
        <f>A366+1</f>
        <v>123</v>
      </c>
      <c r="B376" s="251"/>
      <c r="C376" s="647" t="s">
        <v>1056</v>
      </c>
      <c r="D376" s="526" t="s">
        <v>1057</v>
      </c>
      <c r="E376" s="251" t="s">
        <v>1898</v>
      </c>
      <c r="F376" s="252"/>
      <c r="G376" s="253"/>
      <c r="H376" s="254"/>
      <c r="I376" s="253"/>
      <c r="J376" s="253"/>
      <c r="K376" s="251" t="s">
        <v>1898</v>
      </c>
      <c r="L376" s="261"/>
      <c r="M376" s="258"/>
      <c r="N376" s="257"/>
      <c r="O376" s="258"/>
      <c r="P376" s="257"/>
      <c r="Q376" s="258"/>
      <c r="R376" s="257"/>
      <c r="S376" s="258"/>
      <c r="T376" s="257"/>
      <c r="U376" s="258"/>
      <c r="V376" s="257"/>
      <c r="W376" s="258"/>
      <c r="X376" s="257"/>
      <c r="Y376" s="258"/>
      <c r="Z376" s="257"/>
    </row>
    <row r="377" spans="1:26" ht="15" customHeight="1">
      <c r="A377" s="250"/>
      <c r="B377" s="251"/>
      <c r="C377" s="648"/>
      <c r="D377" s="526" t="s">
        <v>1058</v>
      </c>
      <c r="E377" s="251"/>
      <c r="F377" s="252"/>
      <c r="G377" s="253"/>
      <c r="H377" s="254"/>
      <c r="I377" s="253"/>
      <c r="J377" s="253"/>
      <c r="K377" s="251"/>
      <c r="L377" s="261"/>
      <c r="M377" s="258"/>
      <c r="N377" s="257"/>
      <c r="O377" s="258"/>
      <c r="P377" s="257"/>
      <c r="Q377" s="258"/>
      <c r="R377" s="257"/>
      <c r="S377" s="258"/>
      <c r="T377" s="257"/>
      <c r="U377" s="258"/>
      <c r="V377" s="257"/>
      <c r="W377" s="258"/>
      <c r="X377" s="257"/>
      <c r="Y377" s="258"/>
      <c r="Z377" s="257"/>
    </row>
    <row r="378" spans="1:26" ht="15" customHeight="1">
      <c r="A378" s="250"/>
      <c r="B378" s="251"/>
      <c r="C378" s="648"/>
      <c r="D378" s="292" t="s">
        <v>993</v>
      </c>
      <c r="E378" s="251"/>
      <c r="F378" s="252"/>
      <c r="G378" s="253"/>
      <c r="H378" s="254"/>
      <c r="I378" s="253"/>
      <c r="J378" s="253"/>
      <c r="K378" s="251"/>
      <c r="L378" s="261"/>
      <c r="M378" s="258">
        <f>(172+10)*0.5</f>
        <v>91</v>
      </c>
      <c r="N378" s="257"/>
      <c r="O378" s="258"/>
      <c r="P378" s="257"/>
      <c r="Q378" s="258">
        <f>(172+10)*0.85</f>
        <v>154.69999999999999</v>
      </c>
      <c r="R378" s="257"/>
      <c r="S378" s="258"/>
      <c r="T378" s="245"/>
      <c r="U378" s="258">
        <v>0</v>
      </c>
      <c r="V378" s="257"/>
      <c r="W378" s="258">
        <v>0</v>
      </c>
      <c r="X378" s="245"/>
      <c r="Y378" s="258">
        <f>(170+10)*7.7-Q378-O378-M378</f>
        <v>1140.3</v>
      </c>
      <c r="Z378" s="245"/>
    </row>
    <row r="379" spans="1:26" ht="15" customHeight="1">
      <c r="A379" s="250"/>
      <c r="B379" s="251"/>
      <c r="C379" s="648"/>
      <c r="D379" s="292" t="s">
        <v>994</v>
      </c>
      <c r="E379" s="251"/>
      <c r="F379" s="252"/>
      <c r="G379" s="253"/>
      <c r="H379" s="254"/>
      <c r="I379" s="253"/>
      <c r="J379" s="253"/>
      <c r="K379" s="251"/>
      <c r="L379" s="261"/>
      <c r="M379" s="258">
        <f>(10+250+10)*0.5</f>
        <v>135</v>
      </c>
      <c r="N379" s="257"/>
      <c r="O379" s="258">
        <f>(250+10-97)*1.3</f>
        <v>211.9</v>
      </c>
      <c r="P379" s="257"/>
      <c r="Q379" s="258">
        <f>(10+250+10)*0.85</f>
        <v>229.5</v>
      </c>
      <c r="R379" s="257"/>
      <c r="S379" s="258"/>
      <c r="T379" s="245"/>
      <c r="U379" s="258">
        <v>0</v>
      </c>
      <c r="V379" s="257"/>
      <c r="W379" s="258">
        <v>0</v>
      </c>
      <c r="X379" s="245"/>
      <c r="Y379" s="258">
        <f>(10+250+10)*7.2-Q379-O379-M379</f>
        <v>1367.6</v>
      </c>
      <c r="Z379" s="245"/>
    </row>
    <row r="380" spans="1:26" ht="15" customHeight="1">
      <c r="A380" s="250"/>
      <c r="B380" s="251"/>
      <c r="C380" s="648"/>
      <c r="D380" s="292" t="s">
        <v>995</v>
      </c>
      <c r="E380" s="251"/>
      <c r="F380" s="252"/>
      <c r="G380" s="253"/>
      <c r="H380" s="254"/>
      <c r="I380" s="253"/>
      <c r="J380" s="253"/>
      <c r="K380" s="251"/>
      <c r="L380" s="261"/>
      <c r="M380" s="258">
        <f>(10+250)*0.5</f>
        <v>130</v>
      </c>
      <c r="N380" s="257"/>
      <c r="O380" s="258">
        <f>(10+250)*1.3</f>
        <v>338</v>
      </c>
      <c r="P380" s="257"/>
      <c r="Q380" s="258">
        <f>(10+250)*0.85</f>
        <v>221</v>
      </c>
      <c r="R380" s="257"/>
      <c r="S380" s="258"/>
      <c r="T380" s="245"/>
      <c r="U380" s="258">
        <v>0</v>
      </c>
      <c r="V380" s="257"/>
      <c r="W380" s="258">
        <v>0</v>
      </c>
      <c r="X380" s="245"/>
      <c r="Y380" s="258">
        <f>(10+250)*6.1-Q380-O380-M380</f>
        <v>897</v>
      </c>
      <c r="Z380" s="245"/>
    </row>
    <row r="381" spans="1:26" ht="15" customHeight="1">
      <c r="A381" s="250"/>
      <c r="B381" s="251"/>
      <c r="C381" s="648"/>
      <c r="D381" s="292" t="s">
        <v>1233</v>
      </c>
      <c r="E381" s="251"/>
      <c r="F381" s="252"/>
      <c r="G381" s="253"/>
      <c r="H381" s="254"/>
      <c r="I381" s="253"/>
      <c r="J381" s="253"/>
      <c r="K381" s="251"/>
      <c r="L381" s="261"/>
      <c r="M381" s="258">
        <v>0</v>
      </c>
      <c r="N381" s="257"/>
      <c r="O381" s="258"/>
      <c r="P381" s="257"/>
      <c r="Q381" s="258">
        <f>70*1.1*1.2</f>
        <v>92.399999999999991</v>
      </c>
      <c r="R381" s="257"/>
      <c r="S381" s="258">
        <v>0</v>
      </c>
      <c r="T381" s="245"/>
      <c r="U381" s="258">
        <v>0</v>
      </c>
      <c r="V381" s="257"/>
      <c r="W381" s="258">
        <v>0</v>
      </c>
      <c r="X381" s="245"/>
      <c r="Y381" s="258"/>
      <c r="Z381" s="245"/>
    </row>
    <row r="382" spans="1:26" ht="15" customHeight="1">
      <c r="A382" s="250"/>
      <c r="B382" s="251"/>
      <c r="C382" s="648"/>
      <c r="D382" s="292" t="s">
        <v>2446</v>
      </c>
      <c r="E382" s="251"/>
      <c r="F382" s="252"/>
      <c r="G382" s="253"/>
      <c r="H382" s="254"/>
      <c r="I382" s="253"/>
      <c r="J382" s="253"/>
      <c r="K382" s="251"/>
      <c r="L382" s="261"/>
      <c r="M382" s="258">
        <v>0</v>
      </c>
      <c r="N382" s="257"/>
      <c r="O382" s="258">
        <f>100*1.5</f>
        <v>150</v>
      </c>
      <c r="P382" s="257"/>
      <c r="Q382" s="258"/>
      <c r="R382" s="257"/>
      <c r="S382" s="258"/>
      <c r="T382" s="245"/>
      <c r="U382" s="258"/>
      <c r="V382" s="257"/>
      <c r="W382" s="258"/>
      <c r="X382" s="245"/>
      <c r="Y382" s="258"/>
      <c r="Z382" s="245"/>
    </row>
    <row r="383" spans="1:26" ht="15" customHeight="1">
      <c r="A383" s="250"/>
      <c r="B383" s="251"/>
      <c r="C383" s="648"/>
      <c r="D383" s="292" t="s">
        <v>445</v>
      </c>
      <c r="E383" s="251"/>
      <c r="F383" s="252"/>
      <c r="G383" s="253"/>
      <c r="H383" s="254"/>
      <c r="I383" s="253"/>
      <c r="J383" s="253"/>
      <c r="K383" s="251"/>
      <c r="L383" s="261"/>
      <c r="M383" s="258">
        <f>-M395</f>
        <v>-61.5</v>
      </c>
      <c r="N383" s="257"/>
      <c r="O383" s="258">
        <f>-O395</f>
        <v>-102.7</v>
      </c>
      <c r="P383" s="257"/>
      <c r="Q383" s="258">
        <f>-Q395</f>
        <v>-104.55</v>
      </c>
      <c r="R383" s="257"/>
      <c r="S383" s="258"/>
      <c r="T383" s="245"/>
      <c r="U383" s="258"/>
      <c r="V383" s="257"/>
      <c r="W383" s="258"/>
      <c r="X383" s="245"/>
      <c r="Y383" s="258">
        <f>-Y395</f>
        <v>-610.85</v>
      </c>
      <c r="Z383" s="245"/>
    </row>
    <row r="384" spans="1:26" ht="15" customHeight="1">
      <c r="A384" s="250"/>
      <c r="B384" s="251"/>
      <c r="C384" s="648"/>
      <c r="D384" s="292" t="s">
        <v>2451</v>
      </c>
      <c r="E384" s="251"/>
      <c r="F384" s="252"/>
      <c r="G384" s="253"/>
      <c r="H384" s="254"/>
      <c r="I384" s="253"/>
      <c r="J384" s="253"/>
      <c r="K384" s="251"/>
      <c r="L384" s="256">
        <f>(180+45+70+40)*2.4</f>
        <v>804</v>
      </c>
      <c r="M384" s="258"/>
      <c r="N384" s="257"/>
      <c r="O384" s="258"/>
      <c r="P384" s="257"/>
      <c r="Q384" s="258"/>
      <c r="R384" s="257"/>
      <c r="S384" s="258">
        <v>0</v>
      </c>
      <c r="T384" s="245"/>
      <c r="U384" s="258"/>
      <c r="V384" s="257"/>
      <c r="W384" s="258"/>
      <c r="X384" s="245"/>
      <c r="Y384" s="258"/>
      <c r="Z384" s="245"/>
    </row>
    <row r="385" spans="1:26" ht="15" customHeight="1">
      <c r="A385" s="250"/>
      <c r="B385" s="251"/>
      <c r="C385" s="648"/>
      <c r="D385" s="292" t="s">
        <v>2446</v>
      </c>
      <c r="E385" s="251"/>
      <c r="F385" s="252"/>
      <c r="G385" s="253"/>
      <c r="H385" s="254"/>
      <c r="I385" s="253"/>
      <c r="J385" s="253"/>
      <c r="K385" s="251"/>
      <c r="L385" s="256">
        <f>50*2</f>
        <v>100</v>
      </c>
      <c r="M385" s="293"/>
      <c r="N385" s="294"/>
      <c r="O385" s="293"/>
      <c r="P385" s="294"/>
      <c r="Q385" s="293"/>
      <c r="R385" s="294"/>
      <c r="S385" s="293"/>
      <c r="T385" s="296"/>
      <c r="U385" s="293"/>
      <c r="V385" s="294"/>
      <c r="W385" s="293"/>
      <c r="X385" s="296"/>
      <c r="Y385" s="293"/>
      <c r="Z385" s="296"/>
    </row>
    <row r="386" spans="1:26" ht="15" customHeight="1">
      <c r="A386" s="250"/>
      <c r="B386" s="251"/>
      <c r="C386" s="648"/>
      <c r="D386" s="292" t="s">
        <v>1900</v>
      </c>
      <c r="E386" s="251"/>
      <c r="F386" s="252">
        <f>M386+O386+Q386+S386+U386+W386+Y386</f>
        <v>4278.8</v>
      </c>
      <c r="G386" s="253">
        <f>L386</f>
        <v>3.31</v>
      </c>
      <c r="H386" s="254">
        <f>INT(F386*G386*100+0.5)/100</f>
        <v>14162.83</v>
      </c>
      <c r="I386" s="253">
        <f>N386+P386+R386+T386+V386+X386+Z386</f>
        <v>14162.84</v>
      </c>
      <c r="J386" s="253"/>
      <c r="K386" s="251"/>
      <c r="L386" s="261">
        <v>3.31</v>
      </c>
      <c r="M386" s="258">
        <f>INT(SUM(M378:M385)*100+0.5)/100</f>
        <v>294.5</v>
      </c>
      <c r="N386" s="257">
        <f>INT($L386*M386*100+0.5)/100</f>
        <v>974.8</v>
      </c>
      <c r="O386" s="258">
        <f>INT(SUM(O378:O385)*100+0.5)/100</f>
        <v>597.20000000000005</v>
      </c>
      <c r="P386" s="257">
        <f>INT($L386*O386*100+0.5)/100</f>
        <v>1976.73</v>
      </c>
      <c r="Q386" s="258">
        <f>INT(SUM(Q378:Q385)*100+0.5)/100</f>
        <v>593.04999999999995</v>
      </c>
      <c r="R386" s="257">
        <f>INT($L386*Q386*100+0.5)/100</f>
        <v>1963</v>
      </c>
      <c r="S386" s="258">
        <f>INT(SUM(S378:S385)*100+0.5)/100</f>
        <v>0</v>
      </c>
      <c r="T386" s="257">
        <f>INT($L386*S386*100+0.5)/100</f>
        <v>0</v>
      </c>
      <c r="U386" s="258">
        <f>INT(SUM(U378:U385)*100+0.5)/100</f>
        <v>0</v>
      </c>
      <c r="V386" s="257">
        <f>INT($L386*U386*100+0.5)/100</f>
        <v>0</v>
      </c>
      <c r="W386" s="258">
        <f>INT(SUM(W378:W385)*100+0.5)/100</f>
        <v>0</v>
      </c>
      <c r="X386" s="257">
        <f>INT($L386*W386*100+0.5)/100</f>
        <v>0</v>
      </c>
      <c r="Y386" s="258">
        <f>INT(SUM(Y378:Y385)*100+0.5)/100</f>
        <v>2794.05</v>
      </c>
      <c r="Z386" s="257">
        <f>INT($L386*Y386*100+0.5)/100</f>
        <v>9248.31</v>
      </c>
    </row>
    <row r="387" spans="1:26" ht="15" customHeight="1">
      <c r="A387" s="250"/>
      <c r="B387" s="251"/>
      <c r="C387" s="648"/>
      <c r="D387" s="526"/>
      <c r="E387" s="251"/>
      <c r="F387" s="488">
        <f>F386*0.15</f>
        <v>641.82000000000005</v>
      </c>
      <c r="G387" s="489" t="s">
        <v>1172</v>
      </c>
      <c r="H387" s="254"/>
      <c r="I387" s="253"/>
      <c r="J387" s="253"/>
      <c r="K387" s="251"/>
      <c r="L387" s="255"/>
      <c r="M387" s="258"/>
      <c r="N387" s="257"/>
      <c r="O387" s="258"/>
      <c r="P387" s="257"/>
      <c r="Q387" s="258"/>
      <c r="R387" s="257"/>
      <c r="S387" s="258"/>
      <c r="T387" s="257"/>
      <c r="U387" s="258"/>
      <c r="V387" s="257"/>
      <c r="W387" s="258"/>
      <c r="X387" s="257"/>
      <c r="Y387" s="258"/>
      <c r="Z387" s="257"/>
    </row>
    <row r="388" spans="1:26" ht="25.5">
      <c r="A388" s="250">
        <f>A376+1</f>
        <v>124</v>
      </c>
      <c r="B388" s="251"/>
      <c r="C388" s="647" t="s">
        <v>1059</v>
      </c>
      <c r="D388" s="526" t="s">
        <v>1296</v>
      </c>
      <c r="E388" s="251" t="s">
        <v>1898</v>
      </c>
      <c r="F388" s="252"/>
      <c r="G388" s="253"/>
      <c r="H388" s="254"/>
      <c r="I388" s="253"/>
      <c r="J388" s="253"/>
      <c r="K388" s="251" t="s">
        <v>1898</v>
      </c>
      <c r="L388" s="262"/>
      <c r="M388" s="258"/>
      <c r="N388" s="257"/>
      <c r="O388" s="258"/>
      <c r="P388" s="257"/>
      <c r="Q388" s="258"/>
      <c r="R388" s="257"/>
      <c r="S388" s="258"/>
      <c r="T388" s="257"/>
      <c r="U388" s="258"/>
      <c r="V388" s="257"/>
      <c r="W388" s="258"/>
      <c r="X388" s="257"/>
      <c r="Y388" s="258"/>
      <c r="Z388" s="257"/>
    </row>
    <row r="389" spans="1:26" ht="25.5">
      <c r="A389" s="250"/>
      <c r="B389" s="251"/>
      <c r="C389" s="648"/>
      <c r="D389" s="526" t="s">
        <v>1297</v>
      </c>
      <c r="E389" s="251"/>
      <c r="F389" s="252"/>
      <c r="G389" s="253"/>
      <c r="H389" s="254"/>
      <c r="I389" s="253"/>
      <c r="J389" s="253"/>
      <c r="K389" s="251"/>
      <c r="L389" s="255"/>
      <c r="M389" s="258"/>
      <c r="N389" s="257"/>
      <c r="O389" s="258"/>
      <c r="P389" s="257"/>
      <c r="Q389" s="258"/>
      <c r="R389" s="257"/>
      <c r="S389" s="258"/>
      <c r="T389" s="257"/>
      <c r="U389" s="258"/>
      <c r="V389" s="257"/>
      <c r="W389" s="258"/>
      <c r="X389" s="257"/>
      <c r="Y389" s="258"/>
      <c r="Z389" s="257"/>
    </row>
    <row r="390" spans="1:26" ht="15" customHeight="1">
      <c r="A390" s="250"/>
      <c r="B390" s="251"/>
      <c r="C390" s="648"/>
      <c r="D390" s="292" t="s">
        <v>1061</v>
      </c>
      <c r="E390" s="251"/>
      <c r="F390" s="252"/>
      <c r="G390" s="253"/>
      <c r="H390" s="254"/>
      <c r="I390" s="253"/>
      <c r="J390" s="253"/>
      <c r="K390" s="251"/>
      <c r="L390" s="255"/>
      <c r="M390" s="258">
        <f>44*0.5</f>
        <v>22</v>
      </c>
      <c r="N390" s="257"/>
      <c r="O390" s="258"/>
      <c r="P390" s="257"/>
      <c r="Q390" s="258">
        <f>44*0.85</f>
        <v>37.4</v>
      </c>
      <c r="R390" s="257"/>
      <c r="S390" s="258"/>
      <c r="T390" s="245"/>
      <c r="U390" s="458">
        <f>2*19*2</f>
        <v>76</v>
      </c>
      <c r="V390" s="257"/>
      <c r="W390" s="258"/>
      <c r="X390" s="245"/>
      <c r="Y390" s="258">
        <f>(44)*(7.4+6.8)/2-Q390-O390-M390</f>
        <v>253</v>
      </c>
      <c r="Z390" s="245"/>
    </row>
    <row r="391" spans="1:26" ht="15" customHeight="1">
      <c r="A391" s="250"/>
      <c r="B391" s="251"/>
      <c r="C391" s="648"/>
      <c r="D391" s="292" t="s">
        <v>1060</v>
      </c>
      <c r="E391" s="251"/>
      <c r="F391" s="252"/>
      <c r="G391" s="253"/>
      <c r="H391" s="254"/>
      <c r="I391" s="253"/>
      <c r="J391" s="253"/>
      <c r="K391" s="251"/>
      <c r="L391" s="255"/>
      <c r="M391" s="258">
        <f>(16+27)*0.5</f>
        <v>21.5</v>
      </c>
      <c r="N391" s="257"/>
      <c r="O391" s="258">
        <f>(16+27)*1.3</f>
        <v>55.9</v>
      </c>
      <c r="P391" s="257"/>
      <c r="Q391" s="258">
        <f>(16+27)*0.85</f>
        <v>36.549999999999997</v>
      </c>
      <c r="R391" s="257"/>
      <c r="S391" s="258"/>
      <c r="T391" s="245"/>
      <c r="U391" s="258"/>
      <c r="V391" s="257"/>
      <c r="W391" s="258"/>
      <c r="X391" s="245"/>
      <c r="Y391" s="258">
        <f>(16+27)*7.2-Q391-O391-M391</f>
        <v>195.65</v>
      </c>
      <c r="Z391" s="245"/>
    </row>
    <row r="392" spans="1:26" ht="15" customHeight="1">
      <c r="A392" s="250"/>
      <c r="B392" s="251"/>
      <c r="C392" s="648"/>
      <c r="D392" s="292" t="s">
        <v>1060</v>
      </c>
      <c r="E392" s="251"/>
      <c r="F392" s="252"/>
      <c r="G392" s="253"/>
      <c r="H392" s="254"/>
      <c r="I392" s="253"/>
      <c r="J392" s="253"/>
      <c r="K392" s="251"/>
      <c r="L392" s="255"/>
      <c r="M392" s="258">
        <f>(18+18)*0.5</f>
        <v>18</v>
      </c>
      <c r="N392" s="257"/>
      <c r="O392" s="258">
        <f>(18+18)*1.3</f>
        <v>46.800000000000004</v>
      </c>
      <c r="P392" s="257"/>
      <c r="Q392" s="258">
        <f>(18+18)*0.85</f>
        <v>30.599999999999998</v>
      </c>
      <c r="R392" s="257"/>
      <c r="S392" s="258"/>
      <c r="T392" s="245"/>
      <c r="U392" s="258"/>
      <c r="V392" s="257"/>
      <c r="W392" s="258"/>
      <c r="X392" s="245"/>
      <c r="Y392" s="258">
        <f>(18+18)*6.1-Q392-O392-M392</f>
        <v>124.19999999999999</v>
      </c>
      <c r="Z392" s="245"/>
    </row>
    <row r="393" spans="1:26" ht="15" customHeight="1">
      <c r="A393" s="250"/>
      <c r="B393" s="251"/>
      <c r="C393" s="648"/>
      <c r="D393" s="292" t="s">
        <v>2450</v>
      </c>
      <c r="E393" s="251"/>
      <c r="F393" s="252"/>
      <c r="G393" s="253"/>
      <c r="H393" s="254"/>
      <c r="I393" s="253"/>
      <c r="J393" s="253"/>
      <c r="K393" s="251"/>
      <c r="L393" s="255"/>
      <c r="M393" s="258"/>
      <c r="N393" s="257"/>
      <c r="O393" s="258"/>
      <c r="P393" s="257"/>
      <c r="Q393" s="258"/>
      <c r="R393" s="257"/>
      <c r="S393" s="258">
        <v>0</v>
      </c>
      <c r="T393" s="245"/>
      <c r="U393" s="258"/>
      <c r="V393" s="257"/>
      <c r="W393" s="258">
        <v>0</v>
      </c>
      <c r="X393" s="245"/>
      <c r="Y393" s="458">
        <f>17*2+4</f>
        <v>38</v>
      </c>
      <c r="Z393" s="245"/>
    </row>
    <row r="394" spans="1:26" ht="15" customHeight="1">
      <c r="A394" s="250"/>
      <c r="B394" s="251"/>
      <c r="C394" s="648"/>
      <c r="D394" s="292" t="s">
        <v>2451</v>
      </c>
      <c r="E394" s="251"/>
      <c r="F394" s="252"/>
      <c r="G394" s="253"/>
      <c r="H394" s="254"/>
      <c r="I394" s="253"/>
      <c r="J394" s="253"/>
      <c r="K394" s="251"/>
      <c r="L394" s="256">
        <f>17*3</f>
        <v>51</v>
      </c>
      <c r="M394" s="293"/>
      <c r="N394" s="294"/>
      <c r="O394" s="293"/>
      <c r="P394" s="294"/>
      <c r="Q394" s="293"/>
      <c r="R394" s="294"/>
      <c r="S394" s="293">
        <v>0</v>
      </c>
      <c r="T394" s="296"/>
      <c r="U394" s="293"/>
      <c r="V394" s="294"/>
      <c r="W394" s="293">
        <v>0</v>
      </c>
      <c r="X394" s="296"/>
      <c r="Y394" s="293"/>
      <c r="Z394" s="296"/>
    </row>
    <row r="395" spans="1:26" ht="15" customHeight="1">
      <c r="A395" s="250"/>
      <c r="B395" s="251"/>
      <c r="C395" s="648"/>
      <c r="D395" s="292" t="s">
        <v>1900</v>
      </c>
      <c r="E395" s="251"/>
      <c r="F395" s="252">
        <f>M395+O395+Q395+S395+U395+W395+Y395</f>
        <v>955.6</v>
      </c>
      <c r="G395" s="253">
        <f>L395</f>
        <v>4.5</v>
      </c>
      <c r="H395" s="254">
        <f>INT(F395*G395*100+0.5)/100</f>
        <v>4300.2</v>
      </c>
      <c r="I395" s="253">
        <f>N395+P395+R395+T395+V395+X395+Z395</f>
        <v>4300.21</v>
      </c>
      <c r="J395" s="253"/>
      <c r="K395" s="251"/>
      <c r="L395" s="255">
        <v>4.5</v>
      </c>
      <c r="M395" s="258">
        <f>INT(SUM(M390:M394)*100+0.5)/100</f>
        <v>61.5</v>
      </c>
      <c r="N395" s="257">
        <f>INT($L395*M395*100+0.5)/100</f>
        <v>276.75</v>
      </c>
      <c r="O395" s="258">
        <f>INT(SUM(O390:O394)*100+0.5)/100</f>
        <v>102.7</v>
      </c>
      <c r="P395" s="257">
        <f>INT($L395*O395*100+0.5)/100</f>
        <v>462.15</v>
      </c>
      <c r="Q395" s="258">
        <f>INT(SUM(Q390:Q394)*100+0.5)/100</f>
        <v>104.55</v>
      </c>
      <c r="R395" s="257">
        <f>INT($L395*Q395*100+0.5)/100</f>
        <v>470.48</v>
      </c>
      <c r="S395" s="258">
        <f>INT(SUM(S390:S394)*100+0.5)/100</f>
        <v>0</v>
      </c>
      <c r="T395" s="257">
        <f>INT($L395*S395*100+0.5)/100</f>
        <v>0</v>
      </c>
      <c r="U395" s="258">
        <f>INT(SUM(U390:U394)*100+0.5)/100</f>
        <v>76</v>
      </c>
      <c r="V395" s="257">
        <f>INT($L395*U395*100+0.5)/100</f>
        <v>342</v>
      </c>
      <c r="W395" s="258">
        <f>INT(SUM(W390:W394)*100+0.5)/100</f>
        <v>0</v>
      </c>
      <c r="X395" s="257">
        <f>INT($L395*W395*100+0.5)/100</f>
        <v>0</v>
      </c>
      <c r="Y395" s="258">
        <f>INT(SUM(Y390:Y394)*100+0.5)/100</f>
        <v>610.85</v>
      </c>
      <c r="Z395" s="257">
        <f>INT($L395*Y395*100+0.5)/100</f>
        <v>2748.83</v>
      </c>
    </row>
    <row r="396" spans="1:26" ht="15" customHeight="1">
      <c r="A396" s="250"/>
      <c r="B396" s="251"/>
      <c r="C396" s="648"/>
      <c r="D396" s="526"/>
      <c r="E396" s="251"/>
      <c r="F396" s="252"/>
      <c r="G396" s="253"/>
      <c r="H396" s="254"/>
      <c r="I396" s="253"/>
      <c r="J396" s="253"/>
      <c r="K396" s="251"/>
      <c r="L396" s="255"/>
      <c r="M396" s="458"/>
      <c r="N396" s="257"/>
      <c r="O396" s="258"/>
      <c r="P396" s="257"/>
      <c r="Q396" s="258"/>
      <c r="R396" s="257"/>
      <c r="S396" s="258"/>
      <c r="T396" s="257"/>
      <c r="U396" s="258"/>
      <c r="V396" s="257"/>
      <c r="W396" s="258"/>
      <c r="X396" s="257"/>
      <c r="Y396" s="258"/>
      <c r="Z396" s="257"/>
    </row>
    <row r="397" spans="1:26" ht="25.5">
      <c r="A397" s="250">
        <f>A388+1</f>
        <v>125</v>
      </c>
      <c r="B397" s="251"/>
      <c r="C397" s="647" t="s">
        <v>2346</v>
      </c>
      <c r="D397" s="526" t="s">
        <v>1294</v>
      </c>
      <c r="E397" s="251" t="s">
        <v>1898</v>
      </c>
      <c r="F397" s="252">
        <f>M397+O397+Q397+S397+U397+W397+Y397</f>
        <v>35</v>
      </c>
      <c r="G397" s="253">
        <f>L397</f>
        <v>10.87</v>
      </c>
      <c r="H397" s="254">
        <f>INT(F397*G397*100+0.5)/100</f>
        <v>380.45</v>
      </c>
      <c r="I397" s="253">
        <f>N397+P397+R397+T397+V397+X397+Z397</f>
        <v>380.45000000000005</v>
      </c>
      <c r="J397" s="253"/>
      <c r="K397" s="251" t="s">
        <v>1898</v>
      </c>
      <c r="L397" s="255">
        <v>10.87</v>
      </c>
      <c r="M397" s="458">
        <v>10</v>
      </c>
      <c r="N397" s="257">
        <f>INT($L397*M397*100+0.5)/100</f>
        <v>108.7</v>
      </c>
      <c r="O397" s="458">
        <v>20</v>
      </c>
      <c r="P397" s="257">
        <f>INT($L397*O397*100+0.5)/100</f>
        <v>217.4</v>
      </c>
      <c r="Q397" s="458">
        <v>5</v>
      </c>
      <c r="R397" s="257">
        <f>INT($L397*Q397*100+0.5)/100</f>
        <v>54.35</v>
      </c>
      <c r="S397" s="258">
        <v>0</v>
      </c>
      <c r="T397" s="257">
        <f>INT($L397*S397*100+0.5)/100</f>
        <v>0</v>
      </c>
      <c r="U397" s="258">
        <v>0</v>
      </c>
      <c r="V397" s="257">
        <f>INT($L397*U397*100+0.5)/100</f>
        <v>0</v>
      </c>
      <c r="W397" s="258">
        <v>0</v>
      </c>
      <c r="X397" s="257">
        <f>INT($L397*W397*100+0.5)/100</f>
        <v>0</v>
      </c>
      <c r="Y397" s="258">
        <v>0</v>
      </c>
      <c r="Z397" s="257">
        <f>INT($L397*Y397*100+0.5)/100</f>
        <v>0</v>
      </c>
    </row>
    <row r="398" spans="1:26" ht="15" customHeight="1">
      <c r="A398" s="250"/>
      <c r="B398" s="251"/>
      <c r="C398" s="648"/>
      <c r="D398" s="526" t="s">
        <v>1295</v>
      </c>
      <c r="E398" s="251"/>
      <c r="F398" s="252"/>
      <c r="G398" s="253"/>
      <c r="H398" s="254"/>
      <c r="I398" s="253"/>
      <c r="J398" s="253"/>
      <c r="K398" s="251"/>
      <c r="L398" s="255"/>
      <c r="M398" s="258"/>
      <c r="N398" s="257"/>
      <c r="O398" s="258"/>
      <c r="P398" s="257"/>
      <c r="Q398" s="258"/>
      <c r="R398" s="257"/>
      <c r="S398" s="258"/>
      <c r="T398" s="257"/>
      <c r="U398" s="258"/>
      <c r="V398" s="257"/>
      <c r="W398" s="258"/>
      <c r="X398" s="257"/>
      <c r="Y398" s="258"/>
      <c r="Z398" s="257"/>
    </row>
    <row r="399" spans="1:26" s="247" customFormat="1" ht="15" customHeight="1">
      <c r="A399" s="284"/>
      <c r="B399" s="237"/>
      <c r="C399" s="653"/>
      <c r="D399" s="238"/>
      <c r="E399" s="237"/>
      <c r="F399" s="304"/>
      <c r="G399" s="240"/>
      <c r="H399" s="244"/>
      <c r="I399" s="240"/>
      <c r="J399" s="240"/>
      <c r="K399" s="237"/>
      <c r="L399" s="306"/>
      <c r="M399" s="289"/>
      <c r="N399" s="245"/>
      <c r="O399" s="289"/>
      <c r="P399" s="245"/>
      <c r="Q399" s="289"/>
      <c r="R399" s="245"/>
      <c r="S399" s="289"/>
      <c r="T399" s="245"/>
      <c r="U399" s="289"/>
      <c r="V399" s="245"/>
      <c r="W399" s="289"/>
      <c r="X399" s="245"/>
      <c r="Y399" s="289"/>
      <c r="Z399" s="245"/>
    </row>
    <row r="400" spans="1:26" ht="51">
      <c r="A400" s="250">
        <f>A397+1</f>
        <v>126</v>
      </c>
      <c r="B400" s="251"/>
      <c r="C400" s="647" t="s">
        <v>2347</v>
      </c>
      <c r="D400" s="526" t="s">
        <v>1293</v>
      </c>
      <c r="E400" s="251" t="s">
        <v>2461</v>
      </c>
      <c r="F400" s="252"/>
      <c r="G400" s="253"/>
      <c r="H400" s="254"/>
      <c r="I400" s="253"/>
      <c r="J400" s="253"/>
      <c r="K400" s="251" t="s">
        <v>2461</v>
      </c>
      <c r="L400" s="255"/>
      <c r="M400" s="258"/>
      <c r="N400" s="257"/>
      <c r="O400" s="258"/>
      <c r="P400" s="257"/>
      <c r="Q400" s="258"/>
      <c r="R400" s="257"/>
      <c r="S400" s="258"/>
      <c r="T400" s="257"/>
      <c r="U400" s="258"/>
      <c r="V400" s="257"/>
      <c r="W400" s="258"/>
      <c r="X400" s="257"/>
      <c r="Y400" s="258"/>
      <c r="Z400" s="257"/>
    </row>
    <row r="401" spans="1:26" ht="51">
      <c r="A401" s="250"/>
      <c r="B401" s="251"/>
      <c r="C401" s="648"/>
      <c r="D401" s="526" t="s">
        <v>1292</v>
      </c>
      <c r="E401" s="251"/>
      <c r="F401" s="252"/>
      <c r="G401" s="253"/>
      <c r="H401" s="254"/>
      <c r="I401" s="253"/>
      <c r="J401" s="253"/>
      <c r="K401" s="251"/>
      <c r="L401" s="255"/>
      <c r="M401" s="258"/>
      <c r="N401" s="257"/>
      <c r="O401" s="258"/>
      <c r="P401" s="257"/>
      <c r="Q401" s="258"/>
      <c r="R401" s="257"/>
      <c r="S401" s="258"/>
      <c r="T401" s="257"/>
      <c r="U401" s="258"/>
      <c r="V401" s="257"/>
      <c r="W401" s="258"/>
      <c r="X401" s="257"/>
      <c r="Y401" s="258"/>
      <c r="Z401" s="257"/>
    </row>
    <row r="402" spans="1:26" ht="15" customHeight="1">
      <c r="A402" s="250"/>
      <c r="B402" s="251"/>
      <c r="C402" s="648"/>
      <c r="D402" s="292" t="s">
        <v>993</v>
      </c>
      <c r="E402" s="251"/>
      <c r="F402" s="252"/>
      <c r="G402" s="253"/>
      <c r="H402" s="254"/>
      <c r="I402" s="253"/>
      <c r="J402" s="253"/>
      <c r="K402" s="251"/>
      <c r="L402" s="255"/>
      <c r="M402" s="258">
        <f>(172+10)*0.5*(1.5-0.1-0.6-0.4)</f>
        <v>36.399999999999991</v>
      </c>
      <c r="N402" s="258"/>
      <c r="O402" s="258"/>
      <c r="P402" s="257"/>
      <c r="Q402" s="258">
        <f>(172+10)*0.85*(1.5-0.6-0.6)</f>
        <v>46.410000000000004</v>
      </c>
      <c r="R402" s="257"/>
      <c r="S402" s="258"/>
      <c r="T402" s="257"/>
      <c r="U402" s="258"/>
      <c r="V402" s="257"/>
      <c r="W402" s="258"/>
      <c r="X402" s="257"/>
      <c r="Y402" s="258"/>
      <c r="Z402" s="257"/>
    </row>
    <row r="403" spans="1:26" ht="15" customHeight="1">
      <c r="A403" s="250"/>
      <c r="B403" s="251"/>
      <c r="C403" s="648"/>
      <c r="D403" s="292" t="s">
        <v>994</v>
      </c>
      <c r="E403" s="251"/>
      <c r="F403" s="252"/>
      <c r="G403" s="253"/>
      <c r="H403" s="254"/>
      <c r="I403" s="253"/>
      <c r="J403" s="253"/>
      <c r="K403" s="251"/>
      <c r="L403" s="255"/>
      <c r="M403" s="258">
        <f>(10+250+10)*0.5*(1.5-0.1-0.6-0.4)</f>
        <v>53.999999999999986</v>
      </c>
      <c r="N403" s="258"/>
      <c r="O403" s="258">
        <f>(250+10-97)*1.3*(1.5-0.1-0.6-0.6)</f>
        <v>42.379999999999988</v>
      </c>
      <c r="P403" s="257"/>
      <c r="Q403" s="258">
        <f>(10+250+10)*0.85*(1.5-0.6-0.6)</f>
        <v>68.850000000000009</v>
      </c>
      <c r="R403" s="257"/>
      <c r="S403" s="258"/>
      <c r="T403" s="257"/>
      <c r="U403" s="258"/>
      <c r="V403" s="257"/>
      <c r="W403" s="258"/>
      <c r="X403" s="257"/>
      <c r="Y403" s="258"/>
      <c r="Z403" s="257"/>
    </row>
    <row r="404" spans="1:26" ht="15" customHeight="1">
      <c r="A404" s="250"/>
      <c r="B404" s="251"/>
      <c r="C404" s="648"/>
      <c r="D404" s="292" t="s">
        <v>995</v>
      </c>
      <c r="E404" s="251"/>
      <c r="F404" s="252"/>
      <c r="G404" s="253"/>
      <c r="H404" s="254"/>
      <c r="I404" s="253"/>
      <c r="J404" s="253"/>
      <c r="K404" s="251"/>
      <c r="L404" s="255"/>
      <c r="M404" s="258">
        <f>(10+250)*0.5*(1.5-0.1-0.6-0.4)</f>
        <v>51.999999999999986</v>
      </c>
      <c r="N404" s="258"/>
      <c r="O404" s="258">
        <f>(10+250)*1.3*(1.5-0.1-0.6-0.6)</f>
        <v>67.59999999999998</v>
      </c>
      <c r="P404" s="257"/>
      <c r="Q404" s="258">
        <f>(10+250)*0.85*(1.5-0.6-0.6)</f>
        <v>66.300000000000011</v>
      </c>
      <c r="R404" s="257"/>
      <c r="S404" s="258"/>
      <c r="T404" s="257"/>
      <c r="U404" s="258"/>
      <c r="V404" s="257"/>
      <c r="W404" s="258"/>
      <c r="X404" s="257"/>
      <c r="Y404" s="258"/>
      <c r="Z404" s="257"/>
    </row>
    <row r="405" spans="1:26" ht="15" customHeight="1">
      <c r="A405" s="250"/>
      <c r="B405" s="251"/>
      <c r="C405" s="648"/>
      <c r="D405" s="292" t="s">
        <v>2446</v>
      </c>
      <c r="E405" s="251"/>
      <c r="F405" s="252"/>
      <c r="G405" s="253"/>
      <c r="H405" s="254"/>
      <c r="I405" s="253"/>
      <c r="J405" s="253"/>
      <c r="K405" s="251"/>
      <c r="L405" s="255"/>
      <c r="M405" s="258">
        <v>0</v>
      </c>
      <c r="N405" s="257"/>
      <c r="O405" s="258">
        <f>200*0.8*(1.3-0.4-0.5)</f>
        <v>64</v>
      </c>
      <c r="P405" s="257"/>
      <c r="Q405" s="258">
        <f>(35)*0.8*(1-0.6)*4+(35)*0.8*(1-0.6)*1+70*(1*1.5)*1</f>
        <v>161</v>
      </c>
      <c r="R405" s="257"/>
      <c r="S405" s="258"/>
      <c r="T405" s="257"/>
      <c r="U405" s="258"/>
      <c r="V405" s="257"/>
      <c r="W405" s="258"/>
      <c r="X405" s="257"/>
      <c r="Y405" s="258"/>
      <c r="Z405" s="257"/>
    </row>
    <row r="406" spans="1:26" ht="15" customHeight="1">
      <c r="A406" s="250"/>
      <c r="B406" s="251"/>
      <c r="C406" s="648"/>
      <c r="D406" s="292" t="s">
        <v>2451</v>
      </c>
      <c r="E406" s="251"/>
      <c r="F406" s="252"/>
      <c r="G406" s="253"/>
      <c r="H406" s="254"/>
      <c r="I406" s="253"/>
      <c r="J406" s="253"/>
      <c r="K406" s="251"/>
      <c r="L406" s="256">
        <f>(180+45+70+40)*0.9*0.2</f>
        <v>60.300000000000004</v>
      </c>
      <c r="M406" s="256"/>
      <c r="N406" s="257"/>
      <c r="O406" s="258"/>
      <c r="P406" s="257"/>
      <c r="Q406" s="258"/>
      <c r="R406" s="257"/>
      <c r="S406" s="258"/>
      <c r="T406" s="257"/>
      <c r="U406" s="258"/>
      <c r="V406" s="257"/>
      <c r="W406" s="258"/>
      <c r="X406" s="257"/>
      <c r="Y406" s="258"/>
      <c r="Z406" s="257"/>
    </row>
    <row r="407" spans="1:26" ht="15" customHeight="1">
      <c r="A407" s="250"/>
      <c r="B407" s="251"/>
      <c r="C407" s="648"/>
      <c r="D407" s="292" t="s">
        <v>2446</v>
      </c>
      <c r="E407" s="251"/>
      <c r="F407" s="252"/>
      <c r="G407" s="253"/>
      <c r="H407" s="254"/>
      <c r="I407" s="253"/>
      <c r="J407" s="253"/>
      <c r="K407" s="251"/>
      <c r="L407" s="256">
        <f>50*0.9*0.2</f>
        <v>9</v>
      </c>
      <c r="M407" s="297"/>
      <c r="N407" s="294"/>
      <c r="O407" s="293"/>
      <c r="P407" s="294"/>
      <c r="Q407" s="293"/>
      <c r="R407" s="294"/>
      <c r="S407" s="293"/>
      <c r="T407" s="294"/>
      <c r="U407" s="293"/>
      <c r="V407" s="294"/>
      <c r="W407" s="293"/>
      <c r="X407" s="294"/>
      <c r="Y407" s="293"/>
      <c r="Z407" s="294"/>
    </row>
    <row r="408" spans="1:26" ht="15" customHeight="1">
      <c r="A408" s="250"/>
      <c r="B408" s="251"/>
      <c r="C408" s="648"/>
      <c r="D408" s="292" t="s">
        <v>575</v>
      </c>
      <c r="E408" s="251"/>
      <c r="F408" s="252">
        <f>M408+O408+Q408+S408+U408+W408+Y408</f>
        <v>658.94</v>
      </c>
      <c r="G408" s="253">
        <f>L408</f>
        <v>23.72</v>
      </c>
      <c r="H408" s="254">
        <f>INT(F408*G408*100+0.5)/100</f>
        <v>15630.06</v>
      </c>
      <c r="I408" s="253">
        <f>N408+P408+R408+T408+V408+X408+Z408</f>
        <v>15630.060000000001</v>
      </c>
      <c r="J408" s="253"/>
      <c r="K408" s="251"/>
      <c r="L408" s="255">
        <v>23.72</v>
      </c>
      <c r="M408" s="258">
        <f>SUM(M402:M407)</f>
        <v>142.39999999999998</v>
      </c>
      <c r="N408" s="257">
        <f>INT($L408*M408*100+0.5)/100</f>
        <v>3377.73</v>
      </c>
      <c r="O408" s="258">
        <f>SUM(O402:O407)</f>
        <v>173.97999999999996</v>
      </c>
      <c r="P408" s="257">
        <f>INT($L408*O408*100+0.5)/100</f>
        <v>4126.8100000000004</v>
      </c>
      <c r="Q408" s="258">
        <f>SUM(Q402:Q407)</f>
        <v>342.56000000000006</v>
      </c>
      <c r="R408" s="257">
        <f>INT($L408*Q408*100+0.5)/100</f>
        <v>8125.52</v>
      </c>
      <c r="S408" s="258">
        <f>SUM(S402:S407)</f>
        <v>0</v>
      </c>
      <c r="T408" s="257">
        <f>INT($L408*S408*100+0.5)/100</f>
        <v>0</v>
      </c>
      <c r="U408" s="258">
        <f>SUM(U402:U407)</f>
        <v>0</v>
      </c>
      <c r="V408" s="257">
        <f>INT($L408*U408*100+0.5)/100</f>
        <v>0</v>
      </c>
      <c r="W408" s="258">
        <f>SUM(W402:W407)</f>
        <v>0</v>
      </c>
      <c r="X408" s="257">
        <f>INT($L408*W408*100+0.5)/100</f>
        <v>0</v>
      </c>
      <c r="Y408" s="258">
        <f>SUM(Y402:Y407)</f>
        <v>0</v>
      </c>
      <c r="Z408" s="257">
        <f>INT($L408*Y408*100+0.5)/100</f>
        <v>0</v>
      </c>
    </row>
    <row r="409" spans="1:26" ht="15" customHeight="1">
      <c r="A409" s="250"/>
      <c r="B409" s="251"/>
      <c r="C409" s="251"/>
      <c r="D409" s="292"/>
      <c r="E409" s="251"/>
      <c r="F409" s="252"/>
      <c r="G409" s="253"/>
      <c r="H409" s="254"/>
      <c r="I409" s="253"/>
      <c r="J409" s="253"/>
      <c r="K409" s="251"/>
      <c r="L409" s="261"/>
      <c r="M409" s="258"/>
      <c r="N409" s="257"/>
      <c r="O409" s="258"/>
      <c r="P409" s="257"/>
      <c r="Q409" s="258"/>
      <c r="R409" s="257"/>
      <c r="S409" s="258"/>
      <c r="T409" s="257"/>
      <c r="U409" s="258"/>
      <c r="V409" s="257"/>
      <c r="W409" s="258"/>
      <c r="X409" s="257"/>
      <c r="Y409" s="258"/>
      <c r="Z409" s="257"/>
    </row>
    <row r="410" spans="1:26" ht="15" customHeight="1">
      <c r="A410" s="250">
        <f>A400+1</f>
        <v>127</v>
      </c>
      <c r="B410" s="251"/>
      <c r="C410" s="647" t="s">
        <v>11</v>
      </c>
      <c r="D410" s="526" t="s">
        <v>10</v>
      </c>
      <c r="E410" s="251" t="s">
        <v>2461</v>
      </c>
      <c r="F410" s="252"/>
      <c r="G410" s="253"/>
      <c r="H410" s="254"/>
      <c r="I410" s="253"/>
      <c r="J410" s="253"/>
      <c r="K410" s="251" t="s">
        <v>2461</v>
      </c>
      <c r="L410" s="255"/>
      <c r="M410" s="258"/>
      <c r="N410" s="257"/>
      <c r="O410" s="258"/>
      <c r="P410" s="257"/>
      <c r="Q410" s="258"/>
      <c r="R410" s="257"/>
      <c r="S410" s="258"/>
      <c r="T410" s="257"/>
      <c r="U410" s="258"/>
      <c r="V410" s="257"/>
      <c r="W410" s="258"/>
      <c r="X410" s="257"/>
      <c r="Y410" s="258"/>
      <c r="Z410" s="257"/>
    </row>
    <row r="411" spans="1:26" ht="15" customHeight="1">
      <c r="A411" s="250"/>
      <c r="B411" s="251"/>
      <c r="C411" s="648"/>
      <c r="D411" s="526" t="s">
        <v>9</v>
      </c>
      <c r="E411" s="251"/>
      <c r="F411" s="252"/>
      <c r="G411" s="253"/>
      <c r="H411" s="254"/>
      <c r="I411" s="253"/>
      <c r="J411" s="253"/>
      <c r="K411" s="251"/>
      <c r="L411" s="255"/>
      <c r="M411" s="258"/>
      <c r="N411" s="257"/>
      <c r="O411" s="258"/>
      <c r="P411" s="257"/>
      <c r="Q411" s="258"/>
      <c r="R411" s="257"/>
      <c r="S411" s="258"/>
      <c r="T411" s="257"/>
      <c r="U411" s="258"/>
      <c r="V411" s="257"/>
      <c r="W411" s="258"/>
      <c r="X411" s="257"/>
      <c r="Y411" s="258"/>
      <c r="Z411" s="257"/>
    </row>
    <row r="412" spans="1:26" ht="15" customHeight="1">
      <c r="A412" s="250"/>
      <c r="B412" s="251"/>
      <c r="C412" s="648"/>
      <c r="D412" s="292" t="s">
        <v>993</v>
      </c>
      <c r="E412" s="251"/>
      <c r="F412" s="252"/>
      <c r="G412" s="253"/>
      <c r="H412" s="254"/>
      <c r="I412" s="253"/>
      <c r="J412" s="253"/>
      <c r="K412" s="251"/>
      <c r="L412" s="256">
        <f>190*0.9*0.4</f>
        <v>68.400000000000006</v>
      </c>
      <c r="M412" s="458">
        <v>0</v>
      </c>
      <c r="N412" s="257"/>
      <c r="O412" s="258"/>
      <c r="P412" s="257"/>
      <c r="Q412" s="258"/>
      <c r="R412" s="257"/>
      <c r="S412" s="258"/>
      <c r="T412" s="257"/>
      <c r="U412" s="258"/>
      <c r="V412" s="257"/>
      <c r="W412" s="258"/>
      <c r="X412" s="257"/>
      <c r="Y412" s="258"/>
      <c r="Z412" s="257"/>
    </row>
    <row r="413" spans="1:26" ht="15" customHeight="1">
      <c r="A413" s="250"/>
      <c r="B413" s="251"/>
      <c r="C413" s="648"/>
      <c r="D413" s="292" t="s">
        <v>994</v>
      </c>
      <c r="E413" s="251"/>
      <c r="F413" s="252"/>
      <c r="G413" s="253"/>
      <c r="H413" s="254"/>
      <c r="I413" s="253"/>
      <c r="J413" s="253"/>
      <c r="K413" s="251"/>
      <c r="L413" s="256">
        <f>250*0.9*0.4</f>
        <v>90</v>
      </c>
      <c r="M413" s="458">
        <v>0</v>
      </c>
      <c r="N413" s="257"/>
      <c r="O413" s="258">
        <f>(250+10-97)*(1.3*0.6-0.19)</f>
        <v>96.170000000000016</v>
      </c>
      <c r="P413" s="257"/>
      <c r="Q413" s="258"/>
      <c r="R413" s="257"/>
      <c r="S413" s="258"/>
      <c r="T413" s="257"/>
      <c r="U413" s="258"/>
      <c r="V413" s="257"/>
      <c r="W413" s="258"/>
      <c r="X413" s="257"/>
      <c r="Y413" s="258"/>
      <c r="Z413" s="257"/>
    </row>
    <row r="414" spans="1:26" ht="15" customHeight="1">
      <c r="A414" s="250"/>
      <c r="B414" s="251"/>
      <c r="C414" s="648"/>
      <c r="D414" s="292" t="s">
        <v>995</v>
      </c>
      <c r="E414" s="251"/>
      <c r="F414" s="252"/>
      <c r="G414" s="253"/>
      <c r="H414" s="254"/>
      <c r="I414" s="253"/>
      <c r="J414" s="253"/>
      <c r="K414" s="251"/>
      <c r="L414" s="256">
        <f>250*0.9*0.4</f>
        <v>90</v>
      </c>
      <c r="M414" s="458">
        <v>0</v>
      </c>
      <c r="N414" s="257"/>
      <c r="O414" s="258">
        <f>(10+250)*(1.3*0.6-0.19)</f>
        <v>153.40000000000003</v>
      </c>
      <c r="P414" s="257"/>
      <c r="Q414" s="258"/>
      <c r="R414" s="257"/>
      <c r="S414" s="258"/>
      <c r="T414" s="257"/>
      <c r="U414" s="258"/>
      <c r="V414" s="257"/>
      <c r="W414" s="258"/>
      <c r="X414" s="257"/>
      <c r="Y414" s="258"/>
      <c r="Z414" s="257"/>
    </row>
    <row r="415" spans="1:26" ht="15" customHeight="1">
      <c r="A415" s="250"/>
      <c r="B415" s="251"/>
      <c r="C415" s="648"/>
      <c r="D415" s="292" t="s">
        <v>2069</v>
      </c>
      <c r="E415" s="251"/>
      <c r="F415" s="252"/>
      <c r="G415" s="253"/>
      <c r="H415" s="254"/>
      <c r="I415" s="253"/>
      <c r="J415" s="253"/>
      <c r="K415" s="251"/>
      <c r="L415" s="256">
        <f>300*0.9*0.4</f>
        <v>108</v>
      </c>
      <c r="M415" s="458">
        <v>0</v>
      </c>
      <c r="N415" s="257"/>
      <c r="O415" s="258">
        <f>200*0.9*0.4</f>
        <v>72</v>
      </c>
      <c r="P415" s="257"/>
      <c r="Q415" s="258"/>
      <c r="R415" s="257"/>
      <c r="S415" s="258"/>
      <c r="T415" s="257"/>
      <c r="U415" s="258"/>
      <c r="V415" s="257"/>
      <c r="W415" s="258"/>
      <c r="X415" s="257"/>
      <c r="Y415" s="258"/>
      <c r="Z415" s="257"/>
    </row>
    <row r="416" spans="1:26" ht="15" customHeight="1">
      <c r="A416" s="250"/>
      <c r="B416" s="251"/>
      <c r="C416" s="648"/>
      <c r="D416" s="292" t="s">
        <v>2451</v>
      </c>
      <c r="E416" s="251"/>
      <c r="F416" s="252"/>
      <c r="G416" s="253"/>
      <c r="H416" s="254"/>
      <c r="I416" s="253"/>
      <c r="J416" s="253"/>
      <c r="K416" s="251"/>
      <c r="L416" s="256">
        <f>(180+45+70+40)*0.9*0.4</f>
        <v>120.60000000000001</v>
      </c>
      <c r="M416" s="256"/>
      <c r="N416" s="257"/>
      <c r="O416" s="258"/>
      <c r="P416" s="257"/>
      <c r="Q416" s="258"/>
      <c r="R416" s="257"/>
      <c r="S416" s="258"/>
      <c r="T416" s="257"/>
      <c r="U416" s="258"/>
      <c r="V416" s="257"/>
      <c r="W416" s="258"/>
      <c r="X416" s="257"/>
      <c r="Y416" s="258"/>
      <c r="Z416" s="257"/>
    </row>
    <row r="417" spans="1:26" ht="15" customHeight="1">
      <c r="A417" s="250"/>
      <c r="B417" s="251"/>
      <c r="C417" s="648"/>
      <c r="D417" s="292" t="s">
        <v>2446</v>
      </c>
      <c r="E417" s="251"/>
      <c r="F417" s="252"/>
      <c r="G417" s="253"/>
      <c r="H417" s="254"/>
      <c r="I417" s="253"/>
      <c r="J417" s="253"/>
      <c r="K417" s="251"/>
      <c r="L417" s="256">
        <f>50*0.9*0.4</f>
        <v>18</v>
      </c>
      <c r="M417" s="297"/>
      <c r="N417" s="294"/>
      <c r="O417" s="293"/>
      <c r="P417" s="294"/>
      <c r="Q417" s="293"/>
      <c r="R417" s="294"/>
      <c r="S417" s="293"/>
      <c r="T417" s="294"/>
      <c r="U417" s="293"/>
      <c r="V417" s="294"/>
      <c r="W417" s="293"/>
      <c r="X417" s="294"/>
      <c r="Y417" s="293"/>
      <c r="Z417" s="294"/>
    </row>
    <row r="418" spans="1:26" ht="15" customHeight="1">
      <c r="A418" s="250"/>
      <c r="B418" s="251"/>
      <c r="C418" s="648"/>
      <c r="D418" s="292" t="s">
        <v>575</v>
      </c>
      <c r="E418" s="251"/>
      <c r="F418" s="252">
        <f>M418+O418+Q418+S418+U418+W418+Y418</f>
        <v>321.57000000000005</v>
      </c>
      <c r="G418" s="253">
        <f>L418</f>
        <v>30.21</v>
      </c>
      <c r="H418" s="254">
        <f>INT(F418*G418*100+0.5)/100</f>
        <v>9714.6299999999992</v>
      </c>
      <c r="I418" s="253">
        <f>N418+P418+R418+T418+V418+X418+Z418</f>
        <v>9714.6299999999992</v>
      </c>
      <c r="J418" s="253"/>
      <c r="K418" s="251"/>
      <c r="L418" s="255">
        <v>30.21</v>
      </c>
      <c r="M418" s="258">
        <f>SUM(M412:M417)</f>
        <v>0</v>
      </c>
      <c r="N418" s="257">
        <f>INT($L418*M418*100+0.5)/100</f>
        <v>0</v>
      </c>
      <c r="O418" s="258">
        <f>SUM(O412:O417)</f>
        <v>321.57000000000005</v>
      </c>
      <c r="P418" s="257">
        <f>INT($L418*O418*100+0.5)/100</f>
        <v>9714.6299999999992</v>
      </c>
      <c r="Q418" s="258">
        <f>SUM(Q412:Q417)</f>
        <v>0</v>
      </c>
      <c r="R418" s="257">
        <f>INT($L418*Q418*100+0.5)/100</f>
        <v>0</v>
      </c>
      <c r="S418" s="258">
        <f>SUM(S412:S417)</f>
        <v>0</v>
      </c>
      <c r="T418" s="257">
        <f>INT($L418*S418*100+0.5)/100</f>
        <v>0</v>
      </c>
      <c r="U418" s="258">
        <f>SUM(U412:U417)</f>
        <v>0</v>
      </c>
      <c r="V418" s="257">
        <f>INT($L418*U418*100+0.5)/100</f>
        <v>0</v>
      </c>
      <c r="W418" s="258">
        <f>SUM(W412:W417)</f>
        <v>0</v>
      </c>
      <c r="X418" s="257">
        <f>INT($L418*W418*100+0.5)/100</f>
        <v>0</v>
      </c>
      <c r="Y418" s="258">
        <f>SUM(Y412:Y417)</f>
        <v>0</v>
      </c>
      <c r="Z418" s="257">
        <f>INT($L418*Y418*100+0.5)/100</f>
        <v>0</v>
      </c>
    </row>
    <row r="419" spans="1:26" ht="15" customHeight="1">
      <c r="A419" s="250"/>
      <c r="B419" s="251"/>
      <c r="C419" s="648"/>
      <c r="D419" s="292"/>
      <c r="E419" s="251"/>
      <c r="F419" s="252"/>
      <c r="G419" s="253"/>
      <c r="H419" s="254"/>
      <c r="I419" s="253"/>
      <c r="J419" s="253"/>
      <c r="K419" s="251"/>
      <c r="L419" s="261"/>
      <c r="M419" s="258"/>
      <c r="N419" s="257"/>
      <c r="O419" s="258"/>
      <c r="P419" s="257"/>
      <c r="Q419" s="258"/>
      <c r="R419" s="257"/>
      <c r="S419" s="258"/>
      <c r="T419" s="257"/>
      <c r="U419" s="258"/>
      <c r="V419" s="257"/>
      <c r="W419" s="258"/>
      <c r="X419" s="257"/>
      <c r="Y419" s="258"/>
      <c r="Z419" s="257"/>
    </row>
    <row r="420" spans="1:26" ht="38.25">
      <c r="A420" s="250">
        <f>A410+1</f>
        <v>128</v>
      </c>
      <c r="B420" s="251"/>
      <c r="C420" s="647" t="s">
        <v>2348</v>
      </c>
      <c r="D420" s="526" t="s">
        <v>1291</v>
      </c>
      <c r="E420" s="251" t="s">
        <v>2461</v>
      </c>
      <c r="F420" s="252"/>
      <c r="G420" s="253"/>
      <c r="H420" s="254"/>
      <c r="I420" s="253"/>
      <c r="J420" s="253"/>
      <c r="K420" s="251" t="s">
        <v>2461</v>
      </c>
      <c r="L420" s="255"/>
      <c r="M420" s="258"/>
      <c r="N420" s="257"/>
      <c r="O420" s="258"/>
      <c r="P420" s="257"/>
      <c r="Q420" s="258"/>
      <c r="R420" s="257"/>
      <c r="S420" s="258"/>
      <c r="T420" s="257"/>
      <c r="U420" s="258"/>
      <c r="V420" s="257"/>
      <c r="W420" s="258"/>
      <c r="X420" s="257"/>
      <c r="Y420" s="258"/>
      <c r="Z420" s="257"/>
    </row>
    <row r="421" spans="1:26" ht="38.25">
      <c r="A421" s="250"/>
      <c r="B421" s="251"/>
      <c r="C421" s="648"/>
      <c r="D421" s="526" t="s">
        <v>1290</v>
      </c>
      <c r="E421" s="251"/>
      <c r="F421" s="252"/>
      <c r="G421" s="253"/>
      <c r="H421" s="254"/>
      <c r="I421" s="253"/>
      <c r="J421" s="253"/>
      <c r="K421" s="251"/>
      <c r="L421" s="255"/>
      <c r="M421" s="258"/>
      <c r="N421" s="257"/>
      <c r="O421" s="258"/>
      <c r="P421" s="257"/>
      <c r="Q421" s="258"/>
      <c r="R421" s="257"/>
      <c r="S421" s="258"/>
      <c r="T421" s="257"/>
      <c r="U421" s="258"/>
      <c r="V421" s="257"/>
      <c r="W421" s="258"/>
      <c r="X421" s="257"/>
      <c r="Y421" s="258"/>
      <c r="Z421" s="257"/>
    </row>
    <row r="422" spans="1:26" ht="15" customHeight="1">
      <c r="A422" s="250"/>
      <c r="B422" s="251"/>
      <c r="C422" s="648"/>
      <c r="D422" s="292" t="s">
        <v>993</v>
      </c>
      <c r="E422" s="251"/>
      <c r="F422" s="252"/>
      <c r="G422" s="253"/>
      <c r="H422" s="254"/>
      <c r="I422" s="253"/>
      <c r="J422" s="253"/>
      <c r="K422" s="251"/>
      <c r="L422" s="256"/>
      <c r="M422" s="458">
        <v>0</v>
      </c>
      <c r="N422" s="257"/>
      <c r="O422" s="258"/>
      <c r="P422" s="257"/>
      <c r="Q422" s="258">
        <f>(172+10)*(0.85*0.6-0.19)</f>
        <v>58.24</v>
      </c>
      <c r="R422" s="257"/>
      <c r="S422" s="258"/>
      <c r="T422" s="257"/>
      <c r="U422" s="258"/>
      <c r="V422" s="257"/>
      <c r="W422" s="258"/>
      <c r="X422" s="257"/>
      <c r="Y422" s="258"/>
      <c r="Z422" s="257"/>
    </row>
    <row r="423" spans="1:26" ht="15" customHeight="1">
      <c r="A423" s="250"/>
      <c r="B423" s="251"/>
      <c r="C423" s="648"/>
      <c r="D423" s="292" t="s">
        <v>994</v>
      </c>
      <c r="E423" s="251"/>
      <c r="F423" s="252"/>
      <c r="G423" s="253"/>
      <c r="H423" s="254"/>
      <c r="I423" s="253"/>
      <c r="J423" s="253"/>
      <c r="K423" s="251"/>
      <c r="L423" s="256"/>
      <c r="M423" s="458">
        <v>0</v>
      </c>
      <c r="N423" s="257"/>
      <c r="O423" s="258">
        <v>0</v>
      </c>
      <c r="P423" s="257"/>
      <c r="Q423" s="258">
        <f>(10+250+10)*(0.85*0.6-0.19)</f>
        <v>86.4</v>
      </c>
      <c r="R423" s="257"/>
      <c r="S423" s="258"/>
      <c r="T423" s="257"/>
      <c r="U423" s="258"/>
      <c r="V423" s="257"/>
      <c r="W423" s="258"/>
      <c r="X423" s="257"/>
      <c r="Y423" s="258"/>
      <c r="Z423" s="257"/>
    </row>
    <row r="424" spans="1:26" ht="15" customHeight="1">
      <c r="A424" s="250"/>
      <c r="B424" s="251"/>
      <c r="C424" s="648"/>
      <c r="D424" s="292" t="s">
        <v>995</v>
      </c>
      <c r="E424" s="251"/>
      <c r="F424" s="252"/>
      <c r="G424" s="253"/>
      <c r="H424" s="254"/>
      <c r="I424" s="253"/>
      <c r="J424" s="253"/>
      <c r="K424" s="251"/>
      <c r="L424" s="256"/>
      <c r="M424" s="458">
        <v>0</v>
      </c>
      <c r="N424" s="257"/>
      <c r="O424" s="258">
        <v>0</v>
      </c>
      <c r="P424" s="257"/>
      <c r="Q424" s="258">
        <f>(10+250)*(0.85*0.6-0.19)</f>
        <v>83.2</v>
      </c>
      <c r="R424" s="257"/>
      <c r="S424" s="258"/>
      <c r="T424" s="257"/>
      <c r="U424" s="258"/>
      <c r="V424" s="257"/>
      <c r="W424" s="258"/>
      <c r="X424" s="257"/>
      <c r="Y424" s="258"/>
      <c r="Z424" s="257"/>
    </row>
    <row r="425" spans="1:26" ht="15" customHeight="1">
      <c r="A425" s="250"/>
      <c r="B425" s="251"/>
      <c r="C425" s="648"/>
      <c r="D425" s="292" t="s">
        <v>2069</v>
      </c>
      <c r="E425" s="251"/>
      <c r="F425" s="252"/>
      <c r="G425" s="253"/>
      <c r="H425" s="254"/>
      <c r="I425" s="253"/>
      <c r="J425" s="253"/>
      <c r="K425" s="251"/>
      <c r="L425" s="256"/>
      <c r="M425" s="458">
        <v>0</v>
      </c>
      <c r="N425" s="257"/>
      <c r="O425" s="258">
        <v>0</v>
      </c>
      <c r="P425" s="257"/>
      <c r="Q425" s="258">
        <f>35*(6+1)*0.8*0.4*2</f>
        <v>156.80000000000001</v>
      </c>
      <c r="R425" s="257"/>
      <c r="S425" s="258"/>
      <c r="T425" s="257"/>
      <c r="U425" s="258"/>
      <c r="V425" s="257"/>
      <c r="W425" s="258"/>
      <c r="X425" s="257"/>
      <c r="Y425" s="258"/>
      <c r="Z425" s="257"/>
    </row>
    <row r="426" spans="1:26" ht="15" customHeight="1">
      <c r="A426" s="250"/>
      <c r="B426" s="251"/>
      <c r="C426" s="648"/>
      <c r="D426" s="292" t="s">
        <v>2451</v>
      </c>
      <c r="E426" s="251"/>
      <c r="F426" s="252"/>
      <c r="G426" s="253"/>
      <c r="H426" s="254"/>
      <c r="I426" s="253"/>
      <c r="J426" s="253"/>
      <c r="K426" s="251"/>
      <c r="L426" s="256"/>
      <c r="M426" s="256"/>
      <c r="N426" s="257"/>
      <c r="O426" s="258"/>
      <c r="P426" s="257"/>
      <c r="Q426" s="258"/>
      <c r="R426" s="257"/>
      <c r="S426" s="258"/>
      <c r="T426" s="257"/>
      <c r="U426" s="258"/>
      <c r="V426" s="257"/>
      <c r="W426" s="258"/>
      <c r="X426" s="257"/>
      <c r="Y426" s="258"/>
      <c r="Z426" s="257"/>
    </row>
    <row r="427" spans="1:26" ht="15" customHeight="1">
      <c r="A427" s="250"/>
      <c r="B427" s="251"/>
      <c r="C427" s="648"/>
      <c r="D427" s="292" t="s">
        <v>2446</v>
      </c>
      <c r="E427" s="251"/>
      <c r="F427" s="252"/>
      <c r="G427" s="253"/>
      <c r="H427" s="254"/>
      <c r="I427" s="253"/>
      <c r="J427" s="253"/>
      <c r="K427" s="251"/>
      <c r="L427" s="256"/>
      <c r="M427" s="297"/>
      <c r="N427" s="294"/>
      <c r="O427" s="293"/>
      <c r="P427" s="294"/>
      <c r="Q427" s="293"/>
      <c r="R427" s="294"/>
      <c r="S427" s="293"/>
      <c r="T427" s="294"/>
      <c r="U427" s="293"/>
      <c r="V427" s="294"/>
      <c r="W427" s="293"/>
      <c r="X427" s="294"/>
      <c r="Y427" s="293"/>
      <c r="Z427" s="294"/>
    </row>
    <row r="428" spans="1:26" ht="15" customHeight="1">
      <c r="A428" s="250"/>
      <c r="B428" s="251"/>
      <c r="C428" s="648"/>
      <c r="D428" s="292" t="s">
        <v>575</v>
      </c>
      <c r="E428" s="251"/>
      <c r="F428" s="252">
        <f>M428+O428+Q428+S428+U428+W428+Y428</f>
        <v>384.64000000000004</v>
      </c>
      <c r="G428" s="253">
        <f>L428</f>
        <v>28.27</v>
      </c>
      <c r="H428" s="254">
        <f>INT(F428*G428*100+0.5)/100</f>
        <v>10873.77</v>
      </c>
      <c r="I428" s="253">
        <f>N428+P428+R428+T428+V428+X428+Z428</f>
        <v>10873.77</v>
      </c>
      <c r="J428" s="253"/>
      <c r="K428" s="251"/>
      <c r="L428" s="255">
        <v>28.27</v>
      </c>
      <c r="M428" s="258">
        <f>SUM(M422:M427)</f>
        <v>0</v>
      </c>
      <c r="N428" s="257">
        <f>INT($L428*M428*100+0.5)/100</f>
        <v>0</v>
      </c>
      <c r="O428" s="258">
        <f>SUM(O422:O427)</f>
        <v>0</v>
      </c>
      <c r="P428" s="257">
        <f>INT($L428*O428*100+0.5)/100</f>
        <v>0</v>
      </c>
      <c r="Q428" s="258">
        <f>SUM(Q422:Q427)</f>
        <v>384.64000000000004</v>
      </c>
      <c r="R428" s="257">
        <f>INT($L428*Q428*100+0.5)/100</f>
        <v>10873.77</v>
      </c>
      <c r="S428" s="258">
        <f>SUM(S422:S427)</f>
        <v>0</v>
      </c>
      <c r="T428" s="257">
        <f>INT($L428*S428*100+0.5)/100</f>
        <v>0</v>
      </c>
      <c r="U428" s="258">
        <f>SUM(U422:U427)</f>
        <v>0</v>
      </c>
      <c r="V428" s="257">
        <f>INT($L428*U428*100+0.5)/100</f>
        <v>0</v>
      </c>
      <c r="W428" s="258">
        <f>SUM(W422:W427)</f>
        <v>0</v>
      </c>
      <c r="X428" s="257">
        <f>INT($L428*W428*100+0.5)/100</f>
        <v>0</v>
      </c>
      <c r="Y428" s="258">
        <f>SUM(Y422:Y427)</f>
        <v>0</v>
      </c>
      <c r="Z428" s="257">
        <f>INT($L428*Y428*100+0.5)/100</f>
        <v>0</v>
      </c>
    </row>
    <row r="429" spans="1:26" ht="15" customHeight="1">
      <c r="A429" s="250"/>
      <c r="B429" s="251"/>
      <c r="C429" s="648"/>
      <c r="D429" s="292"/>
      <c r="E429" s="251"/>
      <c r="F429" s="252"/>
      <c r="G429" s="253"/>
      <c r="H429" s="254"/>
      <c r="I429" s="253"/>
      <c r="J429" s="253"/>
      <c r="K429" s="251"/>
      <c r="L429" s="261"/>
      <c r="M429" s="258"/>
      <c r="N429" s="257"/>
      <c r="O429" s="258"/>
      <c r="P429" s="257"/>
      <c r="Q429" s="258"/>
      <c r="R429" s="257"/>
      <c r="S429" s="258"/>
      <c r="T429" s="257"/>
      <c r="U429" s="258"/>
      <c r="V429" s="257"/>
      <c r="W429" s="258"/>
      <c r="X429" s="257"/>
      <c r="Y429" s="258"/>
      <c r="Z429" s="257"/>
    </row>
    <row r="430" spans="1:26" ht="15" customHeight="1">
      <c r="A430" s="250">
        <f>A420+1</f>
        <v>129</v>
      </c>
      <c r="B430" s="251"/>
      <c r="C430" s="647" t="s">
        <v>2101</v>
      </c>
      <c r="D430" s="526" t="s">
        <v>1438</v>
      </c>
      <c r="E430" s="251" t="s">
        <v>2461</v>
      </c>
      <c r="F430" s="252"/>
      <c r="G430" s="253"/>
      <c r="H430" s="254"/>
      <c r="I430" s="253"/>
      <c r="J430" s="253"/>
      <c r="K430" s="251" t="s">
        <v>2461</v>
      </c>
      <c r="L430" s="261"/>
      <c r="M430" s="258"/>
      <c r="N430" s="257"/>
      <c r="O430" s="258"/>
      <c r="P430" s="257"/>
      <c r="Q430" s="258"/>
      <c r="R430" s="257"/>
      <c r="S430" s="258"/>
      <c r="T430" s="257"/>
      <c r="U430" s="258"/>
      <c r="V430" s="257"/>
      <c r="W430" s="258"/>
      <c r="X430" s="257"/>
      <c r="Y430" s="258"/>
      <c r="Z430" s="257"/>
    </row>
    <row r="431" spans="1:26" ht="15" customHeight="1">
      <c r="A431" s="250"/>
      <c r="B431" s="251"/>
      <c r="C431" s="647"/>
      <c r="D431" s="526" t="s">
        <v>681</v>
      </c>
      <c r="E431" s="251"/>
      <c r="F431" s="252"/>
      <c r="G431" s="253"/>
      <c r="H431" s="254"/>
      <c r="I431" s="253"/>
      <c r="J431" s="253"/>
      <c r="K431" s="251"/>
      <c r="L431" s="261"/>
      <c r="M431" s="258"/>
      <c r="N431" s="257"/>
      <c r="O431" s="258"/>
      <c r="P431" s="257"/>
      <c r="Q431" s="258"/>
      <c r="R431" s="257"/>
      <c r="S431" s="258"/>
      <c r="T431" s="257"/>
      <c r="U431" s="258"/>
      <c r="V431" s="257"/>
      <c r="W431" s="258"/>
      <c r="X431" s="257"/>
      <c r="Y431" s="258"/>
      <c r="Z431" s="257"/>
    </row>
    <row r="432" spans="1:26" ht="15" customHeight="1">
      <c r="A432" s="250"/>
      <c r="B432" s="251"/>
      <c r="C432" s="647"/>
      <c r="D432" s="292" t="s">
        <v>338</v>
      </c>
      <c r="E432" s="251"/>
      <c r="F432" s="252"/>
      <c r="G432" s="253"/>
      <c r="H432" s="254"/>
      <c r="I432" s="253"/>
      <c r="J432" s="253"/>
      <c r="K432" s="251"/>
      <c r="L432" s="261"/>
      <c r="M432" s="258">
        <v>0</v>
      </c>
      <c r="N432" s="257"/>
      <c r="O432" s="258">
        <v>0</v>
      </c>
      <c r="P432" s="257"/>
      <c r="Q432" s="258">
        <v>0</v>
      </c>
      <c r="R432" s="257"/>
      <c r="S432" s="258">
        <v>0</v>
      </c>
      <c r="T432" s="257"/>
      <c r="U432" s="258">
        <v>0</v>
      </c>
      <c r="V432" s="257"/>
      <c r="W432" s="258">
        <v>0</v>
      </c>
      <c r="X432" s="257"/>
      <c r="Y432" s="258">
        <v>0</v>
      </c>
      <c r="Z432" s="257"/>
    </row>
    <row r="433" spans="1:26" ht="15" customHeight="1">
      <c r="A433" s="250"/>
      <c r="B433" s="251"/>
      <c r="C433" s="647"/>
      <c r="D433" s="292" t="s">
        <v>1899</v>
      </c>
      <c r="E433" s="251"/>
      <c r="F433" s="252"/>
      <c r="G433" s="253"/>
      <c r="H433" s="254"/>
      <c r="I433" s="253"/>
      <c r="J433" s="253"/>
      <c r="K433" s="251"/>
      <c r="L433" s="255"/>
      <c r="M433" s="293">
        <v>0</v>
      </c>
      <c r="N433" s="294"/>
      <c r="O433" s="293">
        <v>0</v>
      </c>
      <c r="P433" s="294"/>
      <c r="Q433" s="293">
        <v>0</v>
      </c>
      <c r="R433" s="294"/>
      <c r="S433" s="293">
        <v>0</v>
      </c>
      <c r="T433" s="294"/>
      <c r="U433" s="293">
        <v>0</v>
      </c>
      <c r="V433" s="294"/>
      <c r="W433" s="293">
        <v>0</v>
      </c>
      <c r="X433" s="294"/>
      <c r="Y433" s="293">
        <v>0</v>
      </c>
      <c r="Z433" s="294"/>
    </row>
    <row r="434" spans="1:26" ht="15" customHeight="1">
      <c r="A434" s="250"/>
      <c r="B434" s="251"/>
      <c r="C434" s="647"/>
      <c r="D434" s="292" t="s">
        <v>575</v>
      </c>
      <c r="E434" s="251"/>
      <c r="F434" s="252">
        <f>M434+O434+Q434+S434+U434+W434+Y434</f>
        <v>0</v>
      </c>
      <c r="G434" s="253">
        <f>L434</f>
        <v>22.04</v>
      </c>
      <c r="H434" s="254">
        <f>INT(F434*G434*100+0.5)/100</f>
        <v>0</v>
      </c>
      <c r="I434" s="253">
        <f>N434+P434+R434+T434+V434+X434+Z434</f>
        <v>0</v>
      </c>
      <c r="J434" s="253"/>
      <c r="K434" s="251"/>
      <c r="L434" s="255">
        <v>22.04</v>
      </c>
      <c r="M434" s="258">
        <f>INT(SUM(M432:M433)*100+0.5)/100</f>
        <v>0</v>
      </c>
      <c r="N434" s="257">
        <f>INT($L434*M434*100+0.5)/100</f>
        <v>0</v>
      </c>
      <c r="O434" s="258">
        <f>INT(SUM(O432:O433)*100+0.5)/100</f>
        <v>0</v>
      </c>
      <c r="P434" s="257">
        <f>INT($L434*O434*100+0.5)/100</f>
        <v>0</v>
      </c>
      <c r="Q434" s="258">
        <f>INT(SUM(Q432:Q433)*100+0.5)/100</f>
        <v>0</v>
      </c>
      <c r="R434" s="257">
        <f>INT($L434*Q434*100+0.5)/100</f>
        <v>0</v>
      </c>
      <c r="S434" s="258">
        <f>INT(SUM(S432:S433)*100+0.5)/100</f>
        <v>0</v>
      </c>
      <c r="T434" s="257">
        <f>INT($L434*S434*100+0.5)/100</f>
        <v>0</v>
      </c>
      <c r="U434" s="258">
        <f>INT(SUM(U432:U433)*100+0.5)/100</f>
        <v>0</v>
      </c>
      <c r="V434" s="257">
        <f>INT($L434*U434*100+0.5)/100</f>
        <v>0</v>
      </c>
      <c r="W434" s="258">
        <f>INT(SUM(W432:W433)*100+0.5)/100</f>
        <v>0</v>
      </c>
      <c r="X434" s="257">
        <f>INT($L434*W434*100+0.5)/100</f>
        <v>0</v>
      </c>
      <c r="Y434" s="258">
        <f>INT(SUM(Y432:Y433)*100+0.5)/100</f>
        <v>0</v>
      </c>
      <c r="Z434" s="257">
        <f>INT($L434*Y434*100+0.5)/100</f>
        <v>0</v>
      </c>
    </row>
    <row r="435" spans="1:26" ht="15" customHeight="1">
      <c r="A435" s="250"/>
      <c r="B435" s="251"/>
      <c r="C435" s="526"/>
      <c r="D435" s="292"/>
      <c r="E435" s="251"/>
      <c r="F435" s="252"/>
      <c r="G435" s="253"/>
      <c r="H435" s="254"/>
      <c r="I435" s="253"/>
      <c r="J435" s="253"/>
      <c r="K435" s="251"/>
      <c r="L435" s="255"/>
      <c r="M435" s="258"/>
      <c r="N435" s="257"/>
      <c r="O435" s="258"/>
      <c r="P435" s="257"/>
      <c r="Q435" s="258"/>
      <c r="R435" s="257"/>
      <c r="S435" s="258"/>
      <c r="T435" s="257"/>
      <c r="U435" s="258"/>
      <c r="V435" s="257"/>
      <c r="W435" s="258"/>
      <c r="X435" s="257"/>
      <c r="Y435" s="258"/>
      <c r="Z435" s="257"/>
    </row>
    <row r="436" spans="1:26" ht="25.5">
      <c r="A436" s="250">
        <f>A430+1</f>
        <v>130</v>
      </c>
      <c r="B436" s="251"/>
      <c r="C436" s="647" t="s">
        <v>2349</v>
      </c>
      <c r="D436" s="526" t="s">
        <v>2135</v>
      </c>
      <c r="E436" s="251" t="s">
        <v>1898</v>
      </c>
      <c r="F436" s="252"/>
      <c r="G436" s="253"/>
      <c r="H436" s="254"/>
      <c r="I436" s="253"/>
      <c r="J436" s="253"/>
      <c r="K436" s="251" t="s">
        <v>1898</v>
      </c>
      <c r="L436" s="255"/>
      <c r="M436" s="258"/>
      <c r="N436" s="257"/>
      <c r="O436" s="258"/>
      <c r="P436" s="257"/>
      <c r="Q436" s="258"/>
      <c r="R436" s="257"/>
      <c r="S436" s="258"/>
      <c r="T436" s="257"/>
      <c r="U436" s="258"/>
      <c r="V436" s="257"/>
      <c r="W436" s="258"/>
      <c r="X436" s="257"/>
      <c r="Y436" s="258"/>
      <c r="Z436" s="257"/>
    </row>
    <row r="437" spans="1:26" ht="15" customHeight="1">
      <c r="A437" s="250"/>
      <c r="B437" s="251"/>
      <c r="C437" s="526"/>
      <c r="D437" s="526" t="s">
        <v>2134</v>
      </c>
      <c r="E437" s="251"/>
      <c r="F437" s="252"/>
      <c r="G437" s="253"/>
      <c r="H437" s="254"/>
      <c r="I437" s="253"/>
      <c r="J437" s="253"/>
      <c r="K437" s="251"/>
      <c r="L437" s="255"/>
      <c r="M437" s="258"/>
      <c r="N437" s="257"/>
      <c r="O437" s="258"/>
      <c r="P437" s="257"/>
      <c r="Q437" s="258"/>
      <c r="R437" s="257"/>
      <c r="S437" s="258"/>
      <c r="T437" s="257"/>
      <c r="U437" s="258"/>
      <c r="V437" s="257"/>
      <c r="W437" s="258"/>
      <c r="X437" s="257"/>
      <c r="Y437" s="258"/>
      <c r="Z437" s="257"/>
    </row>
    <row r="438" spans="1:26" ht="15" customHeight="1">
      <c r="A438" s="250"/>
      <c r="B438" s="251"/>
      <c r="C438" s="526"/>
      <c r="D438" s="526" t="s">
        <v>1298</v>
      </c>
      <c r="E438" s="251"/>
      <c r="F438" s="252">
        <f>M438+O438+Q438+S438+U438+W438+Y438</f>
        <v>4204.8</v>
      </c>
      <c r="G438" s="253">
        <f>L438</f>
        <v>5.66</v>
      </c>
      <c r="H438" s="254">
        <f>INT(F438*G438*100+0.5)/100</f>
        <v>23799.17</v>
      </c>
      <c r="I438" s="253">
        <f>N438+P438+R438+T438+V438+X438+Z438</f>
        <v>23799.17</v>
      </c>
      <c r="J438" s="253"/>
      <c r="K438" s="251"/>
      <c r="L438" s="255">
        <v>5.66</v>
      </c>
      <c r="M438" s="258">
        <v>0</v>
      </c>
      <c r="N438" s="257">
        <f>INT($L438*M438*100+0.5)/100</f>
        <v>0</v>
      </c>
      <c r="O438" s="258">
        <v>0</v>
      </c>
      <c r="P438" s="257">
        <f>INT($L438*O438*100+0.5)/100</f>
        <v>0</v>
      </c>
      <c r="Q438" s="258">
        <v>0</v>
      </c>
      <c r="R438" s="257">
        <f>INT($L438*Q438*100+0.5)/100</f>
        <v>0</v>
      </c>
      <c r="S438" s="258">
        <v>0</v>
      </c>
      <c r="T438" s="257">
        <f>INT($L438*S438*100+0.5)/100</f>
        <v>0</v>
      </c>
      <c r="U438" s="258">
        <f>U374</f>
        <v>4204.8</v>
      </c>
      <c r="V438" s="257">
        <f>INT($L438*U438*100+0.5)/100</f>
        <v>23799.17</v>
      </c>
      <c r="W438" s="258">
        <v>0</v>
      </c>
      <c r="X438" s="257">
        <f>INT($L438*W438*100+0.5)/100</f>
        <v>0</v>
      </c>
      <c r="Y438" s="258">
        <v>0</v>
      </c>
      <c r="Z438" s="257">
        <f>INT($L438*Y438*100+0.5)/100</f>
        <v>0</v>
      </c>
    </row>
    <row r="439" spans="1:26" ht="15" customHeight="1">
      <c r="A439" s="284"/>
      <c r="B439" s="237"/>
      <c r="C439" s="526"/>
      <c r="D439" s="292"/>
      <c r="E439" s="251"/>
      <c r="F439" s="252"/>
      <c r="G439" s="253"/>
      <c r="H439" s="254"/>
      <c r="I439" s="253"/>
      <c r="J439" s="253"/>
      <c r="K439" s="251"/>
      <c r="L439" s="255"/>
      <c r="M439" s="258"/>
      <c r="N439" s="257"/>
      <c r="O439" s="258"/>
      <c r="P439" s="257"/>
      <c r="Q439" s="258"/>
      <c r="R439" s="257"/>
      <c r="S439" s="258"/>
      <c r="T439" s="257"/>
      <c r="U439" s="258"/>
      <c r="V439" s="257"/>
      <c r="W439" s="258"/>
      <c r="X439" s="257"/>
      <c r="Y439" s="258"/>
      <c r="Z439" s="257"/>
    </row>
    <row r="440" spans="1:26" ht="25.5">
      <c r="A440" s="250">
        <f>A436+1</f>
        <v>131</v>
      </c>
      <c r="B440" s="251"/>
      <c r="C440" s="647" t="s">
        <v>2350</v>
      </c>
      <c r="D440" s="526" t="s">
        <v>6</v>
      </c>
      <c r="E440" s="251" t="s">
        <v>1898</v>
      </c>
      <c r="F440" s="252">
        <f>M440+O440+Q440+S440+U440+W440+Y440</f>
        <v>0</v>
      </c>
      <c r="G440" s="253">
        <f>L440</f>
        <v>10.45</v>
      </c>
      <c r="H440" s="254">
        <f>INT(F440*G440*100+0.5)/100</f>
        <v>0</v>
      </c>
      <c r="I440" s="253">
        <f>N440+P440+R440+T440+V440+X440+Z440</f>
        <v>0</v>
      </c>
      <c r="J440" s="253"/>
      <c r="K440" s="251" t="s">
        <v>1898</v>
      </c>
      <c r="L440" s="255">
        <v>10.45</v>
      </c>
      <c r="M440" s="258">
        <v>0</v>
      </c>
      <c r="N440" s="257">
        <f>INT($L440*M440*100+0.5)/100</f>
        <v>0</v>
      </c>
      <c r="O440" s="258">
        <v>0</v>
      </c>
      <c r="P440" s="257">
        <f>INT($L440*O440*100+0.5)/100</f>
        <v>0</v>
      </c>
      <c r="Q440" s="258">
        <v>0</v>
      </c>
      <c r="R440" s="257">
        <f>INT($L440*Q440*100+0.5)/100</f>
        <v>0</v>
      </c>
      <c r="S440" s="258">
        <v>0</v>
      </c>
      <c r="T440" s="257">
        <f>INT($L440*S440*100+0.5)/100</f>
        <v>0</v>
      </c>
      <c r="U440" s="258">
        <v>0</v>
      </c>
      <c r="V440" s="257">
        <f>INT($L440*U440*100+0.5)/100</f>
        <v>0</v>
      </c>
      <c r="W440" s="258">
        <v>0</v>
      </c>
      <c r="X440" s="257">
        <f>INT($L440*W440*100+0.5)/100</f>
        <v>0</v>
      </c>
      <c r="Y440" s="258">
        <v>0</v>
      </c>
      <c r="Z440" s="257">
        <f>INT($L440*Y440*100+0.5)/100</f>
        <v>0</v>
      </c>
    </row>
    <row r="441" spans="1:26" ht="15" customHeight="1">
      <c r="A441" s="250"/>
      <c r="B441" s="251"/>
      <c r="C441" s="647"/>
      <c r="D441" s="526" t="s">
        <v>5</v>
      </c>
      <c r="E441" s="251"/>
      <c r="F441" s="252"/>
      <c r="G441" s="253"/>
      <c r="H441" s="254"/>
      <c r="I441" s="253"/>
      <c r="J441" s="253"/>
      <c r="K441" s="251"/>
      <c r="L441" s="255"/>
      <c r="M441" s="258"/>
      <c r="N441" s="257"/>
      <c r="O441" s="258"/>
      <c r="P441" s="257"/>
      <c r="Q441" s="258"/>
      <c r="R441" s="257"/>
      <c r="S441" s="258"/>
      <c r="T441" s="257"/>
      <c r="U441" s="258"/>
      <c r="V441" s="257"/>
      <c r="W441" s="258"/>
      <c r="X441" s="257"/>
      <c r="Y441" s="258"/>
      <c r="Z441" s="257"/>
    </row>
    <row r="442" spans="1:26" ht="15" customHeight="1">
      <c r="A442" s="284"/>
      <c r="B442" s="237"/>
      <c r="C442" s="647"/>
      <c r="D442" s="529"/>
      <c r="E442" s="251"/>
      <c r="F442" s="252"/>
      <c r="G442" s="253"/>
      <c r="H442" s="254"/>
      <c r="I442" s="253"/>
      <c r="J442" s="253"/>
      <c r="K442" s="251"/>
      <c r="L442" s="261"/>
      <c r="M442" s="258"/>
      <c r="N442" s="257"/>
      <c r="O442" s="258"/>
      <c r="P442" s="257"/>
      <c r="Q442" s="258"/>
      <c r="R442" s="257"/>
      <c r="S442" s="258"/>
      <c r="T442" s="257"/>
      <c r="U442" s="258"/>
      <c r="V442" s="257"/>
      <c r="W442" s="258"/>
      <c r="X442" s="257"/>
      <c r="Y442" s="258"/>
      <c r="Z442" s="257"/>
    </row>
    <row r="443" spans="1:26" ht="25.5">
      <c r="A443" s="250">
        <f>A440+1</f>
        <v>132</v>
      </c>
      <c r="B443" s="251"/>
      <c r="C443" s="647" t="s">
        <v>2351</v>
      </c>
      <c r="D443" s="526" t="s">
        <v>323</v>
      </c>
      <c r="E443" s="251" t="s">
        <v>2461</v>
      </c>
      <c r="F443" s="252"/>
      <c r="G443" s="253"/>
      <c r="H443" s="254"/>
      <c r="I443" s="253"/>
      <c r="J443" s="253"/>
      <c r="K443" s="251" t="s">
        <v>1898</v>
      </c>
      <c r="L443" s="255"/>
      <c r="M443" s="258"/>
      <c r="N443" s="257"/>
      <c r="O443" s="258"/>
      <c r="P443" s="257"/>
      <c r="Q443" s="258"/>
      <c r="R443" s="257"/>
      <c r="S443" s="258"/>
      <c r="T443" s="257"/>
      <c r="U443" s="258"/>
      <c r="V443" s="257"/>
      <c r="W443" s="258"/>
      <c r="X443" s="257"/>
      <c r="Y443" s="258"/>
      <c r="Z443" s="257"/>
    </row>
    <row r="444" spans="1:26" ht="15" customHeight="1">
      <c r="A444" s="250"/>
      <c r="B444" s="251"/>
      <c r="C444" s="526"/>
      <c r="D444" s="526" t="s">
        <v>322</v>
      </c>
      <c r="E444" s="251"/>
      <c r="F444" s="252"/>
      <c r="G444" s="253"/>
      <c r="H444" s="254"/>
      <c r="I444" s="253"/>
      <c r="J444" s="253"/>
      <c r="K444" s="251"/>
      <c r="L444" s="255"/>
      <c r="M444" s="258"/>
      <c r="N444" s="257"/>
      <c r="O444" s="258"/>
      <c r="P444" s="257"/>
      <c r="Q444" s="258"/>
      <c r="R444" s="257"/>
      <c r="S444" s="258"/>
      <c r="T444" s="257"/>
      <c r="U444" s="258"/>
      <c r="V444" s="257"/>
      <c r="W444" s="258"/>
      <c r="X444" s="257"/>
      <c r="Y444" s="258"/>
      <c r="Z444" s="257"/>
    </row>
    <row r="445" spans="1:26" ht="15" customHeight="1">
      <c r="A445" s="250"/>
      <c r="B445" s="251"/>
      <c r="C445" s="251"/>
      <c r="D445" s="292" t="s">
        <v>993</v>
      </c>
      <c r="E445" s="251"/>
      <c r="F445" s="252"/>
      <c r="G445" s="253"/>
      <c r="H445" s="254"/>
      <c r="I445" s="253"/>
      <c r="J445" s="253"/>
      <c r="K445" s="251"/>
      <c r="L445" s="255"/>
      <c r="M445" s="258">
        <f>(172+10)*0.5*0.6</f>
        <v>54.6</v>
      </c>
      <c r="N445" s="257"/>
      <c r="O445" s="258"/>
      <c r="P445" s="257"/>
      <c r="Q445" s="258">
        <f>(172+10)*0.85*0.6</f>
        <v>92.82</v>
      </c>
      <c r="R445" s="257"/>
      <c r="S445" s="258"/>
      <c r="T445" s="257"/>
      <c r="U445" s="258"/>
      <c r="V445" s="257"/>
      <c r="W445" s="258"/>
      <c r="X445" s="257"/>
      <c r="Y445" s="258">
        <f>190*7*0.6-Q445-O445-M445</f>
        <v>650.58000000000004</v>
      </c>
      <c r="Z445" s="257"/>
    </row>
    <row r="446" spans="1:26" ht="15" customHeight="1">
      <c r="A446" s="250"/>
      <c r="B446" s="251"/>
      <c r="C446" s="251"/>
      <c r="D446" s="292" t="s">
        <v>994</v>
      </c>
      <c r="E446" s="251"/>
      <c r="F446" s="252"/>
      <c r="G446" s="253"/>
      <c r="H446" s="254"/>
      <c r="I446" s="253"/>
      <c r="J446" s="253"/>
      <c r="K446" s="251"/>
      <c r="L446" s="255"/>
      <c r="M446" s="258">
        <f>(10+250+10)*0.5*0.6</f>
        <v>81</v>
      </c>
      <c r="N446" s="257"/>
      <c r="O446" s="258">
        <f>(250+10-97)*(1.3*0.6)</f>
        <v>127.14</v>
      </c>
      <c r="P446" s="257"/>
      <c r="Q446" s="258">
        <f>(10+250+10)*0.85*0.6</f>
        <v>137.69999999999999</v>
      </c>
      <c r="R446" s="257"/>
      <c r="S446" s="258"/>
      <c r="T446" s="257"/>
      <c r="U446" s="258"/>
      <c r="V446" s="257"/>
      <c r="W446" s="258"/>
      <c r="X446" s="257"/>
      <c r="Y446" s="258">
        <f>250*6.2*0.6-Q446-O446-M446</f>
        <v>584.16</v>
      </c>
      <c r="Z446" s="257"/>
    </row>
    <row r="447" spans="1:26" ht="15" customHeight="1">
      <c r="A447" s="250"/>
      <c r="B447" s="251"/>
      <c r="C447" s="251"/>
      <c r="D447" s="292" t="s">
        <v>995</v>
      </c>
      <c r="E447" s="251"/>
      <c r="F447" s="252"/>
      <c r="G447" s="253"/>
      <c r="H447" s="254"/>
      <c r="I447" s="253"/>
      <c r="J447" s="253"/>
      <c r="K447" s="251"/>
      <c r="L447" s="255"/>
      <c r="M447" s="258">
        <f>(10+250)*0.5*0.6</f>
        <v>78</v>
      </c>
      <c r="N447" s="257"/>
      <c r="O447" s="258">
        <f>(10+250)*1.3*0.6</f>
        <v>202.79999999999998</v>
      </c>
      <c r="P447" s="257"/>
      <c r="Q447" s="258">
        <f>(10+250)*0.85*0.6</f>
        <v>132.6</v>
      </c>
      <c r="R447" s="257"/>
      <c r="S447" s="258"/>
      <c r="T447" s="257"/>
      <c r="U447" s="258"/>
      <c r="V447" s="257"/>
      <c r="W447" s="258"/>
      <c r="X447" s="257"/>
      <c r="Y447" s="258">
        <f>250*6.2*0.6-Q447-O447-M447</f>
        <v>516.6</v>
      </c>
      <c r="Z447" s="257"/>
    </row>
    <row r="448" spans="1:26" ht="15" customHeight="1">
      <c r="A448" s="250"/>
      <c r="B448" s="251"/>
      <c r="C448" s="251"/>
      <c r="D448" s="292" t="s">
        <v>2121</v>
      </c>
      <c r="E448" s="251"/>
      <c r="F448" s="252"/>
      <c r="G448" s="253"/>
      <c r="H448" s="254"/>
      <c r="I448" s="253"/>
      <c r="J448" s="253"/>
      <c r="K448" s="251"/>
      <c r="L448" s="255"/>
      <c r="M448" s="258">
        <v>0</v>
      </c>
      <c r="N448" s="257"/>
      <c r="O448" s="258">
        <f>200*0.8*0.4</f>
        <v>64</v>
      </c>
      <c r="P448" s="257"/>
      <c r="Q448" s="258">
        <f>(35)*0.8*0.6*2+(35)*0.8*0.6*1+70*1*1.5*0.6</f>
        <v>113.4</v>
      </c>
      <c r="R448" s="257"/>
      <c r="S448" s="258"/>
      <c r="T448" s="257"/>
      <c r="U448" s="258"/>
      <c r="V448" s="257"/>
      <c r="W448" s="258"/>
      <c r="X448" s="257"/>
      <c r="Y448" s="258">
        <f>Y240</f>
        <v>161.4</v>
      </c>
      <c r="Z448" s="257"/>
    </row>
    <row r="449" spans="1:26" ht="15" customHeight="1">
      <c r="A449" s="250"/>
      <c r="B449" s="251"/>
      <c r="C449" s="251"/>
      <c r="D449" s="292" t="s">
        <v>2451</v>
      </c>
      <c r="E449" s="251"/>
      <c r="F449" s="252"/>
      <c r="G449" s="253"/>
      <c r="H449" s="254"/>
      <c r="I449" s="253"/>
      <c r="J449" s="253"/>
      <c r="K449" s="251"/>
      <c r="L449" s="256">
        <f>(180+45+70+40)*0.9</f>
        <v>301.5</v>
      </c>
      <c r="M449" s="256"/>
      <c r="N449" s="257"/>
      <c r="O449" s="258"/>
      <c r="P449" s="257"/>
      <c r="Q449" s="258"/>
      <c r="R449" s="257"/>
      <c r="S449" s="258"/>
      <c r="T449" s="257"/>
      <c r="U449" s="258"/>
      <c r="V449" s="257"/>
      <c r="W449" s="258"/>
      <c r="X449" s="257"/>
      <c r="Y449" s="258"/>
      <c r="Z449" s="257"/>
    </row>
    <row r="450" spans="1:26" ht="15" customHeight="1">
      <c r="A450" s="250"/>
      <c r="B450" s="251"/>
      <c r="C450" s="251"/>
      <c r="D450" s="292" t="s">
        <v>2446</v>
      </c>
      <c r="E450" s="251"/>
      <c r="F450" s="252"/>
      <c r="G450" s="253"/>
      <c r="H450" s="254"/>
      <c r="I450" s="253"/>
      <c r="J450" s="253"/>
      <c r="K450" s="251"/>
      <c r="L450" s="256">
        <f>50*0.9</f>
        <v>45</v>
      </c>
      <c r="M450" s="297"/>
      <c r="N450" s="294"/>
      <c r="O450" s="293"/>
      <c r="P450" s="294"/>
      <c r="Q450" s="293"/>
      <c r="R450" s="294"/>
      <c r="S450" s="293"/>
      <c r="T450" s="294"/>
      <c r="U450" s="293"/>
      <c r="V450" s="294"/>
      <c r="W450" s="293"/>
      <c r="X450" s="294"/>
      <c r="Y450" s="293"/>
      <c r="Z450" s="294"/>
    </row>
    <row r="451" spans="1:26" ht="15" customHeight="1">
      <c r="A451" s="250"/>
      <c r="B451" s="251"/>
      <c r="C451" s="251"/>
      <c r="D451" s="292" t="s">
        <v>575</v>
      </c>
      <c r="E451" s="251"/>
      <c r="F451" s="252">
        <f>M451+O451+Q451+S451+U451+W451+Y451</f>
        <v>2996.8</v>
      </c>
      <c r="G451" s="253">
        <f>L451</f>
        <v>25.99</v>
      </c>
      <c r="H451" s="254">
        <f>INT(F451*G451*100+0.5)/100</f>
        <v>77886.83</v>
      </c>
      <c r="I451" s="253">
        <f>N451+P451+R451+T451+V451+X451+Z451</f>
        <v>77886.820000000007</v>
      </c>
      <c r="J451" s="253"/>
      <c r="K451" s="251"/>
      <c r="L451" s="255">
        <v>25.99</v>
      </c>
      <c r="M451" s="258">
        <f>SUM(M445:M450)</f>
        <v>213.6</v>
      </c>
      <c r="N451" s="257">
        <f>INT($L451*M451*100+0.5)/100</f>
        <v>5551.46</v>
      </c>
      <c r="O451" s="258">
        <f>SUM(O445:O450)</f>
        <v>393.94</v>
      </c>
      <c r="P451" s="257">
        <f>INT($L451*O451*100+0.5)/100</f>
        <v>10238.5</v>
      </c>
      <c r="Q451" s="258">
        <f>SUM(Q445:Q450)</f>
        <v>476.52</v>
      </c>
      <c r="R451" s="257">
        <f>INT($L451*Q451*100+0.5)/100</f>
        <v>12384.75</v>
      </c>
      <c r="S451" s="258">
        <f>SUM(S445:S450)</f>
        <v>0</v>
      </c>
      <c r="T451" s="257">
        <f>INT($L451*S451*100+0.5)/100</f>
        <v>0</v>
      </c>
      <c r="U451" s="258">
        <f>SUM(U445:U450)</f>
        <v>0</v>
      </c>
      <c r="V451" s="257">
        <f>INT($L451*U451*100+0.5)/100</f>
        <v>0</v>
      </c>
      <c r="W451" s="258">
        <f>SUM(W445:W450)</f>
        <v>0</v>
      </c>
      <c r="X451" s="257">
        <f>INT($L451*W451*100+0.5)/100</f>
        <v>0</v>
      </c>
      <c r="Y451" s="258">
        <f>SUM(Y445:Y450)</f>
        <v>1912.7400000000002</v>
      </c>
      <c r="Z451" s="257">
        <f>INT($L451*Y451*100+0.5)/100</f>
        <v>49712.11</v>
      </c>
    </row>
    <row r="452" spans="1:26" ht="15" customHeight="1">
      <c r="A452" s="284"/>
      <c r="B452" s="237"/>
      <c r="C452" s="526"/>
      <c r="D452" s="529"/>
      <c r="E452" s="251"/>
      <c r="F452" s="252"/>
      <c r="G452" s="253"/>
      <c r="H452" s="254"/>
      <c r="I452" s="253"/>
      <c r="J452" s="253"/>
      <c r="K452" s="251"/>
      <c r="L452" s="261"/>
      <c r="M452" s="258"/>
      <c r="N452" s="257"/>
      <c r="O452" s="258"/>
      <c r="P452" s="257"/>
      <c r="Q452" s="258"/>
      <c r="R452" s="257"/>
      <c r="S452" s="258"/>
      <c r="T452" s="257"/>
      <c r="U452" s="258"/>
      <c r="V452" s="257"/>
      <c r="W452" s="258"/>
      <c r="X452" s="257"/>
      <c r="Y452" s="258"/>
      <c r="Z452" s="257"/>
    </row>
    <row r="453" spans="1:26" ht="68.25" customHeight="1">
      <c r="A453" s="250">
        <f>A443+1</f>
        <v>133</v>
      </c>
      <c r="B453" s="251"/>
      <c r="C453" s="647" t="s">
        <v>2352</v>
      </c>
      <c r="D453" s="537" t="s">
        <v>1299</v>
      </c>
      <c r="E453" s="251" t="s">
        <v>2461</v>
      </c>
      <c r="F453" s="252"/>
      <c r="G453" s="253"/>
      <c r="H453" s="254"/>
      <c r="I453" s="253"/>
      <c r="J453" s="253"/>
      <c r="K453" s="251" t="s">
        <v>2461</v>
      </c>
      <c r="L453" s="255"/>
      <c r="M453" s="258"/>
      <c r="N453" s="257"/>
      <c r="O453" s="258"/>
      <c r="P453" s="257"/>
      <c r="Q453" s="258"/>
      <c r="R453" s="257"/>
      <c r="S453" s="258"/>
      <c r="T453" s="257"/>
      <c r="U453" s="258"/>
      <c r="V453" s="257"/>
      <c r="W453" s="258"/>
      <c r="X453" s="257"/>
      <c r="Y453" s="258"/>
      <c r="Z453" s="257"/>
    </row>
    <row r="454" spans="1:26" ht="42" customHeight="1">
      <c r="A454" s="250"/>
      <c r="B454" s="251"/>
      <c r="C454" s="648"/>
      <c r="D454" s="538" t="s">
        <v>1524</v>
      </c>
      <c r="E454" s="311"/>
      <c r="F454" s="252"/>
      <c r="G454" s="253"/>
      <c r="H454" s="254"/>
      <c r="I454" s="253"/>
      <c r="J454" s="253"/>
      <c r="K454" s="311"/>
      <c r="L454" s="255"/>
      <c r="M454" s="258"/>
      <c r="N454" s="257"/>
      <c r="O454" s="258"/>
      <c r="P454" s="257"/>
      <c r="Q454" s="258"/>
      <c r="R454" s="257"/>
      <c r="S454" s="258"/>
      <c r="T454" s="257"/>
      <c r="U454" s="258"/>
      <c r="V454" s="257"/>
      <c r="W454" s="258"/>
      <c r="X454" s="257"/>
      <c r="Y454" s="258"/>
      <c r="Z454" s="257"/>
    </row>
    <row r="455" spans="1:26" ht="15" customHeight="1">
      <c r="A455" s="250"/>
      <c r="B455" s="251"/>
      <c r="C455" s="648"/>
      <c r="D455" s="292" t="s">
        <v>993</v>
      </c>
      <c r="E455" s="251"/>
      <c r="F455" s="252"/>
      <c r="G455" s="253"/>
      <c r="H455" s="254"/>
      <c r="I455" s="253"/>
      <c r="J455" s="253"/>
      <c r="K455" s="251"/>
      <c r="L455" s="255"/>
      <c r="M455" s="258">
        <f>(172+10)*0.5*0.1</f>
        <v>9.1</v>
      </c>
      <c r="N455" s="257"/>
      <c r="O455" s="258"/>
      <c r="P455" s="257"/>
      <c r="Q455" s="258">
        <f>(172+10)*0.85*0.1</f>
        <v>15.469999999999999</v>
      </c>
      <c r="R455" s="257"/>
      <c r="S455" s="258"/>
      <c r="T455" s="257"/>
      <c r="U455" s="258">
        <f>172*3*0.05+172*2.7*0.05</f>
        <v>49.02</v>
      </c>
      <c r="V455" s="257"/>
      <c r="W455" s="258"/>
      <c r="X455" s="258"/>
      <c r="Y455" s="258">
        <f>(170+10)*(7.7-2.65)*0.1-Q455-O455-M455</f>
        <v>66.330000000000027</v>
      </c>
      <c r="Z455" s="257"/>
    </row>
    <row r="456" spans="1:26" ht="15" customHeight="1">
      <c r="A456" s="250"/>
      <c r="B456" s="251"/>
      <c r="C456" s="648"/>
      <c r="D456" s="292" t="s">
        <v>994</v>
      </c>
      <c r="E456" s="251"/>
      <c r="F456" s="252"/>
      <c r="G456" s="253"/>
      <c r="H456" s="254"/>
      <c r="I456" s="253"/>
      <c r="J456" s="253"/>
      <c r="K456" s="251"/>
      <c r="L456" s="255"/>
      <c r="M456" s="258">
        <f>(10+250+10)*0.5*0.1</f>
        <v>13.5</v>
      </c>
      <c r="N456" s="257"/>
      <c r="O456" s="258">
        <f>(250+10-97)*(1.3*0.1)</f>
        <v>21.19</v>
      </c>
      <c r="P456" s="257"/>
      <c r="Q456" s="258">
        <f>(10+250+10)*0.85*0.1</f>
        <v>22.950000000000003</v>
      </c>
      <c r="R456" s="257"/>
      <c r="S456" s="258"/>
      <c r="T456" s="257"/>
      <c r="U456" s="258">
        <f>(10+250+10)*3*0.05+(10+250+10)*3*0.05</f>
        <v>81</v>
      </c>
      <c r="V456" s="257"/>
      <c r="W456" s="258"/>
      <c r="X456" s="258"/>
      <c r="Y456" s="258">
        <f>(10+250+10)*(7.2-2.65)*0.1-Q456-O456-M456</f>
        <v>65.210000000000022</v>
      </c>
      <c r="Z456" s="257"/>
    </row>
    <row r="457" spans="1:26" ht="15" customHeight="1">
      <c r="A457" s="250"/>
      <c r="B457" s="251"/>
      <c r="C457" s="648"/>
      <c r="D457" s="292" t="s">
        <v>995</v>
      </c>
      <c r="E457" s="251"/>
      <c r="F457" s="252"/>
      <c r="G457" s="253"/>
      <c r="H457" s="254"/>
      <c r="I457" s="253"/>
      <c r="J457" s="253"/>
      <c r="K457" s="251"/>
      <c r="L457" s="255"/>
      <c r="M457" s="258">
        <f>(10+250)*0.5*0.1</f>
        <v>13</v>
      </c>
      <c r="N457" s="257"/>
      <c r="O457" s="258">
        <f>(10+250)*1.3*0.1</f>
        <v>33.800000000000004</v>
      </c>
      <c r="P457" s="257"/>
      <c r="Q457" s="258">
        <f>(10+250)*0.85*0.1</f>
        <v>22.1</v>
      </c>
      <c r="R457" s="257"/>
      <c r="S457" s="258"/>
      <c r="T457" s="257"/>
      <c r="U457" s="258">
        <f>(10+250)*3.4*0.05+(10+250)*3.5*0.05</f>
        <v>89.7</v>
      </c>
      <c r="V457" s="257"/>
      <c r="W457" s="258"/>
      <c r="X457" s="258"/>
      <c r="Y457" s="258">
        <f>(10+250)*(6.1-2.65)*0.1-Q457-O457-M457</f>
        <v>20.79999999999999</v>
      </c>
      <c r="Z457" s="257"/>
    </row>
    <row r="458" spans="1:26" ht="15" customHeight="1">
      <c r="A458" s="250"/>
      <c r="B458" s="251"/>
      <c r="C458" s="648"/>
      <c r="D458" s="292" t="s">
        <v>2446</v>
      </c>
      <c r="E458" s="251"/>
      <c r="F458" s="252"/>
      <c r="G458" s="253"/>
      <c r="H458" s="254"/>
      <c r="I458" s="253"/>
      <c r="J458" s="253"/>
      <c r="K458" s="251"/>
      <c r="L458" s="255"/>
      <c r="M458" s="258">
        <v>0</v>
      </c>
      <c r="N458" s="257"/>
      <c r="O458" s="258">
        <f>100*0.9*0.06</f>
        <v>5.3999999999999995</v>
      </c>
      <c r="P458" s="257"/>
      <c r="Q458" s="258">
        <f>100*0.8*0.06</f>
        <v>4.8</v>
      </c>
      <c r="R458" s="257"/>
      <c r="S458" s="258"/>
      <c r="T458" s="257"/>
      <c r="U458" s="258"/>
      <c r="V458" s="257"/>
      <c r="W458" s="258"/>
      <c r="X458" s="257"/>
      <c r="Y458" s="258"/>
      <c r="Z458" s="257"/>
    </row>
    <row r="459" spans="1:26" ht="15" customHeight="1">
      <c r="A459" s="250"/>
      <c r="B459" s="251"/>
      <c r="C459" s="648"/>
      <c r="D459" s="292" t="s">
        <v>2451</v>
      </c>
      <c r="E459" s="251"/>
      <c r="F459" s="252"/>
      <c r="G459" s="253"/>
      <c r="H459" s="254"/>
      <c r="I459" s="253"/>
      <c r="J459" s="253"/>
      <c r="K459" s="251"/>
      <c r="L459" s="256">
        <f>(180+45+70+40)*0.9*0.1</f>
        <v>30.150000000000002</v>
      </c>
      <c r="M459" s="256"/>
      <c r="N459" s="257"/>
      <c r="O459" s="258"/>
      <c r="P459" s="257"/>
      <c r="Q459" s="258"/>
      <c r="R459" s="257"/>
      <c r="S459" s="258"/>
      <c r="T459" s="257"/>
      <c r="U459" s="258"/>
      <c r="V459" s="257"/>
      <c r="W459" s="258"/>
      <c r="X459" s="257"/>
      <c r="Y459" s="258"/>
      <c r="Z459" s="257"/>
    </row>
    <row r="460" spans="1:26" ht="15" customHeight="1">
      <c r="A460" s="250"/>
      <c r="B460" s="251"/>
      <c r="C460" s="648"/>
      <c r="D460" s="292" t="s">
        <v>2446</v>
      </c>
      <c r="E460" s="251"/>
      <c r="F460" s="252"/>
      <c r="G460" s="253"/>
      <c r="H460" s="254"/>
      <c r="I460" s="253"/>
      <c r="J460" s="253"/>
      <c r="K460" s="251"/>
      <c r="L460" s="256">
        <f>50*0.9*0.1</f>
        <v>4.5</v>
      </c>
      <c r="M460" s="297"/>
      <c r="N460" s="294"/>
      <c r="O460" s="293"/>
      <c r="P460" s="294"/>
      <c r="Q460" s="293"/>
      <c r="R460" s="294"/>
      <c r="S460" s="293"/>
      <c r="T460" s="294"/>
      <c r="U460" s="293"/>
      <c r="V460" s="294"/>
      <c r="W460" s="293"/>
      <c r="X460" s="294"/>
      <c r="Y460" s="293"/>
      <c r="Z460" s="294"/>
    </row>
    <row r="461" spans="1:26" ht="15" customHeight="1">
      <c r="A461" s="250"/>
      <c r="B461" s="251"/>
      <c r="C461" s="648"/>
      <c r="D461" s="292" t="s">
        <v>575</v>
      </c>
      <c r="E461" s="251"/>
      <c r="F461" s="252">
        <f>M461+O461+Q461+S461+U461+W461+Y461</f>
        <v>533.37000000000012</v>
      </c>
      <c r="G461" s="253">
        <f>L461</f>
        <v>47.34</v>
      </c>
      <c r="H461" s="254">
        <f>INT(F461*G461*100+0.5)/100</f>
        <v>25249.74</v>
      </c>
      <c r="I461" s="253">
        <f>N461+P461+R461+T461+V461+X461+Z461</f>
        <v>25249.73</v>
      </c>
      <c r="J461" s="253"/>
      <c r="K461" s="251"/>
      <c r="L461" s="255">
        <v>47.34</v>
      </c>
      <c r="M461" s="258">
        <f>SUM(M455:M460)</f>
        <v>35.6</v>
      </c>
      <c r="N461" s="257">
        <f>INT($L461*M461*100+0.5)/100</f>
        <v>1685.3</v>
      </c>
      <c r="O461" s="258">
        <f>SUM(O455:O460)</f>
        <v>60.390000000000008</v>
      </c>
      <c r="P461" s="257">
        <f>INT($L461*O461*100+0.5)/100</f>
        <v>2858.86</v>
      </c>
      <c r="Q461" s="258">
        <f>SUM(Q455:Q460)</f>
        <v>65.320000000000007</v>
      </c>
      <c r="R461" s="257">
        <f>INT($L461*Q461*100+0.5)/100</f>
        <v>3092.25</v>
      </c>
      <c r="S461" s="258">
        <f>SUM(S455:S460)</f>
        <v>0</v>
      </c>
      <c r="T461" s="257">
        <f>INT($L461*S461*100+0.5)/100</f>
        <v>0</v>
      </c>
      <c r="U461" s="258">
        <f>SUM(U455:U460)</f>
        <v>219.72000000000003</v>
      </c>
      <c r="V461" s="257">
        <f>INT($L461*U461*100+0.5)/100</f>
        <v>10401.540000000001</v>
      </c>
      <c r="W461" s="258">
        <f>SUM(W455:W460)</f>
        <v>0</v>
      </c>
      <c r="X461" s="257">
        <f>INT($L461*W461*100+0.5)/100</f>
        <v>0</v>
      </c>
      <c r="Y461" s="258">
        <f>SUM(Y455:Y460)</f>
        <v>152.34000000000003</v>
      </c>
      <c r="Z461" s="257">
        <f>INT($L461*Y461*100+0.5)/100</f>
        <v>7211.78</v>
      </c>
    </row>
    <row r="462" spans="1:26" ht="15" customHeight="1">
      <c r="A462" s="250"/>
      <c r="B462" s="251"/>
      <c r="C462" s="648"/>
      <c r="D462" s="292"/>
      <c r="E462" s="251"/>
      <c r="F462" s="252"/>
      <c r="G462" s="253"/>
      <c r="H462" s="254"/>
      <c r="I462" s="253"/>
      <c r="J462" s="253"/>
      <c r="K462" s="251"/>
      <c r="L462" s="261"/>
      <c r="M462" s="258"/>
      <c r="N462" s="257"/>
      <c r="O462" s="258"/>
      <c r="P462" s="257"/>
      <c r="Q462" s="258"/>
      <c r="R462" s="257"/>
      <c r="S462" s="258"/>
      <c r="T462" s="257"/>
      <c r="U462" s="258"/>
      <c r="V462" s="257"/>
      <c r="W462" s="258"/>
      <c r="X462" s="257"/>
      <c r="Y462" s="258"/>
      <c r="Z462" s="257"/>
    </row>
    <row r="463" spans="1:26" ht="15" customHeight="1">
      <c r="A463" s="312">
        <f>A453+1</f>
        <v>134</v>
      </c>
      <c r="B463" s="311"/>
      <c r="C463" s="658" t="s">
        <v>2353</v>
      </c>
      <c r="D463" s="539" t="s">
        <v>2080</v>
      </c>
      <c r="E463" s="251" t="s">
        <v>2461</v>
      </c>
      <c r="F463" s="252">
        <f>M463+O463+Q463+S463+U463+W463+Y463</f>
        <v>80</v>
      </c>
      <c r="G463" s="253">
        <f>L463</f>
        <v>32.090000000000003</v>
      </c>
      <c r="H463" s="254">
        <f>INT(F463*G463*100+0.5)/100</f>
        <v>2567.1999999999998</v>
      </c>
      <c r="I463" s="253">
        <f>N463+P463+R463+T463+V463+X463+Z463</f>
        <v>2567.1999999999998</v>
      </c>
      <c r="J463" s="253"/>
      <c r="K463" s="251" t="s">
        <v>2461</v>
      </c>
      <c r="L463" s="255">
        <v>32.090000000000003</v>
      </c>
      <c r="M463" s="458">
        <v>20</v>
      </c>
      <c r="N463" s="257">
        <f>INT($L463*M463*100+0.5)/100</f>
        <v>641.79999999999995</v>
      </c>
      <c r="O463" s="458">
        <v>20</v>
      </c>
      <c r="P463" s="257">
        <f>INT($L463*O463*100+0.5)/100</f>
        <v>641.79999999999995</v>
      </c>
      <c r="Q463" s="458">
        <v>10</v>
      </c>
      <c r="R463" s="257">
        <f>INT($L463*Q463*100+0.5)/100</f>
        <v>320.89999999999998</v>
      </c>
      <c r="S463" s="258">
        <f>S161</f>
        <v>0</v>
      </c>
      <c r="T463" s="257">
        <f>INT($L463*S463*100+0.5)/100</f>
        <v>0</v>
      </c>
      <c r="U463" s="458">
        <v>10</v>
      </c>
      <c r="V463" s="257">
        <f>INT($L463*U463*100+0.5)/100</f>
        <v>320.89999999999998</v>
      </c>
      <c r="W463" s="258">
        <v>0</v>
      </c>
      <c r="X463" s="257">
        <f>INT($L463*W463*100+0.5)/100</f>
        <v>0</v>
      </c>
      <c r="Y463" s="458">
        <v>20</v>
      </c>
      <c r="Z463" s="257">
        <f>INT($L463*Y463*100+0.5)/100</f>
        <v>641.79999999999995</v>
      </c>
    </row>
    <row r="464" spans="1:26" ht="15" customHeight="1">
      <c r="A464" s="312"/>
      <c r="B464" s="311"/>
      <c r="C464" s="538"/>
      <c r="D464" s="539" t="s">
        <v>2079</v>
      </c>
      <c r="E464" s="311"/>
      <c r="F464" s="252"/>
      <c r="G464" s="253"/>
      <c r="H464" s="254"/>
      <c r="I464" s="222"/>
      <c r="J464" s="222"/>
      <c r="K464" s="311"/>
      <c r="L464" s="261"/>
      <c r="M464" s="258"/>
      <c r="N464" s="257"/>
      <c r="O464" s="258"/>
      <c r="P464" s="257"/>
      <c r="Q464" s="258"/>
      <c r="R464" s="257"/>
      <c r="S464" s="258"/>
      <c r="T464" s="257"/>
      <c r="U464" s="258"/>
      <c r="V464" s="257"/>
      <c r="W464" s="258"/>
      <c r="X464" s="257"/>
      <c r="Y464" s="258"/>
      <c r="Z464" s="257"/>
    </row>
    <row r="465" spans="1:26" ht="15" customHeight="1">
      <c r="A465" s="312"/>
      <c r="B465" s="311"/>
      <c r="C465" s="538"/>
      <c r="D465" s="313"/>
      <c r="E465" s="311"/>
      <c r="F465" s="252"/>
      <c r="G465" s="253"/>
      <c r="H465" s="254"/>
      <c r="I465" s="222"/>
      <c r="J465" s="222"/>
      <c r="K465" s="311"/>
      <c r="L465" s="261"/>
      <c r="M465" s="258"/>
      <c r="N465" s="257"/>
      <c r="O465" s="258"/>
      <c r="P465" s="257"/>
      <c r="Q465" s="258"/>
      <c r="R465" s="257"/>
      <c r="S465" s="258"/>
      <c r="T465" s="257"/>
      <c r="U465" s="258"/>
      <c r="V465" s="257"/>
      <c r="W465" s="258"/>
      <c r="X465" s="257"/>
      <c r="Y465" s="258"/>
      <c r="Z465" s="257"/>
    </row>
    <row r="466" spans="1:26" ht="15" customHeight="1">
      <c r="A466" s="250">
        <f>A463+1</f>
        <v>135</v>
      </c>
      <c r="B466" s="251"/>
      <c r="C466" s="647" t="s">
        <v>2354</v>
      </c>
      <c r="D466" s="526" t="s">
        <v>1789</v>
      </c>
      <c r="E466" s="251" t="s">
        <v>2461</v>
      </c>
      <c r="F466" s="252"/>
      <c r="G466" s="253"/>
      <c r="H466" s="254"/>
      <c r="I466" s="253"/>
      <c r="J466" s="253"/>
      <c r="K466" s="251" t="s">
        <v>2461</v>
      </c>
      <c r="L466" s="255"/>
      <c r="M466" s="258"/>
      <c r="N466" s="257"/>
      <c r="O466" s="258"/>
      <c r="P466" s="257"/>
      <c r="Q466" s="258"/>
      <c r="R466" s="257"/>
      <c r="S466" s="258"/>
      <c r="T466" s="257"/>
      <c r="U466" s="258"/>
      <c r="V466" s="257"/>
      <c r="W466" s="258"/>
      <c r="X466" s="257"/>
      <c r="Y466" s="258"/>
      <c r="Z466" s="257"/>
    </row>
    <row r="467" spans="1:26" ht="15" customHeight="1">
      <c r="A467" s="250"/>
      <c r="B467" s="251"/>
      <c r="C467" s="648"/>
      <c r="D467" s="526" t="s">
        <v>12</v>
      </c>
      <c r="E467" s="311"/>
      <c r="F467" s="252"/>
      <c r="G467" s="253"/>
      <c r="H467" s="254"/>
      <c r="I467" s="253"/>
      <c r="J467" s="253"/>
      <c r="K467" s="311"/>
      <c r="L467" s="255"/>
      <c r="M467" s="258"/>
      <c r="N467" s="257"/>
      <c r="O467" s="258"/>
      <c r="P467" s="257"/>
      <c r="Q467" s="258"/>
      <c r="R467" s="257"/>
      <c r="S467" s="258"/>
      <c r="T467" s="257"/>
      <c r="U467" s="258"/>
      <c r="V467" s="257"/>
      <c r="W467" s="258"/>
      <c r="X467" s="257"/>
      <c r="Y467" s="258"/>
      <c r="Z467" s="257"/>
    </row>
    <row r="468" spans="1:26" ht="15" customHeight="1">
      <c r="A468" s="250"/>
      <c r="B468" s="251"/>
      <c r="C468" s="648"/>
      <c r="D468" s="292" t="s">
        <v>1899</v>
      </c>
      <c r="E468" s="251"/>
      <c r="F468" s="252"/>
      <c r="G468" s="253"/>
      <c r="H468" s="254"/>
      <c r="I468" s="253"/>
      <c r="J468" s="253"/>
      <c r="K468" s="251"/>
      <c r="L468" s="255"/>
      <c r="M468" s="293">
        <v>0</v>
      </c>
      <c r="N468" s="294"/>
      <c r="O468" s="293">
        <v>0</v>
      </c>
      <c r="P468" s="294"/>
      <c r="Q468" s="293">
        <v>0</v>
      </c>
      <c r="R468" s="294"/>
      <c r="S468" s="293">
        <v>0</v>
      </c>
      <c r="T468" s="294"/>
      <c r="U468" s="293">
        <v>0</v>
      </c>
      <c r="V468" s="294"/>
      <c r="W468" s="293">
        <v>0</v>
      </c>
      <c r="X468" s="294"/>
      <c r="Y468" s="293">
        <v>0</v>
      </c>
      <c r="Z468" s="294"/>
    </row>
    <row r="469" spans="1:26" ht="15" customHeight="1">
      <c r="A469" s="250"/>
      <c r="B469" s="251"/>
      <c r="C469" s="648"/>
      <c r="D469" s="292" t="s">
        <v>1904</v>
      </c>
      <c r="E469" s="251"/>
      <c r="F469" s="252">
        <f>M469+O469+Q469+S469+U469+W469+Y469</f>
        <v>300</v>
      </c>
      <c r="G469" s="253">
        <f>L469</f>
        <v>24.85</v>
      </c>
      <c r="H469" s="254">
        <f>INT(F469*G469*100+0.5)/100</f>
        <v>7455</v>
      </c>
      <c r="I469" s="253">
        <f>N469+P469+R469+T469+V469+X469+Z469</f>
        <v>7455</v>
      </c>
      <c r="J469" s="253"/>
      <c r="K469" s="251"/>
      <c r="L469" s="255">
        <v>24.85</v>
      </c>
      <c r="M469" s="458">
        <v>100</v>
      </c>
      <c r="N469" s="257">
        <f>INT($L469*M469*100+0.5)/100</f>
        <v>2485</v>
      </c>
      <c r="O469" s="458">
        <v>100</v>
      </c>
      <c r="P469" s="257">
        <f>INT($L469*O469*100+0.5)/100</f>
        <v>2485</v>
      </c>
      <c r="Q469" s="458">
        <v>100</v>
      </c>
      <c r="R469" s="257">
        <f>INT($L469*Q469*100+0.5)/100</f>
        <v>2485</v>
      </c>
      <c r="S469" s="258">
        <f>INT(SUM(S468:S468)*100+0.5)/100</f>
        <v>0</v>
      </c>
      <c r="T469" s="257">
        <f>INT($L469*S469*100+0.5)/100</f>
        <v>0</v>
      </c>
      <c r="U469" s="258">
        <f>INT(SUM(U468:U468)*100+0.5)/100</f>
        <v>0</v>
      </c>
      <c r="V469" s="257">
        <f>INT($L469*U469*100+0.5)/100</f>
        <v>0</v>
      </c>
      <c r="W469" s="258">
        <f>INT(SUM(W468:W468)*100+0.5)/100</f>
        <v>0</v>
      </c>
      <c r="X469" s="257">
        <f>INT($L469*W469*100+0.5)/100</f>
        <v>0</v>
      </c>
      <c r="Y469" s="258">
        <f>INT(SUM(Y468:Y468)*100+0.5)/100</f>
        <v>0</v>
      </c>
      <c r="Z469" s="257">
        <f>INT($L469*Y469*100+0.5)/100</f>
        <v>0</v>
      </c>
    </row>
    <row r="470" spans="1:26" ht="15" customHeight="1">
      <c r="A470" s="250"/>
      <c r="B470" s="251"/>
      <c r="C470" s="648"/>
      <c r="D470" s="292"/>
      <c r="E470" s="251"/>
      <c r="F470" s="252"/>
      <c r="G470" s="253"/>
      <c r="H470" s="254"/>
      <c r="I470" s="253"/>
      <c r="J470" s="253"/>
      <c r="K470" s="251"/>
      <c r="L470" s="255"/>
      <c r="M470" s="258"/>
      <c r="N470" s="257"/>
      <c r="O470" s="258"/>
      <c r="P470" s="257"/>
      <c r="Q470" s="258"/>
      <c r="R470" s="257"/>
      <c r="S470" s="258"/>
      <c r="T470" s="257"/>
      <c r="U470" s="258"/>
      <c r="V470" s="257"/>
      <c r="W470" s="258"/>
      <c r="X470" s="257"/>
      <c r="Y470" s="258"/>
      <c r="Z470" s="257"/>
    </row>
    <row r="471" spans="1:26" ht="15" customHeight="1">
      <c r="A471" s="250">
        <f>A466+1</f>
        <v>136</v>
      </c>
      <c r="B471" s="251"/>
      <c r="C471" s="647" t="s">
        <v>2355</v>
      </c>
      <c r="D471" s="526" t="s">
        <v>1051</v>
      </c>
      <c r="E471" s="251" t="s">
        <v>1898</v>
      </c>
      <c r="F471" s="252">
        <f>M471+O471+Q471+S471+U471+W471+Y471</f>
        <v>0</v>
      </c>
      <c r="G471" s="253">
        <f>L471</f>
        <v>5.48</v>
      </c>
      <c r="H471" s="254">
        <f>INT(F471*G471*100+0.5)/100</f>
        <v>0</v>
      </c>
      <c r="I471" s="253">
        <f>N471+P471+R471+T471+V471+X471+Z471</f>
        <v>0</v>
      </c>
      <c r="J471" s="253"/>
      <c r="K471" s="251" t="s">
        <v>1898</v>
      </c>
      <c r="L471" s="255">
        <v>5.48</v>
      </c>
      <c r="M471" s="258">
        <v>0</v>
      </c>
      <c r="N471" s="257">
        <f>INT($L471*M471*100+0.5)/100</f>
        <v>0</v>
      </c>
      <c r="O471" s="258">
        <v>0</v>
      </c>
      <c r="P471" s="257">
        <f>INT($L471*O471*100+0.5)/100</f>
        <v>0</v>
      </c>
      <c r="Q471" s="258">
        <v>0</v>
      </c>
      <c r="R471" s="257">
        <f>INT($L471*Q471*100+0.5)/100</f>
        <v>0</v>
      </c>
      <c r="S471" s="258">
        <v>0</v>
      </c>
      <c r="T471" s="257">
        <f>INT($L471*S471*100+0.5)/100</f>
        <v>0</v>
      </c>
      <c r="U471" s="258">
        <v>0</v>
      </c>
      <c r="V471" s="257">
        <f>INT($L471*U471*100+0.5)/100</f>
        <v>0</v>
      </c>
      <c r="W471" s="258">
        <v>0</v>
      </c>
      <c r="X471" s="257">
        <f>INT($L471*W471*100+0.5)/100</f>
        <v>0</v>
      </c>
      <c r="Y471" s="258">
        <v>0</v>
      </c>
      <c r="Z471" s="257">
        <f>INT($L471*Y471*100+0.5)/100</f>
        <v>0</v>
      </c>
    </row>
    <row r="472" spans="1:26" ht="15" customHeight="1">
      <c r="A472" s="250"/>
      <c r="B472" s="251"/>
      <c r="C472" s="648"/>
      <c r="D472" s="526" t="s">
        <v>356</v>
      </c>
      <c r="E472" s="251"/>
      <c r="F472" s="252"/>
      <c r="G472" s="253"/>
      <c r="H472" s="254"/>
      <c r="I472" s="253"/>
      <c r="J472" s="253"/>
      <c r="K472" s="251"/>
      <c r="L472" s="255"/>
      <c r="M472" s="258"/>
      <c r="N472" s="257"/>
      <c r="O472" s="258"/>
      <c r="P472" s="257"/>
      <c r="Q472" s="258"/>
      <c r="R472" s="257"/>
      <c r="S472" s="258"/>
      <c r="T472" s="257"/>
      <c r="U472" s="258"/>
      <c r="V472" s="257"/>
      <c r="W472" s="258"/>
      <c r="X472" s="257"/>
      <c r="Y472" s="258"/>
      <c r="Z472" s="257"/>
    </row>
    <row r="473" spans="1:26" ht="15" customHeight="1">
      <c r="A473" s="250"/>
      <c r="B473" s="251"/>
      <c r="C473" s="648"/>
      <c r="D473" s="292"/>
      <c r="E473" s="251"/>
      <c r="F473" s="252"/>
      <c r="G473" s="253"/>
      <c r="H473" s="254"/>
      <c r="I473" s="253"/>
      <c r="J473" s="253"/>
      <c r="K473" s="251"/>
      <c r="L473" s="255"/>
      <c r="M473" s="258"/>
      <c r="N473" s="257"/>
      <c r="O473" s="258"/>
      <c r="P473" s="257"/>
      <c r="Q473" s="258"/>
      <c r="R473" s="257"/>
      <c r="S473" s="258"/>
      <c r="T473" s="257"/>
      <c r="U473" s="258"/>
      <c r="V473" s="257"/>
      <c r="W473" s="258"/>
      <c r="X473" s="257"/>
      <c r="Y473" s="258"/>
      <c r="Z473" s="257"/>
    </row>
    <row r="474" spans="1:26" ht="15" customHeight="1">
      <c r="A474" s="250">
        <f>A471+1</f>
        <v>137</v>
      </c>
      <c r="B474" s="251"/>
      <c r="C474" s="647" t="s">
        <v>2356</v>
      </c>
      <c r="D474" s="526" t="s">
        <v>1371</v>
      </c>
      <c r="E474" s="251" t="s">
        <v>1898</v>
      </c>
      <c r="F474" s="252">
        <f>M474+O474+Q474+S474+U474+W474+Y474</f>
        <v>0</v>
      </c>
      <c r="G474" s="253">
        <f>L474</f>
        <v>1.1299999999999999</v>
      </c>
      <c r="H474" s="254">
        <f>INT(F474*G474*100+0.5)/100</f>
        <v>0</v>
      </c>
      <c r="I474" s="253">
        <f>N474+P474+R474+T474+V474+X474+Z474</f>
        <v>0</v>
      </c>
      <c r="J474" s="253"/>
      <c r="K474" s="251" t="s">
        <v>1898</v>
      </c>
      <c r="L474" s="255">
        <v>1.1299999999999999</v>
      </c>
      <c r="M474" s="258">
        <f>SUM(M129:M131)</f>
        <v>0</v>
      </c>
      <c r="N474" s="257">
        <f>INT($L474*M474*100+0.5)/100</f>
        <v>0</v>
      </c>
      <c r="O474" s="258">
        <f>SUM(O129:O131)</f>
        <v>0</v>
      </c>
      <c r="P474" s="257">
        <f>INT($L474*O474*100+0.5)/100</f>
        <v>0</v>
      </c>
      <c r="Q474" s="258">
        <f>SUM(Q129:Q131)</f>
        <v>0</v>
      </c>
      <c r="R474" s="257">
        <f>INT($L474*Q474*100+0.5)/100</f>
        <v>0</v>
      </c>
      <c r="S474" s="258">
        <f>SUM(S129:S131)</f>
        <v>0</v>
      </c>
      <c r="T474" s="257">
        <f>INT($L474*S474*100+0.5)/100</f>
        <v>0</v>
      </c>
      <c r="U474" s="258">
        <f>SUM(U129:U131)</f>
        <v>0</v>
      </c>
      <c r="V474" s="257">
        <f>INT($L474*U474*100+0.5)/100</f>
        <v>0</v>
      </c>
      <c r="W474" s="258">
        <f>SUM(W129:W131)</f>
        <v>0</v>
      </c>
      <c r="X474" s="257">
        <f>INT($L474*W474*100+0.5)/100</f>
        <v>0</v>
      </c>
      <c r="Y474" s="258">
        <f>SUM(Y129:Y131)</f>
        <v>0</v>
      </c>
      <c r="Z474" s="257">
        <f>INT($L474*Y474*100+0.5)/100</f>
        <v>0</v>
      </c>
    </row>
    <row r="475" spans="1:26" ht="25.5">
      <c r="A475" s="250"/>
      <c r="B475" s="251"/>
      <c r="C475" s="648"/>
      <c r="D475" s="526" t="s">
        <v>1370</v>
      </c>
      <c r="E475" s="251"/>
      <c r="F475" s="252"/>
      <c r="G475" s="253"/>
      <c r="H475" s="254"/>
      <c r="I475" s="253"/>
      <c r="J475" s="253"/>
      <c r="K475" s="251"/>
      <c r="L475" s="255"/>
      <c r="M475" s="258"/>
      <c r="N475" s="257"/>
      <c r="O475" s="258"/>
      <c r="P475" s="257"/>
      <c r="Q475" s="258"/>
      <c r="R475" s="257"/>
      <c r="S475" s="258"/>
      <c r="T475" s="257"/>
      <c r="U475" s="258"/>
      <c r="V475" s="257"/>
      <c r="W475" s="258"/>
      <c r="X475" s="257"/>
      <c r="Y475" s="258"/>
      <c r="Z475" s="257"/>
    </row>
    <row r="476" spans="1:26" ht="15" customHeight="1">
      <c r="A476" s="250"/>
      <c r="B476" s="251"/>
      <c r="C476" s="648"/>
      <c r="D476" s="292"/>
      <c r="E476" s="251"/>
      <c r="F476" s="252"/>
      <c r="G476" s="253"/>
      <c r="H476" s="254"/>
      <c r="I476" s="253"/>
      <c r="J476" s="253"/>
      <c r="K476" s="251"/>
      <c r="L476" s="255"/>
      <c r="M476" s="258"/>
      <c r="N476" s="257"/>
      <c r="O476" s="258"/>
      <c r="P476" s="257"/>
      <c r="Q476" s="258"/>
      <c r="R476" s="257"/>
      <c r="S476" s="258"/>
      <c r="T476" s="257"/>
      <c r="U476" s="258"/>
      <c r="V476" s="257"/>
      <c r="W476" s="258"/>
      <c r="X476" s="257"/>
      <c r="Y476" s="258"/>
      <c r="Z476" s="257"/>
    </row>
    <row r="477" spans="1:26" ht="25.5">
      <c r="A477" s="250">
        <f>A474+1</f>
        <v>138</v>
      </c>
      <c r="B477" s="251"/>
      <c r="C477" s="647" t="s">
        <v>2357</v>
      </c>
      <c r="D477" s="526" t="s">
        <v>493</v>
      </c>
      <c r="E477" s="251" t="s">
        <v>1898</v>
      </c>
      <c r="F477" s="252">
        <f>M477+O477+Q477+S477+U477+W477+Y477</f>
        <v>0</v>
      </c>
      <c r="G477" s="253">
        <f>L477</f>
        <v>4.72</v>
      </c>
      <c r="H477" s="254">
        <f>INT(F477*G477*100+0.5)/100</f>
        <v>0</v>
      </c>
      <c r="I477" s="253">
        <f>N477+P477+R477+T477+V477+X477+Z477</f>
        <v>0</v>
      </c>
      <c r="J477" s="253"/>
      <c r="K477" s="251" t="s">
        <v>1898</v>
      </c>
      <c r="L477" s="255">
        <v>4.72</v>
      </c>
      <c r="M477" s="258">
        <v>0</v>
      </c>
      <c r="N477" s="257">
        <f>INT($L477*M477*100+0.5)/100</f>
        <v>0</v>
      </c>
      <c r="O477" s="258">
        <v>0</v>
      </c>
      <c r="P477" s="257">
        <f>INT($L477*O477*100+0.5)/100</f>
        <v>0</v>
      </c>
      <c r="Q477" s="258">
        <v>0</v>
      </c>
      <c r="R477" s="257">
        <f>INT($L477*Q477*100+0.5)/100</f>
        <v>0</v>
      </c>
      <c r="S477" s="258">
        <v>0</v>
      </c>
      <c r="T477" s="257">
        <f>INT($L477*S477*100+0.5)/100</f>
        <v>0</v>
      </c>
      <c r="U477" s="258">
        <v>0</v>
      </c>
      <c r="V477" s="257">
        <f>INT($L477*U477*100+0.5)/100</f>
        <v>0</v>
      </c>
      <c r="W477" s="258">
        <v>0</v>
      </c>
      <c r="X477" s="257">
        <f>INT($L477*W477*100+0.5)/100</f>
        <v>0</v>
      </c>
      <c r="Y477" s="258">
        <v>0</v>
      </c>
      <c r="Z477" s="257">
        <f>INT($L477*Y477*100+0.5)/100</f>
        <v>0</v>
      </c>
    </row>
    <row r="478" spans="1:26" ht="25.5">
      <c r="A478" s="250"/>
      <c r="B478" s="251"/>
      <c r="C478" s="526"/>
      <c r="D478" s="526" t="s">
        <v>1803</v>
      </c>
      <c r="E478" s="251"/>
      <c r="F478" s="252"/>
      <c r="G478" s="253"/>
      <c r="H478" s="254"/>
      <c r="I478" s="253"/>
      <c r="J478" s="253"/>
      <c r="K478" s="251"/>
      <c r="L478" s="255"/>
      <c r="M478" s="258"/>
      <c r="N478" s="257"/>
      <c r="O478" s="258"/>
      <c r="P478" s="257"/>
      <c r="Q478" s="258"/>
      <c r="R478" s="257"/>
      <c r="S478" s="258"/>
      <c r="T478" s="257"/>
      <c r="U478" s="258"/>
      <c r="V478" s="257"/>
      <c r="W478" s="258"/>
      <c r="X478" s="257"/>
      <c r="Y478" s="258"/>
      <c r="Z478" s="257"/>
    </row>
    <row r="479" spans="1:26" ht="15" customHeight="1">
      <c r="A479" s="250"/>
      <c r="B479" s="251"/>
      <c r="C479" s="526"/>
      <c r="D479" s="292"/>
      <c r="E479" s="251"/>
      <c r="F479" s="252"/>
      <c r="G479" s="253"/>
      <c r="H479" s="254"/>
      <c r="I479" s="253"/>
      <c r="J479" s="253"/>
      <c r="K479" s="251"/>
      <c r="L479" s="255"/>
      <c r="M479" s="258"/>
      <c r="N479" s="257"/>
      <c r="O479" s="258"/>
      <c r="P479" s="257"/>
      <c r="Q479" s="258"/>
      <c r="R479" s="257"/>
      <c r="S479" s="258"/>
      <c r="T479" s="257"/>
      <c r="U479" s="258"/>
      <c r="V479" s="257"/>
      <c r="W479" s="258"/>
      <c r="X479" s="257"/>
      <c r="Y479" s="258"/>
      <c r="Z479" s="257"/>
    </row>
    <row r="480" spans="1:26" ht="25.5">
      <c r="A480" s="250">
        <f>A477+1</f>
        <v>139</v>
      </c>
      <c r="B480" s="251"/>
      <c r="C480" s="647" t="s">
        <v>2358</v>
      </c>
      <c r="D480" s="526" t="s">
        <v>495</v>
      </c>
      <c r="E480" s="251" t="s">
        <v>1898</v>
      </c>
      <c r="F480" s="252">
        <f>M480+O480+Q480+S480+U480+W480+Y480</f>
        <v>0</v>
      </c>
      <c r="G480" s="253">
        <f>L480</f>
        <v>4.17</v>
      </c>
      <c r="H480" s="254">
        <f>INT(F480*G480*100+0.5)/100</f>
        <v>0</v>
      </c>
      <c r="I480" s="253">
        <f>N480+P480+R480+T480+V480+X480+Z480</f>
        <v>0</v>
      </c>
      <c r="J480" s="253"/>
      <c r="K480" s="251" t="s">
        <v>1898</v>
      </c>
      <c r="L480" s="255">
        <v>4.17</v>
      </c>
      <c r="M480" s="258">
        <f>M130</f>
        <v>0</v>
      </c>
      <c r="N480" s="257">
        <f>INT($L480*M480*100+0.5)/100</f>
        <v>0</v>
      </c>
      <c r="O480" s="258">
        <f>O130</f>
        <v>0</v>
      </c>
      <c r="P480" s="257">
        <f>INT($L480*O480*100+0.5)/100</f>
        <v>0</v>
      </c>
      <c r="Q480" s="258">
        <f>Q130</f>
        <v>0</v>
      </c>
      <c r="R480" s="257">
        <f>INT($L480*Q480*100+0.5)/100</f>
        <v>0</v>
      </c>
      <c r="S480" s="258">
        <f>S130</f>
        <v>0</v>
      </c>
      <c r="T480" s="257">
        <f>INT($L480*S480*100+0.5)/100</f>
        <v>0</v>
      </c>
      <c r="U480" s="258">
        <f>U130</f>
        <v>0</v>
      </c>
      <c r="V480" s="257">
        <f>INT($L480*U480*100+0.5)/100</f>
        <v>0</v>
      </c>
      <c r="W480" s="258">
        <f>W130</f>
        <v>0</v>
      </c>
      <c r="X480" s="257">
        <f>INT($L480*W480*100+0.5)/100</f>
        <v>0</v>
      </c>
      <c r="Y480" s="258">
        <f>Y130</f>
        <v>0</v>
      </c>
      <c r="Z480" s="257">
        <f>INT($L480*Y480*100+0.5)/100</f>
        <v>0</v>
      </c>
    </row>
    <row r="481" spans="1:26" ht="25.5">
      <c r="A481" s="250"/>
      <c r="B481" s="251"/>
      <c r="C481" s="647"/>
      <c r="D481" s="526" t="s">
        <v>494</v>
      </c>
      <c r="E481" s="251"/>
      <c r="F481" s="252"/>
      <c r="G481" s="253"/>
      <c r="H481" s="254"/>
      <c r="I481" s="253"/>
      <c r="J481" s="253"/>
      <c r="K481" s="251"/>
      <c r="L481" s="255"/>
      <c r="M481" s="258"/>
      <c r="N481" s="257"/>
      <c r="O481" s="258"/>
      <c r="P481" s="257"/>
      <c r="Q481" s="258"/>
      <c r="R481" s="257"/>
      <c r="S481" s="258"/>
      <c r="T481" s="257"/>
      <c r="U481" s="258"/>
      <c r="V481" s="257"/>
      <c r="W481" s="258"/>
      <c r="X481" s="257"/>
      <c r="Y481" s="258"/>
      <c r="Z481" s="257"/>
    </row>
    <row r="482" spans="1:26" ht="15">
      <c r="A482" s="250"/>
      <c r="B482" s="251"/>
      <c r="C482" s="647"/>
      <c r="D482" s="292"/>
      <c r="E482" s="251"/>
      <c r="F482" s="252"/>
      <c r="G482" s="253"/>
      <c r="H482" s="254"/>
      <c r="I482" s="253"/>
      <c r="J482" s="253"/>
      <c r="K482" s="251"/>
      <c r="L482" s="255"/>
      <c r="M482" s="258"/>
      <c r="N482" s="257"/>
      <c r="O482" s="258"/>
      <c r="P482" s="257"/>
      <c r="Q482" s="258"/>
      <c r="R482" s="257"/>
      <c r="S482" s="258"/>
      <c r="T482" s="257"/>
      <c r="U482" s="258"/>
      <c r="V482" s="257"/>
      <c r="W482" s="258"/>
      <c r="X482" s="257"/>
      <c r="Y482" s="258"/>
      <c r="Z482" s="257"/>
    </row>
    <row r="483" spans="1:26" ht="15" customHeight="1">
      <c r="A483" s="250">
        <f>A480+1</f>
        <v>140</v>
      </c>
      <c r="B483" s="251"/>
      <c r="C483" s="647" t="s">
        <v>1791</v>
      </c>
      <c r="D483" s="526" t="s">
        <v>1793</v>
      </c>
      <c r="E483" s="251" t="s">
        <v>2461</v>
      </c>
      <c r="F483" s="252">
        <f>M483+O483+Q483+S483+U483+W483+Y483</f>
        <v>0</v>
      </c>
      <c r="G483" s="253">
        <f>L483</f>
        <v>7.49</v>
      </c>
      <c r="H483" s="244">
        <f>INT(F483*G483*100+0.5)/100</f>
        <v>0</v>
      </c>
      <c r="I483" s="253">
        <f>N483+P483+R483+T483+V483+X483+Z483</f>
        <v>0</v>
      </c>
      <c r="J483" s="240"/>
      <c r="K483" s="251" t="s">
        <v>2461</v>
      </c>
      <c r="L483" s="255">
        <v>7.49</v>
      </c>
      <c r="M483" s="289">
        <v>0</v>
      </c>
      <c r="N483" s="245">
        <f>INT($L483*M483*100+0.5)/100</f>
        <v>0</v>
      </c>
      <c r="O483" s="289">
        <v>0</v>
      </c>
      <c r="P483" s="245">
        <f>INT($L483*O483*100+0.5)/100</f>
        <v>0</v>
      </c>
      <c r="Q483" s="289">
        <v>0</v>
      </c>
      <c r="R483" s="245">
        <f>INT($L483*Q483*100+0.5)/100</f>
        <v>0</v>
      </c>
      <c r="S483" s="289">
        <v>0</v>
      </c>
      <c r="T483" s="245">
        <f>INT($L483*S483*100+0.5)/100</f>
        <v>0</v>
      </c>
      <c r="U483" s="289">
        <v>0</v>
      </c>
      <c r="V483" s="245">
        <f>INT($L483*U483*100+0.5)/100</f>
        <v>0</v>
      </c>
      <c r="W483" s="289">
        <v>0</v>
      </c>
      <c r="X483" s="245">
        <f>INT($L483*W483*100+0.5)/100</f>
        <v>0</v>
      </c>
      <c r="Y483" s="289">
        <v>0</v>
      </c>
      <c r="Z483" s="245">
        <f>INT($L483*Y483*100+0.5)/100</f>
        <v>0</v>
      </c>
    </row>
    <row r="484" spans="1:26" ht="15" customHeight="1">
      <c r="A484" s="250"/>
      <c r="B484" s="251"/>
      <c r="C484" s="647"/>
      <c r="D484" s="526" t="s">
        <v>1792</v>
      </c>
      <c r="E484" s="251"/>
      <c r="F484" s="252"/>
      <c r="G484" s="253"/>
      <c r="H484" s="254"/>
      <c r="I484" s="253"/>
      <c r="J484" s="253"/>
      <c r="K484" s="251"/>
      <c r="L484" s="255"/>
      <c r="M484" s="258"/>
      <c r="N484" s="257"/>
      <c r="O484" s="258"/>
      <c r="P484" s="257"/>
      <c r="Q484" s="258"/>
      <c r="R484" s="257"/>
      <c r="S484" s="258"/>
      <c r="T484" s="257"/>
      <c r="U484" s="258"/>
      <c r="V484" s="257"/>
      <c r="W484" s="258"/>
      <c r="X484" s="257"/>
      <c r="Y484" s="258"/>
      <c r="Z484" s="257"/>
    </row>
    <row r="485" spans="1:26" ht="15" customHeight="1">
      <c r="A485" s="250"/>
      <c r="B485" s="251"/>
      <c r="C485" s="647"/>
      <c r="D485" s="292"/>
      <c r="E485" s="251"/>
      <c r="F485" s="252"/>
      <c r="G485" s="253"/>
      <c r="H485" s="254"/>
      <c r="I485" s="253"/>
      <c r="J485" s="253"/>
      <c r="K485" s="251"/>
      <c r="L485" s="255"/>
      <c r="M485" s="258"/>
      <c r="N485" s="257"/>
      <c r="O485" s="258"/>
      <c r="P485" s="257"/>
      <c r="Q485" s="258"/>
      <c r="R485" s="257"/>
      <c r="S485" s="258"/>
      <c r="T485" s="257"/>
      <c r="U485" s="258"/>
      <c r="V485" s="257"/>
      <c r="W485" s="258"/>
      <c r="X485" s="257"/>
      <c r="Y485" s="258"/>
      <c r="Z485" s="257"/>
    </row>
    <row r="486" spans="1:26" ht="15" customHeight="1">
      <c r="A486" s="250">
        <f>A483+1</f>
        <v>141</v>
      </c>
      <c r="B486" s="251"/>
      <c r="C486" s="647" t="s">
        <v>683</v>
      </c>
      <c r="D486" s="526" t="s">
        <v>2359</v>
      </c>
      <c r="E486" s="251" t="s">
        <v>591</v>
      </c>
      <c r="F486" s="252">
        <f>M486+O486+Q486+S486+U486+W486+Y486</f>
        <v>7854.1887600000009</v>
      </c>
      <c r="G486" s="253">
        <f>L486</f>
        <v>3.52</v>
      </c>
      <c r="H486" s="244">
        <f>INT(F486*G486*100+0.5)/100</f>
        <v>27646.74</v>
      </c>
      <c r="I486" s="253">
        <f>N486+P486+R486+T486+V486+X486+Z486</f>
        <v>27646.75</v>
      </c>
      <c r="J486" s="240"/>
      <c r="K486" s="251" t="s">
        <v>591</v>
      </c>
      <c r="L486" s="255">
        <v>3.52</v>
      </c>
      <c r="M486" s="289">
        <f>M243*0.66*1.8</f>
        <v>795.48480000000006</v>
      </c>
      <c r="N486" s="245">
        <f>INT($L486*M486*100+0.5)/100</f>
        <v>2800.11</v>
      </c>
      <c r="O486" s="289">
        <f>O243*0.66*1.8</f>
        <v>1252.152</v>
      </c>
      <c r="P486" s="245">
        <f>INT($L486*O486*100+0.5)/100</f>
        <v>4407.58</v>
      </c>
      <c r="Q486" s="289">
        <f>Q243*0.66*1.8</f>
        <v>1349.5204800000001</v>
      </c>
      <c r="R486" s="245">
        <f>INT($L486*Q486*100+0.5)/100</f>
        <v>4750.3100000000004</v>
      </c>
      <c r="S486" s="289">
        <f>S243*0.66*1.8</f>
        <v>85.536000000000001</v>
      </c>
      <c r="T486" s="245">
        <f>INT($L486*S486*100+0.5)/100</f>
        <v>301.08999999999997</v>
      </c>
      <c r="U486" s="289">
        <f>U243*0.66*1.8</f>
        <v>1566.16416</v>
      </c>
      <c r="V486" s="245">
        <f>INT($L486*U486*100+0.5)/100</f>
        <v>5512.9</v>
      </c>
      <c r="W486" s="289">
        <f>W243*0.66*1.8</f>
        <v>90.097920000000002</v>
      </c>
      <c r="X486" s="245">
        <f>INT($L486*W486*100+0.5)/100</f>
        <v>317.14</v>
      </c>
      <c r="Y486" s="289">
        <f>Y243*0.66*1.8</f>
        <v>2715.2334000000005</v>
      </c>
      <c r="Z486" s="245">
        <f>INT($L486*Y486*100+0.5)/100</f>
        <v>9557.6200000000008</v>
      </c>
    </row>
    <row r="487" spans="1:26" ht="38.25">
      <c r="A487" s="250"/>
      <c r="B487" s="251"/>
      <c r="C487" s="526"/>
      <c r="D487" s="526" t="s">
        <v>2374</v>
      </c>
      <c r="E487" s="251"/>
      <c r="F487" s="252"/>
      <c r="G487" s="253"/>
      <c r="H487" s="254"/>
      <c r="I487" s="253"/>
      <c r="J487" s="253"/>
      <c r="K487" s="251"/>
      <c r="L487" s="255"/>
      <c r="M487" s="258"/>
      <c r="N487" s="257"/>
      <c r="O487" s="258"/>
      <c r="P487" s="257"/>
      <c r="Q487" s="258"/>
      <c r="R487" s="257"/>
      <c r="S487" s="258"/>
      <c r="T487" s="257"/>
      <c r="U487" s="258"/>
      <c r="V487" s="257"/>
      <c r="W487" s="258"/>
      <c r="X487" s="257"/>
      <c r="Y487" s="258"/>
      <c r="Z487" s="257"/>
    </row>
    <row r="488" spans="1:26" ht="15" customHeight="1">
      <c r="A488" s="250"/>
      <c r="B488" s="251"/>
      <c r="C488" s="526"/>
      <c r="D488" s="292"/>
      <c r="E488" s="251"/>
      <c r="F488" s="252"/>
      <c r="G488" s="253"/>
      <c r="H488" s="254"/>
      <c r="I488" s="253"/>
      <c r="J488" s="253"/>
      <c r="K488" s="251"/>
      <c r="L488" s="255"/>
      <c r="M488" s="258"/>
      <c r="N488" s="257"/>
      <c r="O488" s="258"/>
      <c r="P488" s="257"/>
      <c r="Q488" s="258"/>
      <c r="R488" s="257"/>
      <c r="S488" s="258"/>
      <c r="T488" s="257"/>
      <c r="U488" s="258"/>
      <c r="V488" s="257"/>
      <c r="W488" s="258"/>
      <c r="X488" s="257"/>
      <c r="Y488" s="258"/>
      <c r="Z488" s="257"/>
    </row>
    <row r="489" spans="1:26" ht="15" customHeight="1">
      <c r="A489" s="250">
        <f>A486+1</f>
        <v>142</v>
      </c>
      <c r="B489" s="251"/>
      <c r="C489" s="647" t="s">
        <v>2375</v>
      </c>
      <c r="D489" s="526" t="s">
        <v>2360</v>
      </c>
      <c r="E489" s="251" t="s">
        <v>591</v>
      </c>
      <c r="F489" s="252">
        <f>M489+O489+Q489+S489+U489+W489+Y489</f>
        <v>3791.6099700000004</v>
      </c>
      <c r="G489" s="253">
        <f>L489</f>
        <v>1.66</v>
      </c>
      <c r="H489" s="244">
        <f>INT(F489*G489*100+0.5)/100</f>
        <v>6294.07</v>
      </c>
      <c r="I489" s="253">
        <f>N489+P489+R489+T489+V489+X489+Z489</f>
        <v>6294.07</v>
      </c>
      <c r="J489" s="240"/>
      <c r="K489" s="251" t="s">
        <v>591</v>
      </c>
      <c r="L489" s="255">
        <v>1.66</v>
      </c>
      <c r="M489" s="289">
        <f>M243*0.33*1.7</f>
        <v>375.6456</v>
      </c>
      <c r="N489" s="245">
        <f>INT($L489*M489*100+0.5)/100</f>
        <v>623.57000000000005</v>
      </c>
      <c r="O489" s="289">
        <f>O243*0.33*1.7</f>
        <v>591.29399999999998</v>
      </c>
      <c r="P489" s="245">
        <f>INT($L489*O489*100+0.5)/100</f>
        <v>981.55</v>
      </c>
      <c r="Q489" s="289">
        <f>Q243*0.33*1.7</f>
        <v>637.27355999999997</v>
      </c>
      <c r="R489" s="245">
        <f>INT($L489*Q489*100+0.5)/100</f>
        <v>1057.8699999999999</v>
      </c>
      <c r="S489" s="289">
        <f>S243*0.33*1.7</f>
        <v>40.392000000000003</v>
      </c>
      <c r="T489" s="245">
        <f>INT($L489*S489*100+0.5)/100</f>
        <v>67.05</v>
      </c>
      <c r="U489" s="289">
        <f>U243*0.33*1.7+U170*0.3*0.15*2.5*50/100</f>
        <v>822.26501999999994</v>
      </c>
      <c r="V489" s="245">
        <f>INT($L489*U489*100+0.5)/100</f>
        <v>1364.96</v>
      </c>
      <c r="W489" s="289">
        <f>W243*0.33*1.7</f>
        <v>42.546239999999997</v>
      </c>
      <c r="X489" s="245">
        <f>INT($L489*W489*100+0.5)/100</f>
        <v>70.63</v>
      </c>
      <c r="Y489" s="289">
        <f>Y243*0.33*1.7</f>
        <v>1282.1935500000002</v>
      </c>
      <c r="Z489" s="245">
        <f>INT($L489*Y489*100+0.5)/100</f>
        <v>2128.44</v>
      </c>
    </row>
    <row r="490" spans="1:26" ht="38.25">
      <c r="A490" s="250"/>
      <c r="B490" s="251"/>
      <c r="C490" s="526"/>
      <c r="D490" s="526" t="s">
        <v>2377</v>
      </c>
      <c r="E490" s="251"/>
      <c r="F490" s="252"/>
      <c r="G490" s="253"/>
      <c r="H490" s="254"/>
      <c r="I490" s="253"/>
      <c r="J490" s="253"/>
      <c r="K490" s="251"/>
      <c r="L490" s="255"/>
      <c r="M490" s="258"/>
      <c r="N490" s="257"/>
      <c r="O490" s="258"/>
      <c r="P490" s="257"/>
      <c r="Q490" s="258"/>
      <c r="R490" s="257"/>
      <c r="S490" s="258"/>
      <c r="T490" s="257"/>
      <c r="U490" s="258"/>
      <c r="V490" s="257"/>
      <c r="W490" s="258"/>
      <c r="X490" s="257"/>
      <c r="Y490" s="258"/>
      <c r="Z490" s="257"/>
    </row>
    <row r="491" spans="1:26" ht="15" customHeight="1">
      <c r="A491" s="250"/>
      <c r="B491" s="251"/>
      <c r="C491" s="526"/>
      <c r="D491" s="292"/>
      <c r="E491" s="251"/>
      <c r="F491" s="252"/>
      <c r="G491" s="253"/>
      <c r="H491" s="254"/>
      <c r="I491" s="253"/>
      <c r="J491" s="253"/>
      <c r="K491" s="251"/>
      <c r="L491" s="255"/>
      <c r="M491" s="258"/>
      <c r="N491" s="257"/>
      <c r="O491" s="258"/>
      <c r="P491" s="257"/>
      <c r="Q491" s="258"/>
      <c r="R491" s="257"/>
      <c r="S491" s="258"/>
      <c r="T491" s="257"/>
      <c r="U491" s="258"/>
      <c r="V491" s="257"/>
      <c r="W491" s="258"/>
      <c r="X491" s="257"/>
      <c r="Y491" s="258"/>
      <c r="Z491" s="257"/>
    </row>
    <row r="492" spans="1:26" ht="15" customHeight="1">
      <c r="A492" s="250">
        <f>A489+1</f>
        <v>143</v>
      </c>
      <c r="B492" s="251"/>
      <c r="C492" s="647" t="s">
        <v>2376</v>
      </c>
      <c r="D492" s="659" t="s">
        <v>2361</v>
      </c>
      <c r="E492" s="251" t="s">
        <v>591</v>
      </c>
      <c r="F492" s="252">
        <f>M492+O492+Q492+S492+U492+W492+Y492</f>
        <v>210</v>
      </c>
      <c r="G492" s="253">
        <f>L492</f>
        <v>7.53</v>
      </c>
      <c r="H492" s="244">
        <f>INT(F492*G492*100+0.5)/100</f>
        <v>1581.3</v>
      </c>
      <c r="I492" s="253">
        <f>N492+P492+R492+T492+V492+X492+Z492</f>
        <v>1581.3</v>
      </c>
      <c r="J492" s="240"/>
      <c r="K492" s="251" t="s">
        <v>591</v>
      </c>
      <c r="L492" s="255">
        <v>7.53</v>
      </c>
      <c r="M492" s="464">
        <v>80</v>
      </c>
      <c r="N492" s="245">
        <f>INT($L492*M492*100+0.5)/100</f>
        <v>602.4</v>
      </c>
      <c r="O492" s="464">
        <v>60</v>
      </c>
      <c r="P492" s="245">
        <f>INT($L492*O492*100+0.5)/100</f>
        <v>451.8</v>
      </c>
      <c r="Q492" s="464">
        <v>40</v>
      </c>
      <c r="R492" s="245">
        <f>INT($L492*Q492*100+0.5)/100</f>
        <v>301.2</v>
      </c>
      <c r="S492" s="289">
        <v>0</v>
      </c>
      <c r="T492" s="245">
        <f>INT($L492*S492*100+0.5)/100</f>
        <v>0</v>
      </c>
      <c r="U492" s="464">
        <v>10</v>
      </c>
      <c r="V492" s="245">
        <f>INT($L492*U492*100+0.5)/100</f>
        <v>75.3</v>
      </c>
      <c r="W492" s="289">
        <v>0</v>
      </c>
      <c r="X492" s="245">
        <f>INT($L492*W492*100+0.5)/100</f>
        <v>0</v>
      </c>
      <c r="Y492" s="464">
        <v>20</v>
      </c>
      <c r="Z492" s="245">
        <f>INT($L492*Y492*100+0.5)/100</f>
        <v>150.6</v>
      </c>
    </row>
    <row r="493" spans="1:26" ht="38.25">
      <c r="A493" s="250"/>
      <c r="B493" s="251"/>
      <c r="C493" s="526"/>
      <c r="D493" s="526" t="s">
        <v>1949</v>
      </c>
      <c r="E493" s="251"/>
      <c r="F493" s="252"/>
      <c r="G493" s="253"/>
      <c r="H493" s="254"/>
      <c r="I493" s="253"/>
      <c r="J493" s="253"/>
      <c r="K493" s="251"/>
      <c r="L493" s="255"/>
      <c r="M493" s="258"/>
      <c r="N493" s="257"/>
      <c r="O493" s="258"/>
      <c r="P493" s="257"/>
      <c r="Q493" s="258"/>
      <c r="R493" s="257"/>
      <c r="S493" s="258"/>
      <c r="T493" s="257"/>
      <c r="U493" s="258"/>
      <c r="V493" s="257"/>
      <c r="W493" s="258"/>
      <c r="X493" s="257"/>
      <c r="Y493" s="258"/>
      <c r="Z493" s="257"/>
    </row>
    <row r="494" spans="1:26" s="247" customFormat="1" ht="15" customHeight="1">
      <c r="A494" s="284"/>
      <c r="B494" s="237"/>
      <c r="C494" s="532"/>
      <c r="D494" s="238"/>
      <c r="E494" s="237"/>
      <c r="F494" s="304"/>
      <c r="G494" s="253"/>
      <c r="H494" s="244"/>
      <c r="I494" s="240"/>
      <c r="J494" s="240"/>
      <c r="K494" s="237"/>
      <c r="L494" s="306"/>
      <c r="M494" s="289"/>
      <c r="N494" s="245"/>
      <c r="O494" s="289"/>
      <c r="P494" s="245"/>
      <c r="Q494" s="289"/>
      <c r="R494" s="245"/>
      <c r="S494" s="289"/>
      <c r="T494" s="245"/>
      <c r="U494" s="289"/>
      <c r="V494" s="245"/>
      <c r="W494" s="289"/>
      <c r="X494" s="245"/>
      <c r="Y494" s="289"/>
      <c r="Z494" s="245"/>
    </row>
    <row r="495" spans="1:26" ht="15" customHeight="1">
      <c r="A495" s="250">
        <f>A492+1</f>
        <v>144</v>
      </c>
      <c r="B495" s="251"/>
      <c r="C495" s="647" t="s">
        <v>1950</v>
      </c>
      <c r="D495" s="659" t="s">
        <v>2362</v>
      </c>
      <c r="E495" s="251" t="s">
        <v>591</v>
      </c>
      <c r="F495" s="252">
        <f>M495+O495+Q495+S495+U495+W495+Y495</f>
        <v>2312.3556000000003</v>
      </c>
      <c r="G495" s="253">
        <f>L495</f>
        <v>8.61</v>
      </c>
      <c r="H495" s="244">
        <f>INT(F495*G495*100+0.5)/100</f>
        <v>19909.38</v>
      </c>
      <c r="I495" s="253">
        <f>N495+P495+R495+T495+V495+X495+Z495</f>
        <v>19909.39</v>
      </c>
      <c r="J495" s="240"/>
      <c r="K495" s="251" t="s">
        <v>591</v>
      </c>
      <c r="L495" s="255">
        <v>8.61</v>
      </c>
      <c r="M495" s="289">
        <f>M374*23*8/1000+M386*23*15/1000</f>
        <v>101.60250000000001</v>
      </c>
      <c r="N495" s="245">
        <f>INT($L495*M495*100+0.5)/100</f>
        <v>874.8</v>
      </c>
      <c r="O495" s="289">
        <f>O374*23*8/1000+O386*23*15/1000</f>
        <v>233.63399999999999</v>
      </c>
      <c r="P495" s="245">
        <f>INT($L495*O495*100+0.5)/100</f>
        <v>2011.59</v>
      </c>
      <c r="Q495" s="289">
        <f>Q374*23*8/1000+Q386*23*15/1000</f>
        <v>204.60225</v>
      </c>
      <c r="R495" s="245">
        <f>INT($L495*Q495*100+0.5)/100</f>
        <v>1761.63</v>
      </c>
      <c r="S495" s="289">
        <f>S374*23*8/1000+S386*23*15/1000</f>
        <v>0</v>
      </c>
      <c r="T495" s="245">
        <f>INT($L495*S495*100+0.5)/100</f>
        <v>0</v>
      </c>
      <c r="U495" s="289">
        <f>U374*23*8/1000</f>
        <v>773.68320000000006</v>
      </c>
      <c r="V495" s="245">
        <f>INT($L495*U495*100+0.5)/100</f>
        <v>6661.41</v>
      </c>
      <c r="W495" s="289">
        <f>W374*23*8/1000+W386*23*15/1000</f>
        <v>34.886400000000002</v>
      </c>
      <c r="X495" s="245">
        <f>INT($L495*W495*100+0.5)/100</f>
        <v>300.37</v>
      </c>
      <c r="Y495" s="289">
        <f>Y374*23*8/1000+Y386*23*15/1000</f>
        <v>963.94725000000005</v>
      </c>
      <c r="Z495" s="245">
        <f>INT($L495*Y495*100+0.5)/100</f>
        <v>8299.59</v>
      </c>
    </row>
    <row r="496" spans="1:26" ht="25.5">
      <c r="A496" s="250"/>
      <c r="B496" s="251"/>
      <c r="C496" s="526"/>
      <c r="D496" s="526" t="s">
        <v>1951</v>
      </c>
      <c r="E496" s="251"/>
      <c r="F496" s="252"/>
      <c r="G496" s="253"/>
      <c r="H496" s="254"/>
      <c r="I496" s="253"/>
      <c r="J496" s="253"/>
      <c r="K496" s="251"/>
      <c r="L496" s="255"/>
      <c r="M496" s="258"/>
      <c r="N496" s="257"/>
      <c r="O496" s="258"/>
      <c r="P496" s="257"/>
      <c r="Q496" s="258"/>
      <c r="R496" s="257"/>
      <c r="S496" s="258"/>
      <c r="T496" s="257"/>
      <c r="U496" s="258"/>
      <c r="V496" s="257"/>
      <c r="W496" s="258"/>
      <c r="X496" s="257"/>
      <c r="Y496" s="258"/>
      <c r="Z496" s="257"/>
    </row>
    <row r="497" spans="1:26" s="247" customFormat="1" ht="15" customHeight="1">
      <c r="A497" s="284"/>
      <c r="B497" s="237"/>
      <c r="C497" s="654"/>
      <c r="D497" s="238"/>
      <c r="E497" s="237"/>
      <c r="F497" s="304"/>
      <c r="G497" s="253"/>
      <c r="H497" s="244"/>
      <c r="I497" s="240"/>
      <c r="J497" s="240"/>
      <c r="K497" s="237"/>
      <c r="L497" s="306"/>
      <c r="M497" s="289"/>
      <c r="N497" s="245"/>
      <c r="O497" s="289"/>
      <c r="P497" s="245"/>
      <c r="Q497" s="289"/>
      <c r="R497" s="245"/>
      <c r="S497" s="289"/>
      <c r="T497" s="245"/>
      <c r="U497" s="289"/>
      <c r="V497" s="245"/>
      <c r="W497" s="289"/>
      <c r="X497" s="245"/>
      <c r="Y497" s="289"/>
      <c r="Z497" s="245"/>
    </row>
    <row r="498" spans="1:26" ht="15" customHeight="1">
      <c r="A498" s="250">
        <f>A495+1</f>
        <v>145</v>
      </c>
      <c r="B498" s="251"/>
      <c r="C498" s="647" t="s">
        <v>1952</v>
      </c>
      <c r="D498" s="526" t="s">
        <v>2363</v>
      </c>
      <c r="E498" s="251" t="s">
        <v>591</v>
      </c>
      <c r="F498" s="252">
        <f>M498+O498+Q498+S498+U498+W498+Y498</f>
        <v>12</v>
      </c>
      <c r="G498" s="253">
        <f>L498</f>
        <v>42.8</v>
      </c>
      <c r="H498" s="244">
        <f>INT(F498*G498*100+0.5)/100</f>
        <v>513.6</v>
      </c>
      <c r="I498" s="253">
        <f>N498+P498+R498+T498+V498+X498+Z498</f>
        <v>513.6</v>
      </c>
      <c r="J498" s="240"/>
      <c r="K498" s="251" t="s">
        <v>591</v>
      </c>
      <c r="L498" s="255">
        <v>42.8</v>
      </c>
      <c r="M498" s="464">
        <v>4</v>
      </c>
      <c r="N498" s="245">
        <f>INT($L498*M498*100+0.5)/100</f>
        <v>171.2</v>
      </c>
      <c r="O498" s="464">
        <v>3</v>
      </c>
      <c r="P498" s="245">
        <f>INT($L498*O498*100+0.5)/100</f>
        <v>128.4</v>
      </c>
      <c r="Q498" s="464">
        <v>2</v>
      </c>
      <c r="R498" s="245">
        <f>INT($L498*Q498*100+0.5)/100</f>
        <v>85.6</v>
      </c>
      <c r="S498" s="289">
        <v>0</v>
      </c>
      <c r="T498" s="245">
        <f>INT($L498*S498*100+0.5)/100</f>
        <v>0</v>
      </c>
      <c r="U498" s="289">
        <v>0</v>
      </c>
      <c r="V498" s="245">
        <f>INT($L498*U498*100+0.5)/100</f>
        <v>0</v>
      </c>
      <c r="W498" s="289">
        <v>0</v>
      </c>
      <c r="X498" s="245">
        <f>INT($L498*W498*100+0.5)/100</f>
        <v>0</v>
      </c>
      <c r="Y498" s="464">
        <v>3</v>
      </c>
      <c r="Z498" s="245">
        <f>INT($L498*Y498*100+0.5)/100</f>
        <v>128.4</v>
      </c>
    </row>
    <row r="499" spans="1:26" ht="25.5">
      <c r="A499" s="250"/>
      <c r="B499" s="251"/>
      <c r="C499" s="526"/>
      <c r="D499" s="526" t="s">
        <v>1953</v>
      </c>
      <c r="E499" s="251"/>
      <c r="F499" s="252"/>
      <c r="G499" s="253"/>
      <c r="H499" s="254"/>
      <c r="I499" s="253"/>
      <c r="J499" s="253"/>
      <c r="K499" s="251"/>
      <c r="L499" s="255"/>
      <c r="M499" s="458"/>
      <c r="N499" s="257"/>
      <c r="O499" s="458"/>
      <c r="P499" s="257"/>
      <c r="Q499" s="458"/>
      <c r="R499" s="257"/>
      <c r="S499" s="258"/>
      <c r="T499" s="257"/>
      <c r="U499" s="258"/>
      <c r="V499" s="257"/>
      <c r="W499" s="258"/>
      <c r="X499" s="257"/>
      <c r="Y499" s="458"/>
      <c r="Z499" s="257"/>
    </row>
    <row r="500" spans="1:26" ht="15" customHeight="1">
      <c r="A500" s="250"/>
      <c r="B500" s="251"/>
      <c r="C500" s="526"/>
      <c r="D500" s="292"/>
      <c r="E500" s="251"/>
      <c r="F500" s="252"/>
      <c r="G500" s="253"/>
      <c r="H500" s="254"/>
      <c r="I500" s="253"/>
      <c r="J500" s="253"/>
      <c r="K500" s="251"/>
      <c r="L500" s="255"/>
      <c r="M500" s="458"/>
      <c r="N500" s="257"/>
      <c r="O500" s="458"/>
      <c r="P500" s="257"/>
      <c r="Q500" s="458"/>
      <c r="R500" s="257"/>
      <c r="S500" s="258"/>
      <c r="T500" s="257"/>
      <c r="U500" s="258"/>
      <c r="V500" s="257"/>
      <c r="W500" s="258"/>
      <c r="X500" s="257"/>
      <c r="Y500" s="458"/>
      <c r="Z500" s="257"/>
    </row>
    <row r="501" spans="1:26" ht="25.5">
      <c r="A501" s="250">
        <f>A498+1</f>
        <v>146</v>
      </c>
      <c r="B501" s="251"/>
      <c r="C501" s="647" t="s">
        <v>1954</v>
      </c>
      <c r="D501" s="526" t="s">
        <v>2364</v>
      </c>
      <c r="E501" s="251" t="s">
        <v>591</v>
      </c>
      <c r="F501" s="252">
        <f>M501+O501+Q501+S501+U501+W501+Y501</f>
        <v>12</v>
      </c>
      <c r="G501" s="253">
        <f>L501</f>
        <v>58.7</v>
      </c>
      <c r="H501" s="244">
        <f>INT(F501*G501*100+0.5)/100</f>
        <v>704.4</v>
      </c>
      <c r="I501" s="253">
        <f>N501+P501+R501+T501+V501+X501+Z501</f>
        <v>704.4</v>
      </c>
      <c r="J501" s="240"/>
      <c r="K501" s="251" t="s">
        <v>591</v>
      </c>
      <c r="L501" s="255">
        <v>58.7</v>
      </c>
      <c r="M501" s="464">
        <v>4</v>
      </c>
      <c r="N501" s="245">
        <f>INT($L501*M501*100+0.5)/100</f>
        <v>234.8</v>
      </c>
      <c r="O501" s="464">
        <v>3</v>
      </c>
      <c r="P501" s="245">
        <f>INT($L501*O501*100+0.5)/100</f>
        <v>176.1</v>
      </c>
      <c r="Q501" s="464">
        <v>2</v>
      </c>
      <c r="R501" s="245">
        <f>INT($L501*Q501*100+0.5)/100</f>
        <v>117.4</v>
      </c>
      <c r="S501" s="289">
        <v>0</v>
      </c>
      <c r="T501" s="245">
        <f>INT($L501*S501*100+0.5)/100</f>
        <v>0</v>
      </c>
      <c r="U501" s="289">
        <v>0</v>
      </c>
      <c r="V501" s="245">
        <f>INT($L501*U501*100+0.5)/100</f>
        <v>0</v>
      </c>
      <c r="W501" s="289">
        <v>0</v>
      </c>
      <c r="X501" s="245">
        <f>INT($L501*W501*100+0.5)/100</f>
        <v>0</v>
      </c>
      <c r="Y501" s="464">
        <v>3</v>
      </c>
      <c r="Z501" s="245">
        <f>INT($L501*Y501*100+0.5)/100</f>
        <v>176.1</v>
      </c>
    </row>
    <row r="502" spans="1:26" ht="25.5">
      <c r="A502" s="250"/>
      <c r="B502" s="251"/>
      <c r="C502" s="526"/>
      <c r="D502" s="526" t="s">
        <v>1955</v>
      </c>
      <c r="E502" s="251"/>
      <c r="F502" s="252"/>
      <c r="G502" s="253"/>
      <c r="H502" s="254"/>
      <c r="I502" s="253"/>
      <c r="J502" s="253"/>
      <c r="K502" s="251"/>
      <c r="L502" s="255"/>
      <c r="M502" s="458"/>
      <c r="N502" s="257"/>
      <c r="O502" s="458"/>
      <c r="P502" s="257"/>
      <c r="Q502" s="458"/>
      <c r="R502" s="257"/>
      <c r="S502" s="258"/>
      <c r="T502" s="257"/>
      <c r="U502" s="258"/>
      <c r="V502" s="257"/>
      <c r="W502" s="258"/>
      <c r="X502" s="257"/>
      <c r="Y502" s="458"/>
      <c r="Z502" s="257"/>
    </row>
    <row r="503" spans="1:26" ht="15" customHeight="1">
      <c r="A503" s="250"/>
      <c r="B503" s="251"/>
      <c r="C503" s="526"/>
      <c r="D503" s="292"/>
      <c r="E503" s="251"/>
      <c r="F503" s="252"/>
      <c r="G503" s="253"/>
      <c r="H503" s="254"/>
      <c r="I503" s="253"/>
      <c r="J503" s="253"/>
      <c r="K503" s="251"/>
      <c r="L503" s="255"/>
      <c r="M503" s="458"/>
      <c r="N503" s="257"/>
      <c r="O503" s="458"/>
      <c r="P503" s="257"/>
      <c r="Q503" s="458"/>
      <c r="R503" s="257"/>
      <c r="S503" s="258"/>
      <c r="T503" s="257"/>
      <c r="U503" s="258"/>
      <c r="V503" s="257"/>
      <c r="W503" s="258"/>
      <c r="X503" s="257"/>
      <c r="Y503" s="458"/>
      <c r="Z503" s="257"/>
    </row>
    <row r="504" spans="1:26" ht="25.5">
      <c r="A504" s="250">
        <f>A501+1</f>
        <v>147</v>
      </c>
      <c r="B504" s="251"/>
      <c r="C504" s="647" t="s">
        <v>1956</v>
      </c>
      <c r="D504" s="526" t="s">
        <v>2365</v>
      </c>
      <c r="E504" s="251" t="s">
        <v>591</v>
      </c>
      <c r="F504" s="252">
        <f>M504+O504+Q504+S504+U504+W504+Y504</f>
        <v>12</v>
      </c>
      <c r="G504" s="253">
        <f>L504</f>
        <v>192.48</v>
      </c>
      <c r="H504" s="244">
        <f>INT(F504*G504*100+0.5)/100</f>
        <v>2309.7600000000002</v>
      </c>
      <c r="I504" s="253">
        <f>N504+P504+R504+T504+V504+X504+Z504</f>
        <v>2309.7600000000002</v>
      </c>
      <c r="J504" s="240"/>
      <c r="K504" s="251" t="s">
        <v>591</v>
      </c>
      <c r="L504" s="255">
        <v>192.48</v>
      </c>
      <c r="M504" s="464">
        <v>4</v>
      </c>
      <c r="N504" s="245">
        <f>INT($L504*M504*100+0.5)/100</f>
        <v>769.92</v>
      </c>
      <c r="O504" s="464">
        <v>3</v>
      </c>
      <c r="P504" s="245">
        <f>INT($L504*O504*100+0.5)/100</f>
        <v>577.44000000000005</v>
      </c>
      <c r="Q504" s="464">
        <v>2</v>
      </c>
      <c r="R504" s="245">
        <f>INT($L504*Q504*100+0.5)/100</f>
        <v>384.96</v>
      </c>
      <c r="S504" s="289">
        <v>0</v>
      </c>
      <c r="T504" s="245">
        <f>INT($L504*S504*100+0.5)/100</f>
        <v>0</v>
      </c>
      <c r="U504" s="289">
        <v>0</v>
      </c>
      <c r="V504" s="245">
        <f>INT($L504*U504*100+0.5)/100</f>
        <v>0</v>
      </c>
      <c r="W504" s="289">
        <v>0</v>
      </c>
      <c r="X504" s="245">
        <f>INT($L504*W504*100+0.5)/100</f>
        <v>0</v>
      </c>
      <c r="Y504" s="464">
        <v>3</v>
      </c>
      <c r="Z504" s="245">
        <f>INT($L504*Y504*100+0.5)/100</f>
        <v>577.44000000000005</v>
      </c>
    </row>
    <row r="505" spans="1:26" ht="38.25">
      <c r="A505" s="250"/>
      <c r="B505" s="251"/>
      <c r="C505" s="526"/>
      <c r="D505" s="526" t="s">
        <v>1957</v>
      </c>
      <c r="E505" s="251"/>
      <c r="F505" s="252"/>
      <c r="G505" s="253"/>
      <c r="H505" s="254"/>
      <c r="I505" s="253"/>
      <c r="J505" s="253"/>
      <c r="K505" s="251"/>
      <c r="L505" s="255"/>
      <c r="M505" s="458"/>
      <c r="N505" s="257"/>
      <c r="O505" s="458"/>
      <c r="P505" s="257"/>
      <c r="Q505" s="458"/>
      <c r="R505" s="257"/>
      <c r="S505" s="258"/>
      <c r="T505" s="257"/>
      <c r="U505" s="258"/>
      <c r="V505" s="257"/>
      <c r="W505" s="258"/>
      <c r="X505" s="257"/>
      <c r="Y505" s="458"/>
      <c r="Z505" s="257"/>
    </row>
    <row r="506" spans="1:26" ht="15" customHeight="1">
      <c r="A506" s="250"/>
      <c r="B506" s="251"/>
      <c r="C506" s="526"/>
      <c r="D506" s="292"/>
      <c r="E506" s="251"/>
      <c r="F506" s="252"/>
      <c r="G506" s="253"/>
      <c r="H506" s="254"/>
      <c r="I506" s="253"/>
      <c r="J506" s="253"/>
      <c r="K506" s="251"/>
      <c r="L506" s="255"/>
      <c r="M506" s="458"/>
      <c r="N506" s="257"/>
      <c r="O506" s="258"/>
      <c r="P506" s="257"/>
      <c r="Q506" s="258"/>
      <c r="R506" s="257"/>
      <c r="S506" s="258"/>
      <c r="T506" s="257"/>
      <c r="U506" s="258"/>
      <c r="V506" s="257"/>
      <c r="W506" s="258"/>
      <c r="X506" s="257"/>
      <c r="Y506" s="458"/>
      <c r="Z506" s="257"/>
    </row>
    <row r="507" spans="1:26" ht="25.5">
      <c r="A507" s="250">
        <f>A504+1</f>
        <v>148</v>
      </c>
      <c r="B507" s="251"/>
      <c r="C507" s="647" t="s">
        <v>1958</v>
      </c>
      <c r="D507" s="526" t="s">
        <v>2366</v>
      </c>
      <c r="E507" s="251" t="s">
        <v>591</v>
      </c>
      <c r="F507" s="252">
        <f>M507+O507+Q507+S507+U507+W507+Y507</f>
        <v>5</v>
      </c>
      <c r="G507" s="253">
        <f>L507</f>
        <v>136.96</v>
      </c>
      <c r="H507" s="244">
        <f>INT(F507*G507*100+0.5)/100</f>
        <v>684.8</v>
      </c>
      <c r="I507" s="253">
        <f>N507+P507+R507+T507+V507+X507+Z507</f>
        <v>684.8</v>
      </c>
      <c r="J507" s="240"/>
      <c r="K507" s="251" t="s">
        <v>591</v>
      </c>
      <c r="L507" s="255">
        <v>136.96</v>
      </c>
      <c r="M507" s="464">
        <v>1</v>
      </c>
      <c r="N507" s="245">
        <f>INT($L507*M507*100+0.5)/100</f>
        <v>136.96</v>
      </c>
      <c r="O507" s="464">
        <v>1</v>
      </c>
      <c r="P507" s="245">
        <f>INT($L507*O507*100+0.5)/100</f>
        <v>136.96</v>
      </c>
      <c r="Q507" s="464">
        <v>1</v>
      </c>
      <c r="R507" s="245">
        <f>INT($L507*Q507*100+0.5)/100</f>
        <v>136.96</v>
      </c>
      <c r="S507" s="289">
        <v>0</v>
      </c>
      <c r="T507" s="245">
        <f>INT($L507*S507*100+0.5)/100</f>
        <v>0</v>
      </c>
      <c r="U507" s="289">
        <v>0</v>
      </c>
      <c r="V507" s="245">
        <f>INT($L507*U507*100+0.5)/100</f>
        <v>0</v>
      </c>
      <c r="W507" s="289">
        <v>0</v>
      </c>
      <c r="X507" s="245">
        <f>INT($L507*W507*100+0.5)/100</f>
        <v>0</v>
      </c>
      <c r="Y507" s="464">
        <v>2</v>
      </c>
      <c r="Z507" s="245">
        <f>INT($L507*Y507*100+0.5)/100</f>
        <v>273.92</v>
      </c>
    </row>
    <row r="508" spans="1:26" ht="25.5">
      <c r="A508" s="250"/>
      <c r="B508" s="251"/>
      <c r="C508" s="526"/>
      <c r="D508" s="526" t="s">
        <v>1959</v>
      </c>
      <c r="E508" s="251"/>
      <c r="F508" s="252"/>
      <c r="G508" s="253"/>
      <c r="H508" s="254"/>
      <c r="I508" s="253"/>
      <c r="J508" s="253"/>
      <c r="K508" s="251"/>
      <c r="L508" s="255"/>
      <c r="M508" s="458"/>
      <c r="N508" s="257"/>
      <c r="O508" s="258"/>
      <c r="P508" s="257"/>
      <c r="Q508" s="258"/>
      <c r="R508" s="257"/>
      <c r="S508" s="258"/>
      <c r="T508" s="257"/>
      <c r="U508" s="258"/>
      <c r="V508" s="257"/>
      <c r="W508" s="258"/>
      <c r="X508" s="257"/>
      <c r="Y508" s="258"/>
      <c r="Z508" s="257"/>
    </row>
    <row r="509" spans="1:26" ht="15" customHeight="1">
      <c r="A509" s="250"/>
      <c r="B509" s="251"/>
      <c r="C509" s="526"/>
      <c r="D509" s="292"/>
      <c r="E509" s="251"/>
      <c r="F509" s="252"/>
      <c r="G509" s="253"/>
      <c r="H509" s="254"/>
      <c r="I509" s="253"/>
      <c r="J509" s="253"/>
      <c r="K509" s="251"/>
      <c r="L509" s="255"/>
      <c r="M509" s="258"/>
      <c r="N509" s="257"/>
      <c r="O509" s="258"/>
      <c r="P509" s="257"/>
      <c r="Q509" s="258"/>
      <c r="R509" s="257"/>
      <c r="S509" s="258"/>
      <c r="T509" s="257"/>
      <c r="U509" s="258"/>
      <c r="V509" s="257"/>
      <c r="W509" s="258"/>
      <c r="X509" s="257"/>
      <c r="Y509" s="258"/>
      <c r="Z509" s="257"/>
    </row>
    <row r="510" spans="1:26" ht="25.5">
      <c r="A510" s="250">
        <f>A507+1</f>
        <v>149</v>
      </c>
      <c r="B510" s="251"/>
      <c r="C510" s="647" t="s">
        <v>1960</v>
      </c>
      <c r="D510" s="526" t="s">
        <v>2367</v>
      </c>
      <c r="E510" s="251" t="s">
        <v>591</v>
      </c>
      <c r="F510" s="252">
        <f>M510+O510+Q510+S510+U510+W510+Y510</f>
        <v>3</v>
      </c>
      <c r="G510" s="253">
        <f>L510</f>
        <v>39.130000000000003</v>
      </c>
      <c r="H510" s="244">
        <f>INT(F510*G510*100+0.5)/100</f>
        <v>117.39</v>
      </c>
      <c r="I510" s="253">
        <f>N510+P510+R510+T510+V510+X510+Z510</f>
        <v>117.39000000000001</v>
      </c>
      <c r="J510" s="240"/>
      <c r="K510" s="251" t="s">
        <v>591</v>
      </c>
      <c r="L510" s="255">
        <v>39.130000000000003</v>
      </c>
      <c r="M510" s="289">
        <v>1</v>
      </c>
      <c r="N510" s="245">
        <f>INT($L510*M510*100+0.5)/100</f>
        <v>39.130000000000003</v>
      </c>
      <c r="O510" s="289">
        <v>1</v>
      </c>
      <c r="P510" s="245">
        <f>INT($L510*O510*100+0.5)/100</f>
        <v>39.130000000000003</v>
      </c>
      <c r="Q510" s="289">
        <v>1</v>
      </c>
      <c r="R510" s="245">
        <f>INT($L510*Q510*100+0.5)/100</f>
        <v>39.130000000000003</v>
      </c>
      <c r="S510" s="289">
        <v>0</v>
      </c>
      <c r="T510" s="245">
        <f>INT($L510*S510*100+0.5)/100</f>
        <v>0</v>
      </c>
      <c r="U510" s="289">
        <v>0</v>
      </c>
      <c r="V510" s="245">
        <f>INT($L510*U510*100+0.5)/100</f>
        <v>0</v>
      </c>
      <c r="W510" s="289">
        <v>0</v>
      </c>
      <c r="X510" s="245">
        <f>INT($L510*W510*100+0.5)/100</f>
        <v>0</v>
      </c>
      <c r="Y510" s="289">
        <v>0</v>
      </c>
      <c r="Z510" s="245">
        <f>INT($L510*Y510*100+0.5)/100</f>
        <v>0</v>
      </c>
    </row>
    <row r="511" spans="1:26" ht="38.25">
      <c r="A511" s="250"/>
      <c r="B511" s="251"/>
      <c r="C511" s="526"/>
      <c r="D511" s="526" t="s">
        <v>1961</v>
      </c>
      <c r="E511" s="251"/>
      <c r="F511" s="252"/>
      <c r="G511" s="253"/>
      <c r="H511" s="254"/>
      <c r="I511" s="253"/>
      <c r="J511" s="253"/>
      <c r="K511" s="251"/>
      <c r="L511" s="255"/>
      <c r="M511" s="258"/>
      <c r="N511" s="257"/>
      <c r="O511" s="258"/>
      <c r="P511" s="257"/>
      <c r="Q511" s="258"/>
      <c r="R511" s="257"/>
      <c r="S511" s="258"/>
      <c r="T511" s="257"/>
      <c r="U511" s="258"/>
      <c r="V511" s="257"/>
      <c r="W511" s="258"/>
      <c r="X511" s="257"/>
      <c r="Y511" s="258"/>
      <c r="Z511" s="257"/>
    </row>
    <row r="512" spans="1:26" ht="15" customHeight="1">
      <c r="A512" s="250"/>
      <c r="B512" s="251"/>
      <c r="C512" s="526"/>
      <c r="D512" s="292"/>
      <c r="E512" s="251"/>
      <c r="F512" s="252"/>
      <c r="G512" s="253"/>
      <c r="H512" s="254"/>
      <c r="I512" s="253"/>
      <c r="J512" s="253"/>
      <c r="K512" s="251"/>
      <c r="L512" s="255"/>
      <c r="M512" s="258"/>
      <c r="N512" s="257"/>
      <c r="O512" s="258"/>
      <c r="P512" s="257"/>
      <c r="Q512" s="258"/>
      <c r="R512" s="257"/>
      <c r="S512" s="258"/>
      <c r="T512" s="257"/>
      <c r="U512" s="258"/>
      <c r="V512" s="257"/>
      <c r="W512" s="258"/>
      <c r="X512" s="257"/>
      <c r="Y512" s="258"/>
      <c r="Z512" s="257"/>
    </row>
    <row r="513" spans="1:26" ht="15" customHeight="1">
      <c r="A513" s="250">
        <f>A510+1</f>
        <v>150</v>
      </c>
      <c r="B513" s="251"/>
      <c r="C513" s="647" t="s">
        <v>1962</v>
      </c>
      <c r="D513" s="526" t="s">
        <v>2368</v>
      </c>
      <c r="E513" s="251" t="s">
        <v>591</v>
      </c>
      <c r="F513" s="252">
        <f>M513+O513+Q513+S513+U513+W513+Y513</f>
        <v>5</v>
      </c>
      <c r="G513" s="253">
        <f>L513</f>
        <v>0</v>
      </c>
      <c r="H513" s="244">
        <f>INT(F513*G513*100+0.5)/100</f>
        <v>0</v>
      </c>
      <c r="I513" s="253">
        <f>N513+P513+R513+T513+V513+X513+Z513</f>
        <v>0</v>
      </c>
      <c r="J513" s="240"/>
      <c r="K513" s="251" t="s">
        <v>591</v>
      </c>
      <c r="L513" s="255">
        <v>0</v>
      </c>
      <c r="M513" s="289">
        <v>2</v>
      </c>
      <c r="N513" s="245">
        <f>INT($L513*M513*100+0.5)/100</f>
        <v>0</v>
      </c>
      <c r="O513" s="289">
        <v>2</v>
      </c>
      <c r="P513" s="245">
        <f>INT($L513*O513*100+0.5)/100</f>
        <v>0</v>
      </c>
      <c r="Q513" s="289">
        <v>1</v>
      </c>
      <c r="R513" s="245">
        <f>INT($L513*Q513*100+0.5)/100</f>
        <v>0</v>
      </c>
      <c r="S513" s="289">
        <v>0</v>
      </c>
      <c r="T513" s="245">
        <f>INT($L513*S513*100+0.5)/100</f>
        <v>0</v>
      </c>
      <c r="U513" s="289">
        <v>0</v>
      </c>
      <c r="V513" s="245">
        <f>INT($L513*U513*100+0.5)/100</f>
        <v>0</v>
      </c>
      <c r="W513" s="289">
        <v>0</v>
      </c>
      <c r="X513" s="245">
        <f>INT($L513*W513*100+0.5)/100</f>
        <v>0</v>
      </c>
      <c r="Y513" s="289">
        <v>0</v>
      </c>
      <c r="Z513" s="245">
        <f>INT($L513*Y513*100+0.5)/100</f>
        <v>0</v>
      </c>
    </row>
    <row r="514" spans="1:26" ht="25.5">
      <c r="A514" s="250"/>
      <c r="B514" s="251"/>
      <c r="C514" s="526"/>
      <c r="D514" s="526" t="s">
        <v>1963</v>
      </c>
      <c r="E514" s="251"/>
      <c r="F514" s="252"/>
      <c r="G514" s="253"/>
      <c r="H514" s="254"/>
      <c r="I514" s="253"/>
      <c r="J514" s="253"/>
      <c r="K514" s="251"/>
      <c r="L514" s="255"/>
      <c r="M514" s="258"/>
      <c r="N514" s="257"/>
      <c r="O514" s="258"/>
      <c r="P514" s="257"/>
      <c r="Q514" s="258"/>
      <c r="R514" s="257"/>
      <c r="S514" s="258"/>
      <c r="T514" s="257"/>
      <c r="U514" s="258"/>
      <c r="V514" s="257"/>
      <c r="W514" s="258"/>
      <c r="X514" s="257"/>
      <c r="Y514" s="258"/>
      <c r="Z514" s="257"/>
    </row>
    <row r="515" spans="1:26" ht="15" customHeight="1">
      <c r="A515" s="250"/>
      <c r="B515" s="251"/>
      <c r="C515" s="526"/>
      <c r="D515" s="292"/>
      <c r="E515" s="251"/>
      <c r="F515" s="252"/>
      <c r="G515" s="253"/>
      <c r="H515" s="254"/>
      <c r="I515" s="253"/>
      <c r="J515" s="253"/>
      <c r="K515" s="251"/>
      <c r="L515" s="255"/>
      <c r="M515" s="258"/>
      <c r="N515" s="257"/>
      <c r="O515" s="258"/>
      <c r="P515" s="257"/>
      <c r="Q515" s="258"/>
      <c r="R515" s="257"/>
      <c r="S515" s="258"/>
      <c r="T515" s="257"/>
      <c r="U515" s="258"/>
      <c r="V515" s="257"/>
      <c r="W515" s="258"/>
      <c r="X515" s="257"/>
      <c r="Y515" s="258"/>
      <c r="Z515" s="257"/>
    </row>
    <row r="516" spans="1:26" s="303" customFormat="1" ht="15" customHeight="1">
      <c r="A516" s="298"/>
      <c r="B516" s="299"/>
      <c r="C516" s="267" t="s">
        <v>1448</v>
      </c>
      <c r="D516" s="333" t="s">
        <v>1449</v>
      </c>
      <c r="E516" s="299"/>
      <c r="F516" s="301"/>
      <c r="G516" s="273"/>
      <c r="H516" s="273"/>
      <c r="I516" s="272">
        <f>N516+P516+R516+T516+V516+X516+Z516</f>
        <v>508613.3600000001</v>
      </c>
      <c r="J516" s="269">
        <f>SUM(N516:Z516)</f>
        <v>508613.3600000001</v>
      </c>
      <c r="K516" s="299"/>
      <c r="L516" s="314"/>
      <c r="M516" s="273"/>
      <c r="N516" s="273">
        <f>SUM(N214:N515)</f>
        <v>88448.930000000022</v>
      </c>
      <c r="O516" s="273"/>
      <c r="P516" s="273">
        <f>SUM(P214:P515)</f>
        <v>77459.980000000025</v>
      </c>
      <c r="Q516" s="273"/>
      <c r="R516" s="273">
        <f>SUM(R214:R515)</f>
        <v>85072.35000000002</v>
      </c>
      <c r="S516" s="273"/>
      <c r="T516" s="273">
        <f>SUM(T214:T515)</f>
        <v>1692.3199999999997</v>
      </c>
      <c r="U516" s="273"/>
      <c r="V516" s="273">
        <f>SUM(V214:V515)</f>
        <v>100567.79999999999</v>
      </c>
      <c r="W516" s="273"/>
      <c r="X516" s="273">
        <f>SUM(X214:X515)</f>
        <v>9943.0599999999977</v>
      </c>
      <c r="Y516" s="273"/>
      <c r="Z516" s="273">
        <f>SUM(Z214:Z515)</f>
        <v>145428.92000000004</v>
      </c>
    </row>
    <row r="517" spans="1:26" ht="15" customHeight="1">
      <c r="A517" s="250"/>
      <c r="B517" s="251"/>
      <c r="C517" s="453"/>
      <c r="D517" s="330"/>
      <c r="E517" s="251"/>
      <c r="F517" s="252"/>
      <c r="G517" s="253"/>
      <c r="H517" s="254"/>
      <c r="I517" s="253"/>
      <c r="J517" s="253"/>
      <c r="K517" s="251"/>
      <c r="L517" s="255"/>
      <c r="M517" s="258"/>
      <c r="N517" s="494">
        <f>N516/$N$1928</f>
        <v>0.44053317860113461</v>
      </c>
      <c r="O517" s="258"/>
      <c r="P517" s="257"/>
      <c r="Q517" s="258"/>
      <c r="R517" s="257"/>
      <c r="S517" s="258"/>
      <c r="T517" s="257"/>
      <c r="U517" s="258"/>
      <c r="V517" s="257"/>
      <c r="W517" s="258"/>
      <c r="X517" s="257"/>
      <c r="Y517" s="258"/>
      <c r="Z517" s="257"/>
    </row>
    <row r="518" spans="1:26" ht="25.5">
      <c r="A518" s="250"/>
      <c r="B518" s="251"/>
      <c r="C518" s="453" t="s">
        <v>1450</v>
      </c>
      <c r="D518" s="330" t="s">
        <v>1451</v>
      </c>
      <c r="E518" s="251"/>
      <c r="F518" s="252"/>
      <c r="G518" s="253"/>
      <c r="H518" s="254"/>
      <c r="I518" s="253"/>
      <c r="J518" s="253"/>
      <c r="K518" s="251"/>
      <c r="L518" s="255"/>
      <c r="M518" s="258"/>
      <c r="N518" s="257"/>
      <c r="O518" s="258"/>
      <c r="P518" s="257"/>
      <c r="Q518" s="258"/>
      <c r="R518" s="257"/>
      <c r="S518" s="258"/>
      <c r="T518" s="257"/>
      <c r="U518" s="258"/>
      <c r="V518" s="257"/>
      <c r="W518" s="258"/>
      <c r="X518" s="257"/>
      <c r="Y518" s="258"/>
      <c r="Z518" s="257"/>
    </row>
    <row r="519" spans="1:26" ht="15">
      <c r="A519" s="250">
        <f>A513+1</f>
        <v>151</v>
      </c>
      <c r="B519" s="251"/>
      <c r="C519" s="526" t="s">
        <v>2369</v>
      </c>
      <c r="D519" s="526" t="s">
        <v>1795</v>
      </c>
      <c r="E519" s="251" t="s">
        <v>2475</v>
      </c>
      <c r="F519" s="252"/>
      <c r="G519" s="253"/>
      <c r="H519" s="254"/>
      <c r="I519" s="253"/>
      <c r="J519" s="253"/>
      <c r="K519" s="251" t="s">
        <v>2475</v>
      </c>
      <c r="L519" s="255"/>
      <c r="M519" s="258"/>
      <c r="N519" s="257"/>
      <c r="O519" s="258"/>
      <c r="P519" s="257"/>
      <c r="Q519" s="258"/>
      <c r="R519" s="257"/>
      <c r="S519" s="258"/>
      <c r="T519" s="257"/>
      <c r="U519" s="258"/>
      <c r="V519" s="257"/>
      <c r="W519" s="258"/>
      <c r="X519" s="257"/>
      <c r="Y519" s="258"/>
      <c r="Z519" s="257"/>
    </row>
    <row r="520" spans="1:26" ht="15" customHeight="1">
      <c r="A520" s="250"/>
      <c r="B520" s="251"/>
      <c r="C520" s="251"/>
      <c r="D520" s="526" t="s">
        <v>1794</v>
      </c>
      <c r="E520" s="251"/>
      <c r="F520" s="252"/>
      <c r="G520" s="253"/>
      <c r="H520" s="254"/>
      <c r="I520" s="253"/>
      <c r="J520" s="253"/>
      <c r="K520" s="251"/>
      <c r="L520" s="255"/>
      <c r="M520" s="258"/>
      <c r="N520" s="257"/>
      <c r="O520" s="258"/>
      <c r="P520" s="257"/>
      <c r="Q520" s="258"/>
      <c r="R520" s="257"/>
      <c r="S520" s="258"/>
      <c r="T520" s="257"/>
      <c r="U520" s="258"/>
      <c r="V520" s="257"/>
      <c r="W520" s="258"/>
      <c r="X520" s="257"/>
      <c r="Y520" s="258"/>
      <c r="Z520" s="257"/>
    </row>
    <row r="521" spans="1:26" ht="15" customHeight="1">
      <c r="A521" s="250"/>
      <c r="B521" s="251"/>
      <c r="C521" s="251"/>
      <c r="D521" s="292" t="s">
        <v>1964</v>
      </c>
      <c r="E521" s="251"/>
      <c r="F521" s="252">
        <f>M521+O521+Q521+S521+U521+W521+Y521</f>
        <v>0</v>
      </c>
      <c r="G521" s="253">
        <f>L521</f>
        <v>19.100000000000001</v>
      </c>
      <c r="H521" s="254">
        <f>INT(F521*G521*100+0.5)/100</f>
        <v>0</v>
      </c>
      <c r="I521" s="253">
        <f>N521+P521+R521+T521+V521+X521+Z521</f>
        <v>0</v>
      </c>
      <c r="J521" s="253"/>
      <c r="K521" s="251"/>
      <c r="L521" s="255">
        <v>19.100000000000001</v>
      </c>
      <c r="M521" s="258">
        <v>0</v>
      </c>
      <c r="N521" s="257">
        <f>INT($L521*M521*100+0.5)/100</f>
        <v>0</v>
      </c>
      <c r="O521" s="258">
        <v>0</v>
      </c>
      <c r="P521" s="257">
        <f>INT($L521*O521*100+0.5)/100</f>
        <v>0</v>
      </c>
      <c r="Q521" s="258">
        <v>0</v>
      </c>
      <c r="R521" s="257">
        <f>INT($L521*Q521*100+0.5)/100</f>
        <v>0</v>
      </c>
      <c r="S521" s="258">
        <v>0</v>
      </c>
      <c r="T521" s="257">
        <f>INT($L521*S521*100+0.5)/100</f>
        <v>0</v>
      </c>
      <c r="U521" s="258">
        <v>0</v>
      </c>
      <c r="V521" s="257">
        <f>INT($L521*U521*100+0.5)/100</f>
        <v>0</v>
      </c>
      <c r="W521" s="258">
        <v>0</v>
      </c>
      <c r="X521" s="257">
        <f>INT($L521*W521*100+0.5)/100</f>
        <v>0</v>
      </c>
      <c r="Y521" s="258">
        <v>0</v>
      </c>
      <c r="Z521" s="257">
        <f>INT($L521*Y521*100+0.5)/100</f>
        <v>0</v>
      </c>
    </row>
    <row r="522" spans="1:26" ht="15" customHeight="1">
      <c r="A522" s="250"/>
      <c r="B522" s="251"/>
      <c r="C522" s="251"/>
      <c r="D522" s="292"/>
      <c r="E522" s="251"/>
      <c r="F522" s="252"/>
      <c r="G522" s="253"/>
      <c r="H522" s="254"/>
      <c r="I522" s="253"/>
      <c r="J522" s="253"/>
      <c r="K522" s="251"/>
      <c r="L522" s="261"/>
      <c r="M522" s="258"/>
      <c r="N522" s="257"/>
      <c r="O522" s="258"/>
      <c r="P522" s="257"/>
      <c r="Q522" s="258"/>
      <c r="R522" s="257"/>
      <c r="S522" s="258"/>
      <c r="T522" s="257"/>
      <c r="U522" s="258"/>
      <c r="V522" s="257"/>
      <c r="W522" s="258"/>
      <c r="X522" s="257"/>
      <c r="Y522" s="258"/>
      <c r="Z522" s="257"/>
    </row>
    <row r="523" spans="1:26" ht="15" customHeight="1">
      <c r="A523" s="250">
        <f>A519+1</f>
        <v>152</v>
      </c>
      <c r="B523" s="251"/>
      <c r="C523" s="647" t="s">
        <v>2370</v>
      </c>
      <c r="D523" s="532" t="s">
        <v>1322</v>
      </c>
      <c r="E523" s="251" t="s">
        <v>2475</v>
      </c>
      <c r="F523" s="252">
        <f>M523+O523+Q523+S523+U523+W523+Y523</f>
        <v>0</v>
      </c>
      <c r="G523" s="253">
        <f>L523</f>
        <v>21.08</v>
      </c>
      <c r="H523" s="254"/>
      <c r="I523" s="253">
        <f>N523+P523+R523+T523+V523+X523+Z523</f>
        <v>0</v>
      </c>
      <c r="J523" s="253"/>
      <c r="K523" s="251" t="s">
        <v>2475</v>
      </c>
      <c r="L523" s="255">
        <v>21.08</v>
      </c>
      <c r="M523" s="258">
        <v>0</v>
      </c>
      <c r="N523" s="257">
        <f>INT($L523*M523*100+0.5)/100</f>
        <v>0</v>
      </c>
      <c r="O523" s="258">
        <v>0</v>
      </c>
      <c r="P523" s="257">
        <f>INT($L523*O523*100+0.5)/100</f>
        <v>0</v>
      </c>
      <c r="Q523" s="258">
        <v>0</v>
      </c>
      <c r="R523" s="257">
        <f>INT($L523*Q523*100+0.5)/100</f>
        <v>0</v>
      </c>
      <c r="S523" s="258">
        <v>0</v>
      </c>
      <c r="T523" s="257">
        <f>INT($L523*S523*100+0.5)/100</f>
        <v>0</v>
      </c>
      <c r="U523" s="258">
        <v>0</v>
      </c>
      <c r="V523" s="257">
        <f>INT($L523*U523*100+0.5)/100</f>
        <v>0</v>
      </c>
      <c r="W523" s="258">
        <v>0</v>
      </c>
      <c r="X523" s="257">
        <f>INT($L523*W523*100+0.5)/100</f>
        <v>0</v>
      </c>
      <c r="Y523" s="258">
        <v>0</v>
      </c>
      <c r="Z523" s="257">
        <f>INT($L523*Y523*100+0.5)/100</f>
        <v>0</v>
      </c>
    </row>
    <row r="524" spans="1:26" ht="25.5">
      <c r="A524" s="250"/>
      <c r="B524" s="251"/>
      <c r="C524" s="648"/>
      <c r="D524" s="532" t="s">
        <v>1037</v>
      </c>
      <c r="E524" s="251"/>
      <c r="F524" s="252"/>
      <c r="G524" s="253"/>
      <c r="H524" s="254"/>
      <c r="I524" s="253"/>
      <c r="J524" s="253"/>
      <c r="K524" s="251"/>
      <c r="L524" s="255"/>
      <c r="M524" s="258"/>
      <c r="N524" s="257"/>
      <c r="O524" s="258"/>
      <c r="P524" s="257"/>
      <c r="Q524" s="258"/>
      <c r="R524" s="257"/>
      <c r="S524" s="258"/>
      <c r="T524" s="257"/>
      <c r="U524" s="258"/>
      <c r="V524" s="257"/>
      <c r="W524" s="258"/>
      <c r="X524" s="257"/>
      <c r="Y524" s="258"/>
      <c r="Z524" s="257"/>
    </row>
    <row r="525" spans="1:26" ht="15" customHeight="1">
      <c r="A525" s="250"/>
      <c r="B525" s="251"/>
      <c r="C525" s="648"/>
      <c r="D525" s="292"/>
      <c r="E525" s="251"/>
      <c r="F525" s="252"/>
      <c r="G525" s="253"/>
      <c r="H525" s="254"/>
      <c r="I525" s="253"/>
      <c r="J525" s="253"/>
      <c r="K525" s="251"/>
      <c r="L525" s="255"/>
      <c r="M525" s="258"/>
      <c r="N525" s="257"/>
      <c r="O525" s="258"/>
      <c r="P525" s="257"/>
      <c r="Q525" s="258"/>
      <c r="R525" s="257"/>
      <c r="S525" s="258"/>
      <c r="T525" s="257"/>
      <c r="U525" s="258"/>
      <c r="V525" s="257"/>
      <c r="W525" s="258"/>
      <c r="X525" s="257"/>
      <c r="Y525" s="258"/>
      <c r="Z525" s="257"/>
    </row>
    <row r="526" spans="1:26" ht="25.5">
      <c r="A526" s="250">
        <f>A523+1</f>
        <v>153</v>
      </c>
      <c r="B526" s="251"/>
      <c r="C526" s="647" t="s">
        <v>2371</v>
      </c>
      <c r="D526" s="526" t="s">
        <v>1965</v>
      </c>
      <c r="E526" s="251" t="s">
        <v>2475</v>
      </c>
      <c r="F526" s="252">
        <f>M526+O526+Q526+S526+U526+W526+Y526</f>
        <v>900</v>
      </c>
      <c r="G526" s="253">
        <f>L526</f>
        <v>12.07</v>
      </c>
      <c r="H526" s="254">
        <f>INT(F526*G526*100+0.5)/100</f>
        <v>10863</v>
      </c>
      <c r="I526" s="253">
        <f>N526+P526+R526+T526+V526+X526+Z526</f>
        <v>10863</v>
      </c>
      <c r="J526" s="253"/>
      <c r="K526" s="251" t="s">
        <v>2475</v>
      </c>
      <c r="L526" s="255">
        <v>12.07</v>
      </c>
      <c r="M526" s="258">
        <v>900</v>
      </c>
      <c r="N526" s="257">
        <f>INT($L526*M526*100+0.5)/100</f>
        <v>10863</v>
      </c>
      <c r="O526" s="258">
        <v>0</v>
      </c>
      <c r="P526" s="257">
        <f>INT($L526*O526*100+0.5)/100</f>
        <v>0</v>
      </c>
      <c r="Q526" s="258">
        <v>0</v>
      </c>
      <c r="R526" s="257">
        <f>INT($L526*Q526*100+0.5)/100</f>
        <v>0</v>
      </c>
      <c r="S526" s="258">
        <v>0</v>
      </c>
      <c r="T526" s="257">
        <f>INT($L526*S526*100+0.5)/100</f>
        <v>0</v>
      </c>
      <c r="U526" s="258">
        <v>0</v>
      </c>
      <c r="V526" s="257">
        <f>INT($L526*U526*100+0.5)/100</f>
        <v>0</v>
      </c>
      <c r="W526" s="258">
        <v>0</v>
      </c>
      <c r="X526" s="257">
        <f>INT($L526*W526*100+0.5)/100</f>
        <v>0</v>
      </c>
      <c r="Y526" s="258">
        <v>0</v>
      </c>
      <c r="Z526" s="257">
        <f>INT($L526*Y526*100+0.5)/100</f>
        <v>0</v>
      </c>
    </row>
    <row r="527" spans="1:26" ht="15" customHeight="1">
      <c r="A527" s="250"/>
      <c r="B527" s="251"/>
      <c r="C527" s="647"/>
      <c r="D527" s="526" t="s">
        <v>1966</v>
      </c>
      <c r="E527" s="251"/>
      <c r="F527" s="252"/>
      <c r="G527" s="253"/>
      <c r="H527" s="254"/>
      <c r="I527" s="253"/>
      <c r="J527" s="253"/>
      <c r="K527" s="251"/>
      <c r="L527" s="261"/>
      <c r="M527" s="258"/>
      <c r="N527" s="257"/>
      <c r="O527" s="258"/>
      <c r="P527" s="257"/>
      <c r="Q527" s="258"/>
      <c r="R527" s="257"/>
      <c r="S527" s="258"/>
      <c r="T527" s="257"/>
      <c r="U527" s="258"/>
      <c r="V527" s="257"/>
      <c r="W527" s="258"/>
      <c r="X527" s="257"/>
      <c r="Y527" s="258"/>
      <c r="Z527" s="257"/>
    </row>
    <row r="528" spans="1:26" ht="15" customHeight="1">
      <c r="A528" s="250"/>
      <c r="B528" s="251"/>
      <c r="C528" s="647"/>
      <c r="D528" s="292"/>
      <c r="E528" s="251"/>
      <c r="F528" s="252"/>
      <c r="G528" s="253"/>
      <c r="H528" s="254"/>
      <c r="I528" s="253"/>
      <c r="J528" s="253"/>
      <c r="K528" s="251"/>
      <c r="L528" s="261"/>
      <c r="M528" s="258"/>
      <c r="N528" s="257"/>
      <c r="O528" s="258"/>
      <c r="P528" s="257"/>
      <c r="Q528" s="258"/>
      <c r="R528" s="257"/>
      <c r="S528" s="258"/>
      <c r="T528" s="257"/>
      <c r="U528" s="258"/>
      <c r="V528" s="257"/>
      <c r="W528" s="258"/>
      <c r="X528" s="257"/>
      <c r="Y528" s="258"/>
      <c r="Z528" s="257"/>
    </row>
    <row r="529" spans="1:26" ht="25.5">
      <c r="A529" s="250">
        <f>A526+1</f>
        <v>154</v>
      </c>
      <c r="B529" s="251"/>
      <c r="C529" s="647" t="s">
        <v>2372</v>
      </c>
      <c r="D529" s="526" t="s">
        <v>465</v>
      </c>
      <c r="E529" s="251" t="s">
        <v>2475</v>
      </c>
      <c r="F529" s="252">
        <f>M529+O529+Q529+S529+U529+W529+Y529</f>
        <v>0</v>
      </c>
      <c r="G529" s="253">
        <f>L529</f>
        <v>15.61</v>
      </c>
      <c r="H529" s="254">
        <f>INT(F529*G529*100+0.5)/100</f>
        <v>0</v>
      </c>
      <c r="I529" s="253">
        <f>N529+P529+R529+T529+V529+X529+Z529</f>
        <v>0</v>
      </c>
      <c r="J529" s="253"/>
      <c r="K529" s="251" t="s">
        <v>2475</v>
      </c>
      <c r="L529" s="255">
        <v>15.61</v>
      </c>
      <c r="M529" s="258">
        <v>0</v>
      </c>
      <c r="N529" s="257">
        <f>INT($L529*M529*100+0.5)/100</f>
        <v>0</v>
      </c>
      <c r="O529" s="258">
        <v>0</v>
      </c>
      <c r="P529" s="257">
        <f>INT($L529*O529*100+0.5)/100</f>
        <v>0</v>
      </c>
      <c r="Q529" s="258">
        <v>0</v>
      </c>
      <c r="R529" s="257">
        <f>INT($L529*Q529*100+0.5)/100</f>
        <v>0</v>
      </c>
      <c r="S529" s="258">
        <v>0</v>
      </c>
      <c r="T529" s="257">
        <f>INT($L529*S529*100+0.5)/100</f>
        <v>0</v>
      </c>
      <c r="U529" s="258">
        <v>0</v>
      </c>
      <c r="V529" s="257">
        <f>INT($L529*U529*100+0.5)/100</f>
        <v>0</v>
      </c>
      <c r="W529" s="258">
        <v>0</v>
      </c>
      <c r="X529" s="257">
        <f>INT($L529*W529*100+0.5)/100</f>
        <v>0</v>
      </c>
      <c r="Y529" s="258">
        <v>0</v>
      </c>
      <c r="Z529" s="257">
        <f>INT($L529*Y529*100+0.5)/100</f>
        <v>0</v>
      </c>
    </row>
    <row r="530" spans="1:26" ht="15" customHeight="1">
      <c r="A530" s="250"/>
      <c r="B530" s="251"/>
      <c r="C530" s="647"/>
      <c r="D530" s="526" t="s">
        <v>464</v>
      </c>
      <c r="E530" s="251"/>
      <c r="F530" s="252"/>
      <c r="G530" s="253"/>
      <c r="H530" s="254"/>
      <c r="I530" s="253"/>
      <c r="J530" s="253"/>
      <c r="K530" s="251"/>
      <c r="L530" s="261"/>
      <c r="M530" s="258"/>
      <c r="N530" s="257"/>
      <c r="O530" s="258"/>
      <c r="P530" s="257"/>
      <c r="Q530" s="258"/>
      <c r="R530" s="257"/>
      <c r="S530" s="258"/>
      <c r="T530" s="257"/>
      <c r="U530" s="258"/>
      <c r="V530" s="257"/>
      <c r="W530" s="258"/>
      <c r="X530" s="257"/>
      <c r="Y530" s="258"/>
      <c r="Z530" s="257"/>
    </row>
    <row r="531" spans="1:26" ht="15" customHeight="1">
      <c r="A531" s="250"/>
      <c r="B531" s="251"/>
      <c r="C531" s="647"/>
      <c r="D531" s="292"/>
      <c r="E531" s="251"/>
      <c r="F531" s="252"/>
      <c r="G531" s="253"/>
      <c r="H531" s="254"/>
      <c r="I531" s="253"/>
      <c r="J531" s="253"/>
      <c r="K531" s="251"/>
      <c r="L531" s="261"/>
      <c r="M531" s="258"/>
      <c r="N531" s="257"/>
      <c r="O531" s="258"/>
      <c r="P531" s="257"/>
      <c r="Q531" s="258"/>
      <c r="R531" s="257"/>
      <c r="S531" s="258"/>
      <c r="T531" s="257"/>
      <c r="U531" s="258"/>
      <c r="V531" s="257"/>
      <c r="W531" s="258"/>
      <c r="X531" s="257"/>
      <c r="Y531" s="258"/>
      <c r="Z531" s="257"/>
    </row>
    <row r="532" spans="1:26" ht="25.5">
      <c r="A532" s="250">
        <f>A529+1</f>
        <v>155</v>
      </c>
      <c r="B532" s="251"/>
      <c r="C532" s="647" t="s">
        <v>2373</v>
      </c>
      <c r="D532" s="526" t="s">
        <v>1967</v>
      </c>
      <c r="E532" s="251" t="s">
        <v>2475</v>
      </c>
      <c r="F532" s="252">
        <f>M532+O532+Q532+S532+U532+W532+Y532</f>
        <v>10</v>
      </c>
      <c r="G532" s="253">
        <f>L532</f>
        <v>23.08</v>
      </c>
      <c r="H532" s="254">
        <f>INT(F532*G532*100+0.5)/100</f>
        <v>230.8</v>
      </c>
      <c r="I532" s="253">
        <f>N532+P532+R532+T532+V532+X532+Z532</f>
        <v>230.8</v>
      </c>
      <c r="J532" s="253"/>
      <c r="K532" s="251" t="s">
        <v>2475</v>
      </c>
      <c r="L532" s="255">
        <v>23.08</v>
      </c>
      <c r="M532" s="258">
        <v>10</v>
      </c>
      <c r="N532" s="257">
        <f>INT($L532*M532*100+0.5)/100</f>
        <v>230.8</v>
      </c>
      <c r="O532" s="258">
        <v>0</v>
      </c>
      <c r="P532" s="257">
        <f>INT($L532*O532*100+0.5)/100</f>
        <v>0</v>
      </c>
      <c r="Q532" s="258">
        <v>0</v>
      </c>
      <c r="R532" s="257">
        <f>INT($L532*Q532*100+0.5)/100</f>
        <v>0</v>
      </c>
      <c r="S532" s="258">
        <v>0</v>
      </c>
      <c r="T532" s="257">
        <f>INT($L532*S532*100+0.5)/100</f>
        <v>0</v>
      </c>
      <c r="U532" s="258">
        <v>0</v>
      </c>
      <c r="V532" s="257">
        <f>INT($L532*U532*100+0.5)/100</f>
        <v>0</v>
      </c>
      <c r="W532" s="258">
        <v>0</v>
      </c>
      <c r="X532" s="257">
        <f>INT($L532*W532*100+0.5)/100</f>
        <v>0</v>
      </c>
      <c r="Y532" s="258">
        <v>0</v>
      </c>
      <c r="Z532" s="257">
        <f>INT($L532*Y532*100+0.5)/100</f>
        <v>0</v>
      </c>
    </row>
    <row r="533" spans="1:26" ht="15" customHeight="1">
      <c r="A533" s="250"/>
      <c r="B533" s="251"/>
      <c r="C533" s="526"/>
      <c r="D533" s="526" t="s">
        <v>1968</v>
      </c>
      <c r="E533" s="251"/>
      <c r="F533" s="252"/>
      <c r="G533" s="253"/>
      <c r="H533" s="254"/>
      <c r="I533" s="253"/>
      <c r="J533" s="253"/>
      <c r="K533" s="251"/>
      <c r="L533" s="261"/>
      <c r="M533" s="258"/>
      <c r="N533" s="257"/>
      <c r="O533" s="258"/>
      <c r="P533" s="257"/>
      <c r="Q533" s="258"/>
      <c r="R533" s="257"/>
      <c r="S533" s="258"/>
      <c r="T533" s="257"/>
      <c r="U533" s="258"/>
      <c r="V533" s="257"/>
      <c r="W533" s="258"/>
      <c r="X533" s="257"/>
      <c r="Y533" s="258"/>
      <c r="Z533" s="257"/>
    </row>
    <row r="534" spans="1:26" ht="15" customHeight="1">
      <c r="A534" s="250"/>
      <c r="B534" s="251"/>
      <c r="C534" s="526"/>
      <c r="D534" s="526"/>
      <c r="E534" s="251"/>
      <c r="F534" s="252"/>
      <c r="G534" s="253"/>
      <c r="H534" s="254"/>
      <c r="I534" s="253"/>
      <c r="J534" s="253"/>
      <c r="K534" s="251"/>
      <c r="L534" s="261"/>
      <c r="M534" s="258"/>
      <c r="N534" s="257"/>
      <c r="O534" s="258"/>
      <c r="P534" s="257"/>
      <c r="Q534" s="258"/>
      <c r="R534" s="257"/>
      <c r="S534" s="258"/>
      <c r="T534" s="257"/>
      <c r="U534" s="258"/>
      <c r="V534" s="257"/>
      <c r="W534" s="258"/>
      <c r="X534" s="257"/>
      <c r="Y534" s="258"/>
      <c r="Z534" s="257"/>
    </row>
    <row r="535" spans="1:26" s="303" customFormat="1" ht="45">
      <c r="A535" s="298"/>
      <c r="B535" s="299"/>
      <c r="C535" s="267" t="s">
        <v>1450</v>
      </c>
      <c r="D535" s="333" t="s">
        <v>1451</v>
      </c>
      <c r="E535" s="299"/>
      <c r="F535" s="301"/>
      <c r="G535" s="273"/>
      <c r="H535" s="273"/>
      <c r="I535" s="272">
        <f>N535+P535+R535+T535+V535+X535+Z535</f>
        <v>11093.8</v>
      </c>
      <c r="J535" s="269">
        <f>SUM(N535:Z535)</f>
        <v>11093.8</v>
      </c>
      <c r="K535" s="299"/>
      <c r="L535" s="271"/>
      <c r="M535" s="273"/>
      <c r="N535" s="273">
        <f>SUM(N519:N534)</f>
        <v>11093.8</v>
      </c>
      <c r="O535" s="273"/>
      <c r="P535" s="273">
        <f>SUM(P519:P534)</f>
        <v>0</v>
      </c>
      <c r="Q535" s="273"/>
      <c r="R535" s="273">
        <f>SUM(R519:R534)</f>
        <v>0</v>
      </c>
      <c r="S535" s="273"/>
      <c r="T535" s="273">
        <f>SUM(T519:T534)</f>
        <v>0</v>
      </c>
      <c r="U535" s="273"/>
      <c r="V535" s="273">
        <f>SUM(V519:V534)</f>
        <v>0</v>
      </c>
      <c r="W535" s="273"/>
      <c r="X535" s="273">
        <f>SUM(X519:X534)</f>
        <v>0</v>
      </c>
      <c r="Y535" s="273"/>
      <c r="Z535" s="273">
        <f>SUM(Z519:Z534)</f>
        <v>0</v>
      </c>
    </row>
    <row r="536" spans="1:26" ht="15" customHeight="1">
      <c r="A536" s="250"/>
      <c r="B536" s="251"/>
      <c r="C536" s="453"/>
      <c r="D536" s="330"/>
      <c r="E536" s="251"/>
      <c r="F536" s="252"/>
      <c r="G536" s="253"/>
      <c r="H536" s="254"/>
      <c r="I536" s="253"/>
      <c r="J536" s="253"/>
      <c r="K536" s="251"/>
      <c r="L536" s="261"/>
      <c r="M536" s="258"/>
      <c r="N536" s="494">
        <f>N535/$N$1928</f>
        <v>5.525433690113906E-2</v>
      </c>
      <c r="O536" s="258"/>
      <c r="P536" s="257"/>
      <c r="Q536" s="258"/>
      <c r="R536" s="257"/>
      <c r="S536" s="258"/>
      <c r="T536" s="257"/>
      <c r="U536" s="258"/>
      <c r="V536" s="257"/>
      <c r="W536" s="258"/>
      <c r="X536" s="257"/>
      <c r="Y536" s="258"/>
      <c r="Z536" s="257"/>
    </row>
    <row r="537" spans="1:26" ht="38.25">
      <c r="A537" s="250"/>
      <c r="B537" s="251"/>
      <c r="C537" s="453" t="s">
        <v>1452</v>
      </c>
      <c r="D537" s="330" t="s">
        <v>1552</v>
      </c>
      <c r="E537" s="251"/>
      <c r="F537" s="252"/>
      <c r="G537" s="253"/>
      <c r="H537" s="254"/>
      <c r="I537" s="253"/>
      <c r="J537" s="253"/>
      <c r="K537" s="251"/>
      <c r="L537" s="261"/>
      <c r="M537" s="258"/>
      <c r="N537" s="257"/>
      <c r="O537" s="258"/>
      <c r="P537" s="257"/>
      <c r="Q537" s="258"/>
      <c r="R537" s="257"/>
      <c r="S537" s="258"/>
      <c r="T537" s="257"/>
      <c r="U537" s="258"/>
      <c r="V537" s="257"/>
      <c r="W537" s="258"/>
      <c r="X537" s="257"/>
      <c r="Y537" s="258"/>
      <c r="Z537" s="257"/>
    </row>
    <row r="538" spans="1:26" ht="25.5">
      <c r="A538" s="250">
        <f>A532+1</f>
        <v>156</v>
      </c>
      <c r="B538" s="251"/>
      <c r="C538" s="661" t="s">
        <v>684</v>
      </c>
      <c r="D538" s="532" t="s">
        <v>685</v>
      </c>
      <c r="E538" s="251" t="s">
        <v>2475</v>
      </c>
      <c r="F538" s="252">
        <f>M538+O538+Q538+S538+U538+W538+Y538</f>
        <v>0</v>
      </c>
      <c r="G538" s="253">
        <f>L538</f>
        <v>2500</v>
      </c>
      <c r="H538" s="254">
        <f>INT(F538*G538*100+0.5)/100</f>
        <v>0</v>
      </c>
      <c r="I538" s="253">
        <f>N538+P538+R538+T538+V538+X538+Z538</f>
        <v>0</v>
      </c>
      <c r="J538" s="253"/>
      <c r="K538" s="251" t="s">
        <v>2475</v>
      </c>
      <c r="L538" s="255">
        <v>2500</v>
      </c>
      <c r="M538" s="258">
        <v>0</v>
      </c>
      <c r="N538" s="257">
        <f>INT($L538*M538*100+0.5)/100</f>
        <v>0</v>
      </c>
      <c r="O538" s="258">
        <v>0</v>
      </c>
      <c r="P538" s="257">
        <f>INT($L538*O538*100+0.5)/100</f>
        <v>0</v>
      </c>
      <c r="Q538" s="258">
        <v>0</v>
      </c>
      <c r="R538" s="257">
        <f>INT($L538*Q538*100+0.5)/100</f>
        <v>0</v>
      </c>
      <c r="S538" s="258">
        <v>0</v>
      </c>
      <c r="T538" s="257">
        <f>INT($L538*S538*100+0.5)/100</f>
        <v>0</v>
      </c>
      <c r="U538" s="258">
        <v>0</v>
      </c>
      <c r="V538" s="257">
        <f>INT($L538*U538*100+0.5)/100</f>
        <v>0</v>
      </c>
      <c r="W538" s="258">
        <v>0</v>
      </c>
      <c r="X538" s="257">
        <f>INT($L538*W538*100+0.5)/100</f>
        <v>0</v>
      </c>
      <c r="Y538" s="258">
        <v>0</v>
      </c>
      <c r="Z538" s="257">
        <f>INT($L538*Y538*100+0.5)/100</f>
        <v>0</v>
      </c>
    </row>
    <row r="539" spans="1:26" ht="15">
      <c r="A539" s="250"/>
      <c r="B539" s="251"/>
      <c r="C539" s="661"/>
      <c r="D539" s="660" t="s">
        <v>686</v>
      </c>
      <c r="E539" s="251"/>
      <c r="F539" s="252"/>
      <c r="G539" s="253"/>
      <c r="H539" s="254"/>
      <c r="I539" s="253"/>
      <c r="J539" s="253"/>
      <c r="K539" s="251"/>
      <c r="L539" s="255"/>
      <c r="M539" s="258"/>
      <c r="N539" s="257"/>
      <c r="O539" s="258"/>
      <c r="P539" s="257"/>
      <c r="Q539" s="258"/>
      <c r="R539" s="257"/>
      <c r="S539" s="258"/>
      <c r="T539" s="257"/>
      <c r="U539" s="258"/>
      <c r="V539" s="257"/>
      <c r="W539" s="258"/>
      <c r="X539" s="257"/>
      <c r="Y539" s="258"/>
      <c r="Z539" s="257"/>
    </row>
    <row r="540" spans="1:26" ht="15" customHeight="1">
      <c r="A540" s="250"/>
      <c r="B540" s="251"/>
      <c r="C540" s="661"/>
      <c r="D540" s="292"/>
      <c r="E540" s="251"/>
      <c r="F540" s="252"/>
      <c r="G540" s="253"/>
      <c r="H540" s="254"/>
      <c r="I540" s="253"/>
      <c r="J540" s="253"/>
      <c r="K540" s="251"/>
      <c r="L540" s="255"/>
      <c r="M540" s="258"/>
      <c r="N540" s="257"/>
      <c r="O540" s="258"/>
      <c r="P540" s="257"/>
      <c r="Q540" s="258"/>
      <c r="R540" s="257"/>
      <c r="S540" s="258"/>
      <c r="T540" s="257"/>
      <c r="U540" s="258"/>
      <c r="V540" s="257"/>
      <c r="W540" s="258"/>
      <c r="X540" s="257"/>
      <c r="Y540" s="258"/>
      <c r="Z540" s="257"/>
    </row>
    <row r="541" spans="1:26" ht="15" customHeight="1">
      <c r="A541" s="250">
        <f>A538+1</f>
        <v>157</v>
      </c>
      <c r="B541" s="251"/>
      <c r="C541" s="661" t="s">
        <v>687</v>
      </c>
      <c r="D541" s="532" t="s">
        <v>1853</v>
      </c>
      <c r="E541" s="251" t="s">
        <v>2475</v>
      </c>
      <c r="F541" s="252">
        <f>M541+O541+Q541+S541+U541+W541+Y541</f>
        <v>0</v>
      </c>
      <c r="G541" s="253">
        <f>L541</f>
        <v>63</v>
      </c>
      <c r="H541" s="254">
        <f>INT(F541*G541*100+0.5)/100</f>
        <v>0</v>
      </c>
      <c r="I541" s="253">
        <f>N541+P541+R541+T541+V541+X541+Z541</f>
        <v>0</v>
      </c>
      <c r="J541" s="253"/>
      <c r="K541" s="251" t="s">
        <v>2475</v>
      </c>
      <c r="L541" s="255">
        <v>63</v>
      </c>
      <c r="M541" s="258">
        <v>0</v>
      </c>
      <c r="N541" s="257">
        <f>INT($L541*M541*100+0.5)/100</f>
        <v>0</v>
      </c>
      <c r="O541" s="258">
        <v>0</v>
      </c>
      <c r="P541" s="257">
        <f>INT($L541*O541*100+0.5)/100</f>
        <v>0</v>
      </c>
      <c r="Q541" s="258">
        <v>0</v>
      </c>
      <c r="R541" s="257">
        <f>INT($L541*Q541*100+0.5)/100</f>
        <v>0</v>
      </c>
      <c r="S541" s="258">
        <v>0</v>
      </c>
      <c r="T541" s="257">
        <f>INT($L541*S541*100+0.5)/100</f>
        <v>0</v>
      </c>
      <c r="U541" s="258">
        <v>0</v>
      </c>
      <c r="V541" s="257">
        <f>INT($L541*U541*100+0.5)/100</f>
        <v>0</v>
      </c>
      <c r="W541" s="258">
        <v>0</v>
      </c>
      <c r="X541" s="257">
        <f>INT($L541*W541*100+0.5)/100</f>
        <v>0</v>
      </c>
      <c r="Y541" s="258">
        <v>0</v>
      </c>
      <c r="Z541" s="257">
        <f>INT($L541*Y541*100+0.5)/100</f>
        <v>0</v>
      </c>
    </row>
    <row r="542" spans="1:26" ht="15">
      <c r="A542" s="250"/>
      <c r="B542" s="251"/>
      <c r="C542" s="661"/>
      <c r="D542" s="532" t="s">
        <v>1852</v>
      </c>
      <c r="E542" s="251"/>
      <c r="F542" s="252"/>
      <c r="G542" s="253"/>
      <c r="H542" s="254"/>
      <c r="I542" s="253"/>
      <c r="J542" s="253"/>
      <c r="K542" s="251"/>
      <c r="L542" s="255"/>
      <c r="M542" s="258"/>
      <c r="N542" s="257"/>
      <c r="O542" s="258"/>
      <c r="P542" s="257"/>
      <c r="Q542" s="258"/>
      <c r="R542" s="257"/>
      <c r="S542" s="258"/>
      <c r="T542" s="257"/>
      <c r="U542" s="258"/>
      <c r="V542" s="257"/>
      <c r="W542" s="258"/>
      <c r="X542" s="257"/>
      <c r="Y542" s="258"/>
      <c r="Z542" s="257"/>
    </row>
    <row r="543" spans="1:26" ht="15" customHeight="1">
      <c r="A543" s="250"/>
      <c r="B543" s="251"/>
      <c r="C543" s="661"/>
      <c r="D543" s="292"/>
      <c r="E543" s="251"/>
      <c r="F543" s="252"/>
      <c r="G543" s="253"/>
      <c r="H543" s="254"/>
      <c r="I543" s="253"/>
      <c r="J543" s="253"/>
      <c r="K543" s="251"/>
      <c r="L543" s="255"/>
      <c r="M543" s="258"/>
      <c r="N543" s="257"/>
      <c r="O543" s="258"/>
      <c r="P543" s="257"/>
      <c r="Q543" s="258"/>
      <c r="R543" s="257"/>
      <c r="S543" s="258"/>
      <c r="T543" s="257"/>
      <c r="U543" s="258"/>
      <c r="V543" s="257"/>
      <c r="W543" s="258"/>
      <c r="X543" s="257"/>
      <c r="Y543" s="258"/>
      <c r="Z543" s="257"/>
    </row>
    <row r="544" spans="1:26" ht="15">
      <c r="A544" s="250">
        <f>A541+1</f>
        <v>158</v>
      </c>
      <c r="B544" s="251"/>
      <c r="C544" s="661" t="s">
        <v>688</v>
      </c>
      <c r="D544" s="532" t="s">
        <v>1857</v>
      </c>
      <c r="E544" s="251" t="s">
        <v>2461</v>
      </c>
      <c r="F544" s="252">
        <f>M544+O544+Q544+S544+U544+W544+Y544</f>
        <v>0</v>
      </c>
      <c r="G544" s="253">
        <f>L544</f>
        <v>192.3</v>
      </c>
      <c r="H544" s="254">
        <f>INT(F544*G544*100+0.5)/100</f>
        <v>0</v>
      </c>
      <c r="I544" s="253">
        <f>N544+P544+R544+T544+V544+X544+Z544</f>
        <v>0</v>
      </c>
      <c r="J544" s="253"/>
      <c r="K544" s="251" t="s">
        <v>2461</v>
      </c>
      <c r="L544" s="255">
        <v>192.3</v>
      </c>
      <c r="M544" s="258">
        <v>0</v>
      </c>
      <c r="N544" s="257">
        <f>INT($L544*M544*100+0.5)/100</f>
        <v>0</v>
      </c>
      <c r="O544" s="258">
        <v>0</v>
      </c>
      <c r="P544" s="257">
        <f>INT($L544*O544*100+0.5)/100</f>
        <v>0</v>
      </c>
      <c r="Q544" s="258">
        <v>0</v>
      </c>
      <c r="R544" s="257">
        <f>INT($L544*Q544*100+0.5)/100</f>
        <v>0</v>
      </c>
      <c r="S544" s="258">
        <v>0</v>
      </c>
      <c r="T544" s="257">
        <f>INT($L544*S544*100+0.5)/100</f>
        <v>0</v>
      </c>
      <c r="U544" s="258">
        <v>0</v>
      </c>
      <c r="V544" s="257">
        <f>INT($L544*U544*100+0.5)/100</f>
        <v>0</v>
      </c>
      <c r="W544" s="258">
        <v>0</v>
      </c>
      <c r="X544" s="257">
        <f>INT($L544*W544*100+0.5)/100</f>
        <v>0</v>
      </c>
      <c r="Y544" s="258">
        <v>0</v>
      </c>
      <c r="Z544" s="257">
        <f>INT($L544*Y544*100+0.5)/100</f>
        <v>0</v>
      </c>
    </row>
    <row r="545" spans="1:26" ht="15" customHeight="1">
      <c r="A545" s="250"/>
      <c r="B545" s="251"/>
      <c r="C545" s="661"/>
      <c r="D545" s="532" t="s">
        <v>1856</v>
      </c>
      <c r="E545" s="251"/>
      <c r="F545" s="252"/>
      <c r="G545" s="253"/>
      <c r="H545" s="254"/>
      <c r="I545" s="253"/>
      <c r="J545" s="253"/>
      <c r="K545" s="251"/>
      <c r="L545" s="261"/>
      <c r="M545" s="258"/>
      <c r="N545" s="257"/>
      <c r="O545" s="258"/>
      <c r="P545" s="257"/>
      <c r="Q545" s="258"/>
      <c r="R545" s="257"/>
      <c r="S545" s="258"/>
      <c r="T545" s="257"/>
      <c r="U545" s="258"/>
      <c r="V545" s="257"/>
      <c r="W545" s="258"/>
      <c r="X545" s="257"/>
      <c r="Y545" s="258"/>
      <c r="Z545" s="257"/>
    </row>
    <row r="546" spans="1:26" ht="15">
      <c r="A546" s="250"/>
      <c r="B546" s="251"/>
      <c r="C546" s="661"/>
      <c r="D546" s="292"/>
      <c r="E546" s="251"/>
      <c r="F546" s="252"/>
      <c r="G546" s="253"/>
      <c r="H546" s="254"/>
      <c r="I546" s="253"/>
      <c r="J546" s="253"/>
      <c r="K546" s="251"/>
      <c r="L546" s="261"/>
      <c r="M546" s="258"/>
      <c r="N546" s="257"/>
      <c r="O546" s="258"/>
      <c r="P546" s="257"/>
      <c r="Q546" s="258"/>
      <c r="R546" s="257"/>
      <c r="S546" s="258"/>
      <c r="T546" s="257"/>
      <c r="U546" s="258"/>
      <c r="V546" s="257"/>
      <c r="W546" s="258"/>
      <c r="X546" s="257"/>
      <c r="Y546" s="258"/>
      <c r="Z546" s="257"/>
    </row>
    <row r="547" spans="1:26" ht="15">
      <c r="A547" s="250">
        <f>A544+1</f>
        <v>159</v>
      </c>
      <c r="B547" s="251"/>
      <c r="C547" s="661" t="s">
        <v>689</v>
      </c>
      <c r="D547" s="532" t="s">
        <v>1855</v>
      </c>
      <c r="E547" s="251" t="s">
        <v>1439</v>
      </c>
      <c r="F547" s="252">
        <f>M547+O547+Q547+S547+U547+W547+Y547</f>
        <v>0</v>
      </c>
      <c r="G547" s="253">
        <f>L547</f>
        <v>1.65</v>
      </c>
      <c r="H547" s="254">
        <f>INT(F547*G547*100+0.5)/100</f>
        <v>0</v>
      </c>
      <c r="I547" s="253">
        <f>N547+P547+R547+T547+V547+X547+Z547</f>
        <v>0</v>
      </c>
      <c r="J547" s="253"/>
      <c r="K547" s="251" t="s">
        <v>1439</v>
      </c>
      <c r="L547" s="255">
        <v>1.65</v>
      </c>
      <c r="M547" s="258">
        <v>0</v>
      </c>
      <c r="N547" s="257">
        <f>INT($L547*M547*100+0.5)/100</f>
        <v>0</v>
      </c>
      <c r="O547" s="258">
        <v>0</v>
      </c>
      <c r="P547" s="257">
        <f>INT($L547*O547*100+0.5)/100</f>
        <v>0</v>
      </c>
      <c r="Q547" s="258">
        <v>0</v>
      </c>
      <c r="R547" s="257">
        <f>INT($L547*Q547*100+0.5)/100</f>
        <v>0</v>
      </c>
      <c r="S547" s="258">
        <v>0</v>
      </c>
      <c r="T547" s="257">
        <f>INT($L547*S547*100+0.5)/100</f>
        <v>0</v>
      </c>
      <c r="U547" s="258">
        <v>0</v>
      </c>
      <c r="V547" s="257">
        <f>INT($L547*U547*100+0.5)/100</f>
        <v>0</v>
      </c>
      <c r="W547" s="258">
        <v>0</v>
      </c>
      <c r="X547" s="257">
        <f>INT($L547*W547*100+0.5)/100</f>
        <v>0</v>
      </c>
      <c r="Y547" s="258">
        <v>0</v>
      </c>
      <c r="Z547" s="257">
        <f>INT($L547*Y547*100+0.5)/100</f>
        <v>0</v>
      </c>
    </row>
    <row r="548" spans="1:26" ht="15">
      <c r="A548" s="250"/>
      <c r="B548" s="251"/>
      <c r="C548" s="661"/>
      <c r="D548" s="532" t="s">
        <v>1854</v>
      </c>
      <c r="E548" s="251"/>
      <c r="F548" s="252"/>
      <c r="G548" s="253"/>
      <c r="H548" s="254"/>
      <c r="I548" s="253"/>
      <c r="J548" s="253"/>
      <c r="K548" s="251"/>
      <c r="L548" s="261"/>
      <c r="M548" s="258"/>
      <c r="N548" s="257"/>
      <c r="O548" s="258"/>
      <c r="P548" s="257"/>
      <c r="Q548" s="258"/>
      <c r="R548" s="257"/>
      <c r="S548" s="258"/>
      <c r="T548" s="257"/>
      <c r="U548" s="258"/>
      <c r="V548" s="257"/>
      <c r="W548" s="258"/>
      <c r="X548" s="257"/>
      <c r="Y548" s="258"/>
      <c r="Z548" s="257"/>
    </row>
    <row r="549" spans="1:26" ht="15" customHeight="1">
      <c r="A549" s="250"/>
      <c r="B549" s="251"/>
      <c r="C549" s="661"/>
      <c r="D549" s="292"/>
      <c r="E549" s="251"/>
      <c r="F549" s="252"/>
      <c r="G549" s="253"/>
      <c r="H549" s="254"/>
      <c r="I549" s="253"/>
      <c r="J549" s="253"/>
      <c r="K549" s="251"/>
      <c r="L549" s="261"/>
      <c r="M549" s="258"/>
      <c r="N549" s="257"/>
      <c r="O549" s="258"/>
      <c r="P549" s="257"/>
      <c r="Q549" s="258"/>
      <c r="R549" s="257"/>
      <c r="S549" s="258"/>
      <c r="T549" s="257"/>
      <c r="U549" s="258"/>
      <c r="V549" s="257"/>
      <c r="W549" s="258"/>
      <c r="X549" s="257"/>
      <c r="Y549" s="258"/>
      <c r="Z549" s="257"/>
    </row>
    <row r="550" spans="1:26" ht="15">
      <c r="A550" s="250">
        <f>A547+1</f>
        <v>160</v>
      </c>
      <c r="B550" s="251"/>
      <c r="C550" s="661" t="s">
        <v>690</v>
      </c>
      <c r="D550" s="532" t="s">
        <v>1052</v>
      </c>
      <c r="E550" s="251" t="s">
        <v>2461</v>
      </c>
      <c r="F550" s="252">
        <f>M550+O550+Q550+S550+U550+W550+Y550</f>
        <v>0</v>
      </c>
      <c r="G550" s="253">
        <f>L550</f>
        <v>205.25</v>
      </c>
      <c r="H550" s="254">
        <f>INT(F550*G550*100+0.5)/100</f>
        <v>0</v>
      </c>
      <c r="I550" s="253">
        <f>N550+P550+R550+T550+V550+X550+Z550</f>
        <v>0</v>
      </c>
      <c r="J550" s="253"/>
      <c r="K550" s="251" t="s">
        <v>2461</v>
      </c>
      <c r="L550" s="255">
        <v>205.25</v>
      </c>
      <c r="M550" s="258">
        <v>0</v>
      </c>
      <c r="N550" s="257">
        <f>INT($L550*M550*100+0.5)/100</f>
        <v>0</v>
      </c>
      <c r="O550" s="258">
        <v>0</v>
      </c>
      <c r="P550" s="257">
        <f>INT($L550*O550*100+0.5)/100</f>
        <v>0</v>
      </c>
      <c r="Q550" s="258">
        <v>0</v>
      </c>
      <c r="R550" s="257">
        <f>INT($L550*Q550*100+0.5)/100</f>
        <v>0</v>
      </c>
      <c r="S550" s="258">
        <v>0</v>
      </c>
      <c r="T550" s="257">
        <f>INT($L550*S550*100+0.5)/100</f>
        <v>0</v>
      </c>
      <c r="U550" s="258">
        <v>0</v>
      </c>
      <c r="V550" s="257">
        <f>INT($L550*U550*100+0.5)/100</f>
        <v>0</v>
      </c>
      <c r="W550" s="258">
        <v>0</v>
      </c>
      <c r="X550" s="257">
        <f>INT($L550*W550*100+0.5)/100</f>
        <v>0</v>
      </c>
      <c r="Y550" s="258">
        <v>0</v>
      </c>
      <c r="Z550" s="257">
        <f>INT($L550*Y550*100+0.5)/100</f>
        <v>0</v>
      </c>
    </row>
    <row r="551" spans="1:26" ht="15" customHeight="1">
      <c r="A551" s="250"/>
      <c r="B551" s="251"/>
      <c r="C551" s="540"/>
      <c r="D551" s="532" t="s">
        <v>1053</v>
      </c>
      <c r="E551" s="251"/>
      <c r="F551" s="252"/>
      <c r="G551" s="253"/>
      <c r="H551" s="254"/>
      <c r="I551" s="253"/>
      <c r="J551" s="253"/>
      <c r="K551" s="251"/>
      <c r="L551" s="261"/>
      <c r="M551" s="258"/>
      <c r="N551" s="257"/>
      <c r="O551" s="258"/>
      <c r="P551" s="257"/>
      <c r="Q551" s="258"/>
      <c r="R551" s="257"/>
      <c r="S551" s="258"/>
      <c r="T551" s="257"/>
      <c r="U551" s="258"/>
      <c r="V551" s="257"/>
      <c r="W551" s="258"/>
      <c r="X551" s="257"/>
      <c r="Y551" s="258"/>
      <c r="Z551" s="257"/>
    </row>
    <row r="552" spans="1:26" ht="15" customHeight="1">
      <c r="A552" s="250"/>
      <c r="B552" s="251"/>
      <c r="C552" s="540"/>
      <c r="D552" s="532"/>
      <c r="E552" s="251"/>
      <c r="F552" s="252"/>
      <c r="G552" s="253"/>
      <c r="H552" s="254"/>
      <c r="I552" s="225"/>
      <c r="J552" s="225"/>
      <c r="K552" s="251"/>
      <c r="L552" s="261"/>
      <c r="M552" s="258"/>
      <c r="N552" s="257"/>
      <c r="O552" s="258"/>
      <c r="P552" s="257"/>
      <c r="Q552" s="258"/>
      <c r="R552" s="257"/>
      <c r="S552" s="258"/>
      <c r="T552" s="257"/>
      <c r="U552" s="258"/>
      <c r="V552" s="257"/>
      <c r="W552" s="258"/>
      <c r="X552" s="257"/>
      <c r="Y552" s="258"/>
      <c r="Z552" s="257"/>
    </row>
    <row r="553" spans="1:26" s="303" customFormat="1" ht="15" customHeight="1">
      <c r="A553" s="298"/>
      <c r="B553" s="299"/>
      <c r="C553" s="267" t="s">
        <v>1452</v>
      </c>
      <c r="D553" s="333" t="s">
        <v>1552</v>
      </c>
      <c r="E553" s="299"/>
      <c r="F553" s="301"/>
      <c r="G553" s="273"/>
      <c r="H553" s="273"/>
      <c r="I553" s="272">
        <f>N553+P553+R553+T553+V553+X553+Z553</f>
        <v>0</v>
      </c>
      <c r="J553" s="269">
        <f>SUM(N553:Z553)</f>
        <v>0</v>
      </c>
      <c r="K553" s="299"/>
      <c r="L553" s="271"/>
      <c r="M553" s="273"/>
      <c r="N553" s="273">
        <f>SUM(N541:N552)</f>
        <v>0</v>
      </c>
      <c r="O553" s="273"/>
      <c r="P553" s="273">
        <f>SUM(P541:P552)</f>
        <v>0</v>
      </c>
      <c r="Q553" s="273"/>
      <c r="R553" s="273">
        <f>SUM(R541:R552)</f>
        <v>0</v>
      </c>
      <c r="S553" s="273"/>
      <c r="T553" s="273">
        <f>SUM(T541:T552)</f>
        <v>0</v>
      </c>
      <c r="U553" s="273"/>
      <c r="V553" s="273">
        <f>SUM(V541:V552)</f>
        <v>0</v>
      </c>
      <c r="W553" s="273"/>
      <c r="X553" s="273">
        <f>SUM(X541:X552)</f>
        <v>0</v>
      </c>
      <c r="Y553" s="273"/>
      <c r="Z553" s="273">
        <f>SUM(Z541:Z552)</f>
        <v>0</v>
      </c>
    </row>
    <row r="554" spans="1:26" ht="15" customHeight="1">
      <c r="A554" s="250"/>
      <c r="B554" s="251"/>
      <c r="C554" s="453"/>
      <c r="D554" s="330"/>
      <c r="E554" s="251"/>
      <c r="F554" s="252"/>
      <c r="G554" s="253"/>
      <c r="H554" s="254"/>
      <c r="I554" s="225"/>
      <c r="J554" s="225"/>
      <c r="K554" s="251"/>
      <c r="L554" s="261"/>
      <c r="M554" s="258"/>
      <c r="N554" s="494">
        <f>N553/$N$1928</f>
        <v>0</v>
      </c>
      <c r="O554" s="258"/>
      <c r="P554" s="257"/>
      <c r="Q554" s="258"/>
      <c r="R554" s="257"/>
      <c r="S554" s="258"/>
      <c r="T554" s="257"/>
      <c r="U554" s="258"/>
      <c r="V554" s="257"/>
      <c r="W554" s="258"/>
      <c r="X554" s="257"/>
      <c r="Y554" s="258"/>
      <c r="Z554" s="257"/>
    </row>
    <row r="555" spans="1:26" ht="25.5">
      <c r="A555" s="250"/>
      <c r="B555" s="251"/>
      <c r="C555" s="541" t="s">
        <v>2032</v>
      </c>
      <c r="D555" s="330" t="s">
        <v>1553</v>
      </c>
      <c r="E555" s="251"/>
      <c r="F555" s="252"/>
      <c r="G555" s="253"/>
      <c r="H555" s="254"/>
      <c r="I555" s="225"/>
      <c r="J555" s="225"/>
      <c r="K555" s="251"/>
      <c r="L555" s="261"/>
      <c r="M555" s="258"/>
      <c r="N555" s="257"/>
      <c r="O555" s="258"/>
      <c r="P555" s="257"/>
      <c r="Q555" s="258"/>
      <c r="R555" s="257"/>
      <c r="S555" s="258"/>
      <c r="T555" s="257"/>
      <c r="U555" s="258"/>
      <c r="V555" s="257"/>
      <c r="W555" s="258"/>
      <c r="X555" s="257"/>
      <c r="Y555" s="258"/>
      <c r="Z555" s="257"/>
    </row>
    <row r="556" spans="1:26" ht="25.5">
      <c r="A556" s="250">
        <f>A550+1</f>
        <v>161</v>
      </c>
      <c r="B556" s="251"/>
      <c r="C556" s="661" t="s">
        <v>691</v>
      </c>
      <c r="D556" s="529" t="s">
        <v>33</v>
      </c>
      <c r="E556" s="251" t="s">
        <v>1898</v>
      </c>
      <c r="F556" s="252">
        <f>M556+O556+Q556+S556+U556+W556+Y556</f>
        <v>190</v>
      </c>
      <c r="G556" s="253">
        <f>L556</f>
        <v>17.79</v>
      </c>
      <c r="H556" s="254">
        <f>INT(F556*G556*100+0.5)/100</f>
        <v>3380.1</v>
      </c>
      <c r="I556" s="253">
        <f>N556+P556+R556+T556+V556+X556+Z556</f>
        <v>3380.1000000000004</v>
      </c>
      <c r="J556" s="253"/>
      <c r="K556" s="251" t="s">
        <v>1898</v>
      </c>
      <c r="L556" s="255">
        <v>17.79</v>
      </c>
      <c r="M556" s="258">
        <f>2*10*0.5</f>
        <v>10</v>
      </c>
      <c r="N556" s="257">
        <f>INT($L556*M556*100+0.5)/100</f>
        <v>177.9</v>
      </c>
      <c r="O556" s="258">
        <v>0</v>
      </c>
      <c r="P556" s="257">
        <f>INT($L556*O556*100+0.5)/100</f>
        <v>0</v>
      </c>
      <c r="Q556" s="258">
        <v>0</v>
      </c>
      <c r="R556" s="257">
        <f>INT($L556*Q556*100+0.5)/100</f>
        <v>0</v>
      </c>
      <c r="S556" s="258">
        <f>(10+10)*1*4</f>
        <v>80</v>
      </c>
      <c r="T556" s="257">
        <f>INT($L556*S556*100+0.5)/100</f>
        <v>1423.2</v>
      </c>
      <c r="U556" s="258">
        <f>200*0.5</f>
        <v>100</v>
      </c>
      <c r="V556" s="257">
        <f>INT($L556*U556*100+0.5)/100</f>
        <v>1779</v>
      </c>
      <c r="W556" s="258">
        <v>0</v>
      </c>
      <c r="X556" s="257">
        <f>INT($L556*W556*100+0.5)/100</f>
        <v>0</v>
      </c>
      <c r="Y556" s="258">
        <v>0</v>
      </c>
      <c r="Z556" s="257">
        <f>INT($L556*Y556*100+0.5)/100</f>
        <v>0</v>
      </c>
    </row>
    <row r="557" spans="1:26" ht="15" customHeight="1">
      <c r="A557" s="250"/>
      <c r="B557" s="251"/>
      <c r="C557" s="661"/>
      <c r="D557" s="532" t="s">
        <v>32</v>
      </c>
      <c r="E557" s="251"/>
      <c r="F557" s="252"/>
      <c r="G557" s="253"/>
      <c r="H557" s="254"/>
      <c r="I557" s="253"/>
      <c r="J557" s="253"/>
      <c r="K557" s="251"/>
      <c r="L557" s="261"/>
      <c r="M557" s="258"/>
      <c r="N557" s="257"/>
      <c r="O557" s="258"/>
      <c r="P557" s="257"/>
      <c r="Q557" s="258"/>
      <c r="R557" s="257"/>
      <c r="S557" s="258"/>
      <c r="T557" s="257"/>
      <c r="U557" s="258"/>
      <c r="V557" s="257"/>
      <c r="W557" s="258"/>
      <c r="X557" s="257"/>
      <c r="Y557" s="258"/>
      <c r="Z557" s="257"/>
    </row>
    <row r="558" spans="1:26" ht="15" customHeight="1">
      <c r="A558" s="250"/>
      <c r="B558" s="251"/>
      <c r="C558" s="661"/>
      <c r="D558" s="532"/>
      <c r="E558" s="251"/>
      <c r="F558" s="252"/>
      <c r="G558" s="253"/>
      <c r="H558" s="254"/>
      <c r="I558" s="253"/>
      <c r="J558" s="253"/>
      <c r="K558" s="251"/>
      <c r="L558" s="261"/>
      <c r="M558" s="258"/>
      <c r="N558" s="257"/>
      <c r="O558" s="258"/>
      <c r="P558" s="257"/>
      <c r="Q558" s="258"/>
      <c r="R558" s="257"/>
      <c r="S558" s="258"/>
      <c r="T558" s="257"/>
      <c r="U558" s="258"/>
      <c r="V558" s="257"/>
      <c r="W558" s="258"/>
      <c r="X558" s="257"/>
      <c r="Y558" s="258"/>
      <c r="Z558" s="257"/>
    </row>
    <row r="559" spans="1:26" ht="15" customHeight="1">
      <c r="A559" s="250">
        <f>A556+1</f>
        <v>162</v>
      </c>
      <c r="B559" s="251"/>
      <c r="C559" s="661" t="s">
        <v>692</v>
      </c>
      <c r="D559" s="529"/>
      <c r="E559" s="251" t="s">
        <v>1898</v>
      </c>
      <c r="F559" s="252">
        <f>M559+O559+Q559+S559+U559+W559+Y559</f>
        <v>160</v>
      </c>
      <c r="G559" s="253">
        <f>L559</f>
        <v>17.61</v>
      </c>
      <c r="H559" s="254">
        <f>INT(F559*G559*100+0.5)/100</f>
        <v>2817.6</v>
      </c>
      <c r="I559" s="253">
        <f>N559+P559+R559+T559+V559+X559+Z559</f>
        <v>2817.6</v>
      </c>
      <c r="J559" s="253"/>
      <c r="K559" s="251" t="s">
        <v>1898</v>
      </c>
      <c r="L559" s="255">
        <v>17.61</v>
      </c>
      <c r="M559" s="258">
        <f>2*10*3</f>
        <v>60</v>
      </c>
      <c r="N559" s="257">
        <f>INT($L559*M559*100+0.5)/100</f>
        <v>1056.5999999999999</v>
      </c>
      <c r="O559" s="258">
        <v>0</v>
      </c>
      <c r="P559" s="257">
        <f>INT($L559*O559*100+0.5)/100</f>
        <v>0</v>
      </c>
      <c r="Q559" s="258">
        <v>0</v>
      </c>
      <c r="R559" s="257">
        <f>INT($L559*Q559*100+0.5)/100</f>
        <v>0</v>
      </c>
      <c r="S559" s="258">
        <v>0</v>
      </c>
      <c r="T559" s="257">
        <f>INT($L559*S559*100+0.5)/100</f>
        <v>0</v>
      </c>
      <c r="U559" s="258">
        <f>200*0.5</f>
        <v>100</v>
      </c>
      <c r="V559" s="257">
        <f>INT($L559*U559*100+0.5)/100</f>
        <v>1761</v>
      </c>
      <c r="W559" s="258">
        <v>0</v>
      </c>
      <c r="X559" s="257">
        <f>INT($L559*W559*100+0.5)/100</f>
        <v>0</v>
      </c>
      <c r="Y559" s="258">
        <v>0</v>
      </c>
      <c r="Z559" s="257">
        <f>INT($L559*Y559*100+0.5)/100</f>
        <v>0</v>
      </c>
    </row>
    <row r="560" spans="1:26" ht="25.5">
      <c r="A560" s="250"/>
      <c r="B560" s="251"/>
      <c r="C560" s="661"/>
      <c r="D560" s="532" t="s">
        <v>1969</v>
      </c>
      <c r="E560" s="251"/>
      <c r="F560" s="252"/>
      <c r="G560" s="253"/>
      <c r="H560" s="254"/>
      <c r="I560" s="253"/>
      <c r="J560" s="253"/>
      <c r="K560" s="251"/>
      <c r="L560" s="261"/>
      <c r="M560" s="258"/>
      <c r="N560" s="257"/>
      <c r="O560" s="258"/>
      <c r="P560" s="257"/>
      <c r="Q560" s="258"/>
      <c r="R560" s="257"/>
      <c r="S560" s="258"/>
      <c r="T560" s="257"/>
      <c r="U560" s="258"/>
      <c r="V560" s="257"/>
      <c r="W560" s="258"/>
      <c r="X560" s="257"/>
      <c r="Y560" s="258"/>
      <c r="Z560" s="257"/>
    </row>
    <row r="561" spans="1:26" ht="15" customHeight="1">
      <c r="A561" s="250"/>
      <c r="B561" s="251"/>
      <c r="C561" s="661"/>
      <c r="D561" s="532"/>
      <c r="E561" s="251"/>
      <c r="F561" s="252"/>
      <c r="G561" s="253"/>
      <c r="H561" s="254"/>
      <c r="I561" s="253"/>
      <c r="J561" s="253"/>
      <c r="K561" s="251"/>
      <c r="L561" s="261"/>
      <c r="M561" s="258"/>
      <c r="N561" s="257"/>
      <c r="O561" s="258"/>
      <c r="P561" s="257"/>
      <c r="Q561" s="258"/>
      <c r="R561" s="257"/>
      <c r="S561" s="258"/>
      <c r="T561" s="257"/>
      <c r="U561" s="258"/>
      <c r="V561" s="257"/>
      <c r="W561" s="258"/>
      <c r="X561" s="257"/>
      <c r="Y561" s="258"/>
      <c r="Z561" s="257"/>
    </row>
    <row r="562" spans="1:26" ht="15" customHeight="1">
      <c r="A562" s="250">
        <f>A559+1</f>
        <v>163</v>
      </c>
      <c r="B562" s="251"/>
      <c r="C562" s="654" t="s">
        <v>693</v>
      </c>
      <c r="D562" s="532"/>
      <c r="E562" s="251" t="s">
        <v>1898</v>
      </c>
      <c r="F562" s="252">
        <f>M562+O562+Q562+S562+U562+W562+Y562</f>
        <v>0</v>
      </c>
      <c r="G562" s="253">
        <f>L562</f>
        <v>19.86</v>
      </c>
      <c r="H562" s="254">
        <f>$H$547</f>
        <v>0</v>
      </c>
      <c r="I562" s="253">
        <f>N562+P562+R562+T562+V562+X562+Z562</f>
        <v>0</v>
      </c>
      <c r="J562" s="253"/>
      <c r="K562" s="251" t="s">
        <v>1898</v>
      </c>
      <c r="L562" s="255">
        <v>19.86</v>
      </c>
      <c r="M562" s="258">
        <v>0</v>
      </c>
      <c r="N562" s="257">
        <f>INT($L562*M562*100+0.5)/100</f>
        <v>0</v>
      </c>
      <c r="O562" s="258">
        <v>0</v>
      </c>
      <c r="P562" s="257">
        <f>INT($L562*O562*100+0.5)/100</f>
        <v>0</v>
      </c>
      <c r="Q562" s="258">
        <v>0</v>
      </c>
      <c r="R562" s="257">
        <f>INT($L562*Q562*100+0.5)/100</f>
        <v>0</v>
      </c>
      <c r="S562" s="258">
        <v>0</v>
      </c>
      <c r="T562" s="257">
        <f>INT($L562*S562*100+0.5)/100</f>
        <v>0</v>
      </c>
      <c r="U562" s="258">
        <v>0</v>
      </c>
      <c r="V562" s="257">
        <f>INT($L562*U562*100+0.5)/100</f>
        <v>0</v>
      </c>
      <c r="W562" s="258">
        <v>0</v>
      </c>
      <c r="X562" s="257">
        <f>INT($L562*W562*100+0.5)/100</f>
        <v>0</v>
      </c>
      <c r="Y562" s="258">
        <v>0</v>
      </c>
      <c r="Z562" s="257">
        <f>INT($L562*Y562*100+0.5)/100</f>
        <v>0</v>
      </c>
    </row>
    <row r="563" spans="1:26" ht="15" customHeight="1">
      <c r="A563" s="250"/>
      <c r="B563" s="251"/>
      <c r="C563" s="532"/>
      <c r="D563" s="532" t="s">
        <v>1946</v>
      </c>
      <c r="E563" s="251"/>
      <c r="F563" s="252"/>
      <c r="G563" s="253"/>
      <c r="H563" s="254"/>
      <c r="I563" s="253"/>
      <c r="J563" s="253"/>
      <c r="K563" s="251"/>
      <c r="L563" s="261"/>
      <c r="M563" s="258"/>
      <c r="N563" s="257"/>
      <c r="O563" s="258"/>
      <c r="P563" s="257"/>
      <c r="Q563" s="258"/>
      <c r="R563" s="257"/>
      <c r="S563" s="258"/>
      <c r="T563" s="257"/>
      <c r="U563" s="258"/>
      <c r="V563" s="257"/>
      <c r="W563" s="258"/>
      <c r="X563" s="257"/>
      <c r="Y563" s="258"/>
      <c r="Z563" s="257"/>
    </row>
    <row r="564" spans="1:26" ht="15" customHeight="1">
      <c r="A564" s="250"/>
      <c r="B564" s="251"/>
      <c r="C564" s="540"/>
      <c r="D564" s="532"/>
      <c r="E564" s="251"/>
      <c r="F564" s="252"/>
      <c r="G564" s="253"/>
      <c r="H564" s="254"/>
      <c r="I564" s="253"/>
      <c r="J564" s="253"/>
      <c r="K564" s="251"/>
      <c r="L564" s="261"/>
      <c r="M564" s="258"/>
      <c r="N564" s="257"/>
      <c r="O564" s="258"/>
      <c r="P564" s="257"/>
      <c r="Q564" s="258"/>
      <c r="R564" s="257"/>
      <c r="S564" s="258"/>
      <c r="T564" s="257"/>
      <c r="U564" s="258"/>
      <c r="V564" s="257"/>
      <c r="W564" s="258"/>
      <c r="X564" s="257"/>
      <c r="Y564" s="258"/>
      <c r="Z564" s="257"/>
    </row>
    <row r="565" spans="1:26" ht="25.5">
      <c r="A565" s="250">
        <f>A562+1</f>
        <v>164</v>
      </c>
      <c r="B565" s="251"/>
      <c r="C565" s="662" t="s">
        <v>694</v>
      </c>
      <c r="D565" s="532" t="s">
        <v>30</v>
      </c>
      <c r="E565" s="251" t="s">
        <v>1898</v>
      </c>
      <c r="F565" s="252"/>
      <c r="G565" s="253"/>
      <c r="H565" s="254"/>
      <c r="I565" s="253"/>
      <c r="J565" s="253"/>
      <c r="K565" s="251" t="s">
        <v>1898</v>
      </c>
      <c r="L565" s="255"/>
      <c r="M565" s="258"/>
      <c r="N565" s="257"/>
      <c r="O565" s="258"/>
      <c r="P565" s="257"/>
      <c r="Q565" s="258"/>
      <c r="R565" s="257"/>
      <c r="S565" s="258"/>
      <c r="T565" s="257"/>
      <c r="U565" s="258"/>
      <c r="V565" s="257"/>
      <c r="W565" s="258"/>
      <c r="X565" s="257"/>
      <c r="Y565" s="258"/>
      <c r="Z565" s="257"/>
    </row>
    <row r="566" spans="1:26" ht="15" customHeight="1">
      <c r="A566" s="250"/>
      <c r="B566" s="251"/>
      <c r="C566" s="532"/>
      <c r="D566" s="532" t="s">
        <v>31</v>
      </c>
      <c r="E566" s="251"/>
      <c r="F566" s="252"/>
      <c r="G566" s="253"/>
      <c r="H566" s="254"/>
      <c r="I566" s="253"/>
      <c r="J566" s="253"/>
      <c r="K566" s="251"/>
      <c r="L566" s="261"/>
      <c r="M566" s="258"/>
      <c r="N566" s="257"/>
      <c r="O566" s="258"/>
      <c r="P566" s="257"/>
      <c r="Q566" s="258"/>
      <c r="R566" s="257"/>
      <c r="S566" s="258"/>
      <c r="T566" s="257"/>
      <c r="U566" s="258"/>
      <c r="V566" s="257"/>
      <c r="W566" s="258"/>
      <c r="X566" s="257"/>
      <c r="Y566" s="258"/>
      <c r="Z566" s="257"/>
    </row>
    <row r="567" spans="1:26" ht="15" customHeight="1">
      <c r="A567" s="250"/>
      <c r="B567" s="251"/>
      <c r="C567" s="540"/>
      <c r="D567" s="532" t="s">
        <v>29</v>
      </c>
      <c r="E567" s="251"/>
      <c r="F567" s="252">
        <f>M567+O567+Q567+S567+U567+W567+Y567</f>
        <v>80</v>
      </c>
      <c r="G567" s="253">
        <f>L567</f>
        <v>31.62</v>
      </c>
      <c r="H567" s="254">
        <f>$H$547</f>
        <v>0</v>
      </c>
      <c r="I567" s="253">
        <f>N567+P567+R567+T567+V567+X567+Z567</f>
        <v>2529.6</v>
      </c>
      <c r="J567" s="253"/>
      <c r="K567" s="251"/>
      <c r="L567" s="255">
        <v>31.62</v>
      </c>
      <c r="M567" s="258">
        <v>0</v>
      </c>
      <c r="N567" s="257">
        <f>INT($L567*M567*100+0.5)/100</f>
        <v>0</v>
      </c>
      <c r="O567" s="258">
        <v>0</v>
      </c>
      <c r="P567" s="257">
        <f>INT($L567*O567*100+0.5)/100</f>
        <v>0</v>
      </c>
      <c r="Q567" s="258">
        <v>0</v>
      </c>
      <c r="R567" s="257">
        <f>INT($L567*Q567*100+0.5)/100</f>
        <v>0</v>
      </c>
      <c r="S567" s="258">
        <f>20*(4*1*1)</f>
        <v>80</v>
      </c>
      <c r="T567" s="257">
        <f>INT($L567*S567*100+0.5)/100</f>
        <v>2529.6</v>
      </c>
      <c r="U567" s="258">
        <v>0</v>
      </c>
      <c r="V567" s="257">
        <f>INT($L567*U567*100+0.5)/100</f>
        <v>0</v>
      </c>
      <c r="W567" s="258">
        <v>0</v>
      </c>
      <c r="X567" s="257">
        <f>INT($L567*W567*100+0.5)/100</f>
        <v>0</v>
      </c>
      <c r="Y567" s="258">
        <v>0</v>
      </c>
      <c r="Z567" s="257">
        <f>INT($L567*Y567*100+0.5)/100</f>
        <v>0</v>
      </c>
    </row>
    <row r="568" spans="1:26" ht="15" customHeight="1">
      <c r="A568" s="250"/>
      <c r="B568" s="251"/>
      <c r="C568" s="540"/>
      <c r="D568" s="532"/>
      <c r="E568" s="251"/>
      <c r="F568" s="252"/>
      <c r="G568" s="253"/>
      <c r="H568" s="254"/>
      <c r="I568" s="253"/>
      <c r="J568" s="253"/>
      <c r="K568" s="251"/>
      <c r="L568" s="261"/>
      <c r="M568" s="258"/>
      <c r="N568" s="257"/>
      <c r="O568" s="258"/>
      <c r="P568" s="257"/>
      <c r="Q568" s="258"/>
      <c r="R568" s="257"/>
      <c r="S568" s="258"/>
      <c r="T568" s="257"/>
      <c r="U568" s="258"/>
      <c r="V568" s="257"/>
      <c r="W568" s="258"/>
      <c r="X568" s="257"/>
      <c r="Y568" s="258"/>
      <c r="Z568" s="257"/>
    </row>
    <row r="569" spans="1:26" ht="15" customHeight="1">
      <c r="A569" s="250">
        <f>A562+1</f>
        <v>164</v>
      </c>
      <c r="B569" s="251"/>
      <c r="C569" s="647" t="s">
        <v>696</v>
      </c>
      <c r="D569" s="526" t="s">
        <v>695</v>
      </c>
      <c r="E569" s="251" t="s">
        <v>2461</v>
      </c>
      <c r="F569" s="252"/>
      <c r="G569" s="253"/>
      <c r="H569" s="254"/>
      <c r="I569" s="253"/>
      <c r="J569" s="253"/>
      <c r="K569" s="251" t="s">
        <v>2461</v>
      </c>
      <c r="L569" s="261"/>
      <c r="M569" s="258"/>
      <c r="N569" s="257"/>
      <c r="O569" s="258"/>
      <c r="P569" s="257"/>
      <c r="Q569" s="258"/>
      <c r="R569" s="257"/>
      <c r="S569" s="258"/>
      <c r="T569" s="257"/>
      <c r="U569" s="258"/>
      <c r="V569" s="257"/>
      <c r="W569" s="258"/>
      <c r="X569" s="257"/>
      <c r="Y569" s="258"/>
      <c r="Z569" s="257"/>
    </row>
    <row r="570" spans="1:26" ht="25.5">
      <c r="A570" s="250"/>
      <c r="B570" s="251"/>
      <c r="C570" s="526"/>
      <c r="D570" s="526" t="s">
        <v>326</v>
      </c>
      <c r="E570" s="251"/>
      <c r="F570" s="252"/>
      <c r="G570" s="253"/>
      <c r="H570" s="254"/>
      <c r="I570" s="253"/>
      <c r="J570" s="253"/>
      <c r="K570" s="251"/>
      <c r="L570" s="261"/>
      <c r="M570" s="258"/>
      <c r="N570" s="257"/>
      <c r="O570" s="258"/>
      <c r="P570" s="257"/>
      <c r="Q570" s="258"/>
      <c r="R570" s="257"/>
      <c r="S570" s="258"/>
      <c r="T570" s="257"/>
      <c r="U570" s="258"/>
      <c r="V570" s="257"/>
      <c r="W570" s="258"/>
      <c r="X570" s="257"/>
      <c r="Y570" s="258"/>
      <c r="Z570" s="257"/>
    </row>
    <row r="571" spans="1:26" ht="15" customHeight="1">
      <c r="A571" s="250"/>
      <c r="B571" s="251"/>
      <c r="C571" s="526"/>
      <c r="D571" s="292" t="s">
        <v>1970</v>
      </c>
      <c r="E571" s="251"/>
      <c r="F571" s="252"/>
      <c r="G571" s="253"/>
      <c r="H571" s="254"/>
      <c r="I571" s="253"/>
      <c r="J571" s="253"/>
      <c r="K571" s="251"/>
      <c r="L571" s="261"/>
      <c r="M571" s="258">
        <f>10*1.5*0.5</f>
        <v>7.5</v>
      </c>
      <c r="N571" s="257"/>
      <c r="O571" s="258">
        <v>0</v>
      </c>
      <c r="P571" s="257"/>
      <c r="Q571" s="258">
        <v>0</v>
      </c>
      <c r="R571" s="257"/>
      <c r="S571" s="258">
        <v>0</v>
      </c>
      <c r="T571" s="257"/>
      <c r="U571" s="258">
        <v>0</v>
      </c>
      <c r="V571" s="257"/>
      <c r="W571" s="258">
        <v>0</v>
      </c>
      <c r="X571" s="257"/>
      <c r="Y571" s="258">
        <v>0</v>
      </c>
      <c r="Z571" s="257"/>
    </row>
    <row r="572" spans="1:26" ht="15" customHeight="1">
      <c r="A572" s="250"/>
      <c r="B572" s="251"/>
      <c r="C572" s="526"/>
      <c r="D572" s="238" t="s">
        <v>1899</v>
      </c>
      <c r="E572" s="251"/>
      <c r="F572" s="252"/>
      <c r="G572" s="253"/>
      <c r="H572" s="254"/>
      <c r="I572" s="253"/>
      <c r="J572" s="253"/>
      <c r="K572" s="251"/>
      <c r="L572" s="261"/>
      <c r="M572" s="293">
        <v>0</v>
      </c>
      <c r="N572" s="294"/>
      <c r="O572" s="293">
        <v>0</v>
      </c>
      <c r="P572" s="294"/>
      <c r="Q572" s="293">
        <v>0</v>
      </c>
      <c r="R572" s="294"/>
      <c r="S572" s="293">
        <v>0</v>
      </c>
      <c r="T572" s="294"/>
      <c r="U572" s="293">
        <v>0</v>
      </c>
      <c r="V572" s="294"/>
      <c r="W572" s="293">
        <v>0</v>
      </c>
      <c r="X572" s="294"/>
      <c r="Y572" s="293">
        <v>0</v>
      </c>
      <c r="Z572" s="294"/>
    </row>
    <row r="573" spans="1:26" ht="12.75" customHeight="1">
      <c r="A573" s="250"/>
      <c r="B573" s="251"/>
      <c r="C573" s="526"/>
      <c r="D573" s="292" t="s">
        <v>575</v>
      </c>
      <c r="E573" s="251"/>
      <c r="F573" s="252">
        <f>M573+O573+Q573+S573+U573+W573+Y573</f>
        <v>7.5</v>
      </c>
      <c r="G573" s="253">
        <f>L573</f>
        <v>104.19</v>
      </c>
      <c r="H573" s="254">
        <f>INT(F573*G573*100+0.5)/100</f>
        <v>781.43</v>
      </c>
      <c r="I573" s="253">
        <f>N573+P573+R573+T573+V573+X573+Z573</f>
        <v>781.43</v>
      </c>
      <c r="J573" s="253"/>
      <c r="K573" s="251"/>
      <c r="L573" s="255">
        <v>104.19</v>
      </c>
      <c r="M573" s="258">
        <f>INT(SUM(M571:M572)*100+0.5)/100</f>
        <v>7.5</v>
      </c>
      <c r="N573" s="257">
        <f>INT($L573*M573*100+0.5)/100</f>
        <v>781.43</v>
      </c>
      <c r="O573" s="258">
        <f>INT(SUM(O571:O572)*100+0.5)/100</f>
        <v>0</v>
      </c>
      <c r="P573" s="257">
        <f>INT($L573*O573*100+0.5)/100</f>
        <v>0</v>
      </c>
      <c r="Q573" s="258">
        <f>INT(SUM(Q571:Q572)*100+0.5)/100</f>
        <v>0</v>
      </c>
      <c r="R573" s="257">
        <f>INT($L573*Q573*100+0.5)/100</f>
        <v>0</v>
      </c>
      <c r="S573" s="258">
        <f>INT(SUM(S571:S572)*100+0.5)/100</f>
        <v>0</v>
      </c>
      <c r="T573" s="257">
        <f>INT($L573*S573*100+0.5)/100</f>
        <v>0</v>
      </c>
      <c r="U573" s="258">
        <f>INT(SUM(U571:U572)*100+0.5)/100</f>
        <v>0</v>
      </c>
      <c r="V573" s="257">
        <f>INT($L573*U573*100+0.5)/100</f>
        <v>0</v>
      </c>
      <c r="W573" s="258">
        <f>INT(SUM(W571:W572)*100+0.5)/100</f>
        <v>0</v>
      </c>
      <c r="X573" s="257">
        <f>INT($L573*W573*100+0.5)/100</f>
        <v>0</v>
      </c>
      <c r="Y573" s="258">
        <f>INT(SUM(Y571:Y572)*100+0.5)/100</f>
        <v>0</v>
      </c>
      <c r="Z573" s="257">
        <f>INT($L573*Y573*100+0.5)/100</f>
        <v>0</v>
      </c>
    </row>
    <row r="574" spans="1:26" ht="12.75" customHeight="1">
      <c r="A574" s="250"/>
      <c r="B574" s="251"/>
      <c r="C574" s="526"/>
      <c r="D574" s="292"/>
      <c r="E574" s="251"/>
      <c r="F574" s="252"/>
      <c r="G574" s="253"/>
      <c r="H574" s="254"/>
      <c r="I574" s="253"/>
      <c r="J574" s="253"/>
      <c r="K574" s="251"/>
      <c r="L574" s="261"/>
      <c r="M574" s="258"/>
      <c r="N574" s="257"/>
      <c r="O574" s="258"/>
      <c r="P574" s="257"/>
      <c r="Q574" s="258"/>
      <c r="R574" s="257"/>
      <c r="S574" s="258"/>
      <c r="T574" s="257"/>
      <c r="U574" s="258"/>
      <c r="V574" s="257"/>
      <c r="W574" s="258"/>
      <c r="X574" s="257"/>
      <c r="Y574" s="258"/>
      <c r="Z574" s="257"/>
    </row>
    <row r="575" spans="1:26" ht="15" customHeight="1">
      <c r="A575" s="250">
        <f>A569+1</f>
        <v>165</v>
      </c>
      <c r="B575" s="251"/>
      <c r="C575" s="647" t="s">
        <v>697</v>
      </c>
      <c r="D575" s="526" t="s">
        <v>932</v>
      </c>
      <c r="E575" s="251" t="s">
        <v>2461</v>
      </c>
      <c r="F575" s="252"/>
      <c r="G575" s="253"/>
      <c r="H575" s="254"/>
      <c r="I575" s="253"/>
      <c r="J575" s="253"/>
      <c r="K575" s="251" t="s">
        <v>2461</v>
      </c>
      <c r="L575" s="261"/>
      <c r="M575" s="258"/>
      <c r="N575" s="257"/>
      <c r="O575" s="258"/>
      <c r="P575" s="257"/>
      <c r="Q575" s="258"/>
      <c r="R575" s="257"/>
      <c r="S575" s="258"/>
      <c r="T575" s="257"/>
      <c r="U575" s="258"/>
      <c r="V575" s="257"/>
      <c r="W575" s="258"/>
      <c r="X575" s="257"/>
      <c r="Y575" s="258"/>
      <c r="Z575" s="257"/>
    </row>
    <row r="576" spans="1:26" ht="15" customHeight="1">
      <c r="A576" s="250"/>
      <c r="B576" s="251"/>
      <c r="C576" s="526"/>
      <c r="D576" s="526" t="s">
        <v>325</v>
      </c>
      <c r="E576" s="251"/>
      <c r="F576" s="252"/>
      <c r="G576" s="253"/>
      <c r="H576" s="254"/>
      <c r="I576" s="253"/>
      <c r="J576" s="253"/>
      <c r="K576" s="251"/>
      <c r="L576" s="261"/>
      <c r="M576" s="258"/>
      <c r="N576" s="257"/>
      <c r="O576" s="258"/>
      <c r="P576" s="257"/>
      <c r="Q576" s="258"/>
      <c r="R576" s="257"/>
      <c r="S576" s="258"/>
      <c r="T576" s="257"/>
      <c r="U576" s="258"/>
      <c r="V576" s="257"/>
      <c r="W576" s="258"/>
      <c r="X576" s="257"/>
      <c r="Y576" s="258"/>
      <c r="Z576" s="257"/>
    </row>
    <row r="577" spans="1:26" ht="15" customHeight="1">
      <c r="A577" s="250"/>
      <c r="B577" s="251"/>
      <c r="C577" s="526"/>
      <c r="D577" s="292" t="s">
        <v>1970</v>
      </c>
      <c r="E577" s="251"/>
      <c r="F577" s="252"/>
      <c r="G577" s="253"/>
      <c r="H577" s="254"/>
      <c r="I577" s="253"/>
      <c r="J577" s="253"/>
      <c r="K577" s="251"/>
      <c r="L577" s="261"/>
      <c r="M577" s="258">
        <f>10*0.3*3</f>
        <v>9</v>
      </c>
      <c r="N577" s="257"/>
      <c r="O577" s="258">
        <v>0</v>
      </c>
      <c r="P577" s="257"/>
      <c r="Q577" s="258">
        <v>0</v>
      </c>
      <c r="R577" s="257"/>
      <c r="S577" s="258">
        <v>0</v>
      </c>
      <c r="T577" s="257"/>
      <c r="U577" s="258">
        <v>0</v>
      </c>
      <c r="V577" s="257"/>
      <c r="W577" s="258">
        <v>0</v>
      </c>
      <c r="X577" s="257"/>
      <c r="Y577" s="258">
        <v>0</v>
      </c>
      <c r="Z577" s="257"/>
    </row>
    <row r="578" spans="1:26" ht="15" customHeight="1">
      <c r="A578" s="250"/>
      <c r="B578" s="251"/>
      <c r="C578" s="526"/>
      <c r="D578" s="292" t="s">
        <v>34</v>
      </c>
      <c r="E578" s="251"/>
      <c r="F578" s="252"/>
      <c r="G578" s="253"/>
      <c r="H578" s="254"/>
      <c r="I578" s="253"/>
      <c r="J578" s="253"/>
      <c r="K578" s="251"/>
      <c r="L578" s="261"/>
      <c r="M578" s="258">
        <v>0</v>
      </c>
      <c r="N578" s="257"/>
      <c r="O578" s="258">
        <v>0</v>
      </c>
      <c r="P578" s="257"/>
      <c r="Q578" s="258">
        <v>0</v>
      </c>
      <c r="R578" s="257"/>
      <c r="S578" s="258">
        <f>(10+10)*1*1*1</f>
        <v>20</v>
      </c>
      <c r="T578" s="257"/>
      <c r="U578" s="258"/>
      <c r="V578" s="257"/>
      <c r="W578" s="258"/>
      <c r="X578" s="257"/>
      <c r="Y578" s="258"/>
      <c r="Z578" s="257"/>
    </row>
    <row r="579" spans="1:26" ht="15" customHeight="1">
      <c r="A579" s="250"/>
      <c r="B579" s="251"/>
      <c r="C579" s="526"/>
      <c r="D579" s="238" t="s">
        <v>1899</v>
      </c>
      <c r="E579" s="251"/>
      <c r="F579" s="252"/>
      <c r="G579" s="253"/>
      <c r="H579" s="254"/>
      <c r="I579" s="253"/>
      <c r="J579" s="253"/>
      <c r="K579" s="251"/>
      <c r="L579" s="261"/>
      <c r="M579" s="293">
        <v>0</v>
      </c>
      <c r="N579" s="294"/>
      <c r="O579" s="293">
        <v>0</v>
      </c>
      <c r="P579" s="294"/>
      <c r="Q579" s="293">
        <v>0</v>
      </c>
      <c r="R579" s="294"/>
      <c r="S579" s="293">
        <v>0</v>
      </c>
      <c r="T579" s="294"/>
      <c r="U579" s="293">
        <f>200*0.3*0.5</f>
        <v>30</v>
      </c>
      <c r="V579" s="294"/>
      <c r="W579" s="293">
        <v>0</v>
      </c>
      <c r="X579" s="294"/>
      <c r="Y579" s="293">
        <v>0</v>
      </c>
      <c r="Z579" s="294"/>
    </row>
    <row r="580" spans="1:26" ht="12.75" customHeight="1">
      <c r="A580" s="250"/>
      <c r="B580" s="251"/>
      <c r="C580" s="526"/>
      <c r="D580" s="292" t="s">
        <v>575</v>
      </c>
      <c r="E580" s="251"/>
      <c r="F580" s="252">
        <f>M580+O580+Q580+S580+U580+W580+Y580</f>
        <v>59</v>
      </c>
      <c r="G580" s="253">
        <f>L580</f>
        <v>122.29</v>
      </c>
      <c r="H580" s="254">
        <f>INT(F580*G580*100+0.5)/100</f>
        <v>7215.11</v>
      </c>
      <c r="I580" s="253">
        <f>N580+P580+R580+T580+V580+X580+Z580</f>
        <v>7215.11</v>
      </c>
      <c r="J580" s="253"/>
      <c r="K580" s="251"/>
      <c r="L580" s="255">
        <v>122.29</v>
      </c>
      <c r="M580" s="258">
        <f>INT(SUM(M577:M579)*100+0.5)/100</f>
        <v>9</v>
      </c>
      <c r="N580" s="257">
        <f>INT($L580*M580*100+0.5)/100</f>
        <v>1100.6099999999999</v>
      </c>
      <c r="O580" s="258">
        <f>INT(SUM(O577:O579)*100+0.5)/100</f>
        <v>0</v>
      </c>
      <c r="P580" s="257">
        <f>INT($L580*O580*100+0.5)/100</f>
        <v>0</v>
      </c>
      <c r="Q580" s="258">
        <f>INT(SUM(Q577:Q579)*100+0.5)/100</f>
        <v>0</v>
      </c>
      <c r="R580" s="257">
        <f>INT($L580*Q580*100+0.5)/100</f>
        <v>0</v>
      </c>
      <c r="S580" s="258">
        <f>INT(SUM(S577:S579)*100+0.5)/100</f>
        <v>20</v>
      </c>
      <c r="T580" s="257">
        <f>INT($L580*S580*100+0.5)/100</f>
        <v>2445.8000000000002</v>
      </c>
      <c r="U580" s="258">
        <f>INT(SUM(U577:U579)*100+0.5)/100</f>
        <v>30</v>
      </c>
      <c r="V580" s="257">
        <f>INT($L580*U580*100+0.5)/100</f>
        <v>3668.7</v>
      </c>
      <c r="W580" s="258">
        <f>INT(SUM(W577:W579)*100+0.5)/100</f>
        <v>0</v>
      </c>
      <c r="X580" s="257">
        <f>INT($L580*W580*100+0.5)/100</f>
        <v>0</v>
      </c>
      <c r="Y580" s="258">
        <f>INT(SUM(Y577:Y579)*100+0.5)/100</f>
        <v>0</v>
      </c>
      <c r="Z580" s="257">
        <f>INT($L580*Y580*100+0.5)/100</f>
        <v>0</v>
      </c>
    </row>
    <row r="581" spans="1:26" ht="12.75" customHeight="1">
      <c r="A581" s="250"/>
      <c r="B581" s="251"/>
      <c r="C581" s="526"/>
      <c r="D581" s="292"/>
      <c r="E581" s="251"/>
      <c r="F581" s="252"/>
      <c r="G581" s="253"/>
      <c r="H581" s="254"/>
      <c r="I581" s="253"/>
      <c r="J581" s="253"/>
      <c r="K581" s="251"/>
      <c r="L581" s="261"/>
      <c r="M581" s="258"/>
      <c r="N581" s="257"/>
      <c r="O581" s="258"/>
      <c r="P581" s="257"/>
      <c r="Q581" s="258"/>
      <c r="R581" s="257"/>
      <c r="S581" s="258"/>
      <c r="T581" s="257"/>
      <c r="U581" s="258"/>
      <c r="V581" s="257"/>
      <c r="W581" s="258"/>
      <c r="X581" s="257"/>
      <c r="Y581" s="258"/>
      <c r="Z581" s="257"/>
    </row>
    <row r="582" spans="1:26" ht="25.5">
      <c r="A582" s="250">
        <f>A575+1</f>
        <v>166</v>
      </c>
      <c r="B582" s="251"/>
      <c r="C582" s="657" t="s">
        <v>698</v>
      </c>
      <c r="D582" s="532" t="s">
        <v>1811</v>
      </c>
      <c r="E582" s="251" t="s">
        <v>2461</v>
      </c>
      <c r="F582" s="252">
        <f>M582+O582+Q582+S582+U582+W582+Y582</f>
        <v>0</v>
      </c>
      <c r="G582" s="253">
        <f>L582</f>
        <v>4.2</v>
      </c>
      <c r="H582" s="254">
        <f>INT(F582*G582*100+0.5)/100</f>
        <v>0</v>
      </c>
      <c r="I582" s="253">
        <f>N582+P582+R582+T582+V582+X582+Z582</f>
        <v>0</v>
      </c>
      <c r="J582" s="253"/>
      <c r="K582" s="251" t="s">
        <v>2461</v>
      </c>
      <c r="L582" s="262">
        <v>4.2</v>
      </c>
      <c r="M582" s="258">
        <v>0</v>
      </c>
      <c r="N582" s="257">
        <f>INT($L582*M582*100+0.5)/100</f>
        <v>0</v>
      </c>
      <c r="O582" s="258">
        <v>0</v>
      </c>
      <c r="P582" s="257">
        <f>INT($L582*O582*100+0.5)/100</f>
        <v>0</v>
      </c>
      <c r="Q582" s="258">
        <v>0</v>
      </c>
      <c r="R582" s="257">
        <f>INT($L582*Q582*100+0.5)/100</f>
        <v>0</v>
      </c>
      <c r="S582" s="258">
        <v>0</v>
      </c>
      <c r="T582" s="257">
        <f>INT($L582*S582*100+0.5)/100</f>
        <v>0</v>
      </c>
      <c r="U582" s="258">
        <v>0</v>
      </c>
      <c r="V582" s="257">
        <f>INT($L582*U582*100+0.5)/100</f>
        <v>0</v>
      </c>
      <c r="W582" s="258">
        <v>0</v>
      </c>
      <c r="X582" s="257">
        <f>INT($L582*W582*100+0.5)/100</f>
        <v>0</v>
      </c>
      <c r="Y582" s="258">
        <v>0</v>
      </c>
      <c r="Z582" s="257">
        <f>INT($L582*Y582*100+0.5)/100</f>
        <v>0</v>
      </c>
    </row>
    <row r="583" spans="1:26" ht="25.5">
      <c r="A583" s="250"/>
      <c r="B583" s="251"/>
      <c r="C583" s="647"/>
      <c r="D583" s="532" t="s">
        <v>1810</v>
      </c>
      <c r="E583" s="251"/>
      <c r="F583" s="252"/>
      <c r="G583" s="253"/>
      <c r="H583" s="254"/>
      <c r="I583" s="253"/>
      <c r="J583" s="253"/>
      <c r="K583" s="251"/>
      <c r="L583" s="261"/>
      <c r="M583" s="316"/>
      <c r="N583" s="259"/>
      <c r="O583" s="316"/>
      <c r="P583" s="259"/>
      <c r="Q583" s="316"/>
      <c r="R583" s="259"/>
      <c r="S583" s="316"/>
      <c r="T583" s="257"/>
      <c r="U583" s="316"/>
      <c r="V583" s="257"/>
      <c r="W583" s="316"/>
      <c r="X583" s="257"/>
      <c r="Y583" s="316"/>
      <c r="Z583" s="257"/>
    </row>
    <row r="584" spans="1:26" ht="15" customHeight="1">
      <c r="A584" s="250"/>
      <c r="B584" s="251"/>
      <c r="C584" s="647"/>
      <c r="D584" s="292"/>
      <c r="E584" s="251"/>
      <c r="F584" s="252"/>
      <c r="G584" s="253"/>
      <c r="H584" s="254"/>
      <c r="I584" s="253"/>
      <c r="J584" s="253"/>
      <c r="K584" s="251"/>
      <c r="L584" s="261"/>
      <c r="M584" s="316"/>
      <c r="N584" s="259"/>
      <c r="O584" s="316"/>
      <c r="P584" s="259"/>
      <c r="Q584" s="316"/>
      <c r="R584" s="259"/>
      <c r="S584" s="316"/>
      <c r="T584" s="257"/>
      <c r="U584" s="316"/>
      <c r="V584" s="257"/>
      <c r="W584" s="316"/>
      <c r="X584" s="257"/>
      <c r="Y584" s="316"/>
      <c r="Z584" s="257"/>
    </row>
    <row r="585" spans="1:26" ht="15" customHeight="1">
      <c r="A585" s="250">
        <f>A582+1</f>
        <v>167</v>
      </c>
      <c r="B585" s="251"/>
      <c r="C585" s="657" t="s">
        <v>1554</v>
      </c>
      <c r="D585" s="532" t="s">
        <v>1872</v>
      </c>
      <c r="E585" s="251" t="s">
        <v>1898</v>
      </c>
      <c r="F585" s="252"/>
      <c r="G585" s="253"/>
      <c r="H585" s="254"/>
      <c r="I585" s="225"/>
      <c r="J585" s="225"/>
      <c r="K585" s="251" t="s">
        <v>1898</v>
      </c>
      <c r="L585" s="261"/>
      <c r="M585" s="316"/>
      <c r="N585" s="259"/>
      <c r="O585" s="316"/>
      <c r="P585" s="259"/>
      <c r="Q585" s="316"/>
      <c r="R585" s="259"/>
      <c r="S585" s="316"/>
      <c r="T585" s="257"/>
      <c r="U585" s="316"/>
      <c r="V585" s="257"/>
      <c r="W585" s="316"/>
      <c r="X585" s="257"/>
      <c r="Y585" s="316"/>
      <c r="Z585" s="257"/>
    </row>
    <row r="586" spans="1:26" ht="15" customHeight="1">
      <c r="A586" s="250"/>
      <c r="B586" s="251"/>
      <c r="C586" s="647"/>
      <c r="D586" s="532" t="s">
        <v>1871</v>
      </c>
      <c r="E586" s="251"/>
      <c r="F586" s="252"/>
      <c r="G586" s="253"/>
      <c r="H586" s="254"/>
      <c r="I586" s="253"/>
      <c r="J586" s="253"/>
      <c r="K586" s="251"/>
      <c r="L586" s="261"/>
      <c r="M586" s="316"/>
      <c r="N586" s="259"/>
      <c r="O586" s="316"/>
      <c r="P586" s="259"/>
      <c r="Q586" s="316"/>
      <c r="R586" s="259"/>
      <c r="S586" s="316"/>
      <c r="T586" s="257"/>
      <c r="U586" s="316"/>
      <c r="V586" s="257"/>
      <c r="W586" s="316"/>
      <c r="X586" s="257"/>
      <c r="Y586" s="316"/>
      <c r="Z586" s="257"/>
    </row>
    <row r="587" spans="1:26" ht="15" customHeight="1">
      <c r="A587" s="250"/>
      <c r="B587" s="251"/>
      <c r="C587" s="647"/>
      <c r="D587" s="292"/>
      <c r="E587" s="251"/>
      <c r="F587" s="252"/>
      <c r="G587" s="253"/>
      <c r="H587" s="254"/>
      <c r="I587" s="253"/>
      <c r="J587" s="253"/>
      <c r="K587" s="251"/>
      <c r="L587" s="261"/>
      <c r="M587" s="316">
        <v>0</v>
      </c>
      <c r="N587" s="259"/>
      <c r="O587" s="316">
        <v>0</v>
      </c>
      <c r="P587" s="259"/>
      <c r="Q587" s="316">
        <v>0</v>
      </c>
      <c r="R587" s="259"/>
      <c r="S587" s="316">
        <v>0</v>
      </c>
      <c r="T587" s="257"/>
      <c r="U587" s="316">
        <v>0</v>
      </c>
      <c r="V587" s="257"/>
      <c r="W587" s="316">
        <v>0</v>
      </c>
      <c r="X587" s="257"/>
      <c r="Y587" s="316">
        <v>0</v>
      </c>
      <c r="Z587" s="257"/>
    </row>
    <row r="588" spans="1:26" ht="15" customHeight="1">
      <c r="A588" s="250"/>
      <c r="B588" s="251"/>
      <c r="C588" s="647"/>
      <c r="D588" s="292" t="s">
        <v>1899</v>
      </c>
      <c r="E588" s="251"/>
      <c r="F588" s="252"/>
      <c r="G588" s="253"/>
      <c r="H588" s="254"/>
      <c r="I588" s="253"/>
      <c r="J588" s="253"/>
      <c r="K588" s="251"/>
      <c r="L588" s="261"/>
      <c r="M588" s="317">
        <v>0</v>
      </c>
      <c r="N588" s="295"/>
      <c r="O588" s="317">
        <v>0</v>
      </c>
      <c r="P588" s="295"/>
      <c r="Q588" s="317">
        <v>0</v>
      </c>
      <c r="R588" s="295"/>
      <c r="S588" s="317">
        <v>0</v>
      </c>
      <c r="T588" s="294"/>
      <c r="U588" s="317">
        <v>0</v>
      </c>
      <c r="V588" s="294"/>
      <c r="W588" s="317">
        <v>0</v>
      </c>
      <c r="X588" s="294"/>
      <c r="Y588" s="317">
        <v>0</v>
      </c>
      <c r="Z588" s="294"/>
    </row>
    <row r="589" spans="1:26" ht="15" customHeight="1">
      <c r="A589" s="250"/>
      <c r="B589" s="251"/>
      <c r="C589" s="647"/>
      <c r="D589" s="292" t="s">
        <v>575</v>
      </c>
      <c r="E589" s="251"/>
      <c r="F589" s="252">
        <f>M589+O589+Q589+S589+U589+W589+Y589</f>
        <v>0</v>
      </c>
      <c r="G589" s="253">
        <f>L589</f>
        <v>18.899999999999999</v>
      </c>
      <c r="H589" s="254">
        <f>INT(F589*G589*100+0.5)/100</f>
        <v>0</v>
      </c>
      <c r="I589" s="253">
        <f>N589+P589+R589+T589+V589+X589+Z589</f>
        <v>0</v>
      </c>
      <c r="J589" s="253"/>
      <c r="K589" s="251"/>
      <c r="L589" s="262">
        <v>18.899999999999999</v>
      </c>
      <c r="M589" s="316">
        <f>SUM(M587:M588)</f>
        <v>0</v>
      </c>
      <c r="N589" s="259">
        <f>INT($L589*M589*100+0.5)/100</f>
        <v>0</v>
      </c>
      <c r="O589" s="316">
        <v>0</v>
      </c>
      <c r="P589" s="259">
        <f>INT($L589*O589*100+0.5)/100</f>
        <v>0</v>
      </c>
      <c r="Q589" s="316">
        <v>0</v>
      </c>
      <c r="R589" s="259">
        <f>INT($L589*Q589*100+0.5)/100</f>
        <v>0</v>
      </c>
      <c r="S589" s="316">
        <v>0</v>
      </c>
      <c r="T589" s="257">
        <f>INT($L589*S589*100+0.5)/100</f>
        <v>0</v>
      </c>
      <c r="U589" s="316">
        <v>0</v>
      </c>
      <c r="V589" s="257">
        <f>INT($L589*U589*100+0.5)/100</f>
        <v>0</v>
      </c>
      <c r="W589" s="316">
        <v>0</v>
      </c>
      <c r="X589" s="257">
        <f>INT($L589*W589*100+0.5)/100</f>
        <v>0</v>
      </c>
      <c r="Y589" s="316">
        <v>0</v>
      </c>
      <c r="Z589" s="257">
        <f>INT($L589*Y589*100+0.5)/100</f>
        <v>0</v>
      </c>
    </row>
    <row r="590" spans="1:26" ht="15" customHeight="1">
      <c r="A590" s="250"/>
      <c r="B590" s="251"/>
      <c r="C590" s="647"/>
      <c r="D590" s="292"/>
      <c r="E590" s="251"/>
      <c r="F590" s="252"/>
      <c r="G590" s="253"/>
      <c r="H590" s="254"/>
      <c r="I590" s="253"/>
      <c r="J590" s="253"/>
      <c r="K590" s="251"/>
      <c r="L590" s="261"/>
      <c r="M590" s="316"/>
      <c r="N590" s="259"/>
      <c r="O590" s="316"/>
      <c r="P590" s="259"/>
      <c r="Q590" s="316"/>
      <c r="R590" s="259"/>
      <c r="S590" s="316"/>
      <c r="T590" s="257"/>
      <c r="U590" s="316"/>
      <c r="V590" s="257"/>
      <c r="W590" s="316"/>
      <c r="X590" s="257"/>
      <c r="Y590" s="316"/>
      <c r="Z590" s="257"/>
    </row>
    <row r="591" spans="1:26" ht="15" customHeight="1">
      <c r="A591" s="250">
        <f>A585+1</f>
        <v>168</v>
      </c>
      <c r="B591" s="251"/>
      <c r="C591" s="647" t="s">
        <v>699</v>
      </c>
      <c r="D591" s="526" t="s">
        <v>290</v>
      </c>
      <c r="E591" s="251" t="s">
        <v>1439</v>
      </c>
      <c r="F591" s="252"/>
      <c r="G591" s="253"/>
      <c r="H591" s="254"/>
      <c r="I591" s="253"/>
      <c r="J591" s="253"/>
      <c r="K591" s="251" t="s">
        <v>1439</v>
      </c>
      <c r="L591" s="261"/>
      <c r="M591" s="316"/>
      <c r="N591" s="259"/>
      <c r="O591" s="316"/>
      <c r="P591" s="259"/>
      <c r="Q591" s="316"/>
      <c r="R591" s="259"/>
      <c r="S591" s="316"/>
      <c r="T591" s="257"/>
      <c r="U591" s="316"/>
      <c r="V591" s="257"/>
      <c r="W591" s="316"/>
      <c r="X591" s="257"/>
      <c r="Y591" s="316"/>
      <c r="Z591" s="257"/>
    </row>
    <row r="592" spans="1:26" ht="15" customHeight="1">
      <c r="A592" s="250"/>
      <c r="B592" s="251"/>
      <c r="C592" s="526"/>
      <c r="D592" s="526" t="s">
        <v>291</v>
      </c>
      <c r="E592" s="251"/>
      <c r="F592" s="252"/>
      <c r="G592" s="253"/>
      <c r="H592" s="254"/>
      <c r="I592" s="253"/>
      <c r="J592" s="253"/>
      <c r="K592" s="251"/>
      <c r="L592" s="261"/>
      <c r="M592" s="316"/>
      <c r="N592" s="259"/>
      <c r="O592" s="316"/>
      <c r="P592" s="259"/>
      <c r="Q592" s="316"/>
      <c r="R592" s="259"/>
      <c r="S592" s="316"/>
      <c r="T592" s="257"/>
      <c r="U592" s="316"/>
      <c r="V592" s="257"/>
      <c r="W592" s="316"/>
      <c r="X592" s="257"/>
      <c r="Y592" s="316"/>
      <c r="Z592" s="257"/>
    </row>
    <row r="593" spans="1:26" ht="15" customHeight="1">
      <c r="A593" s="250"/>
      <c r="B593" s="251"/>
      <c r="C593" s="526"/>
      <c r="D593" s="292" t="s">
        <v>2268</v>
      </c>
      <c r="E593" s="251"/>
      <c r="F593" s="252">
        <f>M593+O593+Q593+S593+U593+W593+Y593</f>
        <v>2600</v>
      </c>
      <c r="G593" s="253">
        <f>L593</f>
        <v>0.97</v>
      </c>
      <c r="H593" s="254">
        <f>INT(F593*G593*100+0.5)/100</f>
        <v>2522</v>
      </c>
      <c r="I593" s="253">
        <f>N593+P593+R593+T593+V593+X593+Z593</f>
        <v>2522</v>
      </c>
      <c r="J593" s="253"/>
      <c r="K593" s="251"/>
      <c r="L593" s="255">
        <v>0.97</v>
      </c>
      <c r="M593" s="316">
        <f>200</f>
        <v>200</v>
      </c>
      <c r="N593" s="257">
        <f>INT($L593*M593*100+0.5)/100</f>
        <v>194</v>
      </c>
      <c r="O593" s="258">
        <v>0</v>
      </c>
      <c r="P593" s="257">
        <f>INT($L593*O593*100+0.5)/100</f>
        <v>0</v>
      </c>
      <c r="Q593" s="258">
        <v>0</v>
      </c>
      <c r="R593" s="257">
        <f>INT($L593*Q593*100+0.5)/100</f>
        <v>0</v>
      </c>
      <c r="S593" s="258">
        <f>(10+10)*1*1*1*30</f>
        <v>600</v>
      </c>
      <c r="T593" s="257">
        <f>INT($L593*S593*100+0.5)/100</f>
        <v>582</v>
      </c>
      <c r="U593" s="258">
        <f>U580*60</f>
        <v>1800</v>
      </c>
      <c r="V593" s="257">
        <f>INT($L593*U593*100+0.5)/100</f>
        <v>1746</v>
      </c>
      <c r="W593" s="258">
        <v>0</v>
      </c>
      <c r="X593" s="257">
        <f>INT($L593*W593*100+0.5)/100</f>
        <v>0</v>
      </c>
      <c r="Y593" s="258">
        <v>0</v>
      </c>
      <c r="Z593" s="257">
        <f>INT($L593*Y593*100+0.5)/100</f>
        <v>0</v>
      </c>
    </row>
    <row r="594" spans="1:26" ht="15" customHeight="1">
      <c r="A594" s="250"/>
      <c r="B594" s="251"/>
      <c r="C594" s="526"/>
      <c r="D594" s="292"/>
      <c r="E594" s="251"/>
      <c r="F594" s="252"/>
      <c r="G594" s="253"/>
      <c r="H594" s="254"/>
      <c r="I594" s="253"/>
      <c r="J594" s="253"/>
      <c r="K594" s="251"/>
      <c r="L594" s="261"/>
      <c r="M594" s="258"/>
      <c r="N594" s="257"/>
      <c r="O594" s="258"/>
      <c r="P594" s="257"/>
      <c r="Q594" s="258"/>
      <c r="R594" s="257"/>
      <c r="S594" s="258"/>
      <c r="T594" s="257"/>
      <c r="U594" s="258"/>
      <c r="V594" s="257"/>
      <c r="W594" s="258"/>
      <c r="X594" s="257"/>
      <c r="Y594" s="258"/>
      <c r="Z594" s="257"/>
    </row>
    <row r="595" spans="1:26" ht="15" customHeight="1">
      <c r="A595" s="250">
        <f>A591+1</f>
        <v>169</v>
      </c>
      <c r="B595" s="251"/>
      <c r="C595" s="647" t="s">
        <v>700</v>
      </c>
      <c r="D595" s="526" t="s">
        <v>1947</v>
      </c>
      <c r="E595" s="251" t="s">
        <v>1439</v>
      </c>
      <c r="F595" s="252"/>
      <c r="G595" s="253"/>
      <c r="H595" s="254"/>
      <c r="I595" s="253"/>
      <c r="J595" s="253"/>
      <c r="K595" s="251" t="s">
        <v>1439</v>
      </c>
      <c r="L595" s="261"/>
      <c r="M595" s="316"/>
      <c r="N595" s="259"/>
      <c r="O595" s="316"/>
      <c r="P595" s="259"/>
      <c r="Q595" s="316"/>
      <c r="R595" s="259"/>
      <c r="S595" s="316"/>
      <c r="T595" s="257"/>
      <c r="U595" s="316"/>
      <c r="V595" s="257"/>
      <c r="W595" s="316"/>
      <c r="X595" s="257"/>
      <c r="Y595" s="316"/>
      <c r="Z595" s="257"/>
    </row>
    <row r="596" spans="1:26" ht="15" customHeight="1">
      <c r="A596" s="250"/>
      <c r="B596" s="251"/>
      <c r="C596" s="526"/>
      <c r="D596" s="526" t="s">
        <v>1054</v>
      </c>
      <c r="E596" s="251"/>
      <c r="F596" s="252"/>
      <c r="G596" s="253"/>
      <c r="H596" s="254"/>
      <c r="I596" s="253"/>
      <c r="J596" s="253"/>
      <c r="K596" s="251"/>
      <c r="L596" s="261"/>
      <c r="M596" s="316"/>
      <c r="N596" s="259"/>
      <c r="O596" s="316"/>
      <c r="P596" s="259"/>
      <c r="Q596" s="316"/>
      <c r="R596" s="259"/>
      <c r="S596" s="316"/>
      <c r="T596" s="257"/>
      <c r="U596" s="316"/>
      <c r="V596" s="257"/>
      <c r="W596" s="316"/>
      <c r="X596" s="257"/>
      <c r="Y596" s="316"/>
      <c r="Z596" s="257"/>
    </row>
    <row r="597" spans="1:26" ht="15" customHeight="1">
      <c r="A597" s="250"/>
      <c r="B597" s="251"/>
      <c r="C597" s="526"/>
      <c r="D597" s="292"/>
      <c r="E597" s="251"/>
      <c r="F597" s="252">
        <f>M597+O597+Q597+S597+U597+W597+Y597</f>
        <v>2000</v>
      </c>
      <c r="G597" s="253">
        <f>L597</f>
        <v>0.94</v>
      </c>
      <c r="H597" s="254">
        <f>INT(F597*G597*100+0.5)/100</f>
        <v>1880</v>
      </c>
      <c r="I597" s="253">
        <f>N597+P597+R597+T597+V597+X597+Z597</f>
        <v>1880</v>
      </c>
      <c r="J597" s="253"/>
      <c r="K597" s="251"/>
      <c r="L597" s="255">
        <v>0.94</v>
      </c>
      <c r="M597" s="316">
        <f>200</f>
        <v>200</v>
      </c>
      <c r="N597" s="257">
        <f>INT($L597*M597*100+0.5)/100</f>
        <v>188</v>
      </c>
      <c r="O597" s="258">
        <v>0</v>
      </c>
      <c r="P597" s="257">
        <f>INT($L597*O597*100+0.5)/100</f>
        <v>0</v>
      </c>
      <c r="Q597" s="258">
        <v>0</v>
      </c>
      <c r="R597" s="257">
        <f>INT($L597*Q597*100+0.5)/100</f>
        <v>0</v>
      </c>
      <c r="S597" s="258">
        <v>0</v>
      </c>
      <c r="T597" s="257">
        <f>INT($L597*S597*100+0.5)/100</f>
        <v>0</v>
      </c>
      <c r="U597" s="258">
        <f>U580*60</f>
        <v>1800</v>
      </c>
      <c r="V597" s="257">
        <f>INT($L597*U597*100+0.5)/100</f>
        <v>1692</v>
      </c>
      <c r="W597" s="258">
        <v>0</v>
      </c>
      <c r="X597" s="257">
        <f>INT($L597*W597*100+0.5)/100</f>
        <v>0</v>
      </c>
      <c r="Y597" s="258">
        <v>0</v>
      </c>
      <c r="Z597" s="257">
        <f>INT($L597*Y597*100+0.5)/100</f>
        <v>0</v>
      </c>
    </row>
    <row r="598" spans="1:26" ht="15" customHeight="1">
      <c r="A598" s="250"/>
      <c r="B598" s="251"/>
      <c r="C598" s="526"/>
      <c r="D598" s="292"/>
      <c r="E598" s="251"/>
      <c r="F598" s="252"/>
      <c r="G598" s="253"/>
      <c r="H598" s="254"/>
      <c r="I598" s="253"/>
      <c r="J598" s="253"/>
      <c r="K598" s="251"/>
      <c r="L598" s="255"/>
      <c r="M598" s="316"/>
      <c r="N598" s="257"/>
      <c r="O598" s="258"/>
      <c r="P598" s="257"/>
      <c r="Q598" s="258"/>
      <c r="R598" s="257"/>
      <c r="S598" s="258"/>
      <c r="T598" s="257"/>
      <c r="U598" s="258"/>
      <c r="V598" s="257"/>
      <c r="W598" s="258"/>
      <c r="X598" s="257"/>
      <c r="Y598" s="258"/>
      <c r="Z598" s="257"/>
    </row>
    <row r="599" spans="1:26" s="325" customFormat="1" ht="45">
      <c r="A599" s="318"/>
      <c r="B599" s="319"/>
      <c r="C599" s="320" t="s">
        <v>2032</v>
      </c>
      <c r="D599" s="421" t="s">
        <v>1553</v>
      </c>
      <c r="E599" s="319"/>
      <c r="F599" s="321"/>
      <c r="G599" s="323"/>
      <c r="H599" s="323"/>
      <c r="I599" s="272">
        <f>N599+P599+R599+T599+V599+X599+Z599</f>
        <v>21125.84</v>
      </c>
      <c r="J599" s="269">
        <f>SUM(N599:Z599)</f>
        <v>21125.84</v>
      </c>
      <c r="K599" s="319"/>
      <c r="L599" s="324"/>
      <c r="M599" s="323"/>
      <c r="N599" s="323">
        <f>SUM(N556:N598)</f>
        <v>3498.54</v>
      </c>
      <c r="O599" s="323"/>
      <c r="P599" s="323">
        <f>SUM(P556:P598)</f>
        <v>0</v>
      </c>
      <c r="Q599" s="323"/>
      <c r="R599" s="323">
        <f>SUM(R556:R598)</f>
        <v>0</v>
      </c>
      <c r="S599" s="323"/>
      <c r="T599" s="323">
        <f>SUM(T556:T598)</f>
        <v>6980.6</v>
      </c>
      <c r="U599" s="323"/>
      <c r="V599" s="323">
        <f>SUM(V556:V598)</f>
        <v>10646.7</v>
      </c>
      <c r="W599" s="323"/>
      <c r="X599" s="323">
        <f>SUM(X556:X598)</f>
        <v>0</v>
      </c>
      <c r="Y599" s="323"/>
      <c r="Z599" s="323">
        <f>SUM(Z556:Z598)</f>
        <v>0</v>
      </c>
    </row>
    <row r="600" spans="1:26" ht="15" customHeight="1">
      <c r="A600" s="250"/>
      <c r="B600" s="251"/>
      <c r="C600" s="541"/>
      <c r="D600" s="330"/>
      <c r="E600" s="251"/>
      <c r="F600" s="252"/>
      <c r="G600" s="253"/>
      <c r="H600" s="254"/>
      <c r="I600" s="253"/>
      <c r="J600" s="253"/>
      <c r="K600" s="251"/>
      <c r="L600" s="261"/>
      <c r="M600" s="258"/>
      <c r="N600" s="494">
        <f>N599/$N$1928</f>
        <v>1.7425003860003882E-2</v>
      </c>
      <c r="O600" s="258"/>
      <c r="P600" s="257"/>
      <c r="Q600" s="258"/>
      <c r="R600" s="257"/>
      <c r="S600" s="258"/>
      <c r="T600" s="257"/>
      <c r="U600" s="258"/>
      <c r="V600" s="257"/>
      <c r="W600" s="258"/>
      <c r="X600" s="257"/>
      <c r="Y600" s="258"/>
      <c r="Z600" s="257"/>
    </row>
    <row r="601" spans="1:26" ht="25.5">
      <c r="A601" s="250"/>
      <c r="B601" s="251"/>
      <c r="C601" s="453" t="s">
        <v>1555</v>
      </c>
      <c r="D601" s="330" t="s">
        <v>1556</v>
      </c>
      <c r="E601" s="251"/>
      <c r="F601" s="252"/>
      <c r="G601" s="253"/>
      <c r="H601" s="254"/>
      <c r="I601" s="253"/>
      <c r="J601" s="253"/>
      <c r="K601" s="251"/>
      <c r="L601" s="261"/>
      <c r="M601" s="258"/>
      <c r="N601" s="257"/>
      <c r="O601" s="258"/>
      <c r="P601" s="257"/>
      <c r="Q601" s="258"/>
      <c r="R601" s="257"/>
      <c r="S601" s="258"/>
      <c r="T601" s="257"/>
      <c r="U601" s="258"/>
      <c r="V601" s="257"/>
      <c r="W601" s="258"/>
      <c r="X601" s="257"/>
      <c r="Y601" s="258"/>
      <c r="Z601" s="257"/>
    </row>
    <row r="602" spans="1:26" ht="25.5">
      <c r="A602" s="250">
        <f>A595+1</f>
        <v>170</v>
      </c>
      <c r="B602" s="251"/>
      <c r="C602" s="647" t="s">
        <v>701</v>
      </c>
      <c r="D602" s="526" t="s">
        <v>1797</v>
      </c>
      <c r="E602" s="251" t="s">
        <v>2461</v>
      </c>
      <c r="F602" s="252">
        <f>M602+O602+Q602+S602+U602+W602+Y602</f>
        <v>0</v>
      </c>
      <c r="G602" s="253">
        <f>L602</f>
        <v>283.70999999999998</v>
      </c>
      <c r="H602" s="254">
        <f>INT(F602*G602*100+0.5)/100</f>
        <v>0</v>
      </c>
      <c r="I602" s="253">
        <f>N602+P602+R602+T602+V602+X602+Z602</f>
        <v>0</v>
      </c>
      <c r="J602" s="253"/>
      <c r="K602" s="251" t="s">
        <v>2461</v>
      </c>
      <c r="L602" s="255">
        <v>283.70999999999998</v>
      </c>
      <c r="M602" s="258">
        <v>0</v>
      </c>
      <c r="N602" s="257">
        <f>INT($L602*M602*100+0.5)/100</f>
        <v>0</v>
      </c>
      <c r="O602" s="258">
        <v>0</v>
      </c>
      <c r="P602" s="257">
        <f>INT($L602*O602*100+0.5)/100</f>
        <v>0</v>
      </c>
      <c r="Q602" s="258">
        <v>0</v>
      </c>
      <c r="R602" s="257">
        <f>INT($L602*Q602*100+0.5)/100</f>
        <v>0</v>
      </c>
      <c r="S602" s="258">
        <v>0</v>
      </c>
      <c r="T602" s="257">
        <f>INT($L602*S602*100+0.5)/100</f>
        <v>0</v>
      </c>
      <c r="U602" s="258">
        <v>0</v>
      </c>
      <c r="V602" s="257">
        <f>INT($L602*U602*100+0.5)/100</f>
        <v>0</v>
      </c>
      <c r="W602" s="258">
        <v>0</v>
      </c>
      <c r="X602" s="257">
        <f>INT($L602*W602*100+0.5)/100</f>
        <v>0</v>
      </c>
      <c r="Y602" s="258">
        <v>0</v>
      </c>
      <c r="Z602" s="257">
        <f>INT($L602*Y602*100+0.5)/100</f>
        <v>0</v>
      </c>
    </row>
    <row r="603" spans="1:26" ht="25.5">
      <c r="A603" s="250"/>
      <c r="B603" s="251"/>
      <c r="C603" s="526"/>
      <c r="D603" s="526" t="s">
        <v>1796</v>
      </c>
      <c r="E603" s="251"/>
      <c r="F603" s="252"/>
      <c r="G603" s="253"/>
      <c r="H603" s="254"/>
      <c r="I603" s="253"/>
      <c r="J603" s="253"/>
      <c r="K603" s="251"/>
      <c r="L603" s="261"/>
      <c r="M603" s="258"/>
      <c r="N603" s="257"/>
      <c r="O603" s="258"/>
      <c r="P603" s="257"/>
      <c r="Q603" s="258"/>
      <c r="R603" s="257"/>
      <c r="S603" s="258"/>
      <c r="T603" s="257"/>
      <c r="U603" s="258"/>
      <c r="V603" s="257"/>
      <c r="W603" s="258"/>
      <c r="X603" s="257"/>
      <c r="Y603" s="258"/>
      <c r="Z603" s="257"/>
    </row>
    <row r="604" spans="1:26" ht="15" customHeight="1">
      <c r="A604" s="250"/>
      <c r="B604" s="251"/>
      <c r="C604" s="526"/>
      <c r="D604" s="292"/>
      <c r="E604" s="251"/>
      <c r="F604" s="252"/>
      <c r="G604" s="253"/>
      <c r="H604" s="254"/>
      <c r="I604" s="253"/>
      <c r="J604" s="253"/>
      <c r="K604" s="251"/>
      <c r="L604" s="261"/>
      <c r="M604" s="258"/>
      <c r="N604" s="257"/>
      <c r="O604" s="258"/>
      <c r="P604" s="257"/>
      <c r="Q604" s="258"/>
      <c r="R604" s="257"/>
      <c r="S604" s="258"/>
      <c r="T604" s="257"/>
      <c r="U604" s="258"/>
      <c r="V604" s="257"/>
      <c r="W604" s="258"/>
      <c r="X604" s="257"/>
      <c r="Y604" s="258"/>
      <c r="Z604" s="257"/>
    </row>
    <row r="605" spans="1:26" ht="15" customHeight="1">
      <c r="A605" s="250">
        <f>A602+1</f>
        <v>171</v>
      </c>
      <c r="B605" s="251"/>
      <c r="C605" s="647" t="s">
        <v>702</v>
      </c>
      <c r="D605" s="526" t="s">
        <v>1799</v>
      </c>
      <c r="E605" s="251" t="s">
        <v>2461</v>
      </c>
      <c r="F605" s="252"/>
      <c r="G605" s="253"/>
      <c r="H605" s="254"/>
      <c r="I605" s="253"/>
      <c r="J605" s="253"/>
      <c r="K605" s="251" t="s">
        <v>2461</v>
      </c>
      <c r="L605" s="261"/>
      <c r="M605" s="258"/>
      <c r="N605" s="257"/>
      <c r="O605" s="258"/>
      <c r="P605" s="257"/>
      <c r="Q605" s="258"/>
      <c r="R605" s="257"/>
      <c r="S605" s="258"/>
      <c r="T605" s="257"/>
      <c r="U605" s="258"/>
      <c r="V605" s="257"/>
      <c r="W605" s="258"/>
      <c r="X605" s="257"/>
      <c r="Y605" s="258"/>
      <c r="Z605" s="257"/>
    </row>
    <row r="606" spans="1:26" ht="15" customHeight="1">
      <c r="A606" s="250"/>
      <c r="B606" s="251"/>
      <c r="C606" s="526"/>
      <c r="D606" s="526" t="s">
        <v>1798</v>
      </c>
      <c r="E606" s="251"/>
      <c r="F606" s="252"/>
      <c r="G606" s="253"/>
      <c r="H606" s="254"/>
      <c r="I606" s="253"/>
      <c r="J606" s="253"/>
      <c r="K606" s="251"/>
      <c r="L606" s="261"/>
      <c r="M606" s="258"/>
      <c r="N606" s="257"/>
      <c r="O606" s="258"/>
      <c r="P606" s="257"/>
      <c r="Q606" s="258"/>
      <c r="R606" s="257"/>
      <c r="S606" s="258"/>
      <c r="T606" s="257"/>
      <c r="U606" s="258"/>
      <c r="V606" s="257"/>
      <c r="W606" s="258"/>
      <c r="X606" s="257"/>
      <c r="Y606" s="258"/>
      <c r="Z606" s="257"/>
    </row>
    <row r="607" spans="1:26" ht="15" customHeight="1">
      <c r="A607" s="250"/>
      <c r="B607" s="251"/>
      <c r="C607" s="526"/>
      <c r="D607" s="292" t="s">
        <v>589</v>
      </c>
      <c r="E607" s="251"/>
      <c r="F607" s="252"/>
      <c r="G607" s="253"/>
      <c r="H607" s="254"/>
      <c r="I607" s="253"/>
      <c r="J607" s="253"/>
      <c r="K607" s="251"/>
      <c r="L607" s="261"/>
      <c r="M607" s="258">
        <v>0</v>
      </c>
      <c r="N607" s="257"/>
      <c r="O607" s="258">
        <v>0</v>
      </c>
      <c r="P607" s="257"/>
      <c r="Q607" s="258">
        <v>0</v>
      </c>
      <c r="R607" s="257"/>
      <c r="S607" s="258">
        <v>0</v>
      </c>
      <c r="T607" s="257"/>
      <c r="U607" s="258">
        <v>0</v>
      </c>
      <c r="V607" s="257"/>
      <c r="W607" s="258">
        <v>0</v>
      </c>
      <c r="X607" s="257"/>
      <c r="Y607" s="258">
        <v>0</v>
      </c>
      <c r="Z607" s="257"/>
    </row>
    <row r="608" spans="1:26" ht="15" customHeight="1">
      <c r="A608" s="250"/>
      <c r="B608" s="251"/>
      <c r="C608" s="526"/>
      <c r="D608" s="292" t="s">
        <v>385</v>
      </c>
      <c r="E608" s="251"/>
      <c r="F608" s="252"/>
      <c r="G608" s="253"/>
      <c r="H608" s="254"/>
      <c r="I608" s="253"/>
      <c r="J608" s="253"/>
      <c r="K608" s="251"/>
      <c r="L608" s="261"/>
      <c r="M608" s="293">
        <v>0</v>
      </c>
      <c r="N608" s="294"/>
      <c r="O608" s="293">
        <v>0</v>
      </c>
      <c r="P608" s="294"/>
      <c r="Q608" s="293">
        <v>0</v>
      </c>
      <c r="R608" s="294"/>
      <c r="S608" s="293">
        <v>0</v>
      </c>
      <c r="T608" s="294"/>
      <c r="U608" s="293">
        <v>0</v>
      </c>
      <c r="V608" s="294"/>
      <c r="W608" s="293">
        <v>0</v>
      </c>
      <c r="X608" s="294"/>
      <c r="Y608" s="293">
        <v>0</v>
      </c>
      <c r="Z608" s="294"/>
    </row>
    <row r="609" spans="1:26" ht="15" customHeight="1">
      <c r="A609" s="250"/>
      <c r="B609" s="251"/>
      <c r="C609" s="526"/>
      <c r="D609" s="292" t="s">
        <v>1900</v>
      </c>
      <c r="E609" s="251"/>
      <c r="F609" s="252">
        <f>M609+O609+Q609+S609+U609+W609+Y609</f>
        <v>0</v>
      </c>
      <c r="G609" s="253">
        <f>L609</f>
        <v>74.69</v>
      </c>
      <c r="H609" s="254">
        <f>INT(F609*G609*100+0.5)/100</f>
        <v>0</v>
      </c>
      <c r="I609" s="253">
        <f>N609+P609+R609+T609+V609+X609+Z609</f>
        <v>0</v>
      </c>
      <c r="J609" s="253"/>
      <c r="K609" s="251"/>
      <c r="L609" s="255">
        <v>74.69</v>
      </c>
      <c r="M609" s="258">
        <f>SUM(M607:M608)</f>
        <v>0</v>
      </c>
      <c r="N609" s="257">
        <f>INT($L609*M609*100+0.5)/100</f>
        <v>0</v>
      </c>
      <c r="O609" s="258">
        <f>SUM(O607:O608)</f>
        <v>0</v>
      </c>
      <c r="P609" s="257">
        <f>INT($L609*O609*100+0.5)/100</f>
        <v>0</v>
      </c>
      <c r="Q609" s="258">
        <f>SUM(Q607:Q608)</f>
        <v>0</v>
      </c>
      <c r="R609" s="257">
        <f>INT($L609*Q609*100+0.5)/100</f>
        <v>0</v>
      </c>
      <c r="S609" s="258">
        <f>SUM(S607:S608)</f>
        <v>0</v>
      </c>
      <c r="T609" s="257">
        <f>INT($L609*S609*100+0.5)/100</f>
        <v>0</v>
      </c>
      <c r="U609" s="258">
        <f>SUM(U607:U608)</f>
        <v>0</v>
      </c>
      <c r="V609" s="257">
        <f>INT($L609*U609*100+0.5)/100</f>
        <v>0</v>
      </c>
      <c r="W609" s="258">
        <f>SUM(W607:W608)</f>
        <v>0</v>
      </c>
      <c r="X609" s="257">
        <f>INT($L609*W609*100+0.5)/100</f>
        <v>0</v>
      </c>
      <c r="Y609" s="258">
        <f>SUM(Y607:Y608)</f>
        <v>0</v>
      </c>
      <c r="Z609" s="257">
        <f>INT($L609*Y609*100+0.5)/100</f>
        <v>0</v>
      </c>
    </row>
    <row r="610" spans="1:26" ht="15" customHeight="1">
      <c r="A610" s="250"/>
      <c r="B610" s="251"/>
      <c r="C610" s="526"/>
      <c r="D610" s="292"/>
      <c r="E610" s="251"/>
      <c r="F610" s="252"/>
      <c r="G610" s="253"/>
      <c r="H610" s="254"/>
      <c r="I610" s="253"/>
      <c r="J610" s="253"/>
      <c r="K610" s="251"/>
      <c r="L610" s="261"/>
      <c r="M610" s="258"/>
      <c r="N610" s="257"/>
      <c r="O610" s="258"/>
      <c r="P610" s="257"/>
      <c r="Q610" s="258"/>
      <c r="R610" s="257"/>
      <c r="S610" s="258"/>
      <c r="T610" s="257"/>
      <c r="U610" s="258"/>
      <c r="V610" s="257"/>
      <c r="W610" s="258"/>
      <c r="X610" s="257"/>
      <c r="Y610" s="258"/>
      <c r="Z610" s="257"/>
    </row>
    <row r="611" spans="1:26" ht="25.5">
      <c r="A611" s="250">
        <f>A605+1</f>
        <v>172</v>
      </c>
      <c r="B611" s="251"/>
      <c r="C611" s="654" t="s">
        <v>703</v>
      </c>
      <c r="D611" s="532" t="s">
        <v>1055</v>
      </c>
      <c r="E611" s="251" t="s">
        <v>2461</v>
      </c>
      <c r="F611" s="252">
        <f>M611+O611+Q611+S611+U611+W611+Y611</f>
        <v>0</v>
      </c>
      <c r="G611" s="253">
        <f>L611</f>
        <v>249.59</v>
      </c>
      <c r="H611" s="254">
        <f>INT(F611*G611*100+0.5)/100</f>
        <v>0</v>
      </c>
      <c r="I611" s="253">
        <f>N611+P611+R611+T611+V611+X611+Z611</f>
        <v>0</v>
      </c>
      <c r="J611" s="253"/>
      <c r="K611" s="251" t="s">
        <v>2461</v>
      </c>
      <c r="L611" s="255">
        <v>249.59</v>
      </c>
      <c r="M611" s="258">
        <v>0</v>
      </c>
      <c r="N611" s="257">
        <f>INT($L611*M611*100+0.5)/100</f>
        <v>0</v>
      </c>
      <c r="O611" s="258">
        <v>0</v>
      </c>
      <c r="P611" s="257">
        <f>INT($L611*O611*100+0.5)/100</f>
        <v>0</v>
      </c>
      <c r="Q611" s="258">
        <v>0</v>
      </c>
      <c r="R611" s="257">
        <f>INT($L611*Q611*100+0.5)/100</f>
        <v>0</v>
      </c>
      <c r="S611" s="258">
        <v>0</v>
      </c>
      <c r="T611" s="257">
        <f>INT($L611*S611*100+0.5)/100</f>
        <v>0</v>
      </c>
      <c r="U611" s="258">
        <v>0</v>
      </c>
      <c r="V611" s="257">
        <f>INT($L611*U611*100+0.5)/100</f>
        <v>0</v>
      </c>
      <c r="W611" s="258">
        <v>0</v>
      </c>
      <c r="X611" s="257">
        <f>INT($L611*W611*100+0.5)/100</f>
        <v>0</v>
      </c>
      <c r="Y611" s="258">
        <v>0</v>
      </c>
      <c r="Z611" s="257">
        <f>INT($L611*Y611*100+0.5)/100</f>
        <v>0</v>
      </c>
    </row>
    <row r="612" spans="1:26" ht="25.5">
      <c r="A612" s="250"/>
      <c r="B612" s="251"/>
      <c r="C612" s="526"/>
      <c r="D612" s="532" t="s">
        <v>1165</v>
      </c>
      <c r="E612" s="251"/>
      <c r="F612" s="252"/>
      <c r="G612" s="253"/>
      <c r="H612" s="254"/>
      <c r="I612" s="253"/>
      <c r="J612" s="253"/>
      <c r="K612" s="251"/>
      <c r="L612" s="255"/>
      <c r="M612" s="258"/>
      <c r="N612" s="257"/>
      <c r="O612" s="258"/>
      <c r="P612" s="257"/>
      <c r="Q612" s="258"/>
      <c r="R612" s="257"/>
      <c r="S612" s="258"/>
      <c r="T612" s="257"/>
      <c r="U612" s="258"/>
      <c r="V612" s="257"/>
      <c r="W612" s="258"/>
      <c r="X612" s="257"/>
      <c r="Y612" s="258"/>
      <c r="Z612" s="257"/>
    </row>
    <row r="613" spans="1:26" ht="15">
      <c r="A613" s="250"/>
      <c r="B613" s="251"/>
      <c r="C613" s="526"/>
      <c r="D613" s="292"/>
      <c r="E613" s="251"/>
      <c r="F613" s="252"/>
      <c r="G613" s="253"/>
      <c r="H613" s="254"/>
      <c r="I613" s="253"/>
      <c r="J613" s="253"/>
      <c r="K613" s="251"/>
      <c r="L613" s="255"/>
      <c r="M613" s="258"/>
      <c r="N613" s="257"/>
      <c r="O613" s="258"/>
      <c r="P613" s="257"/>
      <c r="Q613" s="258"/>
      <c r="R613" s="257"/>
      <c r="S613" s="258"/>
      <c r="T613" s="257"/>
      <c r="U613" s="258"/>
      <c r="V613" s="257"/>
      <c r="W613" s="258"/>
      <c r="X613" s="257"/>
      <c r="Y613" s="258"/>
      <c r="Z613" s="257"/>
    </row>
    <row r="614" spans="1:26" ht="25.5">
      <c r="A614" s="250">
        <f>A611+1</f>
        <v>173</v>
      </c>
      <c r="B614" s="251"/>
      <c r="C614" s="654" t="s">
        <v>704</v>
      </c>
      <c r="D614" s="532" t="s">
        <v>1163</v>
      </c>
      <c r="E614" s="251" t="s">
        <v>2461</v>
      </c>
      <c r="F614" s="252">
        <f>M614+O614+Q614+S614+U614+W614+Y614</f>
        <v>0</v>
      </c>
      <c r="G614" s="253">
        <f>L614</f>
        <v>234.74</v>
      </c>
      <c r="H614" s="254">
        <f>INT(F614*G614*100+0.5)/100</f>
        <v>0</v>
      </c>
      <c r="I614" s="253">
        <f>N614+P614+R614+T614+V614+X614+Z614</f>
        <v>0</v>
      </c>
      <c r="J614" s="253"/>
      <c r="K614" s="251" t="s">
        <v>2461</v>
      </c>
      <c r="L614" s="255">
        <v>234.74</v>
      </c>
      <c r="M614" s="258">
        <v>0</v>
      </c>
      <c r="N614" s="257">
        <f>INT($L614*M614*100+0.5)/100</f>
        <v>0</v>
      </c>
      <c r="O614" s="258">
        <v>0</v>
      </c>
      <c r="P614" s="257">
        <f>INT($L614*O614*100+0.5)/100</f>
        <v>0</v>
      </c>
      <c r="Q614" s="258">
        <v>0</v>
      </c>
      <c r="R614" s="257">
        <f>INT($L614*Q614*100+0.5)/100</f>
        <v>0</v>
      </c>
      <c r="S614" s="258">
        <v>0</v>
      </c>
      <c r="T614" s="257">
        <f>INT($L614*S614*100+0.5)/100</f>
        <v>0</v>
      </c>
      <c r="U614" s="258">
        <v>0</v>
      </c>
      <c r="V614" s="257">
        <f>INT($L614*U614*100+0.5)/100</f>
        <v>0</v>
      </c>
      <c r="W614" s="258">
        <v>0</v>
      </c>
      <c r="X614" s="257">
        <f>INT($L614*W614*100+0.5)/100</f>
        <v>0</v>
      </c>
      <c r="Y614" s="258">
        <v>0</v>
      </c>
      <c r="Z614" s="257">
        <f>INT($L614*Y614*100+0.5)/100</f>
        <v>0</v>
      </c>
    </row>
    <row r="615" spans="1:26" ht="25.5">
      <c r="A615" s="250"/>
      <c r="B615" s="251"/>
      <c r="C615" s="647"/>
      <c r="D615" s="532" t="s">
        <v>1164</v>
      </c>
      <c r="E615" s="251"/>
      <c r="F615" s="252"/>
      <c r="G615" s="253"/>
      <c r="H615" s="254"/>
      <c r="I615" s="253"/>
      <c r="J615" s="253"/>
      <c r="K615" s="251"/>
      <c r="L615" s="255"/>
      <c r="M615" s="258"/>
      <c r="N615" s="257"/>
      <c r="O615" s="258"/>
      <c r="P615" s="257"/>
      <c r="Q615" s="258"/>
      <c r="R615" s="257"/>
      <c r="S615" s="258"/>
      <c r="T615" s="257"/>
      <c r="U615" s="258"/>
      <c r="V615" s="257"/>
      <c r="W615" s="258"/>
      <c r="X615" s="257"/>
      <c r="Y615" s="258"/>
      <c r="Z615" s="257"/>
    </row>
    <row r="616" spans="1:26" ht="15">
      <c r="A616" s="250"/>
      <c r="B616" s="251"/>
      <c r="C616" s="647"/>
      <c r="D616" s="292"/>
      <c r="E616" s="251"/>
      <c r="F616" s="252"/>
      <c r="G616" s="253"/>
      <c r="H616" s="254"/>
      <c r="I616" s="253"/>
      <c r="J616" s="253"/>
      <c r="K616" s="251"/>
      <c r="L616" s="255"/>
      <c r="M616" s="258"/>
      <c r="N616" s="257"/>
      <c r="O616" s="258"/>
      <c r="P616" s="257"/>
      <c r="Q616" s="258"/>
      <c r="R616" s="257"/>
      <c r="S616" s="258"/>
      <c r="T616" s="257"/>
      <c r="U616" s="258"/>
      <c r="V616" s="257"/>
      <c r="W616" s="258"/>
      <c r="X616" s="257"/>
      <c r="Y616" s="258"/>
      <c r="Z616" s="257"/>
    </row>
    <row r="617" spans="1:26" ht="25.5">
      <c r="A617" s="250">
        <f>A614+1</f>
        <v>174</v>
      </c>
      <c r="B617" s="251"/>
      <c r="C617" s="647" t="s">
        <v>705</v>
      </c>
      <c r="D617" s="526" t="s">
        <v>2269</v>
      </c>
      <c r="E617" s="251" t="s">
        <v>2461</v>
      </c>
      <c r="F617" s="252">
        <f>M617+O617+Q617+S617+U617+W617+Y617</f>
        <v>0</v>
      </c>
      <c r="G617" s="253">
        <f>L617</f>
        <v>216.19</v>
      </c>
      <c r="H617" s="254">
        <f>INT(F617*G617*100+0.5)/100</f>
        <v>0</v>
      </c>
      <c r="I617" s="253">
        <f>N617+P617+R617+T617+V617+X617+Z617</f>
        <v>0</v>
      </c>
      <c r="J617" s="253"/>
      <c r="K617" s="251" t="s">
        <v>2461</v>
      </c>
      <c r="L617" s="255">
        <v>216.19</v>
      </c>
      <c r="M617" s="258">
        <v>0</v>
      </c>
      <c r="N617" s="257">
        <f>INT($L617*M617*100+0.5)/100</f>
        <v>0</v>
      </c>
      <c r="O617" s="258">
        <v>0</v>
      </c>
      <c r="P617" s="257">
        <f>INT($L617*O617*100+0.5)/100</f>
        <v>0</v>
      </c>
      <c r="Q617" s="258">
        <v>0</v>
      </c>
      <c r="R617" s="257">
        <f>INT($L617*Q617*100+0.5)/100</f>
        <v>0</v>
      </c>
      <c r="S617" s="258">
        <v>0</v>
      </c>
      <c r="T617" s="257">
        <f>INT($L617*S617*100+0.5)/100</f>
        <v>0</v>
      </c>
      <c r="U617" s="258">
        <v>0</v>
      </c>
      <c r="V617" s="257">
        <f>INT($L617*U617*100+0.5)/100</f>
        <v>0</v>
      </c>
      <c r="W617" s="258">
        <v>0</v>
      </c>
      <c r="X617" s="257">
        <f>INT($L617*W617*100+0.5)/100</f>
        <v>0</v>
      </c>
      <c r="Y617" s="258">
        <v>0</v>
      </c>
      <c r="Z617" s="257">
        <f>INT($L617*Y617*100+0.5)/100</f>
        <v>0</v>
      </c>
    </row>
    <row r="618" spans="1:26" ht="25.5">
      <c r="A618" s="250"/>
      <c r="B618" s="251"/>
      <c r="C618" s="647"/>
      <c r="D618" s="526" t="s">
        <v>2270</v>
      </c>
      <c r="E618" s="251"/>
      <c r="F618" s="252"/>
      <c r="G618" s="253"/>
      <c r="H618" s="254"/>
      <c r="I618" s="253"/>
      <c r="J618" s="253"/>
      <c r="K618" s="251"/>
      <c r="L618" s="261"/>
      <c r="M618" s="258"/>
      <c r="N618" s="257"/>
      <c r="O618" s="258"/>
      <c r="P618" s="257"/>
      <c r="Q618" s="258"/>
      <c r="R618" s="257"/>
      <c r="S618" s="258"/>
      <c r="T618" s="257"/>
      <c r="U618" s="258"/>
      <c r="V618" s="257"/>
      <c r="W618" s="258"/>
      <c r="X618" s="257"/>
      <c r="Y618" s="258"/>
      <c r="Z618" s="257"/>
    </row>
    <row r="619" spans="1:26" ht="15" customHeight="1">
      <c r="A619" s="250"/>
      <c r="B619" s="251"/>
      <c r="C619" s="647"/>
      <c r="D619" s="292"/>
      <c r="E619" s="251"/>
      <c r="F619" s="252"/>
      <c r="G619" s="253"/>
      <c r="H619" s="254"/>
      <c r="I619" s="253"/>
      <c r="J619" s="253"/>
      <c r="K619" s="251"/>
      <c r="L619" s="261"/>
      <c r="M619" s="258"/>
      <c r="N619" s="257"/>
      <c r="O619" s="258"/>
      <c r="P619" s="257"/>
      <c r="Q619" s="258"/>
      <c r="R619" s="257"/>
      <c r="S619" s="258"/>
      <c r="T619" s="257"/>
      <c r="U619" s="258"/>
      <c r="V619" s="257"/>
      <c r="W619" s="258"/>
      <c r="X619" s="257"/>
      <c r="Y619" s="258"/>
      <c r="Z619" s="257"/>
    </row>
    <row r="620" spans="1:26" ht="25.5">
      <c r="A620" s="250">
        <f>A617+1</f>
        <v>175</v>
      </c>
      <c r="B620" s="251"/>
      <c r="C620" s="647" t="s">
        <v>706</v>
      </c>
      <c r="D620" s="526" t="s">
        <v>2271</v>
      </c>
      <c r="E620" s="251" t="s">
        <v>2461</v>
      </c>
      <c r="F620" s="252">
        <f>M620+O620+Q620+S620+U620+W620+Y620</f>
        <v>0</v>
      </c>
      <c r="G620" s="253">
        <f>L620</f>
        <v>206.28</v>
      </c>
      <c r="H620" s="254">
        <f>INT(F620*G620*100+0.5)/100</f>
        <v>0</v>
      </c>
      <c r="I620" s="253">
        <f>N620+P620+R620+T620+V620+X620+Z620</f>
        <v>0</v>
      </c>
      <c r="J620" s="253"/>
      <c r="K620" s="251" t="s">
        <v>2461</v>
      </c>
      <c r="L620" s="255">
        <v>206.28</v>
      </c>
      <c r="M620" s="258">
        <v>0</v>
      </c>
      <c r="N620" s="257">
        <f>INT($L620*M620*100+0.5)/100</f>
        <v>0</v>
      </c>
      <c r="O620" s="258">
        <v>0</v>
      </c>
      <c r="P620" s="257">
        <f>INT($L620*O620*100+0.5)/100</f>
        <v>0</v>
      </c>
      <c r="Q620" s="258">
        <v>0</v>
      </c>
      <c r="R620" s="257">
        <f>INT($L620*Q620*100+0.5)/100</f>
        <v>0</v>
      </c>
      <c r="S620" s="258">
        <v>0</v>
      </c>
      <c r="T620" s="257">
        <f>INT($L620*S620*100+0.5)/100</f>
        <v>0</v>
      </c>
      <c r="U620" s="258">
        <v>0</v>
      </c>
      <c r="V620" s="257">
        <f>INT($L620*U620*100+0.5)/100</f>
        <v>0</v>
      </c>
      <c r="W620" s="258">
        <v>0</v>
      </c>
      <c r="X620" s="257">
        <f>INT($L620*W620*100+0.5)/100</f>
        <v>0</v>
      </c>
      <c r="Y620" s="258">
        <v>0</v>
      </c>
      <c r="Z620" s="257">
        <f>INT($L620*Y620*100+0.5)/100</f>
        <v>0</v>
      </c>
    </row>
    <row r="621" spans="1:26" ht="25.5">
      <c r="A621" s="250"/>
      <c r="B621" s="251"/>
      <c r="C621" s="647"/>
      <c r="D621" s="526" t="s">
        <v>2272</v>
      </c>
      <c r="E621" s="251"/>
      <c r="F621" s="252"/>
      <c r="G621" s="253"/>
      <c r="H621" s="254"/>
      <c r="I621" s="253"/>
      <c r="J621" s="253"/>
      <c r="K621" s="251"/>
      <c r="L621" s="261"/>
      <c r="M621" s="258"/>
      <c r="N621" s="257"/>
      <c r="O621" s="258"/>
      <c r="P621" s="257"/>
      <c r="Q621" s="258"/>
      <c r="R621" s="257"/>
      <c r="S621" s="258"/>
      <c r="T621" s="257"/>
      <c r="U621" s="258"/>
      <c r="V621" s="257"/>
      <c r="W621" s="258"/>
      <c r="X621" s="257"/>
      <c r="Y621" s="258"/>
      <c r="Z621" s="257"/>
    </row>
    <row r="622" spans="1:26" ht="15" customHeight="1">
      <c r="A622" s="250"/>
      <c r="B622" s="251"/>
      <c r="C622" s="647"/>
      <c r="D622" s="526"/>
      <c r="E622" s="251"/>
      <c r="F622" s="252"/>
      <c r="G622" s="253"/>
      <c r="H622" s="254"/>
      <c r="I622" s="253"/>
      <c r="J622" s="253"/>
      <c r="K622" s="251"/>
      <c r="L622" s="261"/>
      <c r="M622" s="258"/>
      <c r="N622" s="257"/>
      <c r="O622" s="258"/>
      <c r="P622" s="257"/>
      <c r="Q622" s="258"/>
      <c r="R622" s="257"/>
      <c r="S622" s="258"/>
      <c r="T622" s="257"/>
      <c r="U622" s="258"/>
      <c r="V622" s="257"/>
      <c r="W622" s="258"/>
      <c r="X622" s="257"/>
      <c r="Y622" s="258"/>
      <c r="Z622" s="257"/>
    </row>
    <row r="623" spans="1:26" ht="25.5">
      <c r="A623" s="250">
        <f>A620+1</f>
        <v>176</v>
      </c>
      <c r="B623" s="251"/>
      <c r="C623" s="647" t="s">
        <v>707</v>
      </c>
      <c r="D623" s="526" t="s">
        <v>2273</v>
      </c>
      <c r="E623" s="251" t="s">
        <v>2461</v>
      </c>
      <c r="F623" s="252">
        <f>M623+O623+Q623+S623+U623+W623+Y623</f>
        <v>1</v>
      </c>
      <c r="G623" s="253">
        <f>L623</f>
        <v>356.69</v>
      </c>
      <c r="H623" s="254">
        <f>INT(F623*G623*100+0.5)/100</f>
        <v>356.69</v>
      </c>
      <c r="I623" s="253">
        <f>N623+P623+R623+T623+V623+X623+Z623</f>
        <v>356.69</v>
      </c>
      <c r="J623" s="253"/>
      <c r="K623" s="251" t="s">
        <v>2461</v>
      </c>
      <c r="L623" s="255">
        <v>356.69</v>
      </c>
      <c r="M623" s="258">
        <v>1</v>
      </c>
      <c r="N623" s="257">
        <f>INT($L623*M623*100+0.5)/100</f>
        <v>356.69</v>
      </c>
      <c r="O623" s="258">
        <v>0</v>
      </c>
      <c r="P623" s="257">
        <f>INT($L623*O623*100+0.5)/100</f>
        <v>0</v>
      </c>
      <c r="Q623" s="258">
        <v>0</v>
      </c>
      <c r="R623" s="257">
        <f>INT($L623*Q623*100+0.5)/100</f>
        <v>0</v>
      </c>
      <c r="S623" s="258">
        <v>0</v>
      </c>
      <c r="T623" s="257">
        <f>INT($L623*S623*100+0.5)/100</f>
        <v>0</v>
      </c>
      <c r="U623" s="258">
        <v>0</v>
      </c>
      <c r="V623" s="257">
        <f>INT($L623*U623*100+0.5)/100</f>
        <v>0</v>
      </c>
      <c r="W623" s="258">
        <v>0</v>
      </c>
      <c r="X623" s="257">
        <f>INT($L623*W623*100+0.5)/100</f>
        <v>0</v>
      </c>
      <c r="Y623" s="258">
        <v>0</v>
      </c>
      <c r="Z623" s="257">
        <f>INT($L623*Y623*100+0.5)/100</f>
        <v>0</v>
      </c>
    </row>
    <row r="624" spans="1:26" ht="38.25">
      <c r="A624" s="250"/>
      <c r="B624" s="251"/>
      <c r="C624" s="526"/>
      <c r="D624" s="526" t="s">
        <v>2274</v>
      </c>
      <c r="E624" s="251"/>
      <c r="F624" s="252"/>
      <c r="G624" s="253"/>
      <c r="H624" s="254"/>
      <c r="I624" s="253"/>
      <c r="J624" s="253"/>
      <c r="K624" s="251"/>
      <c r="L624" s="261"/>
      <c r="M624" s="258"/>
      <c r="N624" s="257"/>
      <c r="O624" s="258"/>
      <c r="P624" s="257"/>
      <c r="Q624" s="258"/>
      <c r="R624" s="257"/>
      <c r="S624" s="258"/>
      <c r="T624" s="257"/>
      <c r="U624" s="258"/>
      <c r="V624" s="257"/>
      <c r="W624" s="258"/>
      <c r="X624" s="257"/>
      <c r="Y624" s="258"/>
      <c r="Z624" s="257"/>
    </row>
    <row r="625" spans="1:26" ht="15" customHeight="1">
      <c r="A625" s="250"/>
      <c r="B625" s="251"/>
      <c r="C625" s="526"/>
      <c r="D625" s="292"/>
      <c r="E625" s="251"/>
      <c r="F625" s="252"/>
      <c r="G625" s="253"/>
      <c r="H625" s="254"/>
      <c r="I625" s="253"/>
      <c r="J625" s="253"/>
      <c r="K625" s="251"/>
      <c r="L625" s="261"/>
      <c r="M625" s="258"/>
      <c r="N625" s="257"/>
      <c r="O625" s="258"/>
      <c r="P625" s="257"/>
      <c r="Q625" s="258"/>
      <c r="R625" s="257"/>
      <c r="S625" s="258"/>
      <c r="T625" s="257"/>
      <c r="U625" s="258"/>
      <c r="V625" s="257"/>
      <c r="W625" s="258"/>
      <c r="X625" s="257"/>
      <c r="Y625" s="258"/>
      <c r="Z625" s="257"/>
    </row>
    <row r="626" spans="1:26" ht="25.5">
      <c r="A626" s="250">
        <f>A623+1</f>
        <v>177</v>
      </c>
      <c r="B626" s="251"/>
      <c r="C626" s="647" t="s">
        <v>708</v>
      </c>
      <c r="D626" s="526" t="s">
        <v>2275</v>
      </c>
      <c r="E626" s="251" t="s">
        <v>2461</v>
      </c>
      <c r="F626" s="252">
        <f>M626+O626+Q626+S626+U626+W626+Y626</f>
        <v>1</v>
      </c>
      <c r="G626" s="253">
        <f>L626</f>
        <v>345.89</v>
      </c>
      <c r="H626" s="254">
        <f>INT(F626*G626*100+0.5)/100</f>
        <v>345.89</v>
      </c>
      <c r="I626" s="253">
        <f>N626+P626+R626+T626+V626+X626+Z626</f>
        <v>345.89</v>
      </c>
      <c r="J626" s="253"/>
      <c r="K626" s="251" t="s">
        <v>2461</v>
      </c>
      <c r="L626" s="255">
        <v>345.89</v>
      </c>
      <c r="M626" s="258">
        <v>1</v>
      </c>
      <c r="N626" s="257">
        <f>INT($L626*M626*100+0.5)/100</f>
        <v>345.89</v>
      </c>
      <c r="O626" s="258">
        <v>0</v>
      </c>
      <c r="P626" s="257">
        <f>INT($L626*O626*100+0.5)/100</f>
        <v>0</v>
      </c>
      <c r="Q626" s="258">
        <v>0</v>
      </c>
      <c r="R626" s="257">
        <f>INT($L626*Q626*100+0.5)/100</f>
        <v>0</v>
      </c>
      <c r="S626" s="258">
        <v>0</v>
      </c>
      <c r="T626" s="257">
        <f>INT($L626*S626*100+0.5)/100</f>
        <v>0</v>
      </c>
      <c r="U626" s="258">
        <v>0</v>
      </c>
      <c r="V626" s="257">
        <f>INT($L626*U626*100+0.5)/100</f>
        <v>0</v>
      </c>
      <c r="W626" s="258">
        <v>0</v>
      </c>
      <c r="X626" s="257">
        <f>INT($L626*W626*100+0.5)/100</f>
        <v>0</v>
      </c>
      <c r="Y626" s="258">
        <v>0</v>
      </c>
      <c r="Z626" s="257">
        <f>INT($L626*Y626*100+0.5)/100</f>
        <v>0</v>
      </c>
    </row>
    <row r="627" spans="1:26" ht="38.25">
      <c r="A627" s="250"/>
      <c r="B627" s="251"/>
      <c r="C627" s="526"/>
      <c r="D627" s="526" t="s">
        <v>2276</v>
      </c>
      <c r="E627" s="251"/>
      <c r="F627" s="252"/>
      <c r="G627" s="253"/>
      <c r="H627" s="254"/>
      <c r="I627" s="253"/>
      <c r="J627" s="253"/>
      <c r="K627" s="251"/>
      <c r="L627" s="261"/>
      <c r="M627" s="258"/>
      <c r="N627" s="257"/>
      <c r="O627" s="258"/>
      <c r="P627" s="257"/>
      <c r="Q627" s="258"/>
      <c r="R627" s="257"/>
      <c r="S627" s="258"/>
      <c r="T627" s="257"/>
      <c r="U627" s="258"/>
      <c r="V627" s="257"/>
      <c r="W627" s="258"/>
      <c r="X627" s="257"/>
      <c r="Y627" s="258"/>
      <c r="Z627" s="257"/>
    </row>
    <row r="628" spans="1:26" ht="15">
      <c r="A628" s="250"/>
      <c r="B628" s="251"/>
      <c r="C628" s="526"/>
      <c r="D628" s="526"/>
      <c r="E628" s="251"/>
      <c r="F628" s="252"/>
      <c r="G628" s="253"/>
      <c r="H628" s="254"/>
      <c r="I628" s="253"/>
      <c r="J628" s="253"/>
      <c r="K628" s="251"/>
      <c r="L628" s="261"/>
      <c r="M628" s="258"/>
      <c r="N628" s="257"/>
      <c r="O628" s="258"/>
      <c r="P628" s="257"/>
      <c r="Q628" s="258"/>
      <c r="R628" s="257"/>
      <c r="S628" s="258"/>
      <c r="T628" s="257"/>
      <c r="U628" s="258"/>
      <c r="V628" s="257"/>
      <c r="W628" s="258"/>
      <c r="X628" s="257"/>
      <c r="Y628" s="258"/>
      <c r="Z628" s="257"/>
    </row>
    <row r="629" spans="1:26" s="303" customFormat="1" ht="30">
      <c r="A629" s="298"/>
      <c r="B629" s="299"/>
      <c r="C629" s="267" t="s">
        <v>1555</v>
      </c>
      <c r="D629" s="333" t="s">
        <v>1556</v>
      </c>
      <c r="E629" s="299"/>
      <c r="F629" s="301"/>
      <c r="G629" s="273"/>
      <c r="H629" s="273"/>
      <c r="I629" s="272">
        <f>N629+P629+R629+T629+V629+X629+Z629</f>
        <v>702.57999999999993</v>
      </c>
      <c r="J629" s="269">
        <f>SUM(N629:Z629)</f>
        <v>702.57999999999993</v>
      </c>
      <c r="K629" s="299"/>
      <c r="L629" s="271"/>
      <c r="M629" s="273"/>
      <c r="N629" s="273">
        <f>SUM(N602:N628)</f>
        <v>702.57999999999993</v>
      </c>
      <c r="O629" s="273"/>
      <c r="P629" s="273">
        <f>SUM(P602:P628)</f>
        <v>0</v>
      </c>
      <c r="Q629" s="273"/>
      <c r="R629" s="273">
        <f>SUM(R602:R628)</f>
        <v>0</v>
      </c>
      <c r="S629" s="273"/>
      <c r="T629" s="273">
        <f>SUM(T602:T628)</f>
        <v>0</v>
      </c>
      <c r="U629" s="273"/>
      <c r="V629" s="273">
        <f>SUM(V602:V628)</f>
        <v>0</v>
      </c>
      <c r="W629" s="273"/>
      <c r="X629" s="273">
        <f>SUM(X602:X628)</f>
        <v>0</v>
      </c>
      <c r="Y629" s="273"/>
      <c r="Z629" s="273">
        <f>SUM(Z602:Z628)</f>
        <v>0</v>
      </c>
    </row>
    <row r="630" spans="1:26" ht="15" customHeight="1">
      <c r="A630" s="250"/>
      <c r="B630" s="251"/>
      <c r="C630" s="453"/>
      <c r="D630" s="330"/>
      <c r="E630" s="251"/>
      <c r="F630" s="252"/>
      <c r="G630" s="253"/>
      <c r="H630" s="254"/>
      <c r="I630" s="253"/>
      <c r="J630" s="253"/>
      <c r="K630" s="251"/>
      <c r="L630" s="261"/>
      <c r="M630" s="258"/>
      <c r="N630" s="494">
        <f>N629/$N$1928</f>
        <v>3.499305199300716E-3</v>
      </c>
      <c r="O630" s="258"/>
      <c r="P630" s="257"/>
      <c r="Q630" s="258"/>
      <c r="R630" s="257"/>
      <c r="S630" s="258"/>
      <c r="T630" s="257"/>
      <c r="U630" s="258"/>
      <c r="V630" s="257"/>
      <c r="W630" s="258"/>
      <c r="X630" s="257"/>
      <c r="Y630" s="258"/>
      <c r="Z630" s="257"/>
    </row>
    <row r="631" spans="1:26" ht="25.5">
      <c r="A631" s="250"/>
      <c r="B631" s="251"/>
      <c r="C631" s="453" t="s">
        <v>1557</v>
      </c>
      <c r="D631" s="330" t="s">
        <v>1560</v>
      </c>
      <c r="E631" s="251"/>
      <c r="F631" s="252"/>
      <c r="G631" s="253"/>
      <c r="H631" s="254"/>
      <c r="I631" s="253"/>
      <c r="J631" s="253"/>
      <c r="K631" s="251"/>
      <c r="L631" s="261"/>
      <c r="M631" s="258"/>
      <c r="N631" s="257"/>
      <c r="O631" s="258"/>
      <c r="P631" s="257"/>
      <c r="Q631" s="258"/>
      <c r="R631" s="257"/>
      <c r="S631" s="258"/>
      <c r="T631" s="257"/>
      <c r="U631" s="258"/>
      <c r="V631" s="257"/>
      <c r="W631" s="258"/>
      <c r="X631" s="257"/>
      <c r="Y631" s="258"/>
      <c r="Z631" s="257"/>
    </row>
    <row r="632" spans="1:26" ht="29.25" customHeight="1">
      <c r="A632" s="250">
        <f>A626+1</f>
        <v>178</v>
      </c>
      <c r="B632" s="251"/>
      <c r="C632" s="654" t="s">
        <v>709</v>
      </c>
      <c r="D632" s="526" t="s">
        <v>1558</v>
      </c>
      <c r="E632" s="251" t="s">
        <v>1898</v>
      </c>
      <c r="F632" s="252"/>
      <c r="G632" s="253"/>
      <c r="H632" s="254"/>
      <c r="I632" s="253"/>
      <c r="J632" s="253"/>
      <c r="K632" s="251" t="s">
        <v>1898</v>
      </c>
      <c r="L632" s="261"/>
      <c r="M632" s="258"/>
      <c r="N632" s="257"/>
      <c r="O632" s="258"/>
      <c r="P632" s="257"/>
      <c r="Q632" s="258"/>
      <c r="R632" s="257"/>
      <c r="S632" s="258"/>
      <c r="T632" s="257"/>
      <c r="U632" s="258"/>
      <c r="V632" s="257"/>
      <c r="W632" s="258"/>
      <c r="X632" s="257"/>
      <c r="Y632" s="258"/>
      <c r="Z632" s="257"/>
    </row>
    <row r="633" spans="1:26" ht="29.25" customHeight="1">
      <c r="A633" s="250"/>
      <c r="B633" s="251"/>
      <c r="C633" s="526"/>
      <c r="D633" s="532" t="s">
        <v>1559</v>
      </c>
      <c r="E633" s="251"/>
      <c r="F633" s="252"/>
      <c r="G633" s="253"/>
      <c r="H633" s="254"/>
      <c r="I633" s="253"/>
      <c r="J633" s="253"/>
      <c r="K633" s="251"/>
      <c r="L633" s="261"/>
      <c r="M633" s="258"/>
      <c r="N633" s="257"/>
      <c r="O633" s="258"/>
      <c r="P633" s="257"/>
      <c r="Q633" s="258"/>
      <c r="R633" s="257"/>
      <c r="S633" s="258"/>
      <c r="T633" s="257"/>
      <c r="U633" s="258"/>
      <c r="V633" s="257"/>
      <c r="W633" s="258"/>
      <c r="X633" s="257"/>
      <c r="Y633" s="258"/>
      <c r="Z633" s="257"/>
    </row>
    <row r="634" spans="1:26" ht="15" customHeight="1">
      <c r="A634" s="250"/>
      <c r="B634" s="251"/>
      <c r="C634" s="526"/>
      <c r="D634" s="292"/>
      <c r="E634" s="251"/>
      <c r="F634" s="252">
        <f>M634+O634+Q634+S634+U634+W634+Y634</f>
        <v>500</v>
      </c>
      <c r="G634" s="253">
        <f>L634</f>
        <v>16.579999999999998</v>
      </c>
      <c r="H634" s="254">
        <f>INT(F634*G634*100+0.5)/100</f>
        <v>8290</v>
      </c>
      <c r="I634" s="253">
        <f>N634+P634+R634+T634+V634+X634+Z634</f>
        <v>8290</v>
      </c>
      <c r="J634" s="253"/>
      <c r="K634" s="251"/>
      <c r="L634" s="255">
        <v>16.579999999999998</v>
      </c>
      <c r="M634" s="258">
        <v>0</v>
      </c>
      <c r="N634" s="257">
        <f>INT($L634*M634*100+0.5)/100</f>
        <v>0</v>
      </c>
      <c r="O634" s="258">
        <v>0</v>
      </c>
      <c r="P634" s="257">
        <f>INT($L634*O634*100+0.5)/100</f>
        <v>0</v>
      </c>
      <c r="Q634" s="258">
        <v>0</v>
      </c>
      <c r="R634" s="257">
        <f>INT($L634*Q634*100+0.5)/100</f>
        <v>0</v>
      </c>
      <c r="S634" s="258">
        <v>0</v>
      </c>
      <c r="T634" s="257">
        <f>INT($L634*S634*100+0.5)/100</f>
        <v>0</v>
      </c>
      <c r="U634" s="258">
        <v>500</v>
      </c>
      <c r="V634" s="257">
        <f>INT($L634*U634*100+0.5)/100</f>
        <v>8290</v>
      </c>
      <c r="W634" s="258">
        <v>0</v>
      </c>
      <c r="X634" s="257">
        <f>INT($L634*W634*100+0.5)/100</f>
        <v>0</v>
      </c>
      <c r="Y634" s="258">
        <v>0</v>
      </c>
      <c r="Z634" s="257">
        <f>INT($L634*Y634*100+0.5)/100</f>
        <v>0</v>
      </c>
    </row>
    <row r="635" spans="1:26" ht="15" customHeight="1">
      <c r="A635" s="250"/>
      <c r="B635" s="251"/>
      <c r="C635" s="526"/>
      <c r="D635" s="292"/>
      <c r="E635" s="251"/>
      <c r="F635" s="252"/>
      <c r="G635" s="253"/>
      <c r="H635" s="254"/>
      <c r="I635" s="253"/>
      <c r="J635" s="253"/>
      <c r="K635" s="251"/>
      <c r="L635" s="261"/>
      <c r="M635" s="258"/>
      <c r="N635" s="257"/>
      <c r="O635" s="258"/>
      <c r="P635" s="257"/>
      <c r="Q635" s="258"/>
      <c r="R635" s="257"/>
      <c r="S635" s="258"/>
      <c r="T635" s="257"/>
      <c r="U635" s="258"/>
      <c r="V635" s="257"/>
      <c r="W635" s="258"/>
      <c r="X635" s="257"/>
      <c r="Y635" s="258"/>
      <c r="Z635" s="257"/>
    </row>
    <row r="636" spans="1:26" ht="15" customHeight="1">
      <c r="A636" s="250">
        <f>A632+1</f>
        <v>179</v>
      </c>
      <c r="B636" s="251"/>
      <c r="C636" s="654" t="s">
        <v>711</v>
      </c>
      <c r="D636" s="532" t="s">
        <v>712</v>
      </c>
      <c r="E636" s="251" t="s">
        <v>1898</v>
      </c>
      <c r="F636" s="252"/>
      <c r="G636" s="253"/>
      <c r="H636" s="254"/>
      <c r="I636" s="253"/>
      <c r="J636" s="253"/>
      <c r="K636" s="251" t="s">
        <v>1898</v>
      </c>
      <c r="L636" s="261"/>
      <c r="M636" s="258"/>
      <c r="N636" s="257"/>
      <c r="O636" s="258"/>
      <c r="P636" s="257"/>
      <c r="Q636" s="258"/>
      <c r="R636" s="257"/>
      <c r="S636" s="258"/>
      <c r="T636" s="257"/>
      <c r="U636" s="258"/>
      <c r="V636" s="257"/>
      <c r="W636" s="258"/>
      <c r="X636" s="257"/>
      <c r="Y636" s="258"/>
      <c r="Z636" s="257"/>
    </row>
    <row r="637" spans="1:26" ht="15" customHeight="1">
      <c r="A637" s="250"/>
      <c r="B637" s="251"/>
      <c r="C637" s="647"/>
      <c r="D637" s="532" t="s">
        <v>713</v>
      </c>
      <c r="E637" s="251"/>
      <c r="F637" s="252"/>
      <c r="G637" s="253"/>
      <c r="H637" s="254"/>
      <c r="I637" s="253"/>
      <c r="J637" s="253"/>
      <c r="K637" s="251"/>
      <c r="L637" s="261"/>
      <c r="M637" s="258"/>
      <c r="N637" s="257"/>
      <c r="O637" s="258"/>
      <c r="P637" s="257"/>
      <c r="Q637" s="258"/>
      <c r="R637" s="257"/>
      <c r="S637" s="258"/>
      <c r="T637" s="257"/>
      <c r="U637" s="258"/>
      <c r="V637" s="257"/>
      <c r="W637" s="258"/>
      <c r="X637" s="257"/>
      <c r="Y637" s="258"/>
      <c r="Z637" s="257"/>
    </row>
    <row r="638" spans="1:26" ht="15" customHeight="1">
      <c r="A638" s="250"/>
      <c r="B638" s="251"/>
      <c r="C638" s="647"/>
      <c r="D638" s="292"/>
      <c r="E638" s="251"/>
      <c r="F638" s="252">
        <f>M638+O638+Q638+S638+U638+W638+Y638</f>
        <v>500</v>
      </c>
      <c r="G638" s="253">
        <f>L638</f>
        <v>5.9</v>
      </c>
      <c r="H638" s="254"/>
      <c r="I638" s="253">
        <f>N638+P638+R638+T638+V638+X638+Z638</f>
        <v>2950</v>
      </c>
      <c r="J638" s="253"/>
      <c r="K638" s="251"/>
      <c r="L638" s="255">
        <v>5.9</v>
      </c>
      <c r="M638" s="258">
        <v>0</v>
      </c>
      <c r="N638" s="257">
        <f>INT($L638*M638*100+0.5)/100</f>
        <v>0</v>
      </c>
      <c r="O638" s="258">
        <v>0</v>
      </c>
      <c r="P638" s="257">
        <f>INT($L638*O638*100+0.5)/100</f>
        <v>0</v>
      </c>
      <c r="Q638" s="258">
        <v>0</v>
      </c>
      <c r="R638" s="257">
        <f>INT($L638*Q638*100+0.5)/100</f>
        <v>0</v>
      </c>
      <c r="S638" s="258">
        <v>0</v>
      </c>
      <c r="T638" s="257">
        <f>INT($L638*S638*100+0.5)/100</f>
        <v>0</v>
      </c>
      <c r="U638" s="258">
        <v>500</v>
      </c>
      <c r="V638" s="257">
        <f>INT($L638*U638*100+0.5)/100</f>
        <v>2950</v>
      </c>
      <c r="W638" s="258">
        <v>0</v>
      </c>
      <c r="X638" s="257">
        <f>INT($L638*W638*100+0.5)/100</f>
        <v>0</v>
      </c>
      <c r="Y638" s="258">
        <v>0</v>
      </c>
      <c r="Z638" s="257">
        <f>INT($L638*Y638*100+0.5)/100</f>
        <v>0</v>
      </c>
    </row>
    <row r="639" spans="1:26" ht="15" customHeight="1">
      <c r="A639" s="250"/>
      <c r="B639" s="251"/>
      <c r="C639" s="647"/>
      <c r="D639" s="292"/>
      <c r="E639" s="251"/>
      <c r="F639" s="252"/>
      <c r="G639" s="253"/>
      <c r="H639" s="254"/>
      <c r="I639" s="253"/>
      <c r="J639" s="253"/>
      <c r="K639" s="251"/>
      <c r="L639" s="261"/>
      <c r="M639" s="258"/>
      <c r="N639" s="257"/>
      <c r="O639" s="258"/>
      <c r="P639" s="257"/>
      <c r="Q639" s="258"/>
      <c r="R639" s="257"/>
      <c r="S639" s="258"/>
      <c r="T639" s="257"/>
      <c r="U639" s="258"/>
      <c r="V639" s="257"/>
      <c r="W639" s="258"/>
      <c r="X639" s="257"/>
      <c r="Y639" s="258"/>
      <c r="Z639" s="257"/>
    </row>
    <row r="640" spans="1:26" ht="15" customHeight="1">
      <c r="A640" s="250">
        <f>A636+1</f>
        <v>180</v>
      </c>
      <c r="B640" s="251"/>
      <c r="C640" s="654" t="s">
        <v>710</v>
      </c>
      <c r="D640" s="532" t="s">
        <v>1815</v>
      </c>
      <c r="E640" s="251" t="s">
        <v>1898</v>
      </c>
      <c r="F640" s="252"/>
      <c r="G640" s="253"/>
      <c r="H640" s="254"/>
      <c r="I640" s="253"/>
      <c r="J640" s="253"/>
      <c r="K640" s="251" t="s">
        <v>1898</v>
      </c>
      <c r="L640" s="261"/>
      <c r="M640" s="258"/>
      <c r="N640" s="257"/>
      <c r="O640" s="258"/>
      <c r="P640" s="257"/>
      <c r="Q640" s="258"/>
      <c r="R640" s="257"/>
      <c r="S640" s="258"/>
      <c r="T640" s="257"/>
      <c r="U640" s="258"/>
      <c r="V640" s="257"/>
      <c r="W640" s="258"/>
      <c r="X640" s="257"/>
      <c r="Y640" s="258"/>
      <c r="Z640" s="257"/>
    </row>
    <row r="641" spans="1:26" ht="15" customHeight="1">
      <c r="A641" s="250"/>
      <c r="B641" s="251"/>
      <c r="C641" s="526"/>
      <c r="D641" s="532" t="s">
        <v>1814</v>
      </c>
      <c r="E641" s="251"/>
      <c r="F641" s="252"/>
      <c r="G641" s="253"/>
      <c r="H641" s="254"/>
      <c r="I641" s="253"/>
      <c r="J641" s="253"/>
      <c r="K641" s="251"/>
      <c r="L641" s="261"/>
      <c r="M641" s="258"/>
      <c r="N641" s="257"/>
      <c r="O641" s="258"/>
      <c r="P641" s="257"/>
      <c r="Q641" s="258"/>
      <c r="R641" s="257"/>
      <c r="S641" s="258"/>
      <c r="T641" s="257"/>
      <c r="U641" s="258"/>
      <c r="V641" s="257"/>
      <c r="W641" s="258"/>
      <c r="X641" s="257"/>
      <c r="Y641" s="258"/>
      <c r="Z641" s="257"/>
    </row>
    <row r="642" spans="1:26" ht="15" customHeight="1">
      <c r="A642" s="250"/>
      <c r="B642" s="251"/>
      <c r="C642" s="526"/>
      <c r="D642" s="292"/>
      <c r="E642" s="251"/>
      <c r="F642" s="252">
        <f>M642+O642+Q642+S642+U642+W642+Y642</f>
        <v>0</v>
      </c>
      <c r="G642" s="253">
        <f>L642</f>
        <v>3.53</v>
      </c>
      <c r="H642" s="254"/>
      <c r="I642" s="253">
        <f>N642+P642+R642+T642+V642+X642+Z642</f>
        <v>0</v>
      </c>
      <c r="J642" s="253"/>
      <c r="K642" s="251"/>
      <c r="L642" s="255">
        <v>3.53</v>
      </c>
      <c r="M642" s="258">
        <v>0</v>
      </c>
      <c r="N642" s="257">
        <f>INT($L642*M642*100+0.5)/100</f>
        <v>0</v>
      </c>
      <c r="O642" s="258">
        <v>0</v>
      </c>
      <c r="P642" s="257">
        <f>INT($L642*O642*100+0.5)/100</f>
        <v>0</v>
      </c>
      <c r="Q642" s="258">
        <v>0</v>
      </c>
      <c r="R642" s="257">
        <f>INT($L642*Q642*100+0.5)/100</f>
        <v>0</v>
      </c>
      <c r="S642" s="258">
        <v>0</v>
      </c>
      <c r="T642" s="257">
        <f>INT($L642*S642*100+0.5)/100</f>
        <v>0</v>
      </c>
      <c r="U642" s="258">
        <v>0</v>
      </c>
      <c r="V642" s="257">
        <f>INT($L642*U642*100+0.5)/100</f>
        <v>0</v>
      </c>
      <c r="W642" s="258">
        <v>0</v>
      </c>
      <c r="X642" s="257">
        <f>INT($L642*W642*100+0.5)/100</f>
        <v>0</v>
      </c>
      <c r="Y642" s="258">
        <v>0</v>
      </c>
      <c r="Z642" s="257">
        <f>INT($L642*Y642*100+0.5)/100</f>
        <v>0</v>
      </c>
    </row>
    <row r="643" spans="1:26" ht="15" customHeight="1">
      <c r="A643" s="250"/>
      <c r="B643" s="251"/>
      <c r="C643" s="526"/>
      <c r="D643" s="292"/>
      <c r="E643" s="251"/>
      <c r="F643" s="252"/>
      <c r="G643" s="253"/>
      <c r="H643" s="254"/>
      <c r="I643" s="253"/>
      <c r="J643" s="253"/>
      <c r="K643" s="251"/>
      <c r="L643" s="261"/>
      <c r="M643" s="258"/>
      <c r="N643" s="257"/>
      <c r="O643" s="258"/>
      <c r="P643" s="257"/>
      <c r="Q643" s="258"/>
      <c r="R643" s="257"/>
      <c r="S643" s="258"/>
      <c r="T643" s="257"/>
      <c r="U643" s="258"/>
      <c r="V643" s="257"/>
      <c r="W643" s="258"/>
      <c r="X643" s="257"/>
      <c r="Y643" s="258"/>
      <c r="Z643" s="257"/>
    </row>
    <row r="644" spans="1:26" ht="15" customHeight="1">
      <c r="A644" s="250">
        <f>A640+1</f>
        <v>181</v>
      </c>
      <c r="B644" s="251"/>
      <c r="C644" s="654" t="s">
        <v>714</v>
      </c>
      <c r="D644" s="532" t="s">
        <v>2464</v>
      </c>
      <c r="E644" s="251" t="s">
        <v>2461</v>
      </c>
      <c r="F644" s="252">
        <f>M644+O644+Q644+S644+U644+W644+Y644</f>
        <v>0</v>
      </c>
      <c r="G644" s="253">
        <f>L644</f>
        <v>191.82</v>
      </c>
      <c r="H644" s="254">
        <f>INT(F644*G644*100+0.5)/100</f>
        <v>0</v>
      </c>
      <c r="I644" s="253">
        <f>N644+P644+R644+T644+V644+X644+Z644</f>
        <v>0</v>
      </c>
      <c r="J644" s="253"/>
      <c r="K644" s="251" t="s">
        <v>2461</v>
      </c>
      <c r="L644" s="255">
        <v>191.82</v>
      </c>
      <c r="M644" s="258">
        <v>0</v>
      </c>
      <c r="N644" s="257">
        <f>INT($L644*M644*100+0.5)/100</f>
        <v>0</v>
      </c>
      <c r="O644" s="258">
        <v>0</v>
      </c>
      <c r="P644" s="257">
        <f>INT($L644*O644*100+0.5)/100</f>
        <v>0</v>
      </c>
      <c r="Q644" s="258">
        <v>0</v>
      </c>
      <c r="R644" s="257">
        <f>INT($L644*Q644*100+0.5)/100</f>
        <v>0</v>
      </c>
      <c r="S644" s="258">
        <v>0</v>
      </c>
      <c r="T644" s="257">
        <f>INT($L644*S644*100+0.5)/100</f>
        <v>0</v>
      </c>
      <c r="U644" s="258">
        <v>0</v>
      </c>
      <c r="V644" s="257">
        <f>INT($L644*U644*100+0.5)/100</f>
        <v>0</v>
      </c>
      <c r="W644" s="258">
        <v>0</v>
      </c>
      <c r="X644" s="257">
        <f>INT($L644*W644*100+0.5)/100</f>
        <v>0</v>
      </c>
      <c r="Y644" s="258">
        <v>0</v>
      </c>
      <c r="Z644" s="257">
        <f>INT($L644*Y644*100+0.5)/100</f>
        <v>0</v>
      </c>
    </row>
    <row r="645" spans="1:26" ht="25.5">
      <c r="A645" s="250"/>
      <c r="B645" s="251"/>
      <c r="C645" s="526"/>
      <c r="D645" s="532" t="s">
        <v>1816</v>
      </c>
      <c r="E645" s="251"/>
      <c r="F645" s="252"/>
      <c r="G645" s="253"/>
      <c r="H645" s="254"/>
      <c r="I645" s="253"/>
      <c r="J645" s="253"/>
      <c r="K645" s="251"/>
      <c r="L645" s="261"/>
      <c r="M645" s="258"/>
      <c r="N645" s="257"/>
      <c r="O645" s="258"/>
      <c r="P645" s="257"/>
      <c r="Q645" s="258"/>
      <c r="R645" s="257"/>
      <c r="S645" s="258"/>
      <c r="T645" s="257"/>
      <c r="U645" s="258"/>
      <c r="V645" s="257"/>
      <c r="W645" s="258"/>
      <c r="X645" s="257"/>
      <c r="Y645" s="258"/>
      <c r="Z645" s="257"/>
    </row>
    <row r="646" spans="1:26" ht="15" customHeight="1">
      <c r="A646" s="250"/>
      <c r="B646" s="251"/>
      <c r="C646" s="526"/>
      <c r="D646" s="532"/>
      <c r="E646" s="251"/>
      <c r="F646" s="252"/>
      <c r="G646" s="253"/>
      <c r="H646" s="254"/>
      <c r="I646" s="253"/>
      <c r="J646" s="253"/>
      <c r="K646" s="251"/>
      <c r="L646" s="261"/>
      <c r="M646" s="258"/>
      <c r="N646" s="257"/>
      <c r="O646" s="258"/>
      <c r="P646" s="257"/>
      <c r="Q646" s="258"/>
      <c r="R646" s="257"/>
      <c r="S646" s="258"/>
      <c r="T646" s="257"/>
      <c r="U646" s="258"/>
      <c r="V646" s="257"/>
      <c r="W646" s="258"/>
      <c r="X646" s="257"/>
      <c r="Y646" s="258"/>
      <c r="Z646" s="257"/>
    </row>
    <row r="647" spans="1:26" s="303" customFormat="1" ht="15" customHeight="1">
      <c r="A647" s="298"/>
      <c r="B647" s="299"/>
      <c r="C647" s="267" t="s">
        <v>1557</v>
      </c>
      <c r="D647" s="333" t="s">
        <v>1560</v>
      </c>
      <c r="E647" s="299"/>
      <c r="F647" s="301"/>
      <c r="G647" s="273"/>
      <c r="H647" s="273"/>
      <c r="I647" s="272">
        <f>N647+P647+R647+T647+V647+X647+Z647</f>
        <v>11240</v>
      </c>
      <c r="J647" s="269">
        <f>SUM(N647:Z647)</f>
        <v>11240</v>
      </c>
      <c r="K647" s="299"/>
      <c r="L647" s="271"/>
      <c r="M647" s="273"/>
      <c r="N647" s="273">
        <f>SUM(N634:N646)</f>
        <v>0</v>
      </c>
      <c r="O647" s="273"/>
      <c r="P647" s="273">
        <f>SUM(P634:P646)</f>
        <v>0</v>
      </c>
      <c r="Q647" s="273"/>
      <c r="R647" s="273">
        <f>SUM(R634:R646)</f>
        <v>0</v>
      </c>
      <c r="S647" s="273"/>
      <c r="T647" s="273">
        <f>SUM(T634:T646)</f>
        <v>0</v>
      </c>
      <c r="U647" s="273"/>
      <c r="V647" s="273">
        <f>SUM(V634:V646)</f>
        <v>11240</v>
      </c>
      <c r="W647" s="273"/>
      <c r="X647" s="273">
        <f>SUM(X634:X646)</f>
        <v>0</v>
      </c>
      <c r="Y647" s="273"/>
      <c r="Z647" s="273">
        <f>SUM(Z634:Z646)</f>
        <v>0</v>
      </c>
    </row>
    <row r="648" spans="1:26" ht="15" customHeight="1">
      <c r="A648" s="250"/>
      <c r="B648" s="251"/>
      <c r="C648" s="453"/>
      <c r="D648" s="330"/>
      <c r="E648" s="251"/>
      <c r="F648" s="252"/>
      <c r="G648" s="253"/>
      <c r="H648" s="254"/>
      <c r="I648" s="253"/>
      <c r="J648" s="253"/>
      <c r="K648" s="251"/>
      <c r="L648" s="261"/>
      <c r="M648" s="258"/>
      <c r="N648" s="494">
        <f>N647/$N$1928</f>
        <v>0</v>
      </c>
      <c r="O648" s="258"/>
      <c r="P648" s="257"/>
      <c r="Q648" s="258"/>
      <c r="R648" s="257"/>
      <c r="S648" s="258"/>
      <c r="T648" s="257"/>
      <c r="U648" s="258"/>
      <c r="V648" s="257"/>
      <c r="W648" s="258"/>
      <c r="X648" s="257"/>
      <c r="Y648" s="258"/>
      <c r="Z648" s="257"/>
    </row>
    <row r="649" spans="1:26" ht="15" customHeight="1">
      <c r="A649" s="250"/>
      <c r="B649" s="251"/>
      <c r="C649" s="453" t="s">
        <v>1561</v>
      </c>
      <c r="D649" s="330" t="s">
        <v>1562</v>
      </c>
      <c r="E649" s="251"/>
      <c r="F649" s="252"/>
      <c r="G649" s="253"/>
      <c r="H649" s="254"/>
      <c r="I649" s="253"/>
      <c r="J649" s="253"/>
      <c r="K649" s="251"/>
      <c r="L649" s="261"/>
      <c r="M649" s="258"/>
      <c r="N649" s="257"/>
      <c r="O649" s="258"/>
      <c r="P649" s="257"/>
      <c r="Q649" s="258"/>
      <c r="R649" s="257"/>
      <c r="S649" s="258"/>
      <c r="T649" s="257"/>
      <c r="U649" s="258"/>
      <c r="V649" s="257"/>
      <c r="W649" s="258"/>
      <c r="X649" s="257"/>
      <c r="Y649" s="258"/>
      <c r="Z649" s="257"/>
    </row>
    <row r="650" spans="1:26" ht="25.5">
      <c r="A650" s="250">
        <f>A644+1</f>
        <v>182</v>
      </c>
      <c r="B650" s="251"/>
      <c r="C650" s="647" t="s">
        <v>715</v>
      </c>
      <c r="D650" s="526" t="s">
        <v>386</v>
      </c>
      <c r="E650" s="251" t="s">
        <v>1898</v>
      </c>
      <c r="F650" s="252"/>
      <c r="G650" s="253"/>
      <c r="H650" s="254"/>
      <c r="I650" s="253"/>
      <c r="J650" s="253"/>
      <c r="K650" s="251" t="s">
        <v>1898</v>
      </c>
      <c r="L650" s="261"/>
      <c r="M650" s="258"/>
      <c r="N650" s="257"/>
      <c r="O650" s="258"/>
      <c r="P650" s="257"/>
      <c r="Q650" s="258"/>
      <c r="R650" s="257"/>
      <c r="S650" s="258"/>
      <c r="T650" s="257"/>
      <c r="U650" s="258"/>
      <c r="V650" s="257"/>
      <c r="W650" s="258"/>
      <c r="X650" s="257"/>
      <c r="Y650" s="258"/>
      <c r="Z650" s="257"/>
    </row>
    <row r="651" spans="1:26" ht="25.5">
      <c r="A651" s="250"/>
      <c r="B651" s="251"/>
      <c r="C651" s="647"/>
      <c r="D651" s="526" t="s">
        <v>274</v>
      </c>
      <c r="E651" s="251"/>
      <c r="F651" s="252"/>
      <c r="G651" s="253"/>
      <c r="H651" s="254"/>
      <c r="I651" s="253"/>
      <c r="J651" s="253"/>
      <c r="K651" s="251"/>
      <c r="L651" s="261"/>
      <c r="M651" s="258"/>
      <c r="N651" s="257"/>
      <c r="O651" s="258"/>
      <c r="P651" s="257"/>
      <c r="Q651" s="258"/>
      <c r="R651" s="257"/>
      <c r="S651" s="258"/>
      <c r="T651" s="257"/>
      <c r="U651" s="258"/>
      <c r="V651" s="257"/>
      <c r="W651" s="258"/>
      <c r="X651" s="257"/>
      <c r="Y651" s="258"/>
      <c r="Z651" s="257"/>
    </row>
    <row r="652" spans="1:26" ht="15" customHeight="1">
      <c r="A652" s="250"/>
      <c r="B652" s="251"/>
      <c r="C652" s="647"/>
      <c r="D652" s="292"/>
      <c r="E652" s="251"/>
      <c r="F652" s="252"/>
      <c r="G652" s="253"/>
      <c r="H652" s="254"/>
      <c r="I652" s="253"/>
      <c r="J652" s="253"/>
      <c r="K652" s="251"/>
      <c r="L652" s="261"/>
      <c r="M652" s="258"/>
      <c r="N652" s="257"/>
      <c r="O652" s="258"/>
      <c r="P652" s="257"/>
      <c r="Q652" s="258"/>
      <c r="R652" s="257"/>
      <c r="S652" s="258"/>
      <c r="T652" s="257"/>
      <c r="U652" s="258"/>
      <c r="V652" s="257"/>
      <c r="W652" s="258"/>
      <c r="X652" s="257"/>
      <c r="Y652" s="258"/>
      <c r="Z652" s="257"/>
    </row>
    <row r="653" spans="1:26" ht="15" customHeight="1">
      <c r="A653" s="250"/>
      <c r="B653" s="251"/>
      <c r="C653" s="647"/>
      <c r="D653" s="292" t="s">
        <v>1330</v>
      </c>
      <c r="E653" s="251"/>
      <c r="F653" s="252"/>
      <c r="G653" s="253"/>
      <c r="H653" s="254"/>
      <c r="I653" s="253"/>
      <c r="J653" s="253"/>
      <c r="K653" s="251"/>
      <c r="L653" s="261"/>
      <c r="M653" s="293"/>
      <c r="N653" s="294"/>
      <c r="O653" s="293"/>
      <c r="P653" s="294"/>
      <c r="Q653" s="293"/>
      <c r="R653" s="294"/>
      <c r="S653" s="293"/>
      <c r="T653" s="294"/>
      <c r="U653" s="293"/>
      <c r="V653" s="294"/>
      <c r="W653" s="293"/>
      <c r="X653" s="294"/>
      <c r="Y653" s="293"/>
      <c r="Z653" s="294"/>
    </row>
    <row r="654" spans="1:26" ht="15" customHeight="1">
      <c r="A654" s="250"/>
      <c r="B654" s="251"/>
      <c r="C654" s="647"/>
      <c r="D654" s="292" t="s">
        <v>575</v>
      </c>
      <c r="E654" s="251"/>
      <c r="F654" s="252">
        <f>M654+O654+Q654+S654+U654+W654+Y654</f>
        <v>0</v>
      </c>
      <c r="G654" s="253">
        <f>L654</f>
        <v>24.49</v>
      </c>
      <c r="H654" s="254">
        <f>INT(F654*G654*100+0.5)/100</f>
        <v>0</v>
      </c>
      <c r="I654" s="253">
        <f>N654+P654+R654+T654+V654+X654+Z654</f>
        <v>0</v>
      </c>
      <c r="J654" s="253"/>
      <c r="K654" s="251"/>
      <c r="L654" s="255">
        <v>24.49</v>
      </c>
      <c r="M654" s="258">
        <v>0</v>
      </c>
      <c r="N654" s="257">
        <f>INT($L654*M654*100+0.5)/100</f>
        <v>0</v>
      </c>
      <c r="O654" s="258">
        <v>0</v>
      </c>
      <c r="P654" s="257">
        <f>INT($L654*O654*100+0.5)/100</f>
        <v>0</v>
      </c>
      <c r="Q654" s="258">
        <v>0</v>
      </c>
      <c r="R654" s="257">
        <f>INT($L654*Q654*100+0.5)/100</f>
        <v>0</v>
      </c>
      <c r="S654" s="258">
        <v>0</v>
      </c>
      <c r="T654" s="257">
        <f>INT($L654*S654*100+0.5)/100</f>
        <v>0</v>
      </c>
      <c r="U654" s="258">
        <v>0</v>
      </c>
      <c r="V654" s="257">
        <f>INT($L654*U654*100+0.5)/100</f>
        <v>0</v>
      </c>
      <c r="W654" s="258">
        <v>0</v>
      </c>
      <c r="X654" s="257">
        <f>INT($L654*W654*100+0.5)/100</f>
        <v>0</v>
      </c>
      <c r="Y654" s="258">
        <v>0</v>
      </c>
      <c r="Z654" s="257">
        <f>INT($L654*Y654*100+0.5)/100</f>
        <v>0</v>
      </c>
    </row>
    <row r="655" spans="1:26" s="247" customFormat="1" ht="15" customHeight="1">
      <c r="A655" s="284"/>
      <c r="B655" s="237"/>
      <c r="C655" s="654"/>
      <c r="D655" s="238"/>
      <c r="E655" s="237"/>
      <c r="F655" s="304"/>
      <c r="G655" s="253"/>
      <c r="H655" s="244"/>
      <c r="I655" s="240"/>
      <c r="J655" s="240"/>
      <c r="K655" s="237"/>
      <c r="L655" s="243"/>
      <c r="M655" s="289"/>
      <c r="N655" s="245"/>
      <c r="O655" s="289"/>
      <c r="P655" s="245"/>
      <c r="Q655" s="289"/>
      <c r="R655" s="245"/>
      <c r="S655" s="289"/>
      <c r="T655" s="245"/>
      <c r="U655" s="289"/>
      <c r="V655" s="245"/>
      <c r="W655" s="289"/>
      <c r="X655" s="245"/>
      <c r="Y655" s="289"/>
      <c r="Z655" s="245"/>
    </row>
    <row r="656" spans="1:26" ht="15" customHeight="1">
      <c r="A656" s="250">
        <f>A650+1</f>
        <v>183</v>
      </c>
      <c r="B656" s="251"/>
      <c r="C656" s="647" t="s">
        <v>716</v>
      </c>
      <c r="D656" s="532" t="s">
        <v>391</v>
      </c>
      <c r="E656" s="251" t="s">
        <v>1898</v>
      </c>
      <c r="F656" s="252">
        <f>M656+O656+Q656+S656+U656+W656+Y656</f>
        <v>0</v>
      </c>
      <c r="G656" s="253">
        <f>L656</f>
        <v>3.33</v>
      </c>
      <c r="H656" s="254">
        <f>INT(F656*G656*100+0.5)/100</f>
        <v>0</v>
      </c>
      <c r="I656" s="253">
        <f>N656+P656+R656+T656+V656+X656+Z656</f>
        <v>0</v>
      </c>
      <c r="J656" s="253"/>
      <c r="K656" s="251" t="s">
        <v>1898</v>
      </c>
      <c r="L656" s="255">
        <v>3.33</v>
      </c>
      <c r="M656" s="258">
        <v>0</v>
      </c>
      <c r="N656" s="257">
        <f>INT($L656*M656*100+0.5)/100</f>
        <v>0</v>
      </c>
      <c r="O656" s="258">
        <v>0</v>
      </c>
      <c r="P656" s="257">
        <f>INT($L656*O656*100+0.5)/100</f>
        <v>0</v>
      </c>
      <c r="Q656" s="258">
        <v>0</v>
      </c>
      <c r="R656" s="257">
        <f>INT($L656*Q656*100+0.5)/100</f>
        <v>0</v>
      </c>
      <c r="S656" s="258">
        <v>0</v>
      </c>
      <c r="T656" s="257">
        <f>INT($L656*S656*100+0.5)/100</f>
        <v>0</v>
      </c>
      <c r="U656" s="258">
        <v>0</v>
      </c>
      <c r="V656" s="257">
        <f>INT($L656*U656*100+0.5)/100</f>
        <v>0</v>
      </c>
      <c r="W656" s="258">
        <v>0</v>
      </c>
      <c r="X656" s="257">
        <f>INT($L656*W656*100+0.5)/100</f>
        <v>0</v>
      </c>
      <c r="Y656" s="258">
        <v>0</v>
      </c>
      <c r="Z656" s="257">
        <f>INT($L656*Y656*100+0.5)/100</f>
        <v>0</v>
      </c>
    </row>
    <row r="657" spans="1:26" ht="15" customHeight="1">
      <c r="A657" s="250"/>
      <c r="B657" s="251"/>
      <c r="C657" s="647"/>
      <c r="D657" s="532" t="s">
        <v>392</v>
      </c>
      <c r="E657" s="251"/>
      <c r="F657" s="252"/>
      <c r="G657" s="253"/>
      <c r="H657" s="254"/>
      <c r="I657" s="253"/>
      <c r="J657" s="253"/>
      <c r="K657" s="251"/>
      <c r="L657" s="261"/>
      <c r="M657" s="258"/>
      <c r="N657" s="257"/>
      <c r="O657" s="258"/>
      <c r="P657" s="257"/>
      <c r="Q657" s="258"/>
      <c r="R657" s="257"/>
      <c r="S657" s="258"/>
      <c r="T657" s="257"/>
      <c r="U657" s="258"/>
      <c r="V657" s="257"/>
      <c r="W657" s="258"/>
      <c r="X657" s="257"/>
      <c r="Y657" s="258"/>
      <c r="Z657" s="257"/>
    </row>
    <row r="658" spans="1:26" ht="15" customHeight="1">
      <c r="A658" s="250"/>
      <c r="B658" s="251"/>
      <c r="C658" s="647"/>
      <c r="D658" s="292"/>
      <c r="E658" s="251"/>
      <c r="F658" s="252"/>
      <c r="G658" s="253"/>
      <c r="H658" s="254"/>
      <c r="I658" s="253"/>
      <c r="J658" s="253"/>
      <c r="K658" s="251"/>
      <c r="L658" s="261"/>
      <c r="M658" s="258"/>
      <c r="N658" s="257"/>
      <c r="O658" s="258"/>
      <c r="P658" s="257"/>
      <c r="Q658" s="258"/>
      <c r="R658" s="257"/>
      <c r="S658" s="258"/>
      <c r="T658" s="257"/>
      <c r="U658" s="258"/>
      <c r="V658" s="257"/>
      <c r="W658" s="258"/>
      <c r="X658" s="257"/>
      <c r="Y658" s="258"/>
      <c r="Z658" s="257"/>
    </row>
    <row r="659" spans="1:26" ht="38.25">
      <c r="A659" s="250">
        <f>A656+1</f>
        <v>184</v>
      </c>
      <c r="B659" s="251"/>
      <c r="C659" s="647" t="s">
        <v>717</v>
      </c>
      <c r="D659" s="238" t="s">
        <v>394</v>
      </c>
      <c r="E659" s="251" t="s">
        <v>1898</v>
      </c>
      <c r="F659" s="252"/>
      <c r="G659" s="253"/>
      <c r="H659" s="254"/>
      <c r="I659" s="253"/>
      <c r="J659" s="253"/>
      <c r="K659" s="251" t="s">
        <v>1898</v>
      </c>
      <c r="L659" s="261"/>
      <c r="M659" s="258"/>
      <c r="N659" s="257"/>
      <c r="O659" s="258"/>
      <c r="P659" s="257"/>
      <c r="Q659" s="258"/>
      <c r="R659" s="257"/>
      <c r="S659" s="258"/>
      <c r="T659" s="257"/>
      <c r="U659" s="258"/>
      <c r="V659" s="257"/>
      <c r="W659" s="258"/>
      <c r="X659" s="257"/>
      <c r="Y659" s="258"/>
      <c r="Z659" s="257"/>
    </row>
    <row r="660" spans="1:26" ht="38.25">
      <c r="A660" s="250"/>
      <c r="B660" s="251"/>
      <c r="C660" s="647"/>
      <c r="D660" s="238" t="s">
        <v>393</v>
      </c>
      <c r="E660" s="251"/>
      <c r="F660" s="252"/>
      <c r="G660" s="253"/>
      <c r="H660" s="254"/>
      <c r="I660" s="253"/>
      <c r="J660" s="253"/>
      <c r="K660" s="251"/>
      <c r="L660" s="261"/>
      <c r="M660" s="258"/>
      <c r="N660" s="257"/>
      <c r="O660" s="258"/>
      <c r="P660" s="257"/>
      <c r="Q660" s="258"/>
      <c r="R660" s="257"/>
      <c r="S660" s="258"/>
      <c r="T660" s="257"/>
      <c r="U660" s="258"/>
      <c r="V660" s="257"/>
      <c r="W660" s="258"/>
      <c r="X660" s="257"/>
      <c r="Y660" s="258"/>
      <c r="Z660" s="257"/>
    </row>
    <row r="661" spans="1:26" ht="15" customHeight="1">
      <c r="A661" s="250"/>
      <c r="B661" s="251"/>
      <c r="C661" s="647"/>
      <c r="D661" s="292"/>
      <c r="E661" s="251"/>
      <c r="F661" s="252"/>
      <c r="G661" s="253"/>
      <c r="H661" s="254"/>
      <c r="I661" s="253"/>
      <c r="J661" s="253"/>
      <c r="K661" s="251"/>
      <c r="L661" s="261"/>
      <c r="M661" s="258"/>
      <c r="N661" s="257"/>
      <c r="O661" s="258"/>
      <c r="P661" s="257"/>
      <c r="Q661" s="258"/>
      <c r="R661" s="257"/>
      <c r="S661" s="258"/>
      <c r="T661" s="257"/>
      <c r="U661" s="258"/>
      <c r="V661" s="257"/>
      <c r="W661" s="258"/>
      <c r="X661" s="257"/>
      <c r="Y661" s="258"/>
      <c r="Z661" s="257"/>
    </row>
    <row r="662" spans="1:26" ht="15" customHeight="1">
      <c r="A662" s="250"/>
      <c r="B662" s="251"/>
      <c r="C662" s="647"/>
      <c r="D662" s="292" t="s">
        <v>1330</v>
      </c>
      <c r="E662" s="251"/>
      <c r="F662" s="252"/>
      <c r="G662" s="253"/>
      <c r="H662" s="254"/>
      <c r="I662" s="253"/>
      <c r="J662" s="253"/>
      <c r="K662" s="251"/>
      <c r="L662" s="261"/>
      <c r="M662" s="293"/>
      <c r="N662" s="294"/>
      <c r="O662" s="293"/>
      <c r="P662" s="294"/>
      <c r="Q662" s="293"/>
      <c r="R662" s="294"/>
      <c r="S662" s="293"/>
      <c r="T662" s="294"/>
      <c r="U662" s="293"/>
      <c r="V662" s="294"/>
      <c r="W662" s="293"/>
      <c r="X662" s="294"/>
      <c r="Y662" s="293"/>
      <c r="Z662" s="294"/>
    </row>
    <row r="663" spans="1:26" s="247" customFormat="1" ht="15" customHeight="1">
      <c r="A663" s="284"/>
      <c r="B663" s="237"/>
      <c r="C663" s="654"/>
      <c r="D663" s="238" t="s">
        <v>575</v>
      </c>
      <c r="E663" s="237"/>
      <c r="F663" s="252">
        <f>M663+O663+Q663+S663+U663+W663+Y663</f>
        <v>0</v>
      </c>
      <c r="G663" s="253">
        <f>L663</f>
        <v>7.71</v>
      </c>
      <c r="H663" s="244">
        <f>INT(F663*G663*100+0.5)/100</f>
        <v>0</v>
      </c>
      <c r="I663" s="253">
        <f>N663+P663+R663+T663+V663+X663+Z663</f>
        <v>0</v>
      </c>
      <c r="J663" s="240"/>
      <c r="K663" s="237"/>
      <c r="L663" s="306">
        <v>7.71</v>
      </c>
      <c r="M663" s="289">
        <v>0</v>
      </c>
      <c r="N663" s="245">
        <f>INT($L663*M663*100+0.5)/100</f>
        <v>0</v>
      </c>
      <c r="O663" s="289">
        <v>0</v>
      </c>
      <c r="P663" s="245">
        <f>INT($L663*O663*100+0.5)/100</f>
        <v>0</v>
      </c>
      <c r="Q663" s="289">
        <v>0</v>
      </c>
      <c r="R663" s="245">
        <f>INT($L663*Q663*100+0.5)/100</f>
        <v>0</v>
      </c>
      <c r="S663" s="289">
        <v>0</v>
      </c>
      <c r="T663" s="245">
        <f>INT($L663*S663*100+0.5)/100</f>
        <v>0</v>
      </c>
      <c r="U663" s="289">
        <v>0</v>
      </c>
      <c r="V663" s="245">
        <f>INT($L663*U663*100+0.5)/100</f>
        <v>0</v>
      </c>
      <c r="W663" s="289">
        <v>0</v>
      </c>
      <c r="X663" s="245">
        <f>INT($L663*W663*100+0.5)/100</f>
        <v>0</v>
      </c>
      <c r="Y663" s="289">
        <v>0</v>
      </c>
      <c r="Z663" s="245">
        <f>INT($L663*Y663*100+0.5)/100</f>
        <v>0</v>
      </c>
    </row>
    <row r="664" spans="1:26" ht="15" customHeight="1">
      <c r="A664" s="250"/>
      <c r="B664" s="251"/>
      <c r="C664" s="647"/>
      <c r="D664" s="292"/>
      <c r="E664" s="251"/>
      <c r="F664" s="252"/>
      <c r="G664" s="253"/>
      <c r="H664" s="254"/>
      <c r="I664" s="253"/>
      <c r="J664" s="253"/>
      <c r="K664" s="251"/>
      <c r="L664" s="261"/>
      <c r="M664" s="258"/>
      <c r="N664" s="257"/>
      <c r="O664" s="258"/>
      <c r="P664" s="257"/>
      <c r="Q664" s="258"/>
      <c r="R664" s="257"/>
      <c r="S664" s="258"/>
      <c r="T664" s="257"/>
      <c r="U664" s="258"/>
      <c r="V664" s="257"/>
      <c r="W664" s="258"/>
      <c r="X664" s="257"/>
      <c r="Y664" s="258"/>
      <c r="Z664" s="257"/>
    </row>
    <row r="665" spans="1:26" ht="25.5">
      <c r="A665" s="250">
        <f>A659+1</f>
        <v>185</v>
      </c>
      <c r="B665" s="251"/>
      <c r="C665" s="657" t="s">
        <v>1574</v>
      </c>
      <c r="D665" s="526" t="s">
        <v>388</v>
      </c>
      <c r="E665" s="251" t="s">
        <v>1898</v>
      </c>
      <c r="F665" s="252"/>
      <c r="G665" s="253"/>
      <c r="H665" s="254"/>
      <c r="I665" s="253"/>
      <c r="J665" s="253"/>
      <c r="K665" s="251" t="s">
        <v>1898</v>
      </c>
      <c r="L665" s="261"/>
      <c r="M665" s="258"/>
      <c r="N665" s="257"/>
      <c r="O665" s="258"/>
      <c r="P665" s="257"/>
      <c r="Q665" s="258"/>
      <c r="R665" s="257"/>
      <c r="S665" s="258"/>
      <c r="T665" s="257"/>
      <c r="U665" s="258"/>
      <c r="V665" s="257"/>
      <c r="W665" s="258"/>
      <c r="X665" s="257"/>
      <c r="Y665" s="258"/>
      <c r="Z665" s="257"/>
    </row>
    <row r="666" spans="1:26" ht="25.5">
      <c r="A666" s="250"/>
      <c r="B666" s="251"/>
      <c r="C666" s="526"/>
      <c r="D666" s="526" t="s">
        <v>387</v>
      </c>
      <c r="E666" s="251"/>
      <c r="F666" s="252"/>
      <c r="G666" s="253"/>
      <c r="H666" s="254"/>
      <c r="I666" s="253"/>
      <c r="J666" s="253"/>
      <c r="K666" s="251"/>
      <c r="L666" s="261"/>
      <c r="M666" s="258"/>
      <c r="N666" s="257"/>
      <c r="O666" s="258"/>
      <c r="P666" s="257"/>
      <c r="Q666" s="258"/>
      <c r="R666" s="257"/>
      <c r="S666" s="258"/>
      <c r="T666" s="257"/>
      <c r="U666" s="258"/>
      <c r="V666" s="257"/>
      <c r="W666" s="258"/>
      <c r="X666" s="257"/>
      <c r="Y666" s="258"/>
      <c r="Z666" s="257"/>
    </row>
    <row r="667" spans="1:26" ht="15" customHeight="1">
      <c r="A667" s="250"/>
      <c r="B667" s="251"/>
      <c r="C667" s="526"/>
      <c r="D667" s="292"/>
      <c r="E667" s="251"/>
      <c r="F667" s="252"/>
      <c r="G667" s="253"/>
      <c r="H667" s="254"/>
      <c r="I667" s="253"/>
      <c r="J667" s="253"/>
      <c r="K667" s="251"/>
      <c r="L667" s="261"/>
      <c r="M667" s="258">
        <v>0</v>
      </c>
      <c r="N667" s="257"/>
      <c r="O667" s="258">
        <v>0</v>
      </c>
      <c r="P667" s="257"/>
      <c r="Q667" s="258">
        <v>0</v>
      </c>
      <c r="R667" s="257"/>
      <c r="S667" s="258">
        <v>0</v>
      </c>
      <c r="T667" s="257"/>
      <c r="U667" s="258">
        <v>0</v>
      </c>
      <c r="V667" s="257"/>
      <c r="W667" s="258">
        <v>0</v>
      </c>
      <c r="X667" s="257"/>
      <c r="Y667" s="258">
        <v>0</v>
      </c>
      <c r="Z667" s="257"/>
    </row>
    <row r="668" spans="1:26" ht="15" customHeight="1">
      <c r="A668" s="250"/>
      <c r="B668" s="251"/>
      <c r="C668" s="526"/>
      <c r="D668" s="292" t="s">
        <v>1899</v>
      </c>
      <c r="E668" s="251"/>
      <c r="F668" s="252"/>
      <c r="G668" s="253"/>
      <c r="H668" s="254"/>
      <c r="I668" s="253"/>
      <c r="J668" s="253"/>
      <c r="K668" s="251"/>
      <c r="L668" s="261"/>
      <c r="M668" s="293">
        <v>0</v>
      </c>
      <c r="N668" s="294"/>
      <c r="O668" s="293">
        <v>0</v>
      </c>
      <c r="P668" s="294"/>
      <c r="Q668" s="293">
        <v>0</v>
      </c>
      <c r="R668" s="294"/>
      <c r="S668" s="293">
        <v>0</v>
      </c>
      <c r="T668" s="294"/>
      <c r="U668" s="293">
        <v>0</v>
      </c>
      <c r="V668" s="294"/>
      <c r="W668" s="293">
        <v>0</v>
      </c>
      <c r="X668" s="294"/>
      <c r="Y668" s="293">
        <v>0</v>
      </c>
      <c r="Z668" s="294"/>
    </row>
    <row r="669" spans="1:26" ht="15" customHeight="1">
      <c r="A669" s="250"/>
      <c r="B669" s="251"/>
      <c r="C669" s="526"/>
      <c r="D669" s="292" t="s">
        <v>1900</v>
      </c>
      <c r="E669" s="251"/>
      <c r="F669" s="252">
        <f>M669+O669+Q669+S669+U669+W669+Y669</f>
        <v>0</v>
      </c>
      <c r="G669" s="253">
        <f>L669</f>
        <v>24.15</v>
      </c>
      <c r="H669" s="254">
        <f>INT(F669*G669*100+0.5)/100</f>
        <v>0</v>
      </c>
      <c r="I669" s="253">
        <f>N669+P669+R669+T669+V669+X669+Z669</f>
        <v>0</v>
      </c>
      <c r="J669" s="253"/>
      <c r="K669" s="251"/>
      <c r="L669" s="262">
        <v>24.15</v>
      </c>
      <c r="M669" s="258">
        <f>SUM(M667:M668)</f>
        <v>0</v>
      </c>
      <c r="N669" s="257">
        <f>INT($L669*M669*100+0.5)/100</f>
        <v>0</v>
      </c>
      <c r="O669" s="258">
        <f>SUM(O667:O668)</f>
        <v>0</v>
      </c>
      <c r="P669" s="257">
        <f>INT($L669*O669*100+0.5)/100</f>
        <v>0</v>
      </c>
      <c r="Q669" s="258">
        <f>SUM(Q667:Q668)</f>
        <v>0</v>
      </c>
      <c r="R669" s="257">
        <f>INT($L669*Q669*100+0.5)/100</f>
        <v>0</v>
      </c>
      <c r="S669" s="258">
        <f>SUM(S667:S668)</f>
        <v>0</v>
      </c>
      <c r="T669" s="257">
        <f>INT($L669*S669*100+0.5)/100</f>
        <v>0</v>
      </c>
      <c r="U669" s="258">
        <f>SUM(U667:U668)</f>
        <v>0</v>
      </c>
      <c r="V669" s="257">
        <f>INT($L669*U669*100+0.5)/100</f>
        <v>0</v>
      </c>
      <c r="W669" s="258">
        <f>SUM(W667:W668)</f>
        <v>0</v>
      </c>
      <c r="X669" s="257">
        <f>INT($L669*W669*100+0.5)/100</f>
        <v>0</v>
      </c>
      <c r="Y669" s="258">
        <f>SUM(Y667:Y668)</f>
        <v>0</v>
      </c>
      <c r="Z669" s="257">
        <f>INT($L669*Y669*100+0.5)/100</f>
        <v>0</v>
      </c>
    </row>
    <row r="670" spans="1:26" ht="15" customHeight="1">
      <c r="A670" s="250"/>
      <c r="B670" s="251"/>
      <c r="C670" s="526"/>
      <c r="D670" s="292"/>
      <c r="E670" s="251"/>
      <c r="F670" s="252"/>
      <c r="G670" s="253"/>
      <c r="H670" s="254"/>
      <c r="I670" s="253"/>
      <c r="J670" s="253"/>
      <c r="K670" s="251"/>
      <c r="L670" s="262"/>
      <c r="M670" s="258"/>
      <c r="N670" s="257"/>
      <c r="O670" s="258"/>
      <c r="P670" s="257"/>
      <c r="Q670" s="258"/>
      <c r="R670" s="257"/>
      <c r="S670" s="258"/>
      <c r="T670" s="257"/>
      <c r="U670" s="258"/>
      <c r="V670" s="257"/>
      <c r="W670" s="258"/>
      <c r="X670" s="257"/>
      <c r="Y670" s="258"/>
      <c r="Z670" s="257"/>
    </row>
    <row r="671" spans="1:26" s="303" customFormat="1" ht="15" customHeight="1">
      <c r="A671" s="298"/>
      <c r="B671" s="299"/>
      <c r="C671" s="267" t="s">
        <v>1561</v>
      </c>
      <c r="D671" s="333" t="s">
        <v>1562</v>
      </c>
      <c r="E671" s="299"/>
      <c r="F671" s="301"/>
      <c r="G671" s="273"/>
      <c r="H671" s="273"/>
      <c r="I671" s="272">
        <f>N671+P671+R671+T671+V671+X671+Z671</f>
        <v>0</v>
      </c>
      <c r="J671" s="269">
        <f>SUM(N671:Z671)</f>
        <v>0</v>
      </c>
      <c r="K671" s="299"/>
      <c r="L671" s="271"/>
      <c r="M671" s="273"/>
      <c r="N671" s="273">
        <f>SUM(N650:N670)</f>
        <v>0</v>
      </c>
      <c r="O671" s="273"/>
      <c r="P671" s="273">
        <f>SUM(P650:P670)</f>
        <v>0</v>
      </c>
      <c r="Q671" s="273"/>
      <c r="R671" s="273">
        <f>SUM(R650:R670)</f>
        <v>0</v>
      </c>
      <c r="S671" s="273"/>
      <c r="T671" s="273">
        <f>SUM(T650:T670)</f>
        <v>0</v>
      </c>
      <c r="U671" s="273"/>
      <c r="V671" s="273">
        <f>SUM(V650:V670)</f>
        <v>0</v>
      </c>
      <c r="W671" s="273"/>
      <c r="X671" s="273">
        <f>SUM(X650:X670)</f>
        <v>0</v>
      </c>
      <c r="Y671" s="273"/>
      <c r="Z671" s="273">
        <f>SUM(Z650:Z670)</f>
        <v>0</v>
      </c>
    </row>
    <row r="672" spans="1:26" ht="15" customHeight="1">
      <c r="A672" s="250"/>
      <c r="B672" s="251"/>
      <c r="C672" s="453"/>
      <c r="D672" s="330"/>
      <c r="E672" s="251"/>
      <c r="F672" s="252"/>
      <c r="G672" s="253"/>
      <c r="H672" s="254"/>
      <c r="I672" s="253"/>
      <c r="J672" s="253"/>
      <c r="K672" s="251"/>
      <c r="L672" s="261"/>
      <c r="M672" s="258"/>
      <c r="N672" s="494">
        <f>N671/$N$1928</f>
        <v>0</v>
      </c>
      <c r="O672" s="258"/>
      <c r="P672" s="257"/>
      <c r="Q672" s="258"/>
      <c r="R672" s="257"/>
      <c r="S672" s="258"/>
      <c r="T672" s="257"/>
      <c r="U672" s="258"/>
      <c r="V672" s="257"/>
      <c r="W672" s="258"/>
      <c r="X672" s="257"/>
      <c r="Y672" s="258"/>
      <c r="Z672" s="257"/>
    </row>
    <row r="673" spans="1:26" ht="15" customHeight="1">
      <c r="A673" s="250"/>
      <c r="B673" s="251"/>
      <c r="C673" s="453" t="s">
        <v>1570</v>
      </c>
      <c r="D673" s="330" t="s">
        <v>1571</v>
      </c>
      <c r="E673" s="251"/>
      <c r="F673" s="252"/>
      <c r="G673" s="253"/>
      <c r="H673" s="254"/>
      <c r="I673" s="253"/>
      <c r="J673" s="253"/>
      <c r="K673" s="251"/>
      <c r="L673" s="261"/>
      <c r="M673" s="258"/>
      <c r="N673" s="257"/>
      <c r="O673" s="258"/>
      <c r="P673" s="257"/>
      <c r="Q673" s="258"/>
      <c r="R673" s="257"/>
      <c r="S673" s="258"/>
      <c r="T673" s="257"/>
      <c r="U673" s="258"/>
      <c r="V673" s="257"/>
      <c r="W673" s="258"/>
      <c r="X673" s="257"/>
      <c r="Y673" s="258"/>
      <c r="Z673" s="257"/>
    </row>
    <row r="674" spans="1:26" ht="25.5">
      <c r="A674" s="250"/>
      <c r="B674" s="251"/>
      <c r="C674" s="326"/>
      <c r="D674" s="532" t="s">
        <v>398</v>
      </c>
      <c r="E674" s="251"/>
      <c r="F674" s="252"/>
      <c r="G674" s="253"/>
      <c r="H674" s="254"/>
      <c r="I674" s="253"/>
      <c r="J674" s="253"/>
      <c r="K674" s="251"/>
      <c r="L674" s="261"/>
      <c r="M674" s="258"/>
      <c r="N674" s="257"/>
      <c r="O674" s="258"/>
      <c r="P674" s="257"/>
      <c r="Q674" s="258"/>
      <c r="R674" s="257"/>
      <c r="S674" s="258"/>
      <c r="T674" s="257"/>
      <c r="U674" s="258"/>
      <c r="V674" s="257"/>
      <c r="W674" s="258"/>
      <c r="X674" s="257"/>
      <c r="Y674" s="258"/>
      <c r="Z674" s="257"/>
    </row>
    <row r="675" spans="1:26" ht="25.5">
      <c r="A675" s="250"/>
      <c r="B675" s="251"/>
      <c r="C675" s="532"/>
      <c r="D675" s="532" t="s">
        <v>397</v>
      </c>
      <c r="E675" s="251"/>
      <c r="F675" s="252"/>
      <c r="G675" s="253"/>
      <c r="H675" s="254"/>
      <c r="I675" s="253"/>
      <c r="J675" s="253"/>
      <c r="K675" s="251"/>
      <c r="L675" s="261"/>
      <c r="M675" s="258"/>
      <c r="N675" s="257"/>
      <c r="O675" s="258"/>
      <c r="P675" s="257"/>
      <c r="Q675" s="258"/>
      <c r="R675" s="257"/>
      <c r="S675" s="258"/>
      <c r="T675" s="257"/>
      <c r="U675" s="258"/>
      <c r="V675" s="257"/>
      <c r="W675" s="258"/>
      <c r="X675" s="257"/>
      <c r="Y675" s="258"/>
      <c r="Z675" s="257"/>
    </row>
    <row r="676" spans="1:26" ht="15">
      <c r="A676" s="250">
        <f>A665+1</f>
        <v>186</v>
      </c>
      <c r="B676" s="251"/>
      <c r="C676" s="654" t="s">
        <v>718</v>
      </c>
      <c r="D676" s="526" t="s">
        <v>396</v>
      </c>
      <c r="E676" s="251" t="s">
        <v>1898</v>
      </c>
      <c r="F676" s="252">
        <f>M676+O676+Q676+S676+U676+W676+Y676</f>
        <v>0</v>
      </c>
      <c r="G676" s="253">
        <f>L676</f>
        <v>7.93</v>
      </c>
      <c r="H676" s="254">
        <f>INT(F676*G676*100+0.5)/100</f>
        <v>0</v>
      </c>
      <c r="I676" s="253">
        <f>N676+P676+R676+T676+V676+X676+Z676</f>
        <v>0</v>
      </c>
      <c r="J676" s="253"/>
      <c r="K676" s="251" t="s">
        <v>1898</v>
      </c>
      <c r="L676" s="255">
        <v>7.93</v>
      </c>
      <c r="M676" s="258">
        <v>0</v>
      </c>
      <c r="N676" s="257">
        <f>INT($L676*M676*100+0.5)/100</f>
        <v>0</v>
      </c>
      <c r="O676" s="258">
        <v>0</v>
      </c>
      <c r="P676" s="257">
        <f>INT($L676*O676*100+0.5)/100</f>
        <v>0</v>
      </c>
      <c r="Q676" s="258">
        <v>0</v>
      </c>
      <c r="R676" s="257">
        <f>INT($L676*Q676*100+0.5)/100</f>
        <v>0</v>
      </c>
      <c r="S676" s="258">
        <v>0</v>
      </c>
      <c r="T676" s="257">
        <f>INT($L676*S676*100+0.5)/100</f>
        <v>0</v>
      </c>
      <c r="U676" s="258">
        <v>0</v>
      </c>
      <c r="V676" s="257">
        <f>INT($L676*U676*100+0.5)/100</f>
        <v>0</v>
      </c>
      <c r="W676" s="258">
        <v>0</v>
      </c>
      <c r="X676" s="257">
        <f>INT($L676*W676*100+0.5)/100</f>
        <v>0</v>
      </c>
      <c r="Y676" s="258">
        <v>0</v>
      </c>
      <c r="Z676" s="257">
        <f>INT($L676*Y676*100+0.5)/100</f>
        <v>0</v>
      </c>
    </row>
    <row r="677" spans="1:26" ht="15">
      <c r="A677" s="250"/>
      <c r="B677" s="251"/>
      <c r="C677" s="526"/>
      <c r="D677" s="526" t="s">
        <v>395</v>
      </c>
      <c r="E677" s="251"/>
      <c r="F677" s="252"/>
      <c r="G677" s="253"/>
      <c r="H677" s="254"/>
      <c r="I677" s="253"/>
      <c r="J677" s="253"/>
      <c r="K677" s="251"/>
      <c r="L677" s="255"/>
      <c r="M677" s="258"/>
      <c r="N677" s="257"/>
      <c r="O677" s="258"/>
      <c r="P677" s="257"/>
      <c r="Q677" s="258"/>
      <c r="R677" s="257"/>
      <c r="S677" s="258"/>
      <c r="T677" s="257"/>
      <c r="U677" s="258"/>
      <c r="V677" s="257"/>
      <c r="W677" s="258"/>
      <c r="X677" s="257"/>
      <c r="Y677" s="258"/>
      <c r="Z677" s="257"/>
    </row>
    <row r="678" spans="1:26" ht="15" customHeight="1">
      <c r="A678" s="250"/>
      <c r="B678" s="251"/>
      <c r="C678" s="526"/>
      <c r="D678" s="292"/>
      <c r="E678" s="251"/>
      <c r="F678" s="252"/>
      <c r="G678" s="253"/>
      <c r="H678" s="254"/>
      <c r="I678" s="253"/>
      <c r="J678" s="253"/>
      <c r="K678" s="251"/>
      <c r="L678" s="255"/>
      <c r="M678" s="258"/>
      <c r="N678" s="257"/>
      <c r="O678" s="258"/>
      <c r="P678" s="257"/>
      <c r="Q678" s="258"/>
      <c r="R678" s="257"/>
      <c r="S678" s="258"/>
      <c r="T678" s="257"/>
      <c r="U678" s="258"/>
      <c r="V678" s="257"/>
      <c r="W678" s="258"/>
      <c r="X678" s="257"/>
      <c r="Y678" s="258"/>
      <c r="Z678" s="257"/>
    </row>
    <row r="679" spans="1:26" ht="15" customHeight="1">
      <c r="A679" s="250">
        <f>A676+1</f>
        <v>187</v>
      </c>
      <c r="B679" s="251"/>
      <c r="C679" s="654" t="s">
        <v>719</v>
      </c>
      <c r="D679" s="532" t="s">
        <v>1809</v>
      </c>
      <c r="E679" s="251" t="s">
        <v>1898</v>
      </c>
      <c r="F679" s="252">
        <f>M679+O679+Q679+S679+U679+W679+Y679</f>
        <v>0</v>
      </c>
      <c r="G679" s="253">
        <f>L679</f>
        <v>0.35</v>
      </c>
      <c r="H679" s="254">
        <f>INT(F679*G679*100+0.5)/100</f>
        <v>0</v>
      </c>
      <c r="I679" s="253">
        <f>N679+P679+R679+T679+V679+X679+Z679</f>
        <v>0</v>
      </c>
      <c r="J679" s="253"/>
      <c r="K679" s="251" t="s">
        <v>1898</v>
      </c>
      <c r="L679" s="255">
        <v>0.35</v>
      </c>
      <c r="M679" s="258">
        <v>0</v>
      </c>
      <c r="N679" s="257">
        <f>INT($L679*M679*100+0.5)/100</f>
        <v>0</v>
      </c>
      <c r="O679" s="258">
        <v>0</v>
      </c>
      <c r="P679" s="257">
        <f>INT($L679*O679*100+0.5)/100</f>
        <v>0</v>
      </c>
      <c r="Q679" s="258">
        <v>0</v>
      </c>
      <c r="R679" s="257">
        <f>INT($L679*Q679*100+0.5)/100</f>
        <v>0</v>
      </c>
      <c r="S679" s="258">
        <v>0</v>
      </c>
      <c r="T679" s="257">
        <f>INT($L679*S679*100+0.5)/100</f>
        <v>0</v>
      </c>
      <c r="U679" s="258">
        <v>0</v>
      </c>
      <c r="V679" s="257">
        <f>INT($L679*U679*100+0.5)/100</f>
        <v>0</v>
      </c>
      <c r="W679" s="258">
        <v>0</v>
      </c>
      <c r="X679" s="257">
        <f>INT($L679*W679*100+0.5)/100</f>
        <v>0</v>
      </c>
      <c r="Y679" s="258">
        <v>0</v>
      </c>
      <c r="Z679" s="257">
        <f>INT($L679*Y679*100+0.5)/100</f>
        <v>0</v>
      </c>
    </row>
    <row r="680" spans="1:26" ht="15" customHeight="1">
      <c r="A680" s="250"/>
      <c r="B680" s="251"/>
      <c r="C680" s="526"/>
      <c r="D680" s="532" t="s">
        <v>1808</v>
      </c>
      <c r="E680" s="251"/>
      <c r="F680" s="252"/>
      <c r="G680" s="253"/>
      <c r="H680" s="254"/>
      <c r="I680" s="253"/>
      <c r="J680" s="253"/>
      <c r="K680" s="251"/>
      <c r="L680" s="261"/>
      <c r="M680" s="258"/>
      <c r="N680" s="257"/>
      <c r="O680" s="258"/>
      <c r="P680" s="257"/>
      <c r="Q680" s="258"/>
      <c r="R680" s="257"/>
      <c r="S680" s="258"/>
      <c r="T680" s="257"/>
      <c r="U680" s="258"/>
      <c r="V680" s="257"/>
      <c r="W680" s="258"/>
      <c r="X680" s="257"/>
      <c r="Y680" s="258"/>
      <c r="Z680" s="257"/>
    </row>
    <row r="681" spans="1:26" ht="15" customHeight="1">
      <c r="A681" s="250"/>
      <c r="B681" s="251"/>
      <c r="C681" s="526"/>
      <c r="D681" s="292"/>
      <c r="E681" s="251"/>
      <c r="F681" s="252"/>
      <c r="G681" s="253"/>
      <c r="H681" s="254"/>
      <c r="I681" s="253"/>
      <c r="J681" s="253"/>
      <c r="K681" s="251"/>
      <c r="L681" s="261"/>
      <c r="M681" s="258"/>
      <c r="N681" s="257"/>
      <c r="O681" s="258"/>
      <c r="P681" s="257"/>
      <c r="Q681" s="258"/>
      <c r="R681" s="257"/>
      <c r="S681" s="258"/>
      <c r="T681" s="257"/>
      <c r="U681" s="258"/>
      <c r="V681" s="257"/>
      <c r="W681" s="258"/>
      <c r="X681" s="257"/>
      <c r="Y681" s="258"/>
      <c r="Z681" s="257"/>
    </row>
    <row r="682" spans="1:26" ht="25.5">
      <c r="A682" s="250"/>
      <c r="B682" s="251"/>
      <c r="C682" s="307"/>
      <c r="D682" s="532" t="s">
        <v>467</v>
      </c>
      <c r="E682" s="251"/>
      <c r="F682" s="252"/>
      <c r="G682" s="253"/>
      <c r="H682" s="254"/>
      <c r="I682" s="253"/>
      <c r="J682" s="253"/>
      <c r="K682" s="251"/>
      <c r="L682" s="261"/>
      <c r="M682" s="258"/>
      <c r="N682" s="257"/>
      <c r="O682" s="258"/>
      <c r="P682" s="257"/>
      <c r="Q682" s="258"/>
      <c r="R682" s="257"/>
      <c r="S682" s="258"/>
      <c r="T682" s="257"/>
      <c r="U682" s="258"/>
      <c r="V682" s="257"/>
      <c r="W682" s="258"/>
      <c r="X682" s="257"/>
      <c r="Y682" s="258"/>
      <c r="Z682" s="257"/>
    </row>
    <row r="683" spans="1:26" ht="25.5">
      <c r="A683" s="250"/>
      <c r="B683" s="251"/>
      <c r="C683" s="526"/>
      <c r="D683" s="532" t="s">
        <v>399</v>
      </c>
      <c r="E683" s="251"/>
      <c r="F683" s="252"/>
      <c r="G683" s="253"/>
      <c r="H683" s="254"/>
      <c r="I683" s="253"/>
      <c r="J683" s="253"/>
      <c r="K683" s="251"/>
      <c r="L683" s="261"/>
      <c r="M683" s="258"/>
      <c r="N683" s="257"/>
      <c r="O683" s="258"/>
      <c r="P683" s="257"/>
      <c r="Q683" s="258"/>
      <c r="R683" s="257"/>
      <c r="S683" s="258"/>
      <c r="T683" s="257"/>
      <c r="U683" s="258"/>
      <c r="V683" s="257"/>
      <c r="W683" s="258"/>
      <c r="X683" s="257"/>
      <c r="Y683" s="258"/>
      <c r="Z683" s="257"/>
    </row>
    <row r="684" spans="1:26" ht="25.5">
      <c r="A684" s="250">
        <f>A679+1</f>
        <v>188</v>
      </c>
      <c r="B684" s="251"/>
      <c r="C684" s="654" t="s">
        <v>720</v>
      </c>
      <c r="D684" s="532" t="s">
        <v>469</v>
      </c>
      <c r="E684" s="251" t="s">
        <v>1898</v>
      </c>
      <c r="F684" s="252">
        <f>M684+O684+Q684+S684+U684+W684+Y684</f>
        <v>0</v>
      </c>
      <c r="G684" s="253">
        <f>L684</f>
        <v>11.28</v>
      </c>
      <c r="H684" s="254">
        <f>INT(F684*G684*100+0.5)/100</f>
        <v>0</v>
      </c>
      <c r="I684" s="253">
        <f>N684+P684+R684+T684+V684+X684+Z684</f>
        <v>0</v>
      </c>
      <c r="J684" s="253"/>
      <c r="K684" s="251" t="s">
        <v>1898</v>
      </c>
      <c r="L684" s="255">
        <v>11.28</v>
      </c>
      <c r="M684" s="258">
        <v>0</v>
      </c>
      <c r="N684" s="257">
        <f>INT($L684*M684*100+0.5)/100</f>
        <v>0</v>
      </c>
      <c r="O684" s="258">
        <v>0</v>
      </c>
      <c r="P684" s="257">
        <f>INT($L684*O684*100+0.5)/100</f>
        <v>0</v>
      </c>
      <c r="Q684" s="258">
        <v>0</v>
      </c>
      <c r="R684" s="257">
        <f>INT($L684*Q684*100+0.5)/100</f>
        <v>0</v>
      </c>
      <c r="S684" s="258">
        <v>0</v>
      </c>
      <c r="T684" s="257">
        <f>INT($L684*S684*100+0.5)/100</f>
        <v>0</v>
      </c>
      <c r="U684" s="258">
        <v>0</v>
      </c>
      <c r="V684" s="257">
        <f>INT($L684*U684*100+0.5)/100</f>
        <v>0</v>
      </c>
      <c r="W684" s="258">
        <v>0</v>
      </c>
      <c r="X684" s="257">
        <f>INT($L684*W684*100+0.5)/100</f>
        <v>0</v>
      </c>
      <c r="Y684" s="258">
        <v>0</v>
      </c>
      <c r="Z684" s="257">
        <f>INT($L684*Y684*100+0.5)/100</f>
        <v>0</v>
      </c>
    </row>
    <row r="685" spans="1:26" ht="25.5">
      <c r="A685" s="250"/>
      <c r="B685" s="251"/>
      <c r="C685" s="647"/>
      <c r="D685" s="532" t="s">
        <v>468</v>
      </c>
      <c r="E685" s="251"/>
      <c r="F685" s="252"/>
      <c r="G685" s="253"/>
      <c r="H685" s="254"/>
      <c r="I685" s="253"/>
      <c r="J685" s="253"/>
      <c r="K685" s="251"/>
      <c r="L685" s="255"/>
      <c r="M685" s="258"/>
      <c r="N685" s="257"/>
      <c r="O685" s="258"/>
      <c r="P685" s="257"/>
      <c r="Q685" s="258"/>
      <c r="R685" s="257"/>
      <c r="S685" s="258"/>
      <c r="T685" s="257"/>
      <c r="U685" s="258"/>
      <c r="V685" s="257"/>
      <c r="W685" s="258"/>
      <c r="X685" s="257"/>
      <c r="Y685" s="258"/>
      <c r="Z685" s="257"/>
    </row>
    <row r="686" spans="1:26" ht="15">
      <c r="A686" s="250"/>
      <c r="B686" s="251"/>
      <c r="C686" s="647"/>
      <c r="D686" s="292"/>
      <c r="E686" s="251"/>
      <c r="F686" s="252"/>
      <c r="G686" s="253"/>
      <c r="H686" s="254"/>
      <c r="I686" s="253"/>
      <c r="J686" s="253"/>
      <c r="K686" s="251"/>
      <c r="L686" s="255"/>
      <c r="M686" s="258"/>
      <c r="N686" s="257"/>
      <c r="O686" s="258"/>
      <c r="P686" s="257"/>
      <c r="Q686" s="258"/>
      <c r="R686" s="257"/>
      <c r="S686" s="258"/>
      <c r="T686" s="257"/>
      <c r="U686" s="258"/>
      <c r="V686" s="257"/>
      <c r="W686" s="258"/>
      <c r="X686" s="257"/>
      <c r="Y686" s="258"/>
      <c r="Z686" s="257"/>
    </row>
    <row r="687" spans="1:26" ht="15" customHeight="1">
      <c r="A687" s="250">
        <f>A684+1</f>
        <v>189</v>
      </c>
      <c r="B687" s="251"/>
      <c r="C687" s="654" t="s">
        <v>721</v>
      </c>
      <c r="D687" s="532" t="s">
        <v>273</v>
      </c>
      <c r="E687" s="251" t="s">
        <v>1898</v>
      </c>
      <c r="F687" s="252">
        <f>M687+O687+Q687+S687+U687+W687+Y687</f>
        <v>0</v>
      </c>
      <c r="G687" s="253">
        <f>L687</f>
        <v>0.43</v>
      </c>
      <c r="H687" s="254">
        <f>INT(F687*G687*100+0.5)/100</f>
        <v>0</v>
      </c>
      <c r="I687" s="253">
        <f>N687+P687+R687+T687+V687+X687+Z687</f>
        <v>0</v>
      </c>
      <c r="J687" s="253"/>
      <c r="K687" s="251" t="s">
        <v>1898</v>
      </c>
      <c r="L687" s="255">
        <v>0.43</v>
      </c>
      <c r="M687" s="258">
        <v>0</v>
      </c>
      <c r="N687" s="257">
        <f>INT($L687*M687*100+0.5)/100</f>
        <v>0</v>
      </c>
      <c r="O687" s="258">
        <v>0</v>
      </c>
      <c r="P687" s="257">
        <f>INT($L687*O687*100+0.5)/100</f>
        <v>0</v>
      </c>
      <c r="Q687" s="258">
        <v>0</v>
      </c>
      <c r="R687" s="257">
        <f>INT($L687*Q687*100+0.5)/100</f>
        <v>0</v>
      </c>
      <c r="S687" s="258">
        <v>0</v>
      </c>
      <c r="T687" s="257">
        <f>INT($L687*S687*100+0.5)/100</f>
        <v>0</v>
      </c>
      <c r="U687" s="258">
        <v>0</v>
      </c>
      <c r="V687" s="257">
        <f>INT($L687*U687*100+0.5)/100</f>
        <v>0</v>
      </c>
      <c r="W687" s="258">
        <v>0</v>
      </c>
      <c r="X687" s="257">
        <f>INT($L687*W687*100+0.5)/100</f>
        <v>0</v>
      </c>
      <c r="Y687" s="258">
        <v>0</v>
      </c>
      <c r="Z687" s="257">
        <f>INT($L687*Y687*100+0.5)/100</f>
        <v>0</v>
      </c>
    </row>
    <row r="688" spans="1:26" ht="15" customHeight="1">
      <c r="A688" s="250"/>
      <c r="B688" s="251"/>
      <c r="C688" s="647"/>
      <c r="D688" s="532" t="s">
        <v>272</v>
      </c>
      <c r="E688" s="251"/>
      <c r="F688" s="252"/>
      <c r="G688" s="253"/>
      <c r="H688" s="254"/>
      <c r="I688" s="253"/>
      <c r="J688" s="253"/>
      <c r="K688" s="251"/>
      <c r="L688" s="261"/>
      <c r="M688" s="258"/>
      <c r="N688" s="257"/>
      <c r="O688" s="258"/>
      <c r="P688" s="257"/>
      <c r="Q688" s="258"/>
      <c r="R688" s="257"/>
      <c r="S688" s="258"/>
      <c r="T688" s="257"/>
      <c r="U688" s="258"/>
      <c r="V688" s="257"/>
      <c r="W688" s="258"/>
      <c r="X688" s="257"/>
      <c r="Y688" s="258"/>
      <c r="Z688" s="257"/>
    </row>
    <row r="689" spans="1:26" ht="15" customHeight="1">
      <c r="A689" s="250"/>
      <c r="B689" s="251"/>
      <c r="C689" s="526"/>
      <c r="D689" s="292"/>
      <c r="E689" s="251"/>
      <c r="F689" s="252"/>
      <c r="G689" s="253"/>
      <c r="H689" s="254"/>
      <c r="I689" s="253"/>
      <c r="J689" s="253"/>
      <c r="K689" s="251"/>
      <c r="L689" s="261"/>
      <c r="M689" s="258"/>
      <c r="N689" s="257"/>
      <c r="O689" s="258"/>
      <c r="P689" s="257"/>
      <c r="Q689" s="258"/>
      <c r="R689" s="257"/>
      <c r="S689" s="258"/>
      <c r="T689" s="257"/>
      <c r="U689" s="258"/>
      <c r="V689" s="257"/>
      <c r="W689" s="258"/>
      <c r="X689" s="257"/>
      <c r="Y689" s="258"/>
      <c r="Z689" s="257"/>
    </row>
    <row r="690" spans="1:26" ht="15" customHeight="1">
      <c r="A690" s="250">
        <f>A687+1</f>
        <v>190</v>
      </c>
      <c r="B690" s="251"/>
      <c r="C690" s="654" t="s">
        <v>722</v>
      </c>
      <c r="D690" s="532" t="s">
        <v>1813</v>
      </c>
      <c r="E690" s="251" t="s">
        <v>1898</v>
      </c>
      <c r="F690" s="252">
        <f>M690+O690+Q690+S690+U690+W690+Y690</f>
        <v>0</v>
      </c>
      <c r="G690" s="253">
        <f>L690</f>
        <v>1.49</v>
      </c>
      <c r="H690" s="254">
        <f>INT(F690*G690*100+0.5)/100</f>
        <v>0</v>
      </c>
      <c r="I690" s="253">
        <f>N690+P690+R690+T690+V690+X690+Z690</f>
        <v>0</v>
      </c>
      <c r="J690" s="253"/>
      <c r="K690" s="251" t="s">
        <v>1898</v>
      </c>
      <c r="L690" s="255">
        <v>1.49</v>
      </c>
      <c r="M690" s="258">
        <v>0</v>
      </c>
      <c r="N690" s="257">
        <f>INT($L690*M690*100+0.5)/100</f>
        <v>0</v>
      </c>
      <c r="O690" s="258">
        <v>0</v>
      </c>
      <c r="P690" s="257">
        <f>INT($L690*O690*100+0.5)/100</f>
        <v>0</v>
      </c>
      <c r="Q690" s="258">
        <v>0</v>
      </c>
      <c r="R690" s="257">
        <f>INT($L690*Q690*100+0.5)/100</f>
        <v>0</v>
      </c>
      <c r="S690" s="258">
        <v>0</v>
      </c>
      <c r="T690" s="257">
        <f>INT($L690*S690*100+0.5)/100</f>
        <v>0</v>
      </c>
      <c r="U690" s="258">
        <v>0</v>
      </c>
      <c r="V690" s="257">
        <f>INT($L690*U690*100+0.5)/100</f>
        <v>0</v>
      </c>
      <c r="W690" s="258">
        <v>0</v>
      </c>
      <c r="X690" s="257">
        <f>INT($L690*W690*100+0.5)/100</f>
        <v>0</v>
      </c>
      <c r="Y690" s="258">
        <v>0</v>
      </c>
      <c r="Z690" s="257">
        <f>INT($L690*Y690*100+0.5)/100</f>
        <v>0</v>
      </c>
    </row>
    <row r="691" spans="1:26" ht="15" customHeight="1">
      <c r="A691" s="250"/>
      <c r="B691" s="251"/>
      <c r="C691" s="526"/>
      <c r="D691" s="532" t="s">
        <v>1812</v>
      </c>
      <c r="E691" s="251"/>
      <c r="F691" s="252"/>
      <c r="G691" s="253"/>
      <c r="H691" s="254"/>
      <c r="I691" s="253"/>
      <c r="J691" s="253"/>
      <c r="K691" s="251"/>
      <c r="L691" s="261"/>
      <c r="M691" s="258"/>
      <c r="N691" s="257"/>
      <c r="O691" s="258"/>
      <c r="P691" s="257"/>
      <c r="Q691" s="258"/>
      <c r="R691" s="257"/>
      <c r="S691" s="258"/>
      <c r="T691" s="257"/>
      <c r="U691" s="258"/>
      <c r="V691" s="257"/>
      <c r="W691" s="258"/>
      <c r="X691" s="257"/>
      <c r="Y691" s="258"/>
      <c r="Z691" s="257"/>
    </row>
    <row r="692" spans="1:26" ht="15" customHeight="1">
      <c r="A692" s="250"/>
      <c r="B692" s="251"/>
      <c r="C692" s="526"/>
      <c r="D692" s="292"/>
      <c r="E692" s="251"/>
      <c r="F692" s="252"/>
      <c r="G692" s="253"/>
      <c r="H692" s="254"/>
      <c r="I692" s="253"/>
      <c r="J692" s="253"/>
      <c r="K692" s="251"/>
      <c r="L692" s="261"/>
      <c r="M692" s="258"/>
      <c r="N692" s="257"/>
      <c r="O692" s="258"/>
      <c r="P692" s="257"/>
      <c r="Q692" s="258"/>
      <c r="R692" s="257"/>
      <c r="S692" s="258"/>
      <c r="T692" s="257"/>
      <c r="U692" s="258"/>
      <c r="V692" s="257"/>
      <c r="W692" s="258"/>
      <c r="X692" s="257"/>
      <c r="Y692" s="258"/>
      <c r="Z692" s="257"/>
    </row>
    <row r="693" spans="1:26" ht="15" customHeight="1">
      <c r="A693" s="250">
        <f>A690+1</f>
        <v>191</v>
      </c>
      <c r="B693" s="251"/>
      <c r="C693" s="661" t="s">
        <v>909</v>
      </c>
      <c r="D693" s="526" t="s">
        <v>1375</v>
      </c>
      <c r="E693" s="251" t="s">
        <v>2475</v>
      </c>
      <c r="F693" s="252"/>
      <c r="G693" s="253"/>
      <c r="H693" s="254"/>
      <c r="I693" s="253"/>
      <c r="J693" s="253"/>
      <c r="K693" s="251" t="s">
        <v>2475</v>
      </c>
      <c r="L693" s="261"/>
      <c r="M693" s="258"/>
      <c r="N693" s="257"/>
      <c r="O693" s="258"/>
      <c r="P693" s="257"/>
      <c r="Q693" s="258"/>
      <c r="R693" s="257"/>
      <c r="S693" s="258"/>
      <c r="T693" s="257"/>
      <c r="U693" s="258"/>
      <c r="V693" s="257"/>
      <c r="W693" s="258"/>
      <c r="X693" s="257"/>
      <c r="Y693" s="258"/>
      <c r="Z693" s="257"/>
    </row>
    <row r="694" spans="1:26" ht="15" customHeight="1">
      <c r="A694" s="250"/>
      <c r="B694" s="251"/>
      <c r="C694" s="540"/>
      <c r="D694" s="526" t="s">
        <v>917</v>
      </c>
      <c r="E694" s="251"/>
      <c r="F694" s="252"/>
      <c r="G694" s="253"/>
      <c r="H694" s="254"/>
      <c r="I694" s="253"/>
      <c r="J694" s="253"/>
      <c r="K694" s="251"/>
      <c r="L694" s="261"/>
      <c r="M694" s="258"/>
      <c r="N694" s="257"/>
      <c r="O694" s="258"/>
      <c r="P694" s="257"/>
      <c r="Q694" s="258"/>
      <c r="R694" s="257"/>
      <c r="S694" s="258"/>
      <c r="T694" s="257"/>
      <c r="U694" s="258"/>
      <c r="V694" s="257"/>
      <c r="W694" s="258"/>
      <c r="X694" s="257"/>
      <c r="Y694" s="258"/>
      <c r="Z694" s="257"/>
    </row>
    <row r="695" spans="1:26" ht="15" customHeight="1">
      <c r="A695" s="250" t="s">
        <v>726</v>
      </c>
      <c r="B695" s="251"/>
      <c r="C695" s="661" t="s">
        <v>723</v>
      </c>
      <c r="D695" s="292" t="s">
        <v>910</v>
      </c>
      <c r="E695" s="251"/>
      <c r="F695" s="252">
        <f>M695+O695+Q695+S695+U695+W695+Y695</f>
        <v>0</v>
      </c>
      <c r="G695" s="253">
        <f>L695</f>
        <v>97.02</v>
      </c>
      <c r="H695" s="254">
        <f>F695*G695</f>
        <v>0</v>
      </c>
      <c r="I695" s="253">
        <f>N695+P695+R695+T695+V695+X695+Z695</f>
        <v>0</v>
      </c>
      <c r="J695" s="253"/>
      <c r="K695" s="251"/>
      <c r="L695" s="255">
        <v>97.02</v>
      </c>
      <c r="M695" s="258">
        <v>0</v>
      </c>
      <c r="N695" s="257">
        <f>INT($L695*M695*100+0.5)/100</f>
        <v>0</v>
      </c>
      <c r="O695" s="258">
        <v>0</v>
      </c>
      <c r="P695" s="257">
        <f>INT($L695*O695*100+0.5)/100</f>
        <v>0</v>
      </c>
      <c r="Q695" s="258">
        <v>0</v>
      </c>
      <c r="R695" s="257">
        <f>INT($L695*Q695*100+0.5)/100</f>
        <v>0</v>
      </c>
      <c r="S695" s="258">
        <v>0</v>
      </c>
      <c r="T695" s="257">
        <f>INT($L695*S695*100+0.5)/100</f>
        <v>0</v>
      </c>
      <c r="U695" s="258">
        <v>0</v>
      </c>
      <c r="V695" s="257">
        <f>INT($L695*U695*100+0.5)/100</f>
        <v>0</v>
      </c>
      <c r="W695" s="258">
        <v>0</v>
      </c>
      <c r="X695" s="257">
        <f>INT($L695*W695*100+0.5)/100</f>
        <v>0</v>
      </c>
      <c r="Y695" s="258">
        <v>0</v>
      </c>
      <c r="Z695" s="257">
        <f>INT($L695*Y695*100+0.5)/100</f>
        <v>0</v>
      </c>
    </row>
    <row r="696" spans="1:26" ht="15" customHeight="1">
      <c r="A696" s="250" t="s">
        <v>727</v>
      </c>
      <c r="B696" s="251"/>
      <c r="C696" s="661" t="s">
        <v>724</v>
      </c>
      <c r="D696" s="292" t="s">
        <v>911</v>
      </c>
      <c r="E696" s="251"/>
      <c r="F696" s="252">
        <f>M696+O696+Q696+S696+U696+W696+Y696</f>
        <v>0</v>
      </c>
      <c r="G696" s="253">
        <f>L696</f>
        <v>135.68</v>
      </c>
      <c r="H696" s="254">
        <f>F696*G696</f>
        <v>0</v>
      </c>
      <c r="I696" s="253">
        <f>N696+P696+R696+T696+V696+X696+Z696</f>
        <v>0</v>
      </c>
      <c r="J696" s="253"/>
      <c r="K696" s="251"/>
      <c r="L696" s="255">
        <v>135.68</v>
      </c>
      <c r="M696" s="258">
        <v>0</v>
      </c>
      <c r="N696" s="257">
        <f>INT($L696*M696*100+0.5)/100</f>
        <v>0</v>
      </c>
      <c r="O696" s="258">
        <v>0</v>
      </c>
      <c r="P696" s="257">
        <f>INT($L696*O696*100+0.5)/100</f>
        <v>0</v>
      </c>
      <c r="Q696" s="258">
        <v>0</v>
      </c>
      <c r="R696" s="257">
        <f>INT($L696*Q696*100+0.5)/100</f>
        <v>0</v>
      </c>
      <c r="S696" s="258">
        <v>0</v>
      </c>
      <c r="T696" s="257">
        <f>INT($L696*S696*100+0.5)/100</f>
        <v>0</v>
      </c>
      <c r="U696" s="258">
        <v>0</v>
      </c>
      <c r="V696" s="257">
        <f>INT($L696*U696*100+0.5)/100</f>
        <v>0</v>
      </c>
      <c r="W696" s="258">
        <v>0</v>
      </c>
      <c r="X696" s="257">
        <f>INT($L696*W696*100+0.5)/100</f>
        <v>0</v>
      </c>
      <c r="Y696" s="258">
        <v>0</v>
      </c>
      <c r="Z696" s="257">
        <f>INT($L696*Y696*100+0.5)/100</f>
        <v>0</v>
      </c>
    </row>
    <row r="697" spans="1:26" ht="15" customHeight="1">
      <c r="A697" s="250" t="s">
        <v>728</v>
      </c>
      <c r="B697" s="251"/>
      <c r="C697" s="661" t="s">
        <v>725</v>
      </c>
      <c r="D697" s="292" t="s">
        <v>912</v>
      </c>
      <c r="E697" s="251"/>
      <c r="F697" s="252">
        <f>M697+O697+Q697+S697+U697+W697+Y697</f>
        <v>0</v>
      </c>
      <c r="G697" s="253">
        <f>L697</f>
        <v>175</v>
      </c>
      <c r="H697" s="254">
        <f>F697*G697</f>
        <v>0</v>
      </c>
      <c r="I697" s="253">
        <f>N697+P697+R697+T697+V697+X697+Z697</f>
        <v>0</v>
      </c>
      <c r="J697" s="253"/>
      <c r="K697" s="251"/>
      <c r="L697" s="255">
        <v>175</v>
      </c>
      <c r="M697" s="258">
        <v>0</v>
      </c>
      <c r="N697" s="257">
        <f>INT($L697*M697*100+0.5)/100</f>
        <v>0</v>
      </c>
      <c r="O697" s="258">
        <v>0</v>
      </c>
      <c r="P697" s="257">
        <f>INT($L697*O697*100+0.5)/100</f>
        <v>0</v>
      </c>
      <c r="Q697" s="258">
        <v>0</v>
      </c>
      <c r="R697" s="257">
        <f>INT($L697*Q697*100+0.5)/100</f>
        <v>0</v>
      </c>
      <c r="S697" s="258">
        <v>0</v>
      </c>
      <c r="T697" s="257">
        <f>INT($L697*S697*100+0.5)/100</f>
        <v>0</v>
      </c>
      <c r="U697" s="258">
        <v>0</v>
      </c>
      <c r="V697" s="257">
        <f>INT($L697*U697*100+0.5)/100</f>
        <v>0</v>
      </c>
      <c r="W697" s="258">
        <v>0</v>
      </c>
      <c r="X697" s="257">
        <f>INT($L697*W697*100+0.5)/100</f>
        <v>0</v>
      </c>
      <c r="Y697" s="258">
        <v>0</v>
      </c>
      <c r="Z697" s="257">
        <f>INT($L697*Y697*100+0.5)/100</f>
        <v>0</v>
      </c>
    </row>
    <row r="698" spans="1:26" ht="15" customHeight="1">
      <c r="A698" s="250"/>
      <c r="B698" s="251"/>
      <c r="C698" s="540"/>
      <c r="D698" s="292"/>
      <c r="E698" s="251"/>
      <c r="F698" s="252"/>
      <c r="G698" s="253"/>
      <c r="H698" s="254"/>
      <c r="I698" s="253"/>
      <c r="J698" s="253"/>
      <c r="K698" s="251"/>
      <c r="L698" s="261"/>
      <c r="M698" s="258"/>
      <c r="N698" s="257"/>
      <c r="O698" s="258"/>
      <c r="P698" s="257"/>
      <c r="Q698" s="258"/>
      <c r="R698" s="257"/>
      <c r="S698" s="258"/>
      <c r="T698" s="257"/>
      <c r="U698" s="258"/>
      <c r="V698" s="257"/>
      <c r="W698" s="258"/>
      <c r="X698" s="257"/>
      <c r="Y698" s="258"/>
      <c r="Z698" s="257"/>
    </row>
    <row r="699" spans="1:26" ht="15" customHeight="1">
      <c r="A699" s="250">
        <f>A693+1</f>
        <v>192</v>
      </c>
      <c r="B699" s="251"/>
      <c r="C699" s="661" t="s">
        <v>1417</v>
      </c>
      <c r="D699" s="526" t="s">
        <v>1374</v>
      </c>
      <c r="E699" s="251" t="s">
        <v>2475</v>
      </c>
      <c r="F699" s="252"/>
      <c r="G699" s="253"/>
      <c r="H699" s="254"/>
      <c r="I699" s="253"/>
      <c r="J699" s="253"/>
      <c r="K699" s="251" t="s">
        <v>2475</v>
      </c>
      <c r="L699" s="261"/>
      <c r="M699" s="258"/>
      <c r="N699" s="257"/>
      <c r="O699" s="258"/>
      <c r="P699" s="257"/>
      <c r="Q699" s="258"/>
      <c r="R699" s="257"/>
      <c r="S699" s="258"/>
      <c r="T699" s="257"/>
      <c r="U699" s="258"/>
      <c r="V699" s="257"/>
      <c r="W699" s="258"/>
      <c r="X699" s="257"/>
      <c r="Y699" s="258"/>
      <c r="Z699" s="257"/>
    </row>
    <row r="700" spans="1:26" ht="15" customHeight="1">
      <c r="A700" s="250"/>
      <c r="B700" s="251"/>
      <c r="C700" s="661"/>
      <c r="D700" s="526" t="s">
        <v>918</v>
      </c>
      <c r="E700" s="251"/>
      <c r="F700" s="252"/>
      <c r="G700" s="253"/>
      <c r="H700" s="254"/>
      <c r="I700" s="253"/>
      <c r="J700" s="253"/>
      <c r="K700" s="251"/>
      <c r="L700" s="261"/>
      <c r="M700" s="258"/>
      <c r="N700" s="257"/>
      <c r="O700" s="258"/>
      <c r="P700" s="257"/>
      <c r="Q700" s="258"/>
      <c r="R700" s="257"/>
      <c r="S700" s="258"/>
      <c r="T700" s="257"/>
      <c r="U700" s="258"/>
      <c r="V700" s="257"/>
      <c r="W700" s="258"/>
      <c r="X700" s="257"/>
      <c r="Y700" s="258"/>
      <c r="Z700" s="257"/>
    </row>
    <row r="701" spans="1:26" ht="15" customHeight="1">
      <c r="A701" s="250" t="s">
        <v>726</v>
      </c>
      <c r="B701" s="251"/>
      <c r="C701" s="661" t="s">
        <v>729</v>
      </c>
      <c r="D701" s="292" t="s">
        <v>910</v>
      </c>
      <c r="E701" s="251"/>
      <c r="F701" s="252">
        <f>M701+O701+Q701+S701+U701+W701+Y701</f>
        <v>0</v>
      </c>
      <c r="G701" s="253">
        <f>L701</f>
        <v>20.98</v>
      </c>
      <c r="H701" s="254">
        <f>F701*G701</f>
        <v>0</v>
      </c>
      <c r="I701" s="253">
        <f>N701+P701+R701+T701+V701+X701+Z701</f>
        <v>0</v>
      </c>
      <c r="J701" s="253"/>
      <c r="K701" s="251"/>
      <c r="L701" s="255">
        <v>20.98</v>
      </c>
      <c r="M701" s="258">
        <v>0</v>
      </c>
      <c r="N701" s="257">
        <f>INT($L701*M701*100+0.5)/100</f>
        <v>0</v>
      </c>
      <c r="O701" s="258">
        <v>0</v>
      </c>
      <c r="P701" s="257">
        <f>INT($L701*O701*100+0.5)/100</f>
        <v>0</v>
      </c>
      <c r="Q701" s="258">
        <v>0</v>
      </c>
      <c r="R701" s="257">
        <f>INT($L701*Q701*100+0.5)/100</f>
        <v>0</v>
      </c>
      <c r="S701" s="258">
        <v>0</v>
      </c>
      <c r="T701" s="257">
        <f>INT($L701*S701*100+0.5)/100</f>
        <v>0</v>
      </c>
      <c r="U701" s="258">
        <v>0</v>
      </c>
      <c r="V701" s="257">
        <f>INT($L701*U701*100+0.5)/100</f>
        <v>0</v>
      </c>
      <c r="W701" s="258">
        <v>0</v>
      </c>
      <c r="X701" s="257">
        <f>INT($L701*W701*100+0.5)/100</f>
        <v>0</v>
      </c>
      <c r="Y701" s="258">
        <v>0</v>
      </c>
      <c r="Z701" s="257">
        <f>INT($L701*Y701*100+0.5)/100</f>
        <v>0</v>
      </c>
    </row>
    <row r="702" spans="1:26" ht="15" customHeight="1">
      <c r="A702" s="250" t="s">
        <v>727</v>
      </c>
      <c r="B702" s="251"/>
      <c r="C702" s="661" t="s">
        <v>730</v>
      </c>
      <c r="D702" s="292" t="s">
        <v>911</v>
      </c>
      <c r="E702" s="251"/>
      <c r="F702" s="252">
        <f>M702+O702+Q702+S702+U702+W702+Y702</f>
        <v>0</v>
      </c>
      <c r="G702" s="253">
        <f>L702</f>
        <v>48.57</v>
      </c>
      <c r="H702" s="254">
        <f>F702*G702</f>
        <v>0</v>
      </c>
      <c r="I702" s="253">
        <f>N702+P702+R702+T702+V702+X702+Z702</f>
        <v>0</v>
      </c>
      <c r="J702" s="253"/>
      <c r="K702" s="251"/>
      <c r="L702" s="255">
        <v>48.57</v>
      </c>
      <c r="M702" s="258">
        <v>0</v>
      </c>
      <c r="N702" s="257">
        <f>INT($L702*M702*100+0.5)/100</f>
        <v>0</v>
      </c>
      <c r="O702" s="258">
        <v>0</v>
      </c>
      <c r="P702" s="257">
        <f>INT($L702*O702*100+0.5)/100</f>
        <v>0</v>
      </c>
      <c r="Q702" s="258">
        <v>0</v>
      </c>
      <c r="R702" s="257">
        <f>INT($L702*Q702*100+0.5)/100</f>
        <v>0</v>
      </c>
      <c r="S702" s="258">
        <v>0</v>
      </c>
      <c r="T702" s="257">
        <f>INT($L702*S702*100+0.5)/100</f>
        <v>0</v>
      </c>
      <c r="U702" s="258">
        <v>0</v>
      </c>
      <c r="V702" s="257">
        <f>INT($L702*U702*100+0.5)/100</f>
        <v>0</v>
      </c>
      <c r="W702" s="258">
        <v>0</v>
      </c>
      <c r="X702" s="257">
        <f>INT($L702*W702*100+0.5)/100</f>
        <v>0</v>
      </c>
      <c r="Y702" s="258">
        <v>0</v>
      </c>
      <c r="Z702" s="257">
        <f>INT($L702*Y702*100+0.5)/100</f>
        <v>0</v>
      </c>
    </row>
    <row r="703" spans="1:26" ht="15" customHeight="1">
      <c r="A703" s="250" t="s">
        <v>728</v>
      </c>
      <c r="B703" s="251"/>
      <c r="C703" s="661" t="s">
        <v>731</v>
      </c>
      <c r="D703" s="292" t="s">
        <v>912</v>
      </c>
      <c r="E703" s="251"/>
      <c r="F703" s="252">
        <f>M703+O703+Q703+S703+U703+W703+Y703</f>
        <v>0</v>
      </c>
      <c r="G703" s="253">
        <f>L703</f>
        <v>60.17</v>
      </c>
      <c r="H703" s="254">
        <f>F703*G703</f>
        <v>0</v>
      </c>
      <c r="I703" s="253">
        <f>N703+P703+R703+T703+V703+X703+Z703</f>
        <v>0</v>
      </c>
      <c r="J703" s="253"/>
      <c r="K703" s="251"/>
      <c r="L703" s="255">
        <v>60.17</v>
      </c>
      <c r="M703" s="258">
        <v>0</v>
      </c>
      <c r="N703" s="257">
        <f>INT($L703*M703*100+0.5)/100</f>
        <v>0</v>
      </c>
      <c r="O703" s="258">
        <v>0</v>
      </c>
      <c r="P703" s="257">
        <f>INT($L703*O703*100+0.5)/100</f>
        <v>0</v>
      </c>
      <c r="Q703" s="258">
        <v>0</v>
      </c>
      <c r="R703" s="257">
        <f>INT($L703*Q703*100+0.5)/100</f>
        <v>0</v>
      </c>
      <c r="S703" s="258">
        <v>0</v>
      </c>
      <c r="T703" s="257">
        <f>INT($L703*S703*100+0.5)/100</f>
        <v>0</v>
      </c>
      <c r="U703" s="258">
        <v>0</v>
      </c>
      <c r="V703" s="257">
        <f>INT($L703*U703*100+0.5)/100</f>
        <v>0</v>
      </c>
      <c r="W703" s="258">
        <v>0</v>
      </c>
      <c r="X703" s="257">
        <f>INT($L703*W703*100+0.5)/100</f>
        <v>0</v>
      </c>
      <c r="Y703" s="258">
        <v>0</v>
      </c>
      <c r="Z703" s="257">
        <f>INT($L703*Y703*100+0.5)/100</f>
        <v>0</v>
      </c>
    </row>
    <row r="704" spans="1:26" ht="15" customHeight="1">
      <c r="A704" s="250"/>
      <c r="B704" s="251"/>
      <c r="C704" s="540"/>
      <c r="D704" s="292"/>
      <c r="E704" s="251"/>
      <c r="F704" s="252"/>
      <c r="G704" s="253"/>
      <c r="H704" s="254"/>
      <c r="I704" s="253"/>
      <c r="J704" s="253"/>
      <c r="K704" s="251"/>
      <c r="L704" s="255"/>
      <c r="M704" s="258"/>
      <c r="N704" s="257"/>
      <c r="O704" s="258"/>
      <c r="P704" s="257"/>
      <c r="Q704" s="258"/>
      <c r="R704" s="257"/>
      <c r="S704" s="258"/>
      <c r="T704" s="257"/>
      <c r="U704" s="258"/>
      <c r="V704" s="257"/>
      <c r="W704" s="258"/>
      <c r="X704" s="257"/>
      <c r="Y704" s="258"/>
      <c r="Z704" s="257"/>
    </row>
    <row r="705" spans="1:26" s="303" customFormat="1" ht="15" customHeight="1">
      <c r="A705" s="298"/>
      <c r="B705" s="299"/>
      <c r="C705" s="267" t="s">
        <v>1570</v>
      </c>
      <c r="D705" s="333" t="s">
        <v>1571</v>
      </c>
      <c r="E705" s="299"/>
      <c r="F705" s="301"/>
      <c r="G705" s="273"/>
      <c r="H705" s="273"/>
      <c r="I705" s="272">
        <f>N705+P705+R705+T705+V705+X705+Z705</f>
        <v>0</v>
      </c>
      <c r="J705" s="269">
        <f>SUM(N705:Z705)</f>
        <v>0</v>
      </c>
      <c r="K705" s="299"/>
      <c r="L705" s="271"/>
      <c r="M705" s="273"/>
      <c r="N705" s="273">
        <f>SUM(N674:N704)</f>
        <v>0</v>
      </c>
      <c r="O705" s="273"/>
      <c r="P705" s="273">
        <f>SUM(P674:P704)</f>
        <v>0</v>
      </c>
      <c r="Q705" s="273"/>
      <c r="R705" s="273">
        <f>SUM(R674:R704)</f>
        <v>0</v>
      </c>
      <c r="S705" s="273"/>
      <c r="T705" s="273">
        <f>SUM(T674:T704)</f>
        <v>0</v>
      </c>
      <c r="U705" s="273"/>
      <c r="V705" s="273">
        <f>SUM(V674:V704)</f>
        <v>0</v>
      </c>
      <c r="W705" s="273"/>
      <c r="X705" s="273">
        <f>SUM(X674:X704)</f>
        <v>0</v>
      </c>
      <c r="Y705" s="273"/>
      <c r="Z705" s="273">
        <f>SUM(Z674:Z704)</f>
        <v>0</v>
      </c>
    </row>
    <row r="706" spans="1:26" ht="15" customHeight="1">
      <c r="A706" s="250"/>
      <c r="B706" s="251"/>
      <c r="C706" s="453"/>
      <c r="D706" s="330"/>
      <c r="E706" s="251"/>
      <c r="F706" s="252"/>
      <c r="G706" s="253"/>
      <c r="H706" s="254"/>
      <c r="I706" s="253"/>
      <c r="J706" s="253"/>
      <c r="K706" s="251"/>
      <c r="L706" s="261"/>
      <c r="M706" s="258"/>
      <c r="N706" s="494">
        <f>N705/$N$1928</f>
        <v>0</v>
      </c>
      <c r="O706" s="258"/>
      <c r="P706" s="257"/>
      <c r="Q706" s="258"/>
      <c r="R706" s="257"/>
      <c r="S706" s="258"/>
      <c r="T706" s="257"/>
      <c r="U706" s="258"/>
      <c r="V706" s="257"/>
      <c r="W706" s="258"/>
      <c r="X706" s="257"/>
      <c r="Y706" s="258"/>
      <c r="Z706" s="257"/>
    </row>
    <row r="707" spans="1:26" s="247" customFormat="1" ht="25.5">
      <c r="A707" s="250"/>
      <c r="B707" s="251"/>
      <c r="C707" s="453" t="s">
        <v>1098</v>
      </c>
      <c r="D707" s="330" t="s">
        <v>503</v>
      </c>
      <c r="E707" s="251"/>
      <c r="F707" s="252"/>
      <c r="G707" s="253"/>
      <c r="H707" s="254"/>
      <c r="I707" s="253"/>
      <c r="J707" s="253"/>
      <c r="K707" s="251"/>
      <c r="L707" s="261"/>
      <c r="M707" s="258"/>
      <c r="N707" s="257"/>
      <c r="O707" s="258"/>
      <c r="P707" s="257"/>
      <c r="Q707" s="258"/>
      <c r="R707" s="257"/>
      <c r="S707" s="258"/>
      <c r="T707" s="257"/>
      <c r="U707" s="258"/>
      <c r="V707" s="257"/>
      <c r="W707" s="258"/>
      <c r="X707" s="257"/>
      <c r="Y707" s="258"/>
      <c r="Z707" s="257"/>
    </row>
    <row r="708" spans="1:26" s="247" customFormat="1" ht="15" customHeight="1">
      <c r="A708" s="443"/>
      <c r="B708" s="444"/>
      <c r="C708" s="445" t="s">
        <v>1076</v>
      </c>
      <c r="D708" s="525"/>
      <c r="E708" s="444" t="s">
        <v>1901</v>
      </c>
      <c r="F708" s="446">
        <f>M708+O708+Q708+S708+U708+W708+Y708</f>
        <v>0</v>
      </c>
      <c r="G708" s="447">
        <f>L708</f>
        <v>200</v>
      </c>
      <c r="H708" s="448">
        <f>INT(F708*G708*100+0.5)/100</f>
        <v>0</v>
      </c>
      <c r="I708" s="447">
        <f>N708+P708+R708+T708+V708+X708+Z708</f>
        <v>0</v>
      </c>
      <c r="J708" s="447"/>
      <c r="K708" s="444" t="s">
        <v>1901</v>
      </c>
      <c r="L708" s="449">
        <v>200</v>
      </c>
      <c r="M708" s="289"/>
      <c r="N708" s="245"/>
      <c r="O708" s="450">
        <v>0</v>
      </c>
      <c r="P708" s="451">
        <f>INT($L708*O708*100+0.5)/100</f>
        <v>0</v>
      </c>
      <c r="Q708" s="289"/>
      <c r="R708" s="245"/>
      <c r="S708" s="289"/>
      <c r="T708" s="245"/>
      <c r="U708" s="289"/>
      <c r="V708" s="245"/>
      <c r="W708" s="289"/>
      <c r="X708" s="245"/>
      <c r="Y708" s="289"/>
      <c r="Z708" s="245"/>
    </row>
    <row r="709" spans="1:26" s="247" customFormat="1" ht="15" customHeight="1">
      <c r="A709" s="443"/>
      <c r="B709" s="444"/>
      <c r="C709" s="542"/>
      <c r="D709" s="445" t="s">
        <v>1077</v>
      </c>
      <c r="E709" s="444"/>
      <c r="F709" s="446"/>
      <c r="G709" s="447"/>
      <c r="H709" s="448"/>
      <c r="I709" s="447"/>
      <c r="J709" s="447"/>
      <c r="K709" s="444"/>
      <c r="L709" s="452"/>
      <c r="M709" s="289"/>
      <c r="N709" s="245"/>
      <c r="O709" s="450"/>
      <c r="P709" s="451"/>
      <c r="Q709" s="289"/>
      <c r="R709" s="245"/>
      <c r="S709" s="289"/>
      <c r="T709" s="245"/>
      <c r="U709" s="289"/>
      <c r="V709" s="245"/>
      <c r="W709" s="289"/>
      <c r="X709" s="245"/>
      <c r="Y709" s="289"/>
      <c r="Z709" s="245"/>
    </row>
    <row r="710" spans="1:26" s="247" customFormat="1" ht="15" customHeight="1">
      <c r="A710" s="250"/>
      <c r="B710" s="251"/>
      <c r="C710" s="453"/>
      <c r="D710" s="330"/>
      <c r="E710" s="251"/>
      <c r="F710" s="252"/>
      <c r="G710" s="253"/>
      <c r="H710" s="254"/>
      <c r="I710" s="253"/>
      <c r="J710" s="253"/>
      <c r="K710" s="251"/>
      <c r="L710" s="261"/>
      <c r="M710" s="289"/>
      <c r="N710" s="245"/>
      <c r="O710" s="258"/>
      <c r="P710" s="257"/>
      <c r="Q710" s="289"/>
      <c r="R710" s="245"/>
      <c r="S710" s="289"/>
      <c r="T710" s="245"/>
      <c r="U710" s="289"/>
      <c r="V710" s="245"/>
      <c r="W710" s="289"/>
      <c r="X710" s="245"/>
      <c r="Y710" s="289"/>
      <c r="Z710" s="245"/>
    </row>
    <row r="711" spans="1:26" s="247" customFormat="1" ht="15" customHeight="1">
      <c r="A711" s="443"/>
      <c r="B711" s="444"/>
      <c r="C711" s="445" t="s">
        <v>1078</v>
      </c>
      <c r="D711" s="543" t="s">
        <v>1088</v>
      </c>
      <c r="E711" s="444" t="s">
        <v>1620</v>
      </c>
      <c r="F711" s="446">
        <f t="shared" ref="F711:F720" si="15">M711+O711+Q711+S711+U711+W711+Y711</f>
        <v>0</v>
      </c>
      <c r="G711" s="447">
        <f t="shared" ref="G711:G720" si="16">L711</f>
        <v>0.1</v>
      </c>
      <c r="H711" s="448">
        <f t="shared" ref="H711:H720" si="17">F711*G711</f>
        <v>0</v>
      </c>
      <c r="I711" s="447">
        <f t="shared" ref="I711:I720" si="18">N711+P711+R711+T711+V711+X711+Z711</f>
        <v>0</v>
      </c>
      <c r="J711" s="447"/>
      <c r="K711" s="444" t="s">
        <v>1620</v>
      </c>
      <c r="L711" s="449">
        <v>0.1</v>
      </c>
      <c r="M711" s="289"/>
      <c r="N711" s="245"/>
      <c r="O711" s="450">
        <v>0</v>
      </c>
      <c r="P711" s="451">
        <f t="shared" ref="P711:P720" si="19">INT($L711*O711*100+0.5)/100</f>
        <v>0</v>
      </c>
      <c r="Q711" s="289"/>
      <c r="R711" s="245"/>
      <c r="S711" s="289"/>
      <c r="T711" s="245"/>
      <c r="U711" s="289"/>
      <c r="V711" s="245"/>
      <c r="W711" s="289"/>
      <c r="X711" s="245"/>
      <c r="Y711" s="289"/>
      <c r="Z711" s="245"/>
    </row>
    <row r="712" spans="1:26" s="247" customFormat="1" ht="15" customHeight="1">
      <c r="A712" s="443"/>
      <c r="B712" s="444"/>
      <c r="C712" s="445" t="s">
        <v>1079</v>
      </c>
      <c r="D712" s="543" t="s">
        <v>1089</v>
      </c>
      <c r="E712" s="444" t="s">
        <v>1620</v>
      </c>
      <c r="F712" s="446">
        <f t="shared" si="15"/>
        <v>0</v>
      </c>
      <c r="G712" s="447">
        <f t="shared" si="16"/>
        <v>0.1</v>
      </c>
      <c r="H712" s="448">
        <f t="shared" si="17"/>
        <v>0</v>
      </c>
      <c r="I712" s="447">
        <f t="shared" si="18"/>
        <v>0</v>
      </c>
      <c r="J712" s="447"/>
      <c r="K712" s="444" t="s">
        <v>1620</v>
      </c>
      <c r="L712" s="449">
        <v>0.1</v>
      </c>
      <c r="M712" s="289"/>
      <c r="N712" s="245"/>
      <c r="O712" s="450">
        <v>0</v>
      </c>
      <c r="P712" s="451">
        <f t="shared" si="19"/>
        <v>0</v>
      </c>
      <c r="Q712" s="289"/>
      <c r="R712" s="245"/>
      <c r="S712" s="289"/>
      <c r="T712" s="245"/>
      <c r="U712" s="289"/>
      <c r="V712" s="245"/>
      <c r="W712" s="289"/>
      <c r="X712" s="245"/>
      <c r="Y712" s="289"/>
      <c r="Z712" s="245"/>
    </row>
    <row r="713" spans="1:26" s="247" customFormat="1" ht="15" customHeight="1">
      <c r="A713" s="443"/>
      <c r="B713" s="444"/>
      <c r="C713" s="445" t="s">
        <v>1080</v>
      </c>
      <c r="D713" s="543" t="s">
        <v>1090</v>
      </c>
      <c r="E713" s="444" t="s">
        <v>1620</v>
      </c>
      <c r="F713" s="446">
        <f t="shared" si="15"/>
        <v>0</v>
      </c>
      <c r="G713" s="447">
        <f t="shared" si="16"/>
        <v>0.12</v>
      </c>
      <c r="H713" s="448">
        <f t="shared" si="17"/>
        <v>0</v>
      </c>
      <c r="I713" s="447">
        <f t="shared" si="18"/>
        <v>0</v>
      </c>
      <c r="J713" s="447"/>
      <c r="K713" s="444" t="s">
        <v>1620</v>
      </c>
      <c r="L713" s="449">
        <v>0.12</v>
      </c>
      <c r="M713" s="289"/>
      <c r="N713" s="245"/>
      <c r="O713" s="450">
        <v>0</v>
      </c>
      <c r="P713" s="451">
        <f t="shared" si="19"/>
        <v>0</v>
      </c>
      <c r="Q713" s="289"/>
      <c r="R713" s="245"/>
      <c r="S713" s="289"/>
      <c r="T713" s="245"/>
      <c r="U713" s="289"/>
      <c r="V713" s="245"/>
      <c r="W713" s="289"/>
      <c r="X713" s="245"/>
      <c r="Y713" s="289"/>
      <c r="Z713" s="245"/>
    </row>
    <row r="714" spans="1:26" s="247" customFormat="1" ht="15" customHeight="1">
      <c r="A714" s="443"/>
      <c r="B714" s="444"/>
      <c r="C714" s="445" t="s">
        <v>1081</v>
      </c>
      <c r="D714" s="543" t="s">
        <v>1091</v>
      </c>
      <c r="E714" s="444" t="s">
        <v>1620</v>
      </c>
      <c r="F714" s="446">
        <f t="shared" si="15"/>
        <v>0</v>
      </c>
      <c r="G714" s="447">
        <f t="shared" si="16"/>
        <v>0.15</v>
      </c>
      <c r="H714" s="448">
        <f t="shared" si="17"/>
        <v>0</v>
      </c>
      <c r="I714" s="447">
        <f t="shared" si="18"/>
        <v>0</v>
      </c>
      <c r="J714" s="447"/>
      <c r="K714" s="444" t="s">
        <v>1620</v>
      </c>
      <c r="L714" s="449">
        <v>0.15</v>
      </c>
      <c r="M714" s="289"/>
      <c r="N714" s="245"/>
      <c r="O714" s="450">
        <v>0</v>
      </c>
      <c r="P714" s="451">
        <f t="shared" si="19"/>
        <v>0</v>
      </c>
      <c r="Q714" s="289"/>
      <c r="R714" s="245"/>
      <c r="S714" s="289"/>
      <c r="T714" s="245"/>
      <c r="U714" s="289"/>
      <c r="V714" s="245"/>
      <c r="W714" s="289"/>
      <c r="X714" s="245"/>
      <c r="Y714" s="289"/>
      <c r="Z714" s="245"/>
    </row>
    <row r="715" spans="1:26" s="247" customFormat="1" ht="15" customHeight="1">
      <c r="A715" s="443"/>
      <c r="B715" s="444"/>
      <c r="C715" s="445" t="s">
        <v>1082</v>
      </c>
      <c r="D715" s="543" t="s">
        <v>1092</v>
      </c>
      <c r="E715" s="444" t="s">
        <v>1620</v>
      </c>
      <c r="F715" s="446">
        <f t="shared" si="15"/>
        <v>0</v>
      </c>
      <c r="G715" s="447">
        <f t="shared" si="16"/>
        <v>0.2</v>
      </c>
      <c r="H715" s="448">
        <f t="shared" si="17"/>
        <v>0</v>
      </c>
      <c r="I715" s="447">
        <f t="shared" si="18"/>
        <v>0</v>
      </c>
      <c r="J715" s="447"/>
      <c r="K715" s="444" t="s">
        <v>1620</v>
      </c>
      <c r="L715" s="449">
        <v>0.2</v>
      </c>
      <c r="M715" s="289"/>
      <c r="N715" s="245"/>
      <c r="O715" s="450">
        <v>0</v>
      </c>
      <c r="P715" s="451">
        <f t="shared" si="19"/>
        <v>0</v>
      </c>
      <c r="Q715" s="289"/>
      <c r="R715" s="245"/>
      <c r="S715" s="289"/>
      <c r="T715" s="245"/>
      <c r="U715" s="289"/>
      <c r="V715" s="245"/>
      <c r="W715" s="289"/>
      <c r="X715" s="245"/>
      <c r="Y715" s="289"/>
      <c r="Z715" s="245"/>
    </row>
    <row r="716" spans="1:26" s="247" customFormat="1" ht="15" customHeight="1">
      <c r="A716" s="443"/>
      <c r="B716" s="444"/>
      <c r="C716" s="445" t="s">
        <v>1083</v>
      </c>
      <c r="D716" s="543" t="s">
        <v>1093</v>
      </c>
      <c r="E716" s="444" t="s">
        <v>1620</v>
      </c>
      <c r="F716" s="446">
        <f t="shared" si="15"/>
        <v>0</v>
      </c>
      <c r="G716" s="447">
        <f t="shared" si="16"/>
        <v>0.22</v>
      </c>
      <c r="H716" s="448">
        <f t="shared" si="17"/>
        <v>0</v>
      </c>
      <c r="I716" s="447">
        <f t="shared" si="18"/>
        <v>0</v>
      </c>
      <c r="J716" s="447"/>
      <c r="K716" s="444" t="s">
        <v>1620</v>
      </c>
      <c r="L716" s="449">
        <v>0.22</v>
      </c>
      <c r="M716" s="289"/>
      <c r="N716" s="245"/>
      <c r="O716" s="450">
        <v>0</v>
      </c>
      <c r="P716" s="451">
        <f t="shared" si="19"/>
        <v>0</v>
      </c>
      <c r="Q716" s="289"/>
      <c r="R716" s="245"/>
      <c r="S716" s="289"/>
      <c r="T716" s="245"/>
      <c r="U716" s="289"/>
      <c r="V716" s="245"/>
      <c r="W716" s="289"/>
      <c r="X716" s="245"/>
      <c r="Y716" s="289"/>
      <c r="Z716" s="245"/>
    </row>
    <row r="717" spans="1:26" s="247" customFormat="1" ht="15" customHeight="1">
      <c r="A717" s="443"/>
      <c r="B717" s="444"/>
      <c r="C717" s="445" t="s">
        <v>1084</v>
      </c>
      <c r="D717" s="543" t="s">
        <v>1094</v>
      </c>
      <c r="E717" s="444" t="s">
        <v>1620</v>
      </c>
      <c r="F717" s="446">
        <f t="shared" si="15"/>
        <v>0</v>
      </c>
      <c r="G717" s="447">
        <f t="shared" si="16"/>
        <v>0.25</v>
      </c>
      <c r="H717" s="448">
        <f t="shared" si="17"/>
        <v>0</v>
      </c>
      <c r="I717" s="447">
        <f t="shared" si="18"/>
        <v>0</v>
      </c>
      <c r="J717" s="447"/>
      <c r="K717" s="444" t="s">
        <v>1620</v>
      </c>
      <c r="L717" s="449">
        <v>0.25</v>
      </c>
      <c r="M717" s="289"/>
      <c r="N717" s="245"/>
      <c r="O717" s="450">
        <v>0</v>
      </c>
      <c r="P717" s="451">
        <f t="shared" si="19"/>
        <v>0</v>
      </c>
      <c r="Q717" s="289"/>
      <c r="R717" s="245"/>
      <c r="S717" s="289"/>
      <c r="T717" s="245"/>
      <c r="U717" s="289"/>
      <c r="V717" s="245"/>
      <c r="W717" s="289"/>
      <c r="X717" s="245"/>
      <c r="Y717" s="289"/>
      <c r="Z717" s="245"/>
    </row>
    <row r="718" spans="1:26" s="247" customFormat="1" ht="15" customHeight="1">
      <c r="A718" s="443"/>
      <c r="B718" s="444"/>
      <c r="C718" s="445" t="s">
        <v>1085</v>
      </c>
      <c r="D718" s="543" t="s">
        <v>1095</v>
      </c>
      <c r="E718" s="444" t="s">
        <v>1620</v>
      </c>
      <c r="F718" s="446">
        <f t="shared" si="15"/>
        <v>0</v>
      </c>
      <c r="G718" s="447">
        <f t="shared" si="16"/>
        <v>0.4</v>
      </c>
      <c r="H718" s="448">
        <f t="shared" si="17"/>
        <v>0</v>
      </c>
      <c r="I718" s="447">
        <f t="shared" si="18"/>
        <v>0</v>
      </c>
      <c r="J718" s="447"/>
      <c r="K718" s="444" t="s">
        <v>1620</v>
      </c>
      <c r="L718" s="449">
        <v>0.4</v>
      </c>
      <c r="M718" s="289"/>
      <c r="N718" s="245"/>
      <c r="O718" s="450">
        <v>0</v>
      </c>
      <c r="P718" s="451">
        <f t="shared" si="19"/>
        <v>0</v>
      </c>
      <c r="Q718" s="289"/>
      <c r="R718" s="245"/>
      <c r="S718" s="289"/>
      <c r="T718" s="245"/>
      <c r="U718" s="289"/>
      <c r="V718" s="245"/>
      <c r="W718" s="289"/>
      <c r="X718" s="245"/>
      <c r="Y718" s="289"/>
      <c r="Z718" s="245"/>
    </row>
    <row r="719" spans="1:26" s="247" customFormat="1" ht="15" customHeight="1">
      <c r="A719" s="443"/>
      <c r="B719" s="444"/>
      <c r="C719" s="445" t="s">
        <v>1086</v>
      </c>
      <c r="D719" s="543" t="s">
        <v>1096</v>
      </c>
      <c r="E719" s="444" t="s">
        <v>1620</v>
      </c>
      <c r="F719" s="446">
        <f t="shared" si="15"/>
        <v>0</v>
      </c>
      <c r="G719" s="447">
        <f t="shared" si="16"/>
        <v>0.7</v>
      </c>
      <c r="H719" s="448">
        <f t="shared" si="17"/>
        <v>0</v>
      </c>
      <c r="I719" s="447">
        <f t="shared" si="18"/>
        <v>0</v>
      </c>
      <c r="J719" s="447"/>
      <c r="K719" s="444" t="s">
        <v>1620</v>
      </c>
      <c r="L719" s="449">
        <v>0.7</v>
      </c>
      <c r="M719" s="289"/>
      <c r="N719" s="245"/>
      <c r="O719" s="450">
        <v>0</v>
      </c>
      <c r="P719" s="451">
        <f t="shared" si="19"/>
        <v>0</v>
      </c>
      <c r="Q719" s="289"/>
      <c r="R719" s="245"/>
      <c r="S719" s="289"/>
      <c r="T719" s="245"/>
      <c r="U719" s="289"/>
      <c r="V719" s="245"/>
      <c r="W719" s="289"/>
      <c r="X719" s="245"/>
      <c r="Y719" s="289"/>
      <c r="Z719" s="245"/>
    </row>
    <row r="720" spans="1:26" s="247" customFormat="1" ht="15" customHeight="1">
      <c r="A720" s="443"/>
      <c r="B720" s="444"/>
      <c r="C720" s="445" t="s">
        <v>1087</v>
      </c>
      <c r="D720" s="543" t="s">
        <v>1097</v>
      </c>
      <c r="E720" s="444" t="s">
        <v>1620</v>
      </c>
      <c r="F720" s="446">
        <f t="shared" si="15"/>
        <v>0</v>
      </c>
      <c r="G720" s="447">
        <f t="shared" si="16"/>
        <v>1</v>
      </c>
      <c r="H720" s="448">
        <f t="shared" si="17"/>
        <v>0</v>
      </c>
      <c r="I720" s="447">
        <f t="shared" si="18"/>
        <v>0</v>
      </c>
      <c r="J720" s="447"/>
      <c r="K720" s="444" t="s">
        <v>1620</v>
      </c>
      <c r="L720" s="449">
        <v>1</v>
      </c>
      <c r="M720" s="289"/>
      <c r="N720" s="245"/>
      <c r="O720" s="450">
        <v>0</v>
      </c>
      <c r="P720" s="451">
        <f t="shared" si="19"/>
        <v>0</v>
      </c>
      <c r="Q720" s="289"/>
      <c r="R720" s="245"/>
      <c r="S720" s="289"/>
      <c r="T720" s="245"/>
      <c r="U720" s="289"/>
      <c r="V720" s="245"/>
      <c r="W720" s="289"/>
      <c r="X720" s="245"/>
      <c r="Y720" s="289"/>
      <c r="Z720" s="245"/>
    </row>
    <row r="721" spans="1:26" s="247" customFormat="1" ht="15" customHeight="1">
      <c r="A721" s="250"/>
      <c r="B721" s="251"/>
      <c r="C721" s="453"/>
      <c r="D721" s="330"/>
      <c r="E721" s="251"/>
      <c r="F721" s="252"/>
      <c r="G721" s="253"/>
      <c r="H721" s="254"/>
      <c r="I721" s="253"/>
      <c r="J721" s="253"/>
      <c r="K721" s="251"/>
      <c r="L721" s="261"/>
      <c r="M721" s="289"/>
      <c r="N721" s="245"/>
      <c r="O721" s="258"/>
      <c r="P721" s="257"/>
      <c r="Q721" s="289"/>
      <c r="R721" s="245"/>
      <c r="S721" s="289"/>
      <c r="T721" s="245"/>
      <c r="U721" s="289"/>
      <c r="V721" s="245"/>
      <c r="W721" s="289"/>
      <c r="X721" s="245"/>
      <c r="Y721" s="289"/>
      <c r="Z721" s="245"/>
    </row>
    <row r="722" spans="1:26" s="247" customFormat="1" ht="15" customHeight="1">
      <c r="A722" s="250"/>
      <c r="B722" s="251"/>
      <c r="C722" s="453"/>
      <c r="D722" s="330" t="s">
        <v>988</v>
      </c>
      <c r="E722" s="251"/>
      <c r="F722" s="252"/>
      <c r="G722" s="253"/>
      <c r="H722" s="254"/>
      <c r="I722" s="253"/>
      <c r="J722" s="253"/>
      <c r="K722" s="251"/>
      <c r="L722" s="261"/>
      <c r="M722" s="258"/>
      <c r="N722" s="257"/>
      <c r="O722" s="258"/>
      <c r="P722" s="257"/>
      <c r="Q722" s="289"/>
      <c r="R722" s="245"/>
      <c r="S722" s="289"/>
      <c r="T722" s="245"/>
      <c r="U722" s="289"/>
      <c r="V722" s="245"/>
      <c r="W722" s="289"/>
      <c r="X722" s="245"/>
      <c r="Y722" s="289"/>
      <c r="Z722" s="245"/>
    </row>
    <row r="723" spans="1:26" s="454" customFormat="1" ht="15">
      <c r="A723" s="443"/>
      <c r="B723" s="444"/>
      <c r="C723" s="445" t="s">
        <v>1099</v>
      </c>
      <c r="D723" s="543" t="s">
        <v>1100</v>
      </c>
      <c r="E723" s="444" t="s">
        <v>2475</v>
      </c>
      <c r="F723" s="446">
        <f t="shared" ref="F723:F735" si="20">M723+O723+Q723+S723+U723+W723+Y723</f>
        <v>0</v>
      </c>
      <c r="G723" s="447">
        <f t="shared" ref="G723:G735" si="21">L723</f>
        <v>21</v>
      </c>
      <c r="H723" s="442">
        <f t="shared" ref="H723:H735" si="22">F723*G723</f>
        <v>0</v>
      </c>
      <c r="I723" s="447">
        <f t="shared" ref="I723:I735" si="23">N723+P723+R723+T723+V723+X723+Z723</f>
        <v>0</v>
      </c>
      <c r="J723" s="544"/>
      <c r="K723" s="444" t="s">
        <v>2475</v>
      </c>
      <c r="L723" s="449">
        <v>21</v>
      </c>
      <c r="M723" s="289"/>
      <c r="N723" s="245"/>
      <c r="O723" s="450">
        <v>0</v>
      </c>
      <c r="P723" s="451">
        <f t="shared" ref="P723:P735" si="24">INT($L723*O723*100+0.5)/100</f>
        <v>0</v>
      </c>
      <c r="Q723" s="289"/>
      <c r="R723" s="245"/>
      <c r="S723" s="289"/>
      <c r="T723" s="245"/>
      <c r="U723" s="289"/>
      <c r="V723" s="245"/>
      <c r="W723" s="289"/>
      <c r="X723" s="245"/>
      <c r="Y723" s="289"/>
      <c r="Z723" s="245"/>
    </row>
    <row r="724" spans="1:26" s="454" customFormat="1" ht="15">
      <c r="A724" s="443"/>
      <c r="B724" s="444"/>
      <c r="C724" s="445" t="s">
        <v>1101</v>
      </c>
      <c r="D724" s="543" t="s">
        <v>1102</v>
      </c>
      <c r="E724" s="444" t="s">
        <v>2475</v>
      </c>
      <c r="F724" s="446">
        <f t="shared" si="20"/>
        <v>0</v>
      </c>
      <c r="G724" s="447">
        <f t="shared" si="21"/>
        <v>22.5</v>
      </c>
      <c r="H724" s="442">
        <f t="shared" si="22"/>
        <v>0</v>
      </c>
      <c r="I724" s="447">
        <f t="shared" si="23"/>
        <v>0</v>
      </c>
      <c r="J724" s="544"/>
      <c r="K724" s="444" t="s">
        <v>2475</v>
      </c>
      <c r="L724" s="449">
        <v>22.5</v>
      </c>
      <c r="M724" s="289"/>
      <c r="N724" s="245"/>
      <c r="O724" s="450">
        <v>0</v>
      </c>
      <c r="P724" s="451">
        <f t="shared" si="24"/>
        <v>0</v>
      </c>
      <c r="Q724" s="289"/>
      <c r="R724" s="245"/>
      <c r="S724" s="289"/>
      <c r="T724" s="245"/>
      <c r="U724" s="289"/>
      <c r="V724" s="245"/>
      <c r="W724" s="289"/>
      <c r="X724" s="245"/>
      <c r="Y724" s="289"/>
      <c r="Z724" s="245"/>
    </row>
    <row r="725" spans="1:26" s="454" customFormat="1" ht="15">
      <c r="A725" s="443"/>
      <c r="B725" s="444"/>
      <c r="C725" s="445" t="s">
        <v>1103</v>
      </c>
      <c r="D725" s="543" t="s">
        <v>1104</v>
      </c>
      <c r="E725" s="444" t="s">
        <v>2475</v>
      </c>
      <c r="F725" s="446">
        <f t="shared" si="20"/>
        <v>0</v>
      </c>
      <c r="G725" s="447">
        <f t="shared" si="21"/>
        <v>27</v>
      </c>
      <c r="H725" s="442">
        <f t="shared" si="22"/>
        <v>0</v>
      </c>
      <c r="I725" s="447">
        <f t="shared" si="23"/>
        <v>0</v>
      </c>
      <c r="J725" s="544"/>
      <c r="K725" s="444" t="s">
        <v>2475</v>
      </c>
      <c r="L725" s="449">
        <v>27</v>
      </c>
      <c r="M725" s="289"/>
      <c r="N725" s="245"/>
      <c r="O725" s="450">
        <v>0</v>
      </c>
      <c r="P725" s="451">
        <f t="shared" si="24"/>
        <v>0</v>
      </c>
      <c r="Q725" s="289"/>
      <c r="R725" s="245"/>
      <c r="S725" s="289"/>
      <c r="T725" s="245"/>
      <c r="U725" s="289"/>
      <c r="V725" s="245"/>
      <c r="W725" s="289"/>
      <c r="X725" s="245"/>
      <c r="Y725" s="289"/>
      <c r="Z725" s="245"/>
    </row>
    <row r="726" spans="1:26" s="436" customFormat="1" ht="15">
      <c r="A726" s="443"/>
      <c r="B726" s="444"/>
      <c r="C726" s="445" t="s">
        <v>1105</v>
      </c>
      <c r="D726" s="543" t="s">
        <v>1106</v>
      </c>
      <c r="E726" s="444" t="s">
        <v>2475</v>
      </c>
      <c r="F726" s="446">
        <f t="shared" si="20"/>
        <v>0</v>
      </c>
      <c r="G726" s="447">
        <f t="shared" si="21"/>
        <v>28</v>
      </c>
      <c r="H726" s="442">
        <f t="shared" si="22"/>
        <v>0</v>
      </c>
      <c r="I726" s="447">
        <f t="shared" si="23"/>
        <v>0</v>
      </c>
      <c r="J726" s="544"/>
      <c r="K726" s="444" t="s">
        <v>2475</v>
      </c>
      <c r="L726" s="449">
        <v>28</v>
      </c>
      <c r="M726" s="289"/>
      <c r="N726" s="245"/>
      <c r="O726" s="450">
        <v>0</v>
      </c>
      <c r="P726" s="451">
        <f t="shared" si="24"/>
        <v>0</v>
      </c>
      <c r="Q726" s="289"/>
      <c r="R726" s="245"/>
      <c r="S726" s="289"/>
      <c r="T726" s="245"/>
      <c r="U726" s="289"/>
      <c r="V726" s="245"/>
      <c r="W726" s="289"/>
      <c r="X726" s="245"/>
      <c r="Y726" s="289"/>
      <c r="Z726" s="245"/>
    </row>
    <row r="727" spans="1:26" s="436" customFormat="1" ht="15">
      <c r="A727" s="443"/>
      <c r="B727" s="444"/>
      <c r="C727" s="445" t="s">
        <v>1107</v>
      </c>
      <c r="D727" s="543" t="s">
        <v>1108</v>
      </c>
      <c r="E727" s="444" t="s">
        <v>2475</v>
      </c>
      <c r="F727" s="446">
        <f t="shared" si="20"/>
        <v>0</v>
      </c>
      <c r="G727" s="447">
        <f t="shared" si="21"/>
        <v>30</v>
      </c>
      <c r="H727" s="442">
        <f t="shared" si="22"/>
        <v>0</v>
      </c>
      <c r="I727" s="447">
        <f t="shared" si="23"/>
        <v>0</v>
      </c>
      <c r="J727" s="544"/>
      <c r="K727" s="444" t="s">
        <v>2475</v>
      </c>
      <c r="L727" s="449">
        <v>30</v>
      </c>
      <c r="M727" s="289"/>
      <c r="N727" s="245"/>
      <c r="O727" s="450">
        <v>0</v>
      </c>
      <c r="P727" s="451">
        <f t="shared" si="24"/>
        <v>0</v>
      </c>
      <c r="Q727" s="289"/>
      <c r="R727" s="245"/>
      <c r="S727" s="289"/>
      <c r="T727" s="245"/>
      <c r="U727" s="289"/>
      <c r="V727" s="245"/>
      <c r="W727" s="289"/>
      <c r="X727" s="245"/>
      <c r="Y727" s="289"/>
      <c r="Z727" s="245"/>
    </row>
    <row r="728" spans="1:26" s="436" customFormat="1" ht="15">
      <c r="A728" s="443"/>
      <c r="B728" s="444"/>
      <c r="C728" s="445" t="s">
        <v>1109</v>
      </c>
      <c r="D728" s="543" t="s">
        <v>1110</v>
      </c>
      <c r="E728" s="444" t="s">
        <v>2475</v>
      </c>
      <c r="F728" s="446">
        <f t="shared" si="20"/>
        <v>0</v>
      </c>
      <c r="G728" s="447">
        <f t="shared" si="21"/>
        <v>33.5</v>
      </c>
      <c r="H728" s="442">
        <f t="shared" si="22"/>
        <v>0</v>
      </c>
      <c r="I728" s="447">
        <f t="shared" si="23"/>
        <v>0</v>
      </c>
      <c r="J728" s="544"/>
      <c r="K728" s="444" t="s">
        <v>2475</v>
      </c>
      <c r="L728" s="449">
        <v>33.5</v>
      </c>
      <c r="M728" s="289"/>
      <c r="N728" s="245"/>
      <c r="O728" s="450">
        <v>0</v>
      </c>
      <c r="P728" s="451">
        <f t="shared" si="24"/>
        <v>0</v>
      </c>
      <c r="Q728" s="289"/>
      <c r="R728" s="245"/>
      <c r="S728" s="289"/>
      <c r="T728" s="245"/>
      <c r="U728" s="289"/>
      <c r="V728" s="245"/>
      <c r="W728" s="289"/>
      <c r="X728" s="245"/>
      <c r="Y728" s="289"/>
      <c r="Z728" s="245"/>
    </row>
    <row r="729" spans="1:26" s="436" customFormat="1" ht="15">
      <c r="A729" s="443"/>
      <c r="B729" s="444"/>
      <c r="C729" s="445" t="s">
        <v>1111</v>
      </c>
      <c r="D729" s="543" t="s">
        <v>1112</v>
      </c>
      <c r="E729" s="444" t="s">
        <v>2475</v>
      </c>
      <c r="F729" s="446">
        <f t="shared" si="20"/>
        <v>0</v>
      </c>
      <c r="G729" s="447">
        <f t="shared" si="21"/>
        <v>42</v>
      </c>
      <c r="H729" s="442">
        <f t="shared" si="22"/>
        <v>0</v>
      </c>
      <c r="I729" s="447">
        <f t="shared" si="23"/>
        <v>0</v>
      </c>
      <c r="J729" s="544"/>
      <c r="K729" s="444" t="s">
        <v>2475</v>
      </c>
      <c r="L729" s="449">
        <v>42</v>
      </c>
      <c r="M729" s="289"/>
      <c r="N729" s="245"/>
      <c r="O729" s="450">
        <v>0</v>
      </c>
      <c r="P729" s="451">
        <f t="shared" si="24"/>
        <v>0</v>
      </c>
      <c r="Q729" s="289"/>
      <c r="R729" s="245"/>
      <c r="S729" s="289"/>
      <c r="T729" s="245"/>
      <c r="U729" s="289"/>
      <c r="V729" s="245"/>
      <c r="W729" s="289"/>
      <c r="X729" s="245"/>
      <c r="Y729" s="289"/>
      <c r="Z729" s="245"/>
    </row>
    <row r="730" spans="1:26" s="436" customFormat="1" ht="15">
      <c r="A730" s="443"/>
      <c r="B730" s="444"/>
      <c r="C730" s="445" t="s">
        <v>1113</v>
      </c>
      <c r="D730" s="543" t="s">
        <v>1114</v>
      </c>
      <c r="E730" s="444" t="s">
        <v>2475</v>
      </c>
      <c r="F730" s="446">
        <f t="shared" si="20"/>
        <v>0</v>
      </c>
      <c r="G730" s="447">
        <f t="shared" si="21"/>
        <v>54</v>
      </c>
      <c r="H730" s="442">
        <f t="shared" si="22"/>
        <v>0</v>
      </c>
      <c r="I730" s="447">
        <f t="shared" si="23"/>
        <v>0</v>
      </c>
      <c r="J730" s="544"/>
      <c r="K730" s="444" t="s">
        <v>2475</v>
      </c>
      <c r="L730" s="449">
        <v>54</v>
      </c>
      <c r="M730" s="289"/>
      <c r="N730" s="245"/>
      <c r="O730" s="450">
        <v>0</v>
      </c>
      <c r="P730" s="451">
        <f t="shared" si="24"/>
        <v>0</v>
      </c>
      <c r="Q730" s="289"/>
      <c r="R730" s="245"/>
      <c r="S730" s="289"/>
      <c r="T730" s="245"/>
      <c r="U730" s="289"/>
      <c r="V730" s="245"/>
      <c r="W730" s="289"/>
      <c r="X730" s="245"/>
      <c r="Y730" s="289"/>
      <c r="Z730" s="245"/>
    </row>
    <row r="731" spans="1:26" s="436" customFormat="1" ht="15">
      <c r="A731" s="443"/>
      <c r="B731" s="444"/>
      <c r="C731" s="445" t="s">
        <v>1115</v>
      </c>
      <c r="D731" s="543" t="s">
        <v>1116</v>
      </c>
      <c r="E731" s="444" t="s">
        <v>2475</v>
      </c>
      <c r="F731" s="446">
        <f t="shared" si="20"/>
        <v>0</v>
      </c>
      <c r="G731" s="447">
        <f t="shared" si="21"/>
        <v>65</v>
      </c>
      <c r="H731" s="442">
        <f t="shared" si="22"/>
        <v>0</v>
      </c>
      <c r="I731" s="447">
        <f t="shared" si="23"/>
        <v>0</v>
      </c>
      <c r="J731" s="544"/>
      <c r="K731" s="444" t="s">
        <v>2475</v>
      </c>
      <c r="L731" s="449">
        <v>65</v>
      </c>
      <c r="M731" s="289"/>
      <c r="N731" s="245"/>
      <c r="O731" s="450">
        <v>0</v>
      </c>
      <c r="P731" s="451">
        <f t="shared" si="24"/>
        <v>0</v>
      </c>
      <c r="Q731" s="289"/>
      <c r="R731" s="245"/>
      <c r="S731" s="289"/>
      <c r="T731" s="245"/>
      <c r="U731" s="289"/>
      <c r="V731" s="245"/>
      <c r="W731" s="289"/>
      <c r="X731" s="245"/>
      <c r="Y731" s="289"/>
      <c r="Z731" s="245"/>
    </row>
    <row r="732" spans="1:26" s="436" customFormat="1" ht="15">
      <c r="A732" s="443"/>
      <c r="B732" s="444"/>
      <c r="C732" s="445" t="s">
        <v>1117</v>
      </c>
      <c r="D732" s="543" t="s">
        <v>1118</v>
      </c>
      <c r="E732" s="444" t="s">
        <v>2475</v>
      </c>
      <c r="F732" s="446">
        <f t="shared" si="20"/>
        <v>0</v>
      </c>
      <c r="G732" s="447">
        <f t="shared" si="21"/>
        <v>82</v>
      </c>
      <c r="H732" s="442">
        <f t="shared" si="22"/>
        <v>0</v>
      </c>
      <c r="I732" s="447">
        <f t="shared" si="23"/>
        <v>0</v>
      </c>
      <c r="J732" s="544"/>
      <c r="K732" s="444" t="s">
        <v>2475</v>
      </c>
      <c r="L732" s="449">
        <v>82</v>
      </c>
      <c r="M732" s="289"/>
      <c r="N732" s="245"/>
      <c r="O732" s="450">
        <v>0</v>
      </c>
      <c r="P732" s="451">
        <f t="shared" si="24"/>
        <v>0</v>
      </c>
      <c r="Q732" s="289"/>
      <c r="R732" s="245"/>
      <c r="S732" s="289"/>
      <c r="T732" s="245"/>
      <c r="U732" s="289"/>
      <c r="V732" s="245"/>
      <c r="W732" s="289"/>
      <c r="X732" s="245"/>
      <c r="Y732" s="289"/>
      <c r="Z732" s="245"/>
    </row>
    <row r="733" spans="1:26" s="436" customFormat="1" ht="15">
      <c r="A733" s="443"/>
      <c r="B733" s="444"/>
      <c r="C733" s="445" t="s">
        <v>1119</v>
      </c>
      <c r="D733" s="543" t="s">
        <v>1120</v>
      </c>
      <c r="E733" s="444" t="s">
        <v>2475</v>
      </c>
      <c r="F733" s="446">
        <f t="shared" si="20"/>
        <v>0</v>
      </c>
      <c r="G733" s="447">
        <f t="shared" si="21"/>
        <v>114</v>
      </c>
      <c r="H733" s="442">
        <f t="shared" si="22"/>
        <v>0</v>
      </c>
      <c r="I733" s="447">
        <f t="shared" si="23"/>
        <v>0</v>
      </c>
      <c r="J733" s="544"/>
      <c r="K733" s="444" t="s">
        <v>2475</v>
      </c>
      <c r="L733" s="449">
        <v>114</v>
      </c>
      <c r="M733" s="289"/>
      <c r="N733" s="245"/>
      <c r="O733" s="450">
        <v>0</v>
      </c>
      <c r="P733" s="451">
        <f t="shared" si="24"/>
        <v>0</v>
      </c>
      <c r="Q733" s="289"/>
      <c r="R733" s="245"/>
      <c r="S733" s="289"/>
      <c r="T733" s="245"/>
      <c r="U733" s="289"/>
      <c r="V733" s="245"/>
      <c r="W733" s="289"/>
      <c r="X733" s="245"/>
      <c r="Y733" s="289"/>
      <c r="Z733" s="245"/>
    </row>
    <row r="734" spans="1:26" s="436" customFormat="1" ht="15">
      <c r="A734" s="443"/>
      <c r="B734" s="444"/>
      <c r="C734" s="445" t="s">
        <v>1121</v>
      </c>
      <c r="D734" s="543" t="s">
        <v>1122</v>
      </c>
      <c r="E734" s="444" t="s">
        <v>2475</v>
      </c>
      <c r="F734" s="446">
        <f t="shared" si="20"/>
        <v>0</v>
      </c>
      <c r="G734" s="447">
        <f t="shared" si="21"/>
        <v>165</v>
      </c>
      <c r="H734" s="442">
        <f t="shared" si="22"/>
        <v>0</v>
      </c>
      <c r="I734" s="447">
        <f t="shared" si="23"/>
        <v>0</v>
      </c>
      <c r="J734" s="544"/>
      <c r="K734" s="444" t="s">
        <v>2475</v>
      </c>
      <c r="L734" s="449">
        <v>165</v>
      </c>
      <c r="M734" s="289"/>
      <c r="N734" s="245"/>
      <c r="O734" s="450">
        <v>0</v>
      </c>
      <c r="P734" s="451">
        <f t="shared" si="24"/>
        <v>0</v>
      </c>
      <c r="Q734" s="289"/>
      <c r="R734" s="245"/>
      <c r="S734" s="289"/>
      <c r="T734" s="245"/>
      <c r="U734" s="289"/>
      <c r="V734" s="245"/>
      <c r="W734" s="289"/>
      <c r="X734" s="245"/>
      <c r="Y734" s="289"/>
      <c r="Z734" s="245"/>
    </row>
    <row r="735" spans="1:26" s="436" customFormat="1" ht="15">
      <c r="A735" s="443"/>
      <c r="B735" s="444"/>
      <c r="C735" s="445" t="s">
        <v>1123</v>
      </c>
      <c r="D735" s="543" t="s">
        <v>1124</v>
      </c>
      <c r="E735" s="444" t="s">
        <v>2475</v>
      </c>
      <c r="F735" s="446">
        <f t="shared" si="20"/>
        <v>0</v>
      </c>
      <c r="G735" s="447">
        <f t="shared" si="21"/>
        <v>200</v>
      </c>
      <c r="H735" s="442">
        <f t="shared" si="22"/>
        <v>0</v>
      </c>
      <c r="I735" s="447">
        <f t="shared" si="23"/>
        <v>0</v>
      </c>
      <c r="J735" s="544"/>
      <c r="K735" s="444" t="s">
        <v>2475</v>
      </c>
      <c r="L735" s="449">
        <v>200</v>
      </c>
      <c r="M735" s="289"/>
      <c r="N735" s="245"/>
      <c r="O735" s="450">
        <v>0</v>
      </c>
      <c r="P735" s="451">
        <f t="shared" si="24"/>
        <v>0</v>
      </c>
      <c r="Q735" s="289"/>
      <c r="R735" s="245"/>
      <c r="S735" s="289"/>
      <c r="T735" s="245"/>
      <c r="U735" s="289"/>
      <c r="V735" s="245"/>
      <c r="W735" s="289"/>
      <c r="X735" s="245"/>
      <c r="Y735" s="289"/>
      <c r="Z735" s="245"/>
    </row>
    <row r="736" spans="1:26" ht="15" customHeight="1">
      <c r="A736" s="250"/>
      <c r="B736" s="251"/>
      <c r="C736" s="453"/>
      <c r="D736" s="330"/>
      <c r="E736" s="251"/>
      <c r="F736" s="252"/>
      <c r="G736" s="253"/>
      <c r="H736" s="254"/>
      <c r="I736" s="253"/>
      <c r="J736" s="253"/>
      <c r="K736" s="251"/>
      <c r="L736" s="253"/>
      <c r="M736" s="289"/>
      <c r="N736" s="245"/>
      <c r="O736" s="258"/>
      <c r="P736" s="257"/>
      <c r="Q736" s="289"/>
      <c r="R736" s="245"/>
      <c r="S736" s="289"/>
      <c r="T736" s="245"/>
      <c r="U736" s="289"/>
      <c r="V736" s="245"/>
      <c r="W736" s="289"/>
      <c r="X736" s="245"/>
      <c r="Y736" s="289"/>
      <c r="Z736" s="245"/>
    </row>
    <row r="737" spans="1:26" ht="15" customHeight="1">
      <c r="A737" s="250"/>
      <c r="B737" s="251"/>
      <c r="C737" s="453" t="s">
        <v>1125</v>
      </c>
      <c r="D737" s="330" t="s">
        <v>1126</v>
      </c>
      <c r="E737" s="251"/>
      <c r="F737" s="252"/>
      <c r="G737" s="253"/>
      <c r="H737" s="254"/>
      <c r="I737" s="253"/>
      <c r="J737" s="253"/>
      <c r="K737" s="251"/>
      <c r="L737" s="253"/>
      <c r="M737" s="289"/>
      <c r="N737" s="245"/>
      <c r="O737" s="258"/>
      <c r="P737" s="257"/>
      <c r="Q737" s="289"/>
      <c r="R737" s="245"/>
      <c r="S737" s="289"/>
      <c r="T737" s="245"/>
      <c r="U737" s="289"/>
      <c r="V737" s="245"/>
      <c r="W737" s="289"/>
      <c r="X737" s="245"/>
      <c r="Y737" s="289"/>
      <c r="Z737" s="245"/>
    </row>
    <row r="738" spans="1:26" s="436" customFormat="1" ht="15">
      <c r="A738" s="443"/>
      <c r="B738" s="444"/>
      <c r="C738" s="445" t="s">
        <v>1128</v>
      </c>
      <c r="D738" s="543" t="s">
        <v>1129</v>
      </c>
      <c r="E738" s="444" t="s">
        <v>1130</v>
      </c>
      <c r="F738" s="446">
        <f>M738+O738+Q738+S738+U738+W738+Y738</f>
        <v>0</v>
      </c>
      <c r="G738" s="447">
        <f>L738</f>
        <v>530</v>
      </c>
      <c r="H738" s="442">
        <f>F738*G738</f>
        <v>0</v>
      </c>
      <c r="I738" s="447">
        <f>N738+P738+R738+T738+V738+X738+Z738</f>
        <v>0</v>
      </c>
      <c r="J738" s="544"/>
      <c r="K738" s="444" t="s">
        <v>1130</v>
      </c>
      <c r="L738" s="449">
        <v>530</v>
      </c>
      <c r="M738" s="289"/>
      <c r="N738" s="245"/>
      <c r="O738" s="450">
        <v>0</v>
      </c>
      <c r="P738" s="451">
        <f>INT($L738*O738*100+0.5)/100</f>
        <v>0</v>
      </c>
      <c r="Q738" s="289"/>
      <c r="R738" s="245"/>
      <c r="S738" s="289"/>
      <c r="T738" s="245"/>
      <c r="U738" s="289"/>
      <c r="V738" s="245"/>
      <c r="W738" s="289"/>
      <c r="X738" s="245"/>
      <c r="Y738" s="289"/>
      <c r="Z738" s="245"/>
    </row>
    <row r="739" spans="1:26" s="436" customFormat="1" ht="15">
      <c r="A739" s="443"/>
      <c r="B739" s="444"/>
      <c r="C739" s="445" t="s">
        <v>1131</v>
      </c>
      <c r="D739" s="543" t="s">
        <v>1132</v>
      </c>
      <c r="E739" s="444" t="s">
        <v>1130</v>
      </c>
      <c r="F739" s="446">
        <f>M739+O739+Q739+S739+U739+W739+Y739</f>
        <v>0</v>
      </c>
      <c r="G739" s="447">
        <f>L739</f>
        <v>780</v>
      </c>
      <c r="H739" s="442">
        <f>F739*G739</f>
        <v>0</v>
      </c>
      <c r="I739" s="447">
        <f>N739+P739+R739+T739+V739+X739+Z739</f>
        <v>0</v>
      </c>
      <c r="J739" s="544"/>
      <c r="K739" s="444" t="s">
        <v>1130</v>
      </c>
      <c r="L739" s="449">
        <v>780</v>
      </c>
      <c r="M739" s="289"/>
      <c r="N739" s="245"/>
      <c r="O739" s="450">
        <v>0</v>
      </c>
      <c r="P739" s="451">
        <f>INT($L739*O739*100+0.5)/100</f>
        <v>0</v>
      </c>
      <c r="Q739" s="289"/>
      <c r="R739" s="245"/>
      <c r="S739" s="289"/>
      <c r="T739" s="245"/>
      <c r="U739" s="289"/>
      <c r="V739" s="245"/>
      <c r="W739" s="289"/>
      <c r="X739" s="245"/>
      <c r="Y739" s="289"/>
      <c r="Z739" s="245"/>
    </row>
    <row r="740" spans="1:26" s="436" customFormat="1" ht="15">
      <c r="A740" s="443"/>
      <c r="B740" s="444"/>
      <c r="C740" s="445" t="s">
        <v>1133</v>
      </c>
      <c r="D740" s="543" t="s">
        <v>1134</v>
      </c>
      <c r="E740" s="444" t="s">
        <v>1130</v>
      </c>
      <c r="F740" s="446">
        <f>M740+O740+Q740+S740+U740+W740+Y740</f>
        <v>0</v>
      </c>
      <c r="G740" s="447">
        <f>L740</f>
        <v>840</v>
      </c>
      <c r="H740" s="442">
        <f>F740*G740</f>
        <v>0</v>
      </c>
      <c r="I740" s="447">
        <f>N740+P740+R740+T740+V740+X740+Z740</f>
        <v>0</v>
      </c>
      <c r="J740" s="544"/>
      <c r="K740" s="444" t="s">
        <v>1130</v>
      </c>
      <c r="L740" s="449">
        <v>840</v>
      </c>
      <c r="M740" s="289"/>
      <c r="N740" s="245"/>
      <c r="O740" s="450">
        <v>0</v>
      </c>
      <c r="P740" s="451">
        <f>INT($L740*O740*100+0.5)/100</f>
        <v>0</v>
      </c>
      <c r="Q740" s="289"/>
      <c r="R740" s="245"/>
      <c r="S740" s="289"/>
      <c r="T740" s="245"/>
      <c r="U740" s="289"/>
      <c r="V740" s="245"/>
      <c r="W740" s="289"/>
      <c r="X740" s="245"/>
      <c r="Y740" s="289"/>
      <c r="Z740" s="245"/>
    </row>
    <row r="741" spans="1:26" ht="15" customHeight="1">
      <c r="A741" s="250"/>
      <c r="B741" s="251"/>
      <c r="C741" s="453"/>
      <c r="D741" s="330"/>
      <c r="E741" s="251"/>
      <c r="F741" s="252"/>
      <c r="G741" s="253"/>
      <c r="H741" s="254"/>
      <c r="I741" s="253"/>
      <c r="J741" s="253"/>
      <c r="K741" s="251"/>
      <c r="L741" s="253"/>
      <c r="M741" s="289"/>
      <c r="N741" s="245"/>
      <c r="O741" s="258"/>
      <c r="P741" s="257"/>
      <c r="Q741" s="289"/>
      <c r="R741" s="245"/>
      <c r="S741" s="289"/>
      <c r="T741" s="245"/>
      <c r="U741" s="289"/>
      <c r="V741" s="245"/>
      <c r="W741" s="289"/>
      <c r="X741" s="245"/>
      <c r="Y741" s="289"/>
      <c r="Z741" s="245"/>
    </row>
    <row r="742" spans="1:26" ht="15" customHeight="1">
      <c r="A742" s="250"/>
      <c r="B742" s="251"/>
      <c r="C742" s="453" t="s">
        <v>1135</v>
      </c>
      <c r="D742" s="330" t="s">
        <v>1136</v>
      </c>
      <c r="E742" s="251"/>
      <c r="F742" s="252"/>
      <c r="G742" s="253"/>
      <c r="H742" s="254"/>
      <c r="I742" s="253"/>
      <c r="J742" s="253"/>
      <c r="K742" s="251"/>
      <c r="L742" s="253"/>
      <c r="M742" s="289"/>
      <c r="N742" s="245"/>
      <c r="O742" s="258"/>
      <c r="P742" s="257"/>
      <c r="Q742" s="289"/>
      <c r="R742" s="245"/>
      <c r="S742" s="289"/>
      <c r="T742" s="245"/>
      <c r="U742" s="289"/>
      <c r="V742" s="245"/>
      <c r="W742" s="289"/>
      <c r="X742" s="245"/>
      <c r="Y742" s="289"/>
      <c r="Z742" s="245"/>
    </row>
    <row r="743" spans="1:26" s="436" customFormat="1" ht="15">
      <c r="A743" s="443"/>
      <c r="B743" s="444"/>
      <c r="C743" s="445" t="s">
        <v>1138</v>
      </c>
      <c r="D743" s="543" t="s">
        <v>1139</v>
      </c>
      <c r="E743" s="444" t="s">
        <v>1130</v>
      </c>
      <c r="F743" s="446">
        <f t="shared" ref="F743:F755" si="25">M743+O743+Q743+S743+U743+W743+Y743</f>
        <v>0</v>
      </c>
      <c r="G743" s="447">
        <f t="shared" ref="G743:G755" si="26">L743</f>
        <v>80</v>
      </c>
      <c r="H743" s="442">
        <f t="shared" ref="H743:H755" si="27">F743*G743</f>
        <v>0</v>
      </c>
      <c r="I743" s="447">
        <f t="shared" ref="I743:I755" si="28">N743+P743+R743+T743+V743+X743+Z743</f>
        <v>0</v>
      </c>
      <c r="J743" s="544"/>
      <c r="K743" s="444" t="s">
        <v>1130</v>
      </c>
      <c r="L743" s="449">
        <v>80</v>
      </c>
      <c r="M743" s="289"/>
      <c r="N743" s="245"/>
      <c r="O743" s="450">
        <v>0</v>
      </c>
      <c r="P743" s="451">
        <f t="shared" ref="P743:P755" si="29">INT($L743*O743*100+0.5)/100</f>
        <v>0</v>
      </c>
      <c r="Q743" s="289"/>
      <c r="R743" s="245"/>
      <c r="S743" s="289"/>
      <c r="T743" s="245"/>
      <c r="U743" s="289"/>
      <c r="V743" s="245"/>
      <c r="W743" s="289"/>
      <c r="X743" s="245"/>
      <c r="Y743" s="289"/>
      <c r="Z743" s="245"/>
    </row>
    <row r="744" spans="1:26" s="436" customFormat="1" ht="15">
      <c r="A744" s="443"/>
      <c r="B744" s="444"/>
      <c r="C744" s="445" t="s">
        <v>1140</v>
      </c>
      <c r="D744" s="543" t="s">
        <v>1141</v>
      </c>
      <c r="E744" s="444" t="s">
        <v>1130</v>
      </c>
      <c r="F744" s="446">
        <f t="shared" si="25"/>
        <v>0</v>
      </c>
      <c r="G744" s="447">
        <f t="shared" si="26"/>
        <v>86</v>
      </c>
      <c r="H744" s="442">
        <f t="shared" si="27"/>
        <v>0</v>
      </c>
      <c r="I744" s="447">
        <f t="shared" si="28"/>
        <v>0</v>
      </c>
      <c r="J744" s="544"/>
      <c r="K744" s="444" t="s">
        <v>1130</v>
      </c>
      <c r="L744" s="449">
        <v>86</v>
      </c>
      <c r="M744" s="289"/>
      <c r="N744" s="245"/>
      <c r="O744" s="450">
        <v>0</v>
      </c>
      <c r="P744" s="451">
        <f t="shared" si="29"/>
        <v>0</v>
      </c>
      <c r="Q744" s="289"/>
      <c r="R744" s="245"/>
      <c r="S744" s="289"/>
      <c r="T744" s="245"/>
      <c r="U744" s="289"/>
      <c r="V744" s="245"/>
      <c r="W744" s="289"/>
      <c r="X744" s="245"/>
      <c r="Y744" s="289"/>
      <c r="Z744" s="245"/>
    </row>
    <row r="745" spans="1:26" s="436" customFormat="1" ht="15">
      <c r="A745" s="443"/>
      <c r="B745" s="444"/>
      <c r="C745" s="445" t="s">
        <v>1142</v>
      </c>
      <c r="D745" s="543" t="s">
        <v>1143</v>
      </c>
      <c r="E745" s="444" t="s">
        <v>1130</v>
      </c>
      <c r="F745" s="446">
        <f t="shared" si="25"/>
        <v>0</v>
      </c>
      <c r="G745" s="447">
        <f t="shared" si="26"/>
        <v>92</v>
      </c>
      <c r="H745" s="442">
        <f t="shared" si="27"/>
        <v>0</v>
      </c>
      <c r="I745" s="447">
        <f t="shared" si="28"/>
        <v>0</v>
      </c>
      <c r="J745" s="544"/>
      <c r="K745" s="444" t="s">
        <v>1130</v>
      </c>
      <c r="L745" s="449">
        <v>92</v>
      </c>
      <c r="M745" s="289"/>
      <c r="N745" s="245"/>
      <c r="O745" s="450">
        <v>0</v>
      </c>
      <c r="P745" s="451">
        <f t="shared" si="29"/>
        <v>0</v>
      </c>
      <c r="Q745" s="289"/>
      <c r="R745" s="245"/>
      <c r="S745" s="289"/>
      <c r="T745" s="245"/>
      <c r="U745" s="289"/>
      <c r="V745" s="245"/>
      <c r="W745" s="289"/>
      <c r="X745" s="245"/>
      <c r="Y745" s="289"/>
      <c r="Z745" s="245"/>
    </row>
    <row r="746" spans="1:26" s="436" customFormat="1" ht="15">
      <c r="A746" s="443"/>
      <c r="B746" s="444"/>
      <c r="C746" s="445" t="s">
        <v>1144</v>
      </c>
      <c r="D746" s="543" t="s">
        <v>1145</v>
      </c>
      <c r="E746" s="444" t="s">
        <v>1130</v>
      </c>
      <c r="F746" s="446">
        <f t="shared" si="25"/>
        <v>0</v>
      </c>
      <c r="G746" s="447">
        <f t="shared" si="26"/>
        <v>96</v>
      </c>
      <c r="H746" s="442">
        <f t="shared" si="27"/>
        <v>0</v>
      </c>
      <c r="I746" s="447">
        <f t="shared" si="28"/>
        <v>0</v>
      </c>
      <c r="J746" s="544"/>
      <c r="K746" s="444" t="s">
        <v>1130</v>
      </c>
      <c r="L746" s="449">
        <v>96</v>
      </c>
      <c r="M746" s="289"/>
      <c r="N746" s="245"/>
      <c r="O746" s="450">
        <v>0</v>
      </c>
      <c r="P746" s="451">
        <f t="shared" si="29"/>
        <v>0</v>
      </c>
      <c r="Q746" s="289"/>
      <c r="R746" s="245"/>
      <c r="S746" s="289"/>
      <c r="T746" s="245"/>
      <c r="U746" s="289"/>
      <c r="V746" s="245"/>
      <c r="W746" s="289"/>
      <c r="X746" s="245"/>
      <c r="Y746" s="289"/>
      <c r="Z746" s="245"/>
    </row>
    <row r="747" spans="1:26" s="436" customFormat="1" ht="15">
      <c r="A747" s="443"/>
      <c r="B747" s="444"/>
      <c r="C747" s="445" t="s">
        <v>1146</v>
      </c>
      <c r="D747" s="543" t="s">
        <v>1147</v>
      </c>
      <c r="E747" s="444" t="s">
        <v>1130</v>
      </c>
      <c r="F747" s="446">
        <f t="shared" si="25"/>
        <v>0</v>
      </c>
      <c r="G747" s="447">
        <f t="shared" si="26"/>
        <v>106</v>
      </c>
      <c r="H747" s="442">
        <f t="shared" si="27"/>
        <v>0</v>
      </c>
      <c r="I747" s="447">
        <f t="shared" si="28"/>
        <v>0</v>
      </c>
      <c r="J747" s="544"/>
      <c r="K747" s="444" t="s">
        <v>1130</v>
      </c>
      <c r="L747" s="449">
        <v>106</v>
      </c>
      <c r="M747" s="289"/>
      <c r="N747" s="245"/>
      <c r="O747" s="450">
        <v>0</v>
      </c>
      <c r="P747" s="451">
        <f t="shared" si="29"/>
        <v>0</v>
      </c>
      <c r="Q747" s="289"/>
      <c r="R747" s="245"/>
      <c r="S747" s="289"/>
      <c r="T747" s="245"/>
      <c r="U747" s="289"/>
      <c r="V747" s="245"/>
      <c r="W747" s="289"/>
      <c r="X747" s="245"/>
      <c r="Y747" s="289"/>
      <c r="Z747" s="245"/>
    </row>
    <row r="748" spans="1:26" s="436" customFormat="1" ht="15">
      <c r="A748" s="443"/>
      <c r="B748" s="444"/>
      <c r="C748" s="445" t="s">
        <v>1148</v>
      </c>
      <c r="D748" s="543" t="s">
        <v>1149</v>
      </c>
      <c r="E748" s="444" t="s">
        <v>1130</v>
      </c>
      <c r="F748" s="446">
        <f t="shared" si="25"/>
        <v>0</v>
      </c>
      <c r="G748" s="447">
        <f t="shared" si="26"/>
        <v>118</v>
      </c>
      <c r="H748" s="442">
        <f t="shared" si="27"/>
        <v>0</v>
      </c>
      <c r="I748" s="447">
        <f t="shared" si="28"/>
        <v>0</v>
      </c>
      <c r="J748" s="544"/>
      <c r="K748" s="444" t="s">
        <v>1130</v>
      </c>
      <c r="L748" s="449">
        <v>118</v>
      </c>
      <c r="M748" s="289"/>
      <c r="N748" s="245"/>
      <c r="O748" s="450">
        <v>0</v>
      </c>
      <c r="P748" s="451">
        <f t="shared" si="29"/>
        <v>0</v>
      </c>
      <c r="Q748" s="289"/>
      <c r="R748" s="245"/>
      <c r="S748" s="289"/>
      <c r="T748" s="245"/>
      <c r="U748" s="289"/>
      <c r="V748" s="245"/>
      <c r="W748" s="289"/>
      <c r="X748" s="245"/>
      <c r="Y748" s="289"/>
      <c r="Z748" s="245"/>
    </row>
    <row r="749" spans="1:26" s="436" customFormat="1" ht="15">
      <c r="A749" s="443"/>
      <c r="B749" s="444"/>
      <c r="C749" s="445" t="s">
        <v>1150</v>
      </c>
      <c r="D749" s="543" t="s">
        <v>1151</v>
      </c>
      <c r="E749" s="444" t="s">
        <v>1130</v>
      </c>
      <c r="F749" s="446">
        <f t="shared" si="25"/>
        <v>0</v>
      </c>
      <c r="G749" s="447">
        <f t="shared" si="26"/>
        <v>137</v>
      </c>
      <c r="H749" s="442">
        <f t="shared" si="27"/>
        <v>0</v>
      </c>
      <c r="I749" s="447">
        <f t="shared" si="28"/>
        <v>0</v>
      </c>
      <c r="J749" s="544"/>
      <c r="K749" s="444" t="s">
        <v>1130</v>
      </c>
      <c r="L749" s="449">
        <v>137</v>
      </c>
      <c r="M749" s="289"/>
      <c r="N749" s="245"/>
      <c r="O749" s="450">
        <v>0</v>
      </c>
      <c r="P749" s="451">
        <f t="shared" si="29"/>
        <v>0</v>
      </c>
      <c r="Q749" s="289"/>
      <c r="R749" s="245"/>
      <c r="S749" s="289"/>
      <c r="T749" s="245"/>
      <c r="U749" s="289"/>
      <c r="V749" s="245"/>
      <c r="W749" s="289"/>
      <c r="X749" s="245"/>
      <c r="Y749" s="289"/>
      <c r="Z749" s="245"/>
    </row>
    <row r="750" spans="1:26" s="436" customFormat="1" ht="15">
      <c r="A750" s="443"/>
      <c r="B750" s="444"/>
      <c r="C750" s="445" t="s">
        <v>1152</v>
      </c>
      <c r="D750" s="543" t="s">
        <v>1153</v>
      </c>
      <c r="E750" s="444" t="s">
        <v>1130</v>
      </c>
      <c r="F750" s="446">
        <f t="shared" si="25"/>
        <v>0</v>
      </c>
      <c r="G750" s="447">
        <f t="shared" si="26"/>
        <v>191</v>
      </c>
      <c r="H750" s="442">
        <f t="shared" si="27"/>
        <v>0</v>
      </c>
      <c r="I750" s="447">
        <f t="shared" si="28"/>
        <v>0</v>
      </c>
      <c r="J750" s="544"/>
      <c r="K750" s="444" t="s">
        <v>1130</v>
      </c>
      <c r="L750" s="449">
        <v>191</v>
      </c>
      <c r="M750" s="289"/>
      <c r="N750" s="245"/>
      <c r="O750" s="450">
        <v>0</v>
      </c>
      <c r="P750" s="451">
        <f t="shared" si="29"/>
        <v>0</v>
      </c>
      <c r="Q750" s="289"/>
      <c r="R750" s="245"/>
      <c r="S750" s="289"/>
      <c r="T750" s="245"/>
      <c r="U750" s="289"/>
      <c r="V750" s="245"/>
      <c r="W750" s="289"/>
      <c r="X750" s="245"/>
      <c r="Y750" s="289"/>
      <c r="Z750" s="245"/>
    </row>
    <row r="751" spans="1:26" s="436" customFormat="1" ht="15">
      <c r="A751" s="443"/>
      <c r="B751" s="444"/>
      <c r="C751" s="445" t="s">
        <v>1154</v>
      </c>
      <c r="D751" s="543" t="s">
        <v>1155</v>
      </c>
      <c r="E751" s="444" t="s">
        <v>1130</v>
      </c>
      <c r="F751" s="446">
        <f t="shared" si="25"/>
        <v>0</v>
      </c>
      <c r="G751" s="447">
        <f t="shared" si="26"/>
        <v>233</v>
      </c>
      <c r="H751" s="442">
        <f t="shared" si="27"/>
        <v>0</v>
      </c>
      <c r="I751" s="447">
        <f t="shared" si="28"/>
        <v>0</v>
      </c>
      <c r="J751" s="544"/>
      <c r="K751" s="444" t="s">
        <v>1130</v>
      </c>
      <c r="L751" s="449">
        <v>233</v>
      </c>
      <c r="M751" s="289"/>
      <c r="N751" s="245"/>
      <c r="O751" s="450">
        <v>0</v>
      </c>
      <c r="P751" s="451">
        <f t="shared" si="29"/>
        <v>0</v>
      </c>
      <c r="Q751" s="289"/>
      <c r="R751" s="245"/>
      <c r="S751" s="289"/>
      <c r="T751" s="245"/>
      <c r="U751" s="289"/>
      <c r="V751" s="245"/>
      <c r="W751" s="289"/>
      <c r="X751" s="245"/>
      <c r="Y751" s="289"/>
      <c r="Z751" s="245"/>
    </row>
    <row r="752" spans="1:26" s="436" customFormat="1" ht="15">
      <c r="A752" s="443"/>
      <c r="B752" s="444"/>
      <c r="C752" s="445" t="s">
        <v>1156</v>
      </c>
      <c r="D752" s="543" t="s">
        <v>1157</v>
      </c>
      <c r="E752" s="444" t="s">
        <v>1130</v>
      </c>
      <c r="F752" s="446">
        <f t="shared" si="25"/>
        <v>0</v>
      </c>
      <c r="G752" s="447">
        <f t="shared" si="26"/>
        <v>275</v>
      </c>
      <c r="H752" s="442">
        <f t="shared" si="27"/>
        <v>0</v>
      </c>
      <c r="I752" s="447">
        <f t="shared" si="28"/>
        <v>0</v>
      </c>
      <c r="J752" s="544"/>
      <c r="K752" s="444" t="s">
        <v>1130</v>
      </c>
      <c r="L752" s="449">
        <v>275</v>
      </c>
      <c r="M752" s="289"/>
      <c r="N752" s="245"/>
      <c r="O752" s="450">
        <v>0</v>
      </c>
      <c r="P752" s="451">
        <f t="shared" si="29"/>
        <v>0</v>
      </c>
      <c r="Q752" s="289"/>
      <c r="R752" s="245"/>
      <c r="S752" s="289"/>
      <c r="T752" s="245"/>
      <c r="U752" s="289"/>
      <c r="V752" s="245"/>
      <c r="W752" s="289"/>
      <c r="X752" s="245"/>
      <c r="Y752" s="289"/>
      <c r="Z752" s="245"/>
    </row>
    <row r="753" spans="1:26" s="436" customFormat="1" ht="15.75" customHeight="1">
      <c r="A753" s="443"/>
      <c r="B753" s="444"/>
      <c r="C753" s="445" t="s">
        <v>1158</v>
      </c>
      <c r="D753" s="543" t="s">
        <v>1159</v>
      </c>
      <c r="E753" s="444" t="s">
        <v>1130</v>
      </c>
      <c r="F753" s="446">
        <f t="shared" si="25"/>
        <v>0</v>
      </c>
      <c r="G753" s="447">
        <f t="shared" si="26"/>
        <v>375</v>
      </c>
      <c r="H753" s="442">
        <f t="shared" si="27"/>
        <v>0</v>
      </c>
      <c r="I753" s="447">
        <f t="shared" si="28"/>
        <v>0</v>
      </c>
      <c r="J753" s="544"/>
      <c r="K753" s="444" t="s">
        <v>1130</v>
      </c>
      <c r="L753" s="449">
        <v>375</v>
      </c>
      <c r="M753" s="289"/>
      <c r="N753" s="245"/>
      <c r="O753" s="450">
        <v>0</v>
      </c>
      <c r="P753" s="451">
        <f t="shared" si="29"/>
        <v>0</v>
      </c>
      <c r="Q753" s="289"/>
      <c r="R753" s="245"/>
      <c r="S753" s="289"/>
      <c r="T753" s="245"/>
      <c r="U753" s="289"/>
      <c r="V753" s="245"/>
      <c r="W753" s="289"/>
      <c r="X753" s="245"/>
      <c r="Y753" s="289"/>
      <c r="Z753" s="245"/>
    </row>
    <row r="754" spans="1:26" s="436" customFormat="1" ht="15">
      <c r="A754" s="443"/>
      <c r="B754" s="444"/>
      <c r="C754" s="445" t="s">
        <v>1160</v>
      </c>
      <c r="D754" s="543" t="s">
        <v>1161</v>
      </c>
      <c r="E754" s="444" t="s">
        <v>1130</v>
      </c>
      <c r="F754" s="446">
        <f t="shared" si="25"/>
        <v>0</v>
      </c>
      <c r="G754" s="447">
        <f t="shared" si="26"/>
        <v>580</v>
      </c>
      <c r="H754" s="442">
        <f t="shared" si="27"/>
        <v>0</v>
      </c>
      <c r="I754" s="447">
        <f t="shared" si="28"/>
        <v>0</v>
      </c>
      <c r="J754" s="544"/>
      <c r="K754" s="444" t="s">
        <v>1130</v>
      </c>
      <c r="L754" s="449">
        <v>580</v>
      </c>
      <c r="M754" s="289"/>
      <c r="N754" s="245"/>
      <c r="O754" s="450">
        <v>0</v>
      </c>
      <c r="P754" s="451">
        <f t="shared" si="29"/>
        <v>0</v>
      </c>
      <c r="Q754" s="289"/>
      <c r="R754" s="245"/>
      <c r="S754" s="289"/>
      <c r="T754" s="245"/>
      <c r="U754" s="289"/>
      <c r="V754" s="245"/>
      <c r="W754" s="289"/>
      <c r="X754" s="245"/>
      <c r="Y754" s="289"/>
      <c r="Z754" s="245"/>
    </row>
    <row r="755" spans="1:26" s="436" customFormat="1" ht="15">
      <c r="A755" s="443"/>
      <c r="B755" s="444"/>
      <c r="C755" s="445" t="s">
        <v>1162</v>
      </c>
      <c r="D755" s="543" t="s">
        <v>1175</v>
      </c>
      <c r="E755" s="444" t="s">
        <v>1130</v>
      </c>
      <c r="F755" s="446">
        <f t="shared" si="25"/>
        <v>0</v>
      </c>
      <c r="G755" s="447">
        <f t="shared" si="26"/>
        <v>760</v>
      </c>
      <c r="H755" s="442">
        <f t="shared" si="27"/>
        <v>0</v>
      </c>
      <c r="I755" s="447">
        <f t="shared" si="28"/>
        <v>0</v>
      </c>
      <c r="J755" s="544"/>
      <c r="K755" s="444" t="s">
        <v>1130</v>
      </c>
      <c r="L755" s="449">
        <v>760</v>
      </c>
      <c r="M755" s="289"/>
      <c r="N755" s="245"/>
      <c r="O755" s="450">
        <v>0</v>
      </c>
      <c r="P755" s="451">
        <f t="shared" si="29"/>
        <v>0</v>
      </c>
      <c r="Q755" s="289"/>
      <c r="R755" s="245"/>
      <c r="S755" s="289"/>
      <c r="T755" s="245"/>
      <c r="U755" s="289"/>
      <c r="V755" s="245"/>
      <c r="W755" s="289"/>
      <c r="X755" s="245"/>
      <c r="Y755" s="289"/>
      <c r="Z755" s="245"/>
    </row>
    <row r="756" spans="1:26" ht="15" customHeight="1">
      <c r="A756" s="250"/>
      <c r="B756" s="251"/>
      <c r="C756" s="453"/>
      <c r="D756" s="330"/>
      <c r="E756" s="251"/>
      <c r="F756" s="252"/>
      <c r="G756" s="253"/>
      <c r="H756" s="254"/>
      <c r="I756" s="253"/>
      <c r="J756" s="253"/>
      <c r="K756" s="251"/>
      <c r="L756" s="253"/>
      <c r="M756" s="289"/>
      <c r="N756" s="245"/>
      <c r="O756" s="258"/>
      <c r="P756" s="257"/>
      <c r="Q756" s="258"/>
      <c r="R756" s="257"/>
      <c r="S756" s="289"/>
      <c r="T756" s="245"/>
      <c r="U756" s="258"/>
      <c r="V756" s="245"/>
      <c r="W756" s="258"/>
      <c r="X756" s="257"/>
      <c r="Y756" s="258"/>
      <c r="Z756" s="257"/>
    </row>
    <row r="757" spans="1:26" ht="15" customHeight="1">
      <c r="A757" s="250"/>
      <c r="B757" s="251"/>
      <c r="C757" s="453" t="s">
        <v>1176</v>
      </c>
      <c r="D757" s="330" t="s">
        <v>1177</v>
      </c>
      <c r="E757" s="251"/>
      <c r="F757" s="252"/>
      <c r="G757" s="253"/>
      <c r="H757" s="254"/>
      <c r="I757" s="253"/>
      <c r="J757" s="253"/>
      <c r="K757" s="251"/>
      <c r="L757" s="261"/>
      <c r="M757" s="289"/>
      <c r="N757" s="245"/>
      <c r="O757" s="258"/>
      <c r="P757" s="257"/>
      <c r="Q757" s="258"/>
      <c r="R757" s="257"/>
      <c r="S757" s="289"/>
      <c r="T757" s="242"/>
      <c r="U757" s="289"/>
      <c r="V757" s="245"/>
      <c r="W757" s="258"/>
      <c r="X757" s="257"/>
      <c r="Y757" s="258"/>
      <c r="Z757" s="257"/>
    </row>
    <row r="758" spans="1:26" s="436" customFormat="1" ht="15">
      <c r="A758" s="443"/>
      <c r="B758" s="444"/>
      <c r="C758" s="445"/>
      <c r="D758" s="543"/>
      <c r="E758" s="237"/>
      <c r="F758" s="304"/>
      <c r="G758" s="240"/>
      <c r="H758" s="435"/>
      <c r="I758" s="545"/>
      <c r="J758" s="545"/>
      <c r="K758" s="237"/>
      <c r="L758" s="243"/>
      <c r="M758" s="513"/>
      <c r="N758" s="513"/>
      <c r="O758" s="515"/>
      <c r="P758" s="515"/>
      <c r="Q758" s="515"/>
      <c r="R758" s="515"/>
      <c r="S758" s="513"/>
      <c r="T758" s="545"/>
      <c r="U758" s="289"/>
      <c r="V758" s="245"/>
      <c r="W758" s="544"/>
      <c r="X758" s="544"/>
      <c r="Y758" s="544"/>
      <c r="Z758" s="546"/>
    </row>
    <row r="759" spans="1:26" s="436" customFormat="1" ht="15">
      <c r="A759" s="443"/>
      <c r="B759" s="444"/>
      <c r="C759" s="445"/>
      <c r="D759" s="543" t="s">
        <v>1178</v>
      </c>
      <c r="E759" s="237"/>
      <c r="F759" s="304"/>
      <c r="G759" s="240"/>
      <c r="H759" s="435"/>
      <c r="I759" s="545"/>
      <c r="J759" s="545"/>
      <c r="K759" s="237"/>
      <c r="L759" s="243"/>
      <c r="M759" s="513"/>
      <c r="N759" s="513"/>
      <c r="O759" s="515"/>
      <c r="P759" s="515"/>
      <c r="Q759" s="515"/>
      <c r="R759" s="515"/>
      <c r="S759" s="513"/>
      <c r="T759" s="545"/>
      <c r="U759" s="289"/>
      <c r="V759" s="245"/>
      <c r="W759" s="544"/>
      <c r="X759" s="544"/>
      <c r="Y759" s="544"/>
      <c r="Z759" s="546"/>
    </row>
    <row r="760" spans="1:26" s="436" customFormat="1" ht="25.5">
      <c r="A760" s="443"/>
      <c r="B760" s="444"/>
      <c r="C760" s="445"/>
      <c r="D760" s="543" t="s">
        <v>1179</v>
      </c>
      <c r="E760" s="237"/>
      <c r="F760" s="304"/>
      <c r="G760" s="240"/>
      <c r="H760" s="435"/>
      <c r="I760" s="545"/>
      <c r="J760" s="545"/>
      <c r="K760" s="237"/>
      <c r="L760" s="243"/>
      <c r="M760" s="513"/>
      <c r="N760" s="513"/>
      <c r="O760" s="515"/>
      <c r="P760" s="515"/>
      <c r="Q760" s="515"/>
      <c r="R760" s="515"/>
      <c r="S760" s="513"/>
      <c r="T760" s="545"/>
      <c r="U760" s="289"/>
      <c r="V760" s="245"/>
      <c r="W760" s="544"/>
      <c r="X760" s="544"/>
      <c r="Y760" s="544"/>
      <c r="Z760" s="546"/>
    </row>
    <row r="761" spans="1:26" s="436" customFormat="1" ht="25.5">
      <c r="A761" s="443"/>
      <c r="B761" s="444"/>
      <c r="C761" s="445"/>
      <c r="D761" s="543" t="s">
        <v>1180</v>
      </c>
      <c r="E761" s="237"/>
      <c r="F761" s="304"/>
      <c r="G761" s="240"/>
      <c r="H761" s="435"/>
      <c r="I761" s="545"/>
      <c r="J761" s="545"/>
      <c r="K761" s="237"/>
      <c r="L761" s="243"/>
      <c r="M761" s="513"/>
      <c r="N761" s="513"/>
      <c r="O761" s="515"/>
      <c r="P761" s="515"/>
      <c r="Q761" s="515"/>
      <c r="R761" s="515"/>
      <c r="S761" s="513"/>
      <c r="T761" s="545"/>
      <c r="U761" s="289"/>
      <c r="V761" s="245"/>
      <c r="W761" s="544"/>
      <c r="X761" s="544"/>
      <c r="Y761" s="544"/>
      <c r="Z761" s="546"/>
    </row>
    <row r="762" spans="1:26" s="436" customFormat="1" ht="25.5">
      <c r="A762" s="443"/>
      <c r="B762" s="444"/>
      <c r="C762" s="445"/>
      <c r="D762" s="543" t="s">
        <v>1181</v>
      </c>
      <c r="E762" s="237"/>
      <c r="F762" s="304"/>
      <c r="G762" s="240"/>
      <c r="H762" s="435"/>
      <c r="I762" s="545"/>
      <c r="J762" s="545"/>
      <c r="K762" s="237"/>
      <c r="L762" s="243"/>
      <c r="M762" s="513"/>
      <c r="N762" s="513"/>
      <c r="O762" s="515"/>
      <c r="P762" s="515"/>
      <c r="Q762" s="515"/>
      <c r="R762" s="515"/>
      <c r="S762" s="513"/>
      <c r="T762" s="545"/>
      <c r="U762" s="289"/>
      <c r="V762" s="245"/>
      <c r="W762" s="544"/>
      <c r="X762" s="544"/>
      <c r="Y762" s="544"/>
      <c r="Z762" s="546"/>
    </row>
    <row r="763" spans="1:26" s="436" customFormat="1" ht="25.5">
      <c r="A763" s="443"/>
      <c r="B763" s="444"/>
      <c r="C763" s="445"/>
      <c r="D763" s="543" t="s">
        <v>1127</v>
      </c>
      <c r="E763" s="237"/>
      <c r="F763" s="304"/>
      <c r="G763" s="240"/>
      <c r="H763" s="435"/>
      <c r="I763" s="545"/>
      <c r="J763" s="545"/>
      <c r="K763" s="237"/>
      <c r="L763" s="243"/>
      <c r="M763" s="513"/>
      <c r="N763" s="513"/>
      <c r="O763" s="515"/>
      <c r="P763" s="515"/>
      <c r="Q763" s="515"/>
      <c r="R763" s="515"/>
      <c r="S763" s="513"/>
      <c r="T763" s="545"/>
      <c r="U763" s="289"/>
      <c r="V763" s="245"/>
      <c r="W763" s="544"/>
      <c r="X763" s="544"/>
      <c r="Y763" s="544"/>
      <c r="Z763" s="546"/>
    </row>
    <row r="764" spans="1:26" s="436" customFormat="1" ht="25.5">
      <c r="A764" s="443"/>
      <c r="B764" s="444"/>
      <c r="C764" s="445"/>
      <c r="D764" s="543" t="s">
        <v>1137</v>
      </c>
      <c r="E764" s="237"/>
      <c r="F764" s="304"/>
      <c r="G764" s="240"/>
      <c r="H764" s="435"/>
      <c r="I764" s="545"/>
      <c r="J764" s="545"/>
      <c r="K764" s="237"/>
      <c r="L764" s="243"/>
      <c r="M764" s="513"/>
      <c r="N764" s="513"/>
      <c r="O764" s="515"/>
      <c r="P764" s="515"/>
      <c r="Q764" s="515"/>
      <c r="R764" s="515"/>
      <c r="S764" s="513"/>
      <c r="T764" s="545"/>
      <c r="U764" s="289"/>
      <c r="V764" s="245"/>
      <c r="W764" s="544"/>
      <c r="X764" s="544"/>
      <c r="Y764" s="544"/>
      <c r="Z764" s="546"/>
    </row>
    <row r="765" spans="1:26" s="436" customFormat="1" ht="15">
      <c r="A765" s="443"/>
      <c r="B765" s="444"/>
      <c r="C765" s="445"/>
      <c r="D765" s="543" t="s">
        <v>1182</v>
      </c>
      <c r="E765" s="237"/>
      <c r="F765" s="304"/>
      <c r="G765" s="240"/>
      <c r="H765" s="435"/>
      <c r="I765" s="545"/>
      <c r="J765" s="545"/>
      <c r="K765" s="237"/>
      <c r="L765" s="243"/>
      <c r="M765" s="513"/>
      <c r="N765" s="513"/>
      <c r="O765" s="515"/>
      <c r="P765" s="515"/>
      <c r="Q765" s="515"/>
      <c r="R765" s="515"/>
      <c r="S765" s="513"/>
      <c r="T765" s="545"/>
      <c r="U765" s="289"/>
      <c r="V765" s="245"/>
      <c r="W765" s="544"/>
      <c r="X765" s="544"/>
      <c r="Y765" s="544"/>
      <c r="Z765" s="546"/>
    </row>
    <row r="766" spans="1:26" s="436" customFormat="1" ht="15.75" customHeight="1">
      <c r="A766" s="443"/>
      <c r="B766" s="444"/>
      <c r="C766" s="445" t="s">
        <v>1183</v>
      </c>
      <c r="D766" s="543" t="s">
        <v>1184</v>
      </c>
      <c r="E766" s="444" t="s">
        <v>1130</v>
      </c>
      <c r="F766" s="446">
        <f t="shared" ref="F766:F829" si="30">M766+O766+Q766+S766+U766+W766+Y766</f>
        <v>0</v>
      </c>
      <c r="G766" s="447">
        <f t="shared" ref="G766:G829" si="31">L766</f>
        <v>180</v>
      </c>
      <c r="H766" s="435"/>
      <c r="I766" s="447">
        <f t="shared" ref="I766:I829" si="32">N766+P766+R766+T766+V766+X766+Z766</f>
        <v>0</v>
      </c>
      <c r="J766" s="544"/>
      <c r="K766" s="444" t="s">
        <v>1130</v>
      </c>
      <c r="L766" s="449">
        <v>180</v>
      </c>
      <c r="M766" s="289"/>
      <c r="N766" s="245"/>
      <c r="O766" s="514">
        <v>0</v>
      </c>
      <c r="P766" s="451">
        <f t="shared" ref="P766:P829" si="33">INT($L766*O766*100+0.5)/100</f>
        <v>0</v>
      </c>
      <c r="Q766" s="289"/>
      <c r="R766" s="245"/>
      <c r="S766" s="289"/>
      <c r="T766" s="245"/>
      <c r="U766" s="289"/>
      <c r="V766" s="245"/>
      <c r="W766" s="289"/>
      <c r="X766" s="245"/>
      <c r="Y766" s="289"/>
      <c r="Z766" s="245"/>
    </row>
    <row r="767" spans="1:26" s="436" customFormat="1" ht="15.75" customHeight="1">
      <c r="A767" s="443"/>
      <c r="B767" s="444"/>
      <c r="C767" s="445" t="s">
        <v>1185</v>
      </c>
      <c r="D767" s="543" t="s">
        <v>1186</v>
      </c>
      <c r="E767" s="444" t="s">
        <v>1130</v>
      </c>
      <c r="F767" s="446">
        <f t="shared" si="30"/>
        <v>0</v>
      </c>
      <c r="G767" s="447">
        <f t="shared" si="31"/>
        <v>120</v>
      </c>
      <c r="H767" s="435"/>
      <c r="I767" s="447">
        <f t="shared" si="32"/>
        <v>0</v>
      </c>
      <c r="J767" s="544"/>
      <c r="K767" s="444" t="s">
        <v>1130</v>
      </c>
      <c r="L767" s="449">
        <v>120</v>
      </c>
      <c r="M767" s="289"/>
      <c r="N767" s="245"/>
      <c r="O767" s="450">
        <v>0</v>
      </c>
      <c r="P767" s="451">
        <f t="shared" si="33"/>
        <v>0</v>
      </c>
      <c r="Q767" s="289"/>
      <c r="R767" s="245"/>
      <c r="S767" s="289"/>
      <c r="T767" s="245"/>
      <c r="U767" s="289"/>
      <c r="V767" s="245"/>
      <c r="W767" s="289"/>
      <c r="X767" s="245"/>
      <c r="Y767" s="289"/>
      <c r="Z767" s="245"/>
    </row>
    <row r="768" spans="1:26" s="436" customFormat="1" ht="15.75" customHeight="1">
      <c r="A768" s="443"/>
      <c r="B768" s="444"/>
      <c r="C768" s="445" t="s">
        <v>1187</v>
      </c>
      <c r="D768" s="543" t="s">
        <v>1188</v>
      </c>
      <c r="E768" s="444" t="s">
        <v>1130</v>
      </c>
      <c r="F768" s="446">
        <f t="shared" si="30"/>
        <v>0</v>
      </c>
      <c r="G768" s="447">
        <f t="shared" si="31"/>
        <v>130</v>
      </c>
      <c r="H768" s="435"/>
      <c r="I768" s="447">
        <f t="shared" si="32"/>
        <v>0</v>
      </c>
      <c r="J768" s="544"/>
      <c r="K768" s="444" t="s">
        <v>1130</v>
      </c>
      <c r="L768" s="449">
        <v>130</v>
      </c>
      <c r="M768" s="289"/>
      <c r="N768" s="245"/>
      <c r="O768" s="450">
        <v>0</v>
      </c>
      <c r="P768" s="451">
        <f t="shared" si="33"/>
        <v>0</v>
      </c>
      <c r="Q768" s="289"/>
      <c r="R768" s="245"/>
      <c r="S768" s="289"/>
      <c r="T768" s="245"/>
      <c r="U768" s="289"/>
      <c r="V768" s="245"/>
      <c r="W768" s="289"/>
      <c r="X768" s="245"/>
      <c r="Y768" s="289"/>
      <c r="Z768" s="245"/>
    </row>
    <row r="769" spans="1:26" s="436" customFormat="1" ht="15.75" customHeight="1">
      <c r="A769" s="443"/>
      <c r="B769" s="444"/>
      <c r="C769" s="445" t="s">
        <v>1189</v>
      </c>
      <c r="D769" s="543" t="s">
        <v>1190</v>
      </c>
      <c r="E769" s="444" t="s">
        <v>1130</v>
      </c>
      <c r="F769" s="446">
        <f t="shared" si="30"/>
        <v>0</v>
      </c>
      <c r="G769" s="447">
        <f t="shared" si="31"/>
        <v>130</v>
      </c>
      <c r="H769" s="435"/>
      <c r="I769" s="447">
        <f t="shared" si="32"/>
        <v>0</v>
      </c>
      <c r="J769" s="544"/>
      <c r="K769" s="444" t="s">
        <v>1130</v>
      </c>
      <c r="L769" s="449">
        <v>130</v>
      </c>
      <c r="M769" s="289"/>
      <c r="N769" s="245"/>
      <c r="O769" s="450">
        <v>0</v>
      </c>
      <c r="P769" s="451">
        <f t="shared" si="33"/>
        <v>0</v>
      </c>
      <c r="Q769" s="289"/>
      <c r="R769" s="245"/>
      <c r="S769" s="289"/>
      <c r="T769" s="245"/>
      <c r="U769" s="289"/>
      <c r="V769" s="245"/>
      <c r="W769" s="289"/>
      <c r="X769" s="245"/>
      <c r="Y769" s="289"/>
      <c r="Z769" s="245"/>
    </row>
    <row r="770" spans="1:26" s="436" customFormat="1" ht="15.75" customHeight="1">
      <c r="A770" s="443"/>
      <c r="B770" s="444"/>
      <c r="C770" s="445" t="s">
        <v>1191</v>
      </c>
      <c r="D770" s="543" t="s">
        <v>1192</v>
      </c>
      <c r="E770" s="444" t="s">
        <v>1130</v>
      </c>
      <c r="F770" s="446">
        <f t="shared" si="30"/>
        <v>0</v>
      </c>
      <c r="G770" s="447">
        <f t="shared" si="31"/>
        <v>200</v>
      </c>
      <c r="H770" s="435"/>
      <c r="I770" s="447">
        <f t="shared" si="32"/>
        <v>0</v>
      </c>
      <c r="J770" s="544"/>
      <c r="K770" s="444" t="s">
        <v>1130</v>
      </c>
      <c r="L770" s="449">
        <v>200</v>
      </c>
      <c r="M770" s="289"/>
      <c r="N770" s="245"/>
      <c r="O770" s="450">
        <v>0</v>
      </c>
      <c r="P770" s="451">
        <f t="shared" si="33"/>
        <v>0</v>
      </c>
      <c r="Q770" s="289"/>
      <c r="R770" s="245"/>
      <c r="S770" s="289"/>
      <c r="T770" s="245"/>
      <c r="U770" s="289"/>
      <c r="V770" s="245"/>
      <c r="W770" s="289"/>
      <c r="X770" s="245"/>
      <c r="Y770" s="289"/>
      <c r="Z770" s="245"/>
    </row>
    <row r="771" spans="1:26" s="436" customFormat="1" ht="15.75" customHeight="1">
      <c r="A771" s="443"/>
      <c r="B771" s="444"/>
      <c r="C771" s="445" t="s">
        <v>1193</v>
      </c>
      <c r="D771" s="543" t="s">
        <v>1194</v>
      </c>
      <c r="E771" s="444" t="s">
        <v>1130</v>
      </c>
      <c r="F771" s="446">
        <f t="shared" si="30"/>
        <v>0</v>
      </c>
      <c r="G771" s="447">
        <f t="shared" si="31"/>
        <v>130</v>
      </c>
      <c r="H771" s="435"/>
      <c r="I771" s="447">
        <f t="shared" si="32"/>
        <v>0</v>
      </c>
      <c r="J771" s="544"/>
      <c r="K771" s="444" t="s">
        <v>1130</v>
      </c>
      <c r="L771" s="449">
        <v>130</v>
      </c>
      <c r="M771" s="289"/>
      <c r="N771" s="245"/>
      <c r="O771" s="450">
        <v>0</v>
      </c>
      <c r="P771" s="451">
        <f t="shared" si="33"/>
        <v>0</v>
      </c>
      <c r="Q771" s="289"/>
      <c r="R771" s="245"/>
      <c r="S771" s="289"/>
      <c r="T771" s="245"/>
      <c r="U771" s="289"/>
      <c r="V771" s="245"/>
      <c r="W771" s="289"/>
      <c r="X771" s="245"/>
      <c r="Y771" s="289"/>
      <c r="Z771" s="245"/>
    </row>
    <row r="772" spans="1:26" s="436" customFormat="1" ht="15.75" customHeight="1">
      <c r="A772" s="443"/>
      <c r="B772" s="444"/>
      <c r="C772" s="445" t="s">
        <v>1195</v>
      </c>
      <c r="D772" s="543" t="s">
        <v>1196</v>
      </c>
      <c r="E772" s="444" t="s">
        <v>1130</v>
      </c>
      <c r="F772" s="446">
        <f t="shared" si="30"/>
        <v>0</v>
      </c>
      <c r="G772" s="447">
        <f t="shared" si="31"/>
        <v>140</v>
      </c>
      <c r="H772" s="435"/>
      <c r="I772" s="447">
        <f t="shared" si="32"/>
        <v>0</v>
      </c>
      <c r="J772" s="544"/>
      <c r="K772" s="444" t="s">
        <v>1130</v>
      </c>
      <c r="L772" s="449">
        <v>140</v>
      </c>
      <c r="M772" s="289"/>
      <c r="N772" s="245"/>
      <c r="O772" s="450">
        <v>0</v>
      </c>
      <c r="P772" s="451">
        <f t="shared" si="33"/>
        <v>0</v>
      </c>
      <c r="Q772" s="289"/>
      <c r="R772" s="245"/>
      <c r="S772" s="289"/>
      <c r="T772" s="245"/>
      <c r="U772" s="289"/>
      <c r="V772" s="245"/>
      <c r="W772" s="289"/>
      <c r="X772" s="245"/>
      <c r="Y772" s="289"/>
      <c r="Z772" s="245"/>
    </row>
    <row r="773" spans="1:26" s="436" customFormat="1" ht="15.75" customHeight="1">
      <c r="A773" s="443"/>
      <c r="B773" s="444"/>
      <c r="C773" s="445" t="s">
        <v>1197</v>
      </c>
      <c r="D773" s="543" t="s">
        <v>1198</v>
      </c>
      <c r="E773" s="444" t="s">
        <v>1130</v>
      </c>
      <c r="F773" s="446">
        <f t="shared" si="30"/>
        <v>0</v>
      </c>
      <c r="G773" s="447">
        <f t="shared" si="31"/>
        <v>145</v>
      </c>
      <c r="H773" s="435"/>
      <c r="I773" s="447">
        <f t="shared" si="32"/>
        <v>0</v>
      </c>
      <c r="J773" s="544"/>
      <c r="K773" s="444" t="s">
        <v>1130</v>
      </c>
      <c r="L773" s="449">
        <v>145</v>
      </c>
      <c r="M773" s="289"/>
      <c r="N773" s="245"/>
      <c r="O773" s="450">
        <v>0</v>
      </c>
      <c r="P773" s="451">
        <f t="shared" si="33"/>
        <v>0</v>
      </c>
      <c r="Q773" s="289"/>
      <c r="R773" s="245"/>
      <c r="S773" s="289"/>
      <c r="T773" s="245"/>
      <c r="U773" s="289"/>
      <c r="V773" s="245"/>
      <c r="W773" s="289"/>
      <c r="X773" s="245"/>
      <c r="Y773" s="289"/>
      <c r="Z773" s="245"/>
    </row>
    <row r="774" spans="1:26" s="436" customFormat="1" ht="15.75" customHeight="1">
      <c r="A774" s="443"/>
      <c r="B774" s="444"/>
      <c r="C774" s="445" t="s">
        <v>1199</v>
      </c>
      <c r="D774" s="543" t="s">
        <v>1200</v>
      </c>
      <c r="E774" s="444" t="s">
        <v>1130</v>
      </c>
      <c r="F774" s="446">
        <f t="shared" si="30"/>
        <v>0</v>
      </c>
      <c r="G774" s="447">
        <f t="shared" si="31"/>
        <v>200</v>
      </c>
      <c r="H774" s="435"/>
      <c r="I774" s="447">
        <f t="shared" si="32"/>
        <v>0</v>
      </c>
      <c r="J774" s="544"/>
      <c r="K774" s="444" t="s">
        <v>1130</v>
      </c>
      <c r="L774" s="449">
        <v>200</v>
      </c>
      <c r="M774" s="289"/>
      <c r="N774" s="245"/>
      <c r="O774" s="450">
        <v>0</v>
      </c>
      <c r="P774" s="451">
        <f t="shared" si="33"/>
        <v>0</v>
      </c>
      <c r="Q774" s="289"/>
      <c r="R774" s="245"/>
      <c r="S774" s="289"/>
      <c r="T774" s="245"/>
      <c r="U774" s="289"/>
      <c r="V774" s="245"/>
      <c r="W774" s="289"/>
      <c r="X774" s="245"/>
      <c r="Y774" s="289"/>
      <c r="Z774" s="245"/>
    </row>
    <row r="775" spans="1:26" s="436" customFormat="1" ht="15.75" customHeight="1">
      <c r="A775" s="443"/>
      <c r="B775" s="444"/>
      <c r="C775" s="445" t="s">
        <v>1201</v>
      </c>
      <c r="D775" s="543" t="s">
        <v>1202</v>
      </c>
      <c r="E775" s="444" t="s">
        <v>1130</v>
      </c>
      <c r="F775" s="446">
        <f t="shared" si="30"/>
        <v>0</v>
      </c>
      <c r="G775" s="447">
        <f t="shared" si="31"/>
        <v>147</v>
      </c>
      <c r="H775" s="435"/>
      <c r="I775" s="447">
        <f t="shared" si="32"/>
        <v>0</v>
      </c>
      <c r="J775" s="544"/>
      <c r="K775" s="444" t="s">
        <v>1130</v>
      </c>
      <c r="L775" s="449">
        <v>147</v>
      </c>
      <c r="M775" s="289"/>
      <c r="N775" s="245"/>
      <c r="O775" s="450">
        <v>0</v>
      </c>
      <c r="P775" s="451">
        <f t="shared" si="33"/>
        <v>0</v>
      </c>
      <c r="Q775" s="289"/>
      <c r="R775" s="245"/>
      <c r="S775" s="289"/>
      <c r="T775" s="245"/>
      <c r="U775" s="289"/>
      <c r="V775" s="245"/>
      <c r="W775" s="289"/>
      <c r="X775" s="245"/>
      <c r="Y775" s="289"/>
      <c r="Z775" s="245"/>
    </row>
    <row r="776" spans="1:26" s="436" customFormat="1" ht="15.75" customHeight="1">
      <c r="A776" s="443"/>
      <c r="B776" s="444"/>
      <c r="C776" s="445" t="s">
        <v>1203</v>
      </c>
      <c r="D776" s="543" t="s">
        <v>1204</v>
      </c>
      <c r="E776" s="444" t="s">
        <v>1130</v>
      </c>
      <c r="F776" s="446">
        <f t="shared" si="30"/>
        <v>0</v>
      </c>
      <c r="G776" s="447">
        <f t="shared" si="31"/>
        <v>150</v>
      </c>
      <c r="H776" s="435"/>
      <c r="I776" s="447">
        <f t="shared" si="32"/>
        <v>0</v>
      </c>
      <c r="J776" s="544"/>
      <c r="K776" s="444" t="s">
        <v>1130</v>
      </c>
      <c r="L776" s="449">
        <v>150</v>
      </c>
      <c r="M776" s="289"/>
      <c r="N776" s="245"/>
      <c r="O776" s="450">
        <v>0</v>
      </c>
      <c r="P776" s="451">
        <f t="shared" si="33"/>
        <v>0</v>
      </c>
      <c r="Q776" s="289"/>
      <c r="R776" s="245"/>
      <c r="S776" s="289"/>
      <c r="T776" s="245"/>
      <c r="U776" s="289"/>
      <c r="V776" s="245"/>
      <c r="W776" s="289"/>
      <c r="X776" s="245"/>
      <c r="Y776" s="289"/>
      <c r="Z776" s="245"/>
    </row>
    <row r="777" spans="1:26" s="436" customFormat="1" ht="15.75" customHeight="1">
      <c r="A777" s="443"/>
      <c r="B777" s="444"/>
      <c r="C777" s="445" t="s">
        <v>1205</v>
      </c>
      <c r="D777" s="543" t="s">
        <v>1206</v>
      </c>
      <c r="E777" s="444" t="s">
        <v>1130</v>
      </c>
      <c r="F777" s="446">
        <f t="shared" si="30"/>
        <v>0</v>
      </c>
      <c r="G777" s="447">
        <f t="shared" si="31"/>
        <v>156</v>
      </c>
      <c r="H777" s="435"/>
      <c r="I777" s="447">
        <f t="shared" si="32"/>
        <v>0</v>
      </c>
      <c r="J777" s="544"/>
      <c r="K777" s="444" t="s">
        <v>1130</v>
      </c>
      <c r="L777" s="449">
        <v>156</v>
      </c>
      <c r="M777" s="289"/>
      <c r="N777" s="245"/>
      <c r="O777" s="450">
        <v>0</v>
      </c>
      <c r="P777" s="451">
        <f t="shared" si="33"/>
        <v>0</v>
      </c>
      <c r="Q777" s="289"/>
      <c r="R777" s="245"/>
      <c r="S777" s="289"/>
      <c r="T777" s="245"/>
      <c r="U777" s="289"/>
      <c r="V777" s="245"/>
      <c r="W777" s="289"/>
      <c r="X777" s="245"/>
      <c r="Y777" s="289"/>
      <c r="Z777" s="245"/>
    </row>
    <row r="778" spans="1:26" s="436" customFormat="1" ht="15.75" customHeight="1">
      <c r="A778" s="443"/>
      <c r="B778" s="444"/>
      <c r="C778" s="445" t="s">
        <v>1207</v>
      </c>
      <c r="D778" s="543" t="s">
        <v>1208</v>
      </c>
      <c r="E778" s="444" t="s">
        <v>1130</v>
      </c>
      <c r="F778" s="446">
        <f t="shared" si="30"/>
        <v>0</v>
      </c>
      <c r="G778" s="447">
        <f t="shared" si="31"/>
        <v>160</v>
      </c>
      <c r="H778" s="435"/>
      <c r="I778" s="447">
        <f t="shared" si="32"/>
        <v>0</v>
      </c>
      <c r="J778" s="544"/>
      <c r="K778" s="444" t="s">
        <v>1130</v>
      </c>
      <c r="L778" s="449">
        <v>160</v>
      </c>
      <c r="M778" s="289"/>
      <c r="N778" s="245"/>
      <c r="O778" s="450">
        <v>0</v>
      </c>
      <c r="P778" s="451">
        <f t="shared" si="33"/>
        <v>0</v>
      </c>
      <c r="Q778" s="289"/>
      <c r="R778" s="245"/>
      <c r="S778" s="289"/>
      <c r="T778" s="245"/>
      <c r="U778" s="289"/>
      <c r="V778" s="245"/>
      <c r="W778" s="289"/>
      <c r="X778" s="245"/>
      <c r="Y778" s="289"/>
      <c r="Z778" s="245"/>
    </row>
    <row r="779" spans="1:26" s="436" customFormat="1" ht="15.75" customHeight="1">
      <c r="A779" s="443"/>
      <c r="B779" s="444"/>
      <c r="C779" s="445" t="s">
        <v>1209</v>
      </c>
      <c r="D779" s="543" t="s">
        <v>1210</v>
      </c>
      <c r="E779" s="444" t="s">
        <v>1130</v>
      </c>
      <c r="F779" s="446">
        <f t="shared" si="30"/>
        <v>0</v>
      </c>
      <c r="G779" s="447">
        <f t="shared" si="31"/>
        <v>250</v>
      </c>
      <c r="H779" s="435"/>
      <c r="I779" s="447">
        <f t="shared" si="32"/>
        <v>0</v>
      </c>
      <c r="J779" s="544"/>
      <c r="K779" s="444" t="s">
        <v>1130</v>
      </c>
      <c r="L779" s="449">
        <v>250</v>
      </c>
      <c r="M779" s="289"/>
      <c r="N779" s="245"/>
      <c r="O779" s="450">
        <v>0</v>
      </c>
      <c r="P779" s="451">
        <f t="shared" si="33"/>
        <v>0</v>
      </c>
      <c r="Q779" s="289"/>
      <c r="R779" s="245"/>
      <c r="S779" s="289"/>
      <c r="T779" s="245"/>
      <c r="U779" s="289"/>
      <c r="V779" s="245"/>
      <c r="W779" s="289"/>
      <c r="X779" s="245"/>
      <c r="Y779" s="289"/>
      <c r="Z779" s="245"/>
    </row>
    <row r="780" spans="1:26" s="436" customFormat="1" ht="15.75" customHeight="1">
      <c r="A780" s="443"/>
      <c r="B780" s="444"/>
      <c r="C780" s="445" t="s">
        <v>1211</v>
      </c>
      <c r="D780" s="543" t="s">
        <v>1212</v>
      </c>
      <c r="E780" s="444" t="s">
        <v>1130</v>
      </c>
      <c r="F780" s="446">
        <f t="shared" si="30"/>
        <v>0</v>
      </c>
      <c r="G780" s="447">
        <f t="shared" si="31"/>
        <v>160</v>
      </c>
      <c r="H780" s="435"/>
      <c r="I780" s="447">
        <f t="shared" si="32"/>
        <v>0</v>
      </c>
      <c r="J780" s="544"/>
      <c r="K780" s="444" t="s">
        <v>1130</v>
      </c>
      <c r="L780" s="449">
        <v>160</v>
      </c>
      <c r="M780" s="289"/>
      <c r="N780" s="245"/>
      <c r="O780" s="450">
        <v>0</v>
      </c>
      <c r="P780" s="451">
        <f t="shared" si="33"/>
        <v>0</v>
      </c>
      <c r="Q780" s="289"/>
      <c r="R780" s="245"/>
      <c r="S780" s="289"/>
      <c r="T780" s="245"/>
      <c r="U780" s="289"/>
      <c r="V780" s="245"/>
      <c r="W780" s="289"/>
      <c r="X780" s="245"/>
      <c r="Y780" s="289"/>
      <c r="Z780" s="245"/>
    </row>
    <row r="781" spans="1:26" s="436" customFormat="1" ht="15.75" customHeight="1">
      <c r="A781" s="443"/>
      <c r="B781" s="444"/>
      <c r="C781" s="445" t="s">
        <v>1213</v>
      </c>
      <c r="D781" s="543" t="s">
        <v>1214</v>
      </c>
      <c r="E781" s="444" t="s">
        <v>1130</v>
      </c>
      <c r="F781" s="446">
        <f t="shared" si="30"/>
        <v>0</v>
      </c>
      <c r="G781" s="447">
        <f t="shared" si="31"/>
        <v>163</v>
      </c>
      <c r="H781" s="435"/>
      <c r="I781" s="447">
        <f t="shared" si="32"/>
        <v>0</v>
      </c>
      <c r="J781" s="544"/>
      <c r="K781" s="444" t="s">
        <v>1130</v>
      </c>
      <c r="L781" s="449">
        <v>163</v>
      </c>
      <c r="M781" s="289"/>
      <c r="N781" s="245"/>
      <c r="O781" s="450">
        <v>0</v>
      </c>
      <c r="P781" s="451">
        <f t="shared" si="33"/>
        <v>0</v>
      </c>
      <c r="Q781" s="289"/>
      <c r="R781" s="245"/>
      <c r="S781" s="289"/>
      <c r="T781" s="245"/>
      <c r="U781" s="289"/>
      <c r="V781" s="245"/>
      <c r="W781" s="289"/>
      <c r="X781" s="245"/>
      <c r="Y781" s="289"/>
      <c r="Z781" s="245"/>
    </row>
    <row r="782" spans="1:26" s="436" customFormat="1" ht="15.75" customHeight="1">
      <c r="A782" s="443"/>
      <c r="B782" s="444"/>
      <c r="C782" s="445" t="s">
        <v>1215</v>
      </c>
      <c r="D782" s="543" t="s">
        <v>1216</v>
      </c>
      <c r="E782" s="444" t="s">
        <v>1130</v>
      </c>
      <c r="F782" s="446">
        <f t="shared" si="30"/>
        <v>0</v>
      </c>
      <c r="G782" s="447">
        <f t="shared" si="31"/>
        <v>168</v>
      </c>
      <c r="H782" s="435"/>
      <c r="I782" s="447">
        <f t="shared" si="32"/>
        <v>0</v>
      </c>
      <c r="J782" s="544"/>
      <c r="K782" s="444" t="s">
        <v>1130</v>
      </c>
      <c r="L782" s="449">
        <v>168</v>
      </c>
      <c r="M782" s="289"/>
      <c r="N782" s="245"/>
      <c r="O782" s="450">
        <v>0</v>
      </c>
      <c r="P782" s="451">
        <f t="shared" si="33"/>
        <v>0</v>
      </c>
      <c r="Q782" s="289"/>
      <c r="R782" s="245"/>
      <c r="S782" s="289"/>
      <c r="T782" s="245"/>
      <c r="U782" s="289"/>
      <c r="V782" s="245"/>
      <c r="W782" s="289"/>
      <c r="X782" s="245"/>
      <c r="Y782" s="289"/>
      <c r="Z782" s="245"/>
    </row>
    <row r="783" spans="1:26" s="436" customFormat="1" ht="15.75" customHeight="1">
      <c r="A783" s="443"/>
      <c r="B783" s="444"/>
      <c r="C783" s="445" t="s">
        <v>1217</v>
      </c>
      <c r="D783" s="543" t="s">
        <v>1218</v>
      </c>
      <c r="E783" s="444" t="s">
        <v>1130</v>
      </c>
      <c r="F783" s="446">
        <f t="shared" si="30"/>
        <v>0</v>
      </c>
      <c r="G783" s="447">
        <f t="shared" si="31"/>
        <v>171</v>
      </c>
      <c r="H783" s="435"/>
      <c r="I783" s="447">
        <f t="shared" si="32"/>
        <v>0</v>
      </c>
      <c r="J783" s="544"/>
      <c r="K783" s="444" t="s">
        <v>1130</v>
      </c>
      <c r="L783" s="449">
        <v>171</v>
      </c>
      <c r="M783" s="289"/>
      <c r="N783" s="245"/>
      <c r="O783" s="450">
        <v>0</v>
      </c>
      <c r="P783" s="451">
        <f t="shared" si="33"/>
        <v>0</v>
      </c>
      <c r="Q783" s="289"/>
      <c r="R783" s="245"/>
      <c r="S783" s="289"/>
      <c r="T783" s="245"/>
      <c r="U783" s="289"/>
      <c r="V783" s="245"/>
      <c r="W783" s="289"/>
      <c r="X783" s="245"/>
      <c r="Y783" s="289"/>
      <c r="Z783" s="245"/>
    </row>
    <row r="784" spans="1:26" s="436" customFormat="1" ht="15.75" customHeight="1">
      <c r="A784" s="443"/>
      <c r="B784" s="444"/>
      <c r="C784" s="445" t="s">
        <v>1219</v>
      </c>
      <c r="D784" s="543" t="s">
        <v>1220</v>
      </c>
      <c r="E784" s="444" t="s">
        <v>1130</v>
      </c>
      <c r="F784" s="446">
        <f t="shared" si="30"/>
        <v>0</v>
      </c>
      <c r="G784" s="447">
        <f t="shared" si="31"/>
        <v>180</v>
      </c>
      <c r="H784" s="435"/>
      <c r="I784" s="447">
        <f t="shared" si="32"/>
        <v>0</v>
      </c>
      <c r="J784" s="544"/>
      <c r="K784" s="444" t="s">
        <v>1130</v>
      </c>
      <c r="L784" s="449">
        <v>180</v>
      </c>
      <c r="M784" s="289"/>
      <c r="N784" s="245"/>
      <c r="O784" s="450">
        <v>0</v>
      </c>
      <c r="P784" s="451">
        <f t="shared" si="33"/>
        <v>0</v>
      </c>
      <c r="Q784" s="289"/>
      <c r="R784" s="245"/>
      <c r="S784" s="289"/>
      <c r="T784" s="245"/>
      <c r="U784" s="289"/>
      <c r="V784" s="245"/>
      <c r="W784" s="289"/>
      <c r="X784" s="245"/>
      <c r="Y784" s="289"/>
      <c r="Z784" s="245"/>
    </row>
    <row r="785" spans="1:26" s="436" customFormat="1" ht="15.75" customHeight="1">
      <c r="A785" s="443"/>
      <c r="B785" s="444"/>
      <c r="C785" s="445" t="s">
        <v>1221</v>
      </c>
      <c r="D785" s="543" t="s">
        <v>1222</v>
      </c>
      <c r="E785" s="444" t="s">
        <v>1130</v>
      </c>
      <c r="F785" s="446">
        <f t="shared" si="30"/>
        <v>0</v>
      </c>
      <c r="G785" s="447">
        <f t="shared" si="31"/>
        <v>280</v>
      </c>
      <c r="H785" s="435"/>
      <c r="I785" s="447">
        <f t="shared" si="32"/>
        <v>0</v>
      </c>
      <c r="J785" s="544"/>
      <c r="K785" s="444" t="s">
        <v>1130</v>
      </c>
      <c r="L785" s="449">
        <v>280</v>
      </c>
      <c r="M785" s="289"/>
      <c r="N785" s="245"/>
      <c r="O785" s="450">
        <v>0</v>
      </c>
      <c r="P785" s="451">
        <f t="shared" si="33"/>
        <v>0</v>
      </c>
      <c r="Q785" s="289"/>
      <c r="R785" s="245"/>
      <c r="S785" s="289"/>
      <c r="T785" s="245"/>
      <c r="U785" s="289"/>
      <c r="V785" s="245"/>
      <c r="W785" s="289"/>
      <c r="X785" s="245"/>
      <c r="Y785" s="289"/>
      <c r="Z785" s="245"/>
    </row>
    <row r="786" spans="1:26" s="436" customFormat="1" ht="15.75" customHeight="1">
      <c r="A786" s="443"/>
      <c r="B786" s="444"/>
      <c r="C786" s="445" t="s">
        <v>1223</v>
      </c>
      <c r="D786" s="543" t="s">
        <v>1224</v>
      </c>
      <c r="E786" s="444" t="s">
        <v>1130</v>
      </c>
      <c r="F786" s="446">
        <f t="shared" si="30"/>
        <v>0</v>
      </c>
      <c r="G786" s="447">
        <f t="shared" si="31"/>
        <v>165</v>
      </c>
      <c r="H786" s="435"/>
      <c r="I786" s="447">
        <f t="shared" si="32"/>
        <v>0</v>
      </c>
      <c r="J786" s="544"/>
      <c r="K786" s="444" t="s">
        <v>1130</v>
      </c>
      <c r="L786" s="449">
        <v>165</v>
      </c>
      <c r="M786" s="289"/>
      <c r="N786" s="245"/>
      <c r="O786" s="450">
        <v>0</v>
      </c>
      <c r="P786" s="451">
        <f t="shared" si="33"/>
        <v>0</v>
      </c>
      <c r="Q786" s="289"/>
      <c r="R786" s="245"/>
      <c r="S786" s="289"/>
      <c r="T786" s="245"/>
      <c r="U786" s="289"/>
      <c r="V786" s="245"/>
      <c r="W786" s="289"/>
      <c r="X786" s="245"/>
      <c r="Y786" s="289"/>
      <c r="Z786" s="245"/>
    </row>
    <row r="787" spans="1:26" s="436" customFormat="1" ht="15.75" customHeight="1">
      <c r="A787" s="443"/>
      <c r="B787" s="444"/>
      <c r="C787" s="445" t="s">
        <v>1225</v>
      </c>
      <c r="D787" s="543" t="s">
        <v>1226</v>
      </c>
      <c r="E787" s="444" t="s">
        <v>1130</v>
      </c>
      <c r="F787" s="446">
        <f t="shared" si="30"/>
        <v>0</v>
      </c>
      <c r="G787" s="447">
        <f t="shared" si="31"/>
        <v>168</v>
      </c>
      <c r="H787" s="435"/>
      <c r="I787" s="447">
        <f t="shared" si="32"/>
        <v>0</v>
      </c>
      <c r="J787" s="544"/>
      <c r="K787" s="444" t="s">
        <v>1130</v>
      </c>
      <c r="L787" s="449">
        <v>168</v>
      </c>
      <c r="M787" s="289"/>
      <c r="N787" s="245"/>
      <c r="O787" s="450">
        <v>0</v>
      </c>
      <c r="P787" s="451">
        <f t="shared" si="33"/>
        <v>0</v>
      </c>
      <c r="Q787" s="289"/>
      <c r="R787" s="245"/>
      <c r="S787" s="289"/>
      <c r="T787" s="245"/>
      <c r="U787" s="289"/>
      <c r="V787" s="245"/>
      <c r="W787" s="289"/>
      <c r="X787" s="245"/>
      <c r="Y787" s="289"/>
      <c r="Z787" s="245"/>
    </row>
    <row r="788" spans="1:26" s="436" customFormat="1" ht="15.75" customHeight="1">
      <c r="A788" s="443"/>
      <c r="B788" s="444"/>
      <c r="C788" s="445" t="s">
        <v>1227</v>
      </c>
      <c r="D788" s="543" t="s">
        <v>1228</v>
      </c>
      <c r="E788" s="444" t="s">
        <v>1130</v>
      </c>
      <c r="F788" s="446">
        <f t="shared" si="30"/>
        <v>0</v>
      </c>
      <c r="G788" s="447">
        <f t="shared" si="31"/>
        <v>174</v>
      </c>
      <c r="H788" s="435"/>
      <c r="I788" s="447">
        <f t="shared" si="32"/>
        <v>0</v>
      </c>
      <c r="J788" s="544"/>
      <c r="K788" s="444" t="s">
        <v>1130</v>
      </c>
      <c r="L788" s="449">
        <v>174</v>
      </c>
      <c r="M788" s="289"/>
      <c r="N788" s="245"/>
      <c r="O788" s="450">
        <v>0</v>
      </c>
      <c r="P788" s="451">
        <f t="shared" si="33"/>
        <v>0</v>
      </c>
      <c r="Q788" s="289"/>
      <c r="R788" s="245"/>
      <c r="S788" s="289"/>
      <c r="T788" s="245"/>
      <c r="U788" s="289"/>
      <c r="V788" s="245"/>
      <c r="W788" s="289"/>
      <c r="X788" s="245"/>
      <c r="Y788" s="289"/>
      <c r="Z788" s="245"/>
    </row>
    <row r="789" spans="1:26" s="436" customFormat="1" ht="15.75" customHeight="1">
      <c r="A789" s="443"/>
      <c r="B789" s="444"/>
      <c r="C789" s="445" t="s">
        <v>1229</v>
      </c>
      <c r="D789" s="543" t="s">
        <v>1230</v>
      </c>
      <c r="E789" s="444" t="s">
        <v>1130</v>
      </c>
      <c r="F789" s="446">
        <f t="shared" si="30"/>
        <v>0</v>
      </c>
      <c r="G789" s="447">
        <f t="shared" si="31"/>
        <v>179</v>
      </c>
      <c r="H789" s="435"/>
      <c r="I789" s="447">
        <f t="shared" si="32"/>
        <v>0</v>
      </c>
      <c r="J789" s="544"/>
      <c r="K789" s="444" t="s">
        <v>1130</v>
      </c>
      <c r="L789" s="449">
        <v>179</v>
      </c>
      <c r="M789" s="289"/>
      <c r="N789" s="245"/>
      <c r="O789" s="450">
        <v>0</v>
      </c>
      <c r="P789" s="451">
        <f t="shared" si="33"/>
        <v>0</v>
      </c>
      <c r="Q789" s="289"/>
      <c r="R789" s="245"/>
      <c r="S789" s="289"/>
      <c r="T789" s="245"/>
      <c r="U789" s="289"/>
      <c r="V789" s="245"/>
      <c r="W789" s="289"/>
      <c r="X789" s="245"/>
      <c r="Y789" s="289"/>
      <c r="Z789" s="245"/>
    </row>
    <row r="790" spans="1:26" s="436" customFormat="1" ht="15.75" customHeight="1">
      <c r="A790" s="443"/>
      <c r="B790" s="444"/>
      <c r="C790" s="445" t="s">
        <v>1231</v>
      </c>
      <c r="D790" s="543" t="s">
        <v>1280</v>
      </c>
      <c r="E790" s="444" t="s">
        <v>1130</v>
      </c>
      <c r="F790" s="446">
        <f t="shared" si="30"/>
        <v>0</v>
      </c>
      <c r="G790" s="447">
        <f t="shared" si="31"/>
        <v>190</v>
      </c>
      <c r="H790" s="435"/>
      <c r="I790" s="447">
        <f t="shared" si="32"/>
        <v>0</v>
      </c>
      <c r="J790" s="544"/>
      <c r="K790" s="444" t="s">
        <v>1130</v>
      </c>
      <c r="L790" s="449">
        <v>190</v>
      </c>
      <c r="M790" s="289"/>
      <c r="N790" s="245"/>
      <c r="O790" s="450">
        <v>0</v>
      </c>
      <c r="P790" s="451">
        <f t="shared" si="33"/>
        <v>0</v>
      </c>
      <c r="Q790" s="289"/>
      <c r="R790" s="245"/>
      <c r="S790" s="289"/>
      <c r="T790" s="245"/>
      <c r="U790" s="289"/>
      <c r="V790" s="245"/>
      <c r="W790" s="289"/>
      <c r="X790" s="245"/>
      <c r="Y790" s="289"/>
      <c r="Z790" s="245"/>
    </row>
    <row r="791" spans="1:26" s="436" customFormat="1" ht="15.75" customHeight="1">
      <c r="A791" s="443"/>
      <c r="B791" s="444"/>
      <c r="C791" s="445" t="s">
        <v>1281</v>
      </c>
      <c r="D791" s="543" t="s">
        <v>1282</v>
      </c>
      <c r="E791" s="444" t="s">
        <v>1130</v>
      </c>
      <c r="F791" s="446">
        <f t="shared" si="30"/>
        <v>0</v>
      </c>
      <c r="G791" s="447">
        <f t="shared" si="31"/>
        <v>200</v>
      </c>
      <c r="H791" s="435"/>
      <c r="I791" s="447">
        <f t="shared" si="32"/>
        <v>0</v>
      </c>
      <c r="J791" s="544"/>
      <c r="K791" s="444" t="s">
        <v>1130</v>
      </c>
      <c r="L791" s="449">
        <v>200</v>
      </c>
      <c r="M791" s="289"/>
      <c r="N791" s="245"/>
      <c r="O791" s="450">
        <v>0</v>
      </c>
      <c r="P791" s="451">
        <f t="shared" si="33"/>
        <v>0</v>
      </c>
      <c r="Q791" s="289"/>
      <c r="R791" s="245"/>
      <c r="S791" s="289"/>
      <c r="T791" s="245"/>
      <c r="U791" s="289"/>
      <c r="V791" s="245"/>
      <c r="W791" s="289"/>
      <c r="X791" s="245"/>
      <c r="Y791" s="289"/>
      <c r="Z791" s="245"/>
    </row>
    <row r="792" spans="1:26" s="436" customFormat="1" ht="15.75" customHeight="1">
      <c r="A792" s="443"/>
      <c r="B792" s="444"/>
      <c r="C792" s="445" t="s">
        <v>1283</v>
      </c>
      <c r="D792" s="543" t="s">
        <v>1284</v>
      </c>
      <c r="E792" s="444" t="s">
        <v>1130</v>
      </c>
      <c r="F792" s="446">
        <f t="shared" si="30"/>
        <v>0</v>
      </c>
      <c r="G792" s="447">
        <f t="shared" si="31"/>
        <v>300</v>
      </c>
      <c r="H792" s="435"/>
      <c r="I792" s="447">
        <f t="shared" si="32"/>
        <v>0</v>
      </c>
      <c r="J792" s="544"/>
      <c r="K792" s="444" t="s">
        <v>1130</v>
      </c>
      <c r="L792" s="449">
        <v>300</v>
      </c>
      <c r="M792" s="289"/>
      <c r="N792" s="245"/>
      <c r="O792" s="450">
        <v>0</v>
      </c>
      <c r="P792" s="451">
        <f t="shared" si="33"/>
        <v>0</v>
      </c>
      <c r="Q792" s="289"/>
      <c r="R792" s="245"/>
      <c r="S792" s="289"/>
      <c r="T792" s="245"/>
      <c r="U792" s="289"/>
      <c r="V792" s="245"/>
      <c r="W792" s="289"/>
      <c r="X792" s="245"/>
      <c r="Y792" s="289"/>
      <c r="Z792" s="245"/>
    </row>
    <row r="793" spans="1:26" s="436" customFormat="1" ht="15.75" customHeight="1">
      <c r="A793" s="443"/>
      <c r="B793" s="444"/>
      <c r="C793" s="445" t="s">
        <v>1285</v>
      </c>
      <c r="D793" s="543" t="s">
        <v>1286</v>
      </c>
      <c r="E793" s="444" t="s">
        <v>1130</v>
      </c>
      <c r="F793" s="446">
        <f t="shared" si="30"/>
        <v>0</v>
      </c>
      <c r="G793" s="447">
        <f t="shared" si="31"/>
        <v>210</v>
      </c>
      <c r="H793" s="435"/>
      <c r="I793" s="447">
        <f t="shared" si="32"/>
        <v>0</v>
      </c>
      <c r="J793" s="544"/>
      <c r="K793" s="444" t="s">
        <v>1130</v>
      </c>
      <c r="L793" s="449">
        <v>210</v>
      </c>
      <c r="M793" s="289"/>
      <c r="N793" s="245"/>
      <c r="O793" s="450">
        <v>0</v>
      </c>
      <c r="P793" s="451">
        <f t="shared" si="33"/>
        <v>0</v>
      </c>
      <c r="Q793" s="289"/>
      <c r="R793" s="245"/>
      <c r="S793" s="289"/>
      <c r="T793" s="245"/>
      <c r="U793" s="289"/>
      <c r="V793" s="245"/>
      <c r="W793" s="289"/>
      <c r="X793" s="245"/>
      <c r="Y793" s="289"/>
      <c r="Z793" s="245"/>
    </row>
    <row r="794" spans="1:26" s="436" customFormat="1" ht="15.75" customHeight="1">
      <c r="A794" s="443"/>
      <c r="B794" s="444"/>
      <c r="C794" s="445" t="s">
        <v>1287</v>
      </c>
      <c r="D794" s="543" t="s">
        <v>1288</v>
      </c>
      <c r="E794" s="444" t="s">
        <v>1130</v>
      </c>
      <c r="F794" s="446">
        <f t="shared" si="30"/>
        <v>0</v>
      </c>
      <c r="G794" s="447">
        <f t="shared" si="31"/>
        <v>215</v>
      </c>
      <c r="H794" s="435"/>
      <c r="I794" s="447">
        <f t="shared" si="32"/>
        <v>0</v>
      </c>
      <c r="J794" s="544"/>
      <c r="K794" s="444" t="s">
        <v>1130</v>
      </c>
      <c r="L794" s="449">
        <v>215</v>
      </c>
      <c r="M794" s="289"/>
      <c r="N794" s="245"/>
      <c r="O794" s="450">
        <v>0</v>
      </c>
      <c r="P794" s="451">
        <f t="shared" si="33"/>
        <v>0</v>
      </c>
      <c r="Q794" s="289"/>
      <c r="R794" s="245"/>
      <c r="S794" s="289"/>
      <c r="T794" s="245"/>
      <c r="U794" s="289"/>
      <c r="V794" s="245"/>
      <c r="W794" s="289"/>
      <c r="X794" s="245"/>
      <c r="Y794" s="289"/>
      <c r="Z794" s="245"/>
    </row>
    <row r="795" spans="1:26" s="436" customFormat="1" ht="15.75" customHeight="1">
      <c r="A795" s="443"/>
      <c r="B795" s="444"/>
      <c r="C795" s="445" t="s">
        <v>1289</v>
      </c>
      <c r="D795" s="543" t="s">
        <v>1234</v>
      </c>
      <c r="E795" s="444" t="s">
        <v>1130</v>
      </c>
      <c r="F795" s="446">
        <f t="shared" si="30"/>
        <v>0</v>
      </c>
      <c r="G795" s="447">
        <f t="shared" si="31"/>
        <v>221</v>
      </c>
      <c r="H795" s="435"/>
      <c r="I795" s="447">
        <f t="shared" si="32"/>
        <v>0</v>
      </c>
      <c r="J795" s="544"/>
      <c r="K795" s="444" t="s">
        <v>1130</v>
      </c>
      <c r="L795" s="449">
        <v>221</v>
      </c>
      <c r="M795" s="289"/>
      <c r="N795" s="245"/>
      <c r="O795" s="450">
        <v>0</v>
      </c>
      <c r="P795" s="451">
        <f t="shared" si="33"/>
        <v>0</v>
      </c>
      <c r="Q795" s="289"/>
      <c r="R795" s="245"/>
      <c r="S795" s="289"/>
      <c r="T795" s="245"/>
      <c r="U795" s="289"/>
      <c r="V795" s="245"/>
      <c r="W795" s="289"/>
      <c r="X795" s="245"/>
      <c r="Y795" s="289"/>
      <c r="Z795" s="245"/>
    </row>
    <row r="796" spans="1:26" s="436" customFormat="1" ht="15.75" customHeight="1">
      <c r="A796" s="443"/>
      <c r="B796" s="444"/>
      <c r="C796" s="445" t="s">
        <v>1235</v>
      </c>
      <c r="D796" s="543" t="s">
        <v>1236</v>
      </c>
      <c r="E796" s="444" t="s">
        <v>1130</v>
      </c>
      <c r="F796" s="446">
        <f t="shared" si="30"/>
        <v>0</v>
      </c>
      <c r="G796" s="447">
        <f t="shared" si="31"/>
        <v>225</v>
      </c>
      <c r="H796" s="435"/>
      <c r="I796" s="447">
        <f t="shared" si="32"/>
        <v>0</v>
      </c>
      <c r="J796" s="544"/>
      <c r="K796" s="444" t="s">
        <v>1130</v>
      </c>
      <c r="L796" s="449">
        <v>225</v>
      </c>
      <c r="M796" s="289"/>
      <c r="N796" s="245"/>
      <c r="O796" s="450">
        <v>0</v>
      </c>
      <c r="P796" s="451">
        <f t="shared" si="33"/>
        <v>0</v>
      </c>
      <c r="Q796" s="289"/>
      <c r="R796" s="245"/>
      <c r="S796" s="289"/>
      <c r="T796" s="245"/>
      <c r="U796" s="289"/>
      <c r="V796" s="245"/>
      <c r="W796" s="289"/>
      <c r="X796" s="245"/>
      <c r="Y796" s="289"/>
      <c r="Z796" s="245"/>
    </row>
    <row r="797" spans="1:26" s="436" customFormat="1" ht="15.75" customHeight="1">
      <c r="A797" s="443"/>
      <c r="B797" s="444"/>
      <c r="C797" s="445" t="s">
        <v>1237</v>
      </c>
      <c r="D797" s="543" t="s">
        <v>1238</v>
      </c>
      <c r="E797" s="444" t="s">
        <v>1130</v>
      </c>
      <c r="F797" s="446">
        <f t="shared" si="30"/>
        <v>0</v>
      </c>
      <c r="G797" s="447">
        <f t="shared" si="31"/>
        <v>237</v>
      </c>
      <c r="H797" s="435"/>
      <c r="I797" s="447">
        <f t="shared" si="32"/>
        <v>0</v>
      </c>
      <c r="J797" s="544"/>
      <c r="K797" s="444" t="s">
        <v>1130</v>
      </c>
      <c r="L797" s="449">
        <v>237</v>
      </c>
      <c r="M797" s="289"/>
      <c r="N797" s="245"/>
      <c r="O797" s="450">
        <v>0</v>
      </c>
      <c r="P797" s="451">
        <f t="shared" si="33"/>
        <v>0</v>
      </c>
      <c r="Q797" s="289"/>
      <c r="R797" s="245"/>
      <c r="S797" s="289"/>
      <c r="T797" s="245"/>
      <c r="U797" s="289"/>
      <c r="V797" s="245"/>
      <c r="W797" s="289"/>
      <c r="X797" s="245"/>
      <c r="Y797" s="289"/>
      <c r="Z797" s="245"/>
    </row>
    <row r="798" spans="1:26" s="436" customFormat="1" ht="15.75" customHeight="1">
      <c r="A798" s="443"/>
      <c r="B798" s="444"/>
      <c r="C798" s="445" t="s">
        <v>1239</v>
      </c>
      <c r="D798" s="543" t="s">
        <v>1240</v>
      </c>
      <c r="E798" s="444" t="s">
        <v>1130</v>
      </c>
      <c r="F798" s="446">
        <f t="shared" si="30"/>
        <v>0</v>
      </c>
      <c r="G798" s="447">
        <f t="shared" si="31"/>
        <v>247</v>
      </c>
      <c r="H798" s="435"/>
      <c r="I798" s="447">
        <f t="shared" si="32"/>
        <v>0</v>
      </c>
      <c r="J798" s="544"/>
      <c r="K798" s="444" t="s">
        <v>1130</v>
      </c>
      <c r="L798" s="449">
        <v>247</v>
      </c>
      <c r="M798" s="289"/>
      <c r="N798" s="245"/>
      <c r="O798" s="450">
        <v>0</v>
      </c>
      <c r="P798" s="451">
        <f t="shared" si="33"/>
        <v>0</v>
      </c>
      <c r="Q798" s="289"/>
      <c r="R798" s="245"/>
      <c r="S798" s="289"/>
      <c r="T798" s="245"/>
      <c r="U798" s="289"/>
      <c r="V798" s="245"/>
      <c r="W798" s="289"/>
      <c r="X798" s="245"/>
      <c r="Y798" s="289"/>
      <c r="Z798" s="245"/>
    </row>
    <row r="799" spans="1:26" s="436" customFormat="1" ht="15.75" customHeight="1">
      <c r="A799" s="443"/>
      <c r="B799" s="444"/>
      <c r="C799" s="445" t="s">
        <v>1241</v>
      </c>
      <c r="D799" s="543" t="s">
        <v>1242</v>
      </c>
      <c r="E799" s="444" t="s">
        <v>1130</v>
      </c>
      <c r="F799" s="446">
        <f t="shared" si="30"/>
        <v>0</v>
      </c>
      <c r="G799" s="447">
        <f t="shared" si="31"/>
        <v>257</v>
      </c>
      <c r="H799" s="435"/>
      <c r="I799" s="447">
        <f t="shared" si="32"/>
        <v>0</v>
      </c>
      <c r="J799" s="544"/>
      <c r="K799" s="444" t="s">
        <v>1130</v>
      </c>
      <c r="L799" s="449">
        <v>257</v>
      </c>
      <c r="M799" s="289"/>
      <c r="N799" s="245"/>
      <c r="O799" s="450">
        <v>0</v>
      </c>
      <c r="P799" s="451">
        <f t="shared" si="33"/>
        <v>0</v>
      </c>
      <c r="Q799" s="289"/>
      <c r="R799" s="245"/>
      <c r="S799" s="289"/>
      <c r="T799" s="245"/>
      <c r="U799" s="289"/>
      <c r="V799" s="245"/>
      <c r="W799" s="289"/>
      <c r="X799" s="245"/>
      <c r="Y799" s="289"/>
      <c r="Z799" s="245"/>
    </row>
    <row r="800" spans="1:26" s="436" customFormat="1" ht="15.75" customHeight="1">
      <c r="A800" s="443"/>
      <c r="B800" s="444"/>
      <c r="C800" s="445" t="s">
        <v>1243</v>
      </c>
      <c r="D800" s="543" t="s">
        <v>1244</v>
      </c>
      <c r="E800" s="444" t="s">
        <v>1130</v>
      </c>
      <c r="F800" s="446">
        <f t="shared" si="30"/>
        <v>0</v>
      </c>
      <c r="G800" s="447">
        <f t="shared" si="31"/>
        <v>450</v>
      </c>
      <c r="H800" s="435"/>
      <c r="I800" s="447">
        <f t="shared" si="32"/>
        <v>0</v>
      </c>
      <c r="J800" s="544"/>
      <c r="K800" s="444" t="s">
        <v>1130</v>
      </c>
      <c r="L800" s="449">
        <v>450</v>
      </c>
      <c r="M800" s="289"/>
      <c r="N800" s="245"/>
      <c r="O800" s="450">
        <v>0</v>
      </c>
      <c r="P800" s="451">
        <f t="shared" si="33"/>
        <v>0</v>
      </c>
      <c r="Q800" s="289"/>
      <c r="R800" s="245"/>
      <c r="S800" s="289"/>
      <c r="T800" s="245"/>
      <c r="U800" s="289"/>
      <c r="V800" s="245"/>
      <c r="W800" s="289"/>
      <c r="X800" s="245"/>
      <c r="Y800" s="289"/>
      <c r="Z800" s="245"/>
    </row>
    <row r="801" spans="1:26" s="436" customFormat="1" ht="15.75" customHeight="1">
      <c r="A801" s="443"/>
      <c r="B801" s="444"/>
      <c r="C801" s="445" t="s">
        <v>1245</v>
      </c>
      <c r="D801" s="543" t="s">
        <v>1246</v>
      </c>
      <c r="E801" s="444" t="s">
        <v>1130</v>
      </c>
      <c r="F801" s="446">
        <f t="shared" si="30"/>
        <v>0</v>
      </c>
      <c r="G801" s="447">
        <f t="shared" si="31"/>
        <v>229</v>
      </c>
      <c r="H801" s="435"/>
      <c r="I801" s="447">
        <f t="shared" si="32"/>
        <v>0</v>
      </c>
      <c r="J801" s="544"/>
      <c r="K801" s="444" t="s">
        <v>1130</v>
      </c>
      <c r="L801" s="449">
        <v>229</v>
      </c>
      <c r="M801" s="289"/>
      <c r="N801" s="245"/>
      <c r="O801" s="450">
        <v>0</v>
      </c>
      <c r="P801" s="451">
        <f t="shared" si="33"/>
        <v>0</v>
      </c>
      <c r="Q801" s="289"/>
      <c r="R801" s="245"/>
      <c r="S801" s="289"/>
      <c r="T801" s="245"/>
      <c r="U801" s="289"/>
      <c r="V801" s="245"/>
      <c r="W801" s="289"/>
      <c r="X801" s="245"/>
      <c r="Y801" s="289"/>
      <c r="Z801" s="245"/>
    </row>
    <row r="802" spans="1:26" s="436" customFormat="1" ht="15.75" customHeight="1">
      <c r="A802" s="443"/>
      <c r="B802" s="444"/>
      <c r="C802" s="445" t="s">
        <v>1247</v>
      </c>
      <c r="D802" s="543" t="s">
        <v>1248</v>
      </c>
      <c r="E802" s="444" t="s">
        <v>1130</v>
      </c>
      <c r="F802" s="446">
        <f t="shared" si="30"/>
        <v>0</v>
      </c>
      <c r="G802" s="447">
        <f t="shared" si="31"/>
        <v>233</v>
      </c>
      <c r="H802" s="435"/>
      <c r="I802" s="447">
        <f t="shared" si="32"/>
        <v>0</v>
      </c>
      <c r="J802" s="544"/>
      <c r="K802" s="444" t="s">
        <v>1130</v>
      </c>
      <c r="L802" s="449">
        <v>233</v>
      </c>
      <c r="M802" s="289"/>
      <c r="N802" s="245"/>
      <c r="O802" s="450">
        <v>0</v>
      </c>
      <c r="P802" s="451">
        <f t="shared" si="33"/>
        <v>0</v>
      </c>
      <c r="Q802" s="289"/>
      <c r="R802" s="245"/>
      <c r="S802" s="289"/>
      <c r="T802" s="245"/>
      <c r="U802" s="289"/>
      <c r="V802" s="245"/>
      <c r="W802" s="289"/>
      <c r="X802" s="245"/>
      <c r="Y802" s="289"/>
      <c r="Z802" s="245"/>
    </row>
    <row r="803" spans="1:26" s="436" customFormat="1" ht="15.75" customHeight="1">
      <c r="A803" s="443"/>
      <c r="B803" s="444"/>
      <c r="C803" s="445" t="s">
        <v>1249</v>
      </c>
      <c r="D803" s="543" t="s">
        <v>1250</v>
      </c>
      <c r="E803" s="444" t="s">
        <v>1130</v>
      </c>
      <c r="F803" s="446">
        <f t="shared" si="30"/>
        <v>0</v>
      </c>
      <c r="G803" s="447">
        <f t="shared" si="31"/>
        <v>240</v>
      </c>
      <c r="H803" s="435"/>
      <c r="I803" s="447">
        <f t="shared" si="32"/>
        <v>0</v>
      </c>
      <c r="J803" s="544"/>
      <c r="K803" s="444" t="s">
        <v>1130</v>
      </c>
      <c r="L803" s="449">
        <v>240</v>
      </c>
      <c r="M803" s="289"/>
      <c r="N803" s="245"/>
      <c r="O803" s="450">
        <v>0</v>
      </c>
      <c r="P803" s="451">
        <f t="shared" si="33"/>
        <v>0</v>
      </c>
      <c r="Q803" s="289"/>
      <c r="R803" s="245"/>
      <c r="S803" s="289"/>
      <c r="T803" s="245"/>
      <c r="U803" s="289"/>
      <c r="V803" s="245"/>
      <c r="W803" s="289"/>
      <c r="X803" s="245"/>
      <c r="Y803" s="289"/>
      <c r="Z803" s="245"/>
    </row>
    <row r="804" spans="1:26" s="436" customFormat="1" ht="15.75" customHeight="1">
      <c r="A804" s="443"/>
      <c r="B804" s="444"/>
      <c r="C804" s="445" t="s">
        <v>1251</v>
      </c>
      <c r="D804" s="543" t="s">
        <v>1252</v>
      </c>
      <c r="E804" s="444" t="s">
        <v>1130</v>
      </c>
      <c r="F804" s="446">
        <f t="shared" si="30"/>
        <v>0</v>
      </c>
      <c r="G804" s="447">
        <f t="shared" si="31"/>
        <v>245</v>
      </c>
      <c r="H804" s="435"/>
      <c r="I804" s="447">
        <f t="shared" si="32"/>
        <v>0</v>
      </c>
      <c r="J804" s="544"/>
      <c r="K804" s="444" t="s">
        <v>1130</v>
      </c>
      <c r="L804" s="449">
        <v>245</v>
      </c>
      <c r="M804" s="289"/>
      <c r="N804" s="245"/>
      <c r="O804" s="450">
        <v>0</v>
      </c>
      <c r="P804" s="451">
        <f t="shared" si="33"/>
        <v>0</v>
      </c>
      <c r="Q804" s="289"/>
      <c r="R804" s="245"/>
      <c r="S804" s="289"/>
      <c r="T804" s="245"/>
      <c r="U804" s="289"/>
      <c r="V804" s="245"/>
      <c r="W804" s="289"/>
      <c r="X804" s="245"/>
      <c r="Y804" s="289"/>
      <c r="Z804" s="245"/>
    </row>
    <row r="805" spans="1:26" s="436" customFormat="1" ht="15.75" customHeight="1">
      <c r="A805" s="443"/>
      <c r="B805" s="444"/>
      <c r="C805" s="445" t="s">
        <v>1253</v>
      </c>
      <c r="D805" s="543" t="s">
        <v>1254</v>
      </c>
      <c r="E805" s="444" t="s">
        <v>1130</v>
      </c>
      <c r="F805" s="446">
        <f t="shared" si="30"/>
        <v>0</v>
      </c>
      <c r="G805" s="447">
        <f t="shared" si="31"/>
        <v>257</v>
      </c>
      <c r="H805" s="435"/>
      <c r="I805" s="447">
        <f t="shared" si="32"/>
        <v>0</v>
      </c>
      <c r="J805" s="544"/>
      <c r="K805" s="444" t="s">
        <v>1130</v>
      </c>
      <c r="L805" s="449">
        <v>257</v>
      </c>
      <c r="M805" s="289"/>
      <c r="N805" s="245"/>
      <c r="O805" s="450">
        <v>0</v>
      </c>
      <c r="P805" s="451">
        <f t="shared" si="33"/>
        <v>0</v>
      </c>
      <c r="Q805" s="289"/>
      <c r="R805" s="245"/>
      <c r="S805" s="289"/>
      <c r="T805" s="245"/>
      <c r="U805" s="289"/>
      <c r="V805" s="245"/>
      <c r="W805" s="289"/>
      <c r="X805" s="245"/>
      <c r="Y805" s="289"/>
      <c r="Z805" s="245"/>
    </row>
    <row r="806" spans="1:26" s="436" customFormat="1" ht="15.75" customHeight="1">
      <c r="A806" s="443"/>
      <c r="B806" s="444"/>
      <c r="C806" s="445" t="s">
        <v>1255</v>
      </c>
      <c r="D806" s="543" t="s">
        <v>1256</v>
      </c>
      <c r="E806" s="444" t="s">
        <v>1130</v>
      </c>
      <c r="F806" s="446">
        <f t="shared" si="30"/>
        <v>0</v>
      </c>
      <c r="G806" s="447">
        <f t="shared" si="31"/>
        <v>267</v>
      </c>
      <c r="H806" s="435"/>
      <c r="I806" s="447">
        <f t="shared" si="32"/>
        <v>0</v>
      </c>
      <c r="J806" s="544"/>
      <c r="K806" s="444" t="s">
        <v>1130</v>
      </c>
      <c r="L806" s="449">
        <v>267</v>
      </c>
      <c r="M806" s="289"/>
      <c r="N806" s="245"/>
      <c r="O806" s="450">
        <v>0</v>
      </c>
      <c r="P806" s="451">
        <f t="shared" si="33"/>
        <v>0</v>
      </c>
      <c r="Q806" s="289"/>
      <c r="R806" s="245"/>
      <c r="S806" s="289"/>
      <c r="T806" s="245"/>
      <c r="U806" s="289"/>
      <c r="V806" s="245"/>
      <c r="W806" s="289"/>
      <c r="X806" s="245"/>
      <c r="Y806" s="289"/>
      <c r="Z806" s="245"/>
    </row>
    <row r="807" spans="1:26" s="436" customFormat="1" ht="15.75" customHeight="1">
      <c r="A807" s="443"/>
      <c r="B807" s="444"/>
      <c r="C807" s="445" t="s">
        <v>1257</v>
      </c>
      <c r="D807" s="543" t="s">
        <v>1258</v>
      </c>
      <c r="E807" s="444" t="s">
        <v>1130</v>
      </c>
      <c r="F807" s="446">
        <f t="shared" si="30"/>
        <v>0</v>
      </c>
      <c r="G807" s="447">
        <f t="shared" si="31"/>
        <v>280</v>
      </c>
      <c r="H807" s="435"/>
      <c r="I807" s="447">
        <f t="shared" si="32"/>
        <v>0</v>
      </c>
      <c r="J807" s="544"/>
      <c r="K807" s="444" t="s">
        <v>1130</v>
      </c>
      <c r="L807" s="449">
        <v>280</v>
      </c>
      <c r="M807" s="289"/>
      <c r="N807" s="245"/>
      <c r="O807" s="450">
        <v>0</v>
      </c>
      <c r="P807" s="451">
        <f t="shared" si="33"/>
        <v>0</v>
      </c>
      <c r="Q807" s="289"/>
      <c r="R807" s="245"/>
      <c r="S807" s="289"/>
      <c r="T807" s="245"/>
      <c r="U807" s="289"/>
      <c r="V807" s="245"/>
      <c r="W807" s="289"/>
      <c r="X807" s="245"/>
      <c r="Y807" s="289"/>
      <c r="Z807" s="245"/>
    </row>
    <row r="808" spans="1:26" s="436" customFormat="1" ht="15.75" customHeight="1">
      <c r="A808" s="443"/>
      <c r="B808" s="444"/>
      <c r="C808" s="445" t="s">
        <v>1259</v>
      </c>
      <c r="D808" s="543" t="s">
        <v>1260</v>
      </c>
      <c r="E808" s="444" t="s">
        <v>1130</v>
      </c>
      <c r="F808" s="446">
        <f t="shared" si="30"/>
        <v>0</v>
      </c>
      <c r="G808" s="447">
        <f t="shared" si="31"/>
        <v>370</v>
      </c>
      <c r="H808" s="435"/>
      <c r="I808" s="447">
        <f t="shared" si="32"/>
        <v>0</v>
      </c>
      <c r="J808" s="544"/>
      <c r="K808" s="444" t="s">
        <v>1130</v>
      </c>
      <c r="L808" s="449">
        <v>370</v>
      </c>
      <c r="M808" s="289"/>
      <c r="N808" s="245"/>
      <c r="O808" s="450">
        <v>0</v>
      </c>
      <c r="P808" s="451">
        <f t="shared" si="33"/>
        <v>0</v>
      </c>
      <c r="Q808" s="289"/>
      <c r="R808" s="245"/>
      <c r="S808" s="289"/>
      <c r="T808" s="245"/>
      <c r="U808" s="289"/>
      <c r="V808" s="245"/>
      <c r="W808" s="289"/>
      <c r="X808" s="245"/>
      <c r="Y808" s="289"/>
      <c r="Z808" s="245"/>
    </row>
    <row r="809" spans="1:26" s="436" customFormat="1" ht="15.75" customHeight="1">
      <c r="A809" s="443"/>
      <c r="B809" s="444"/>
      <c r="C809" s="445" t="s">
        <v>1261</v>
      </c>
      <c r="D809" s="543" t="s">
        <v>1262</v>
      </c>
      <c r="E809" s="444" t="s">
        <v>1130</v>
      </c>
      <c r="F809" s="446">
        <f t="shared" si="30"/>
        <v>0</v>
      </c>
      <c r="G809" s="447">
        <f t="shared" si="31"/>
        <v>600</v>
      </c>
      <c r="H809" s="435"/>
      <c r="I809" s="447">
        <f t="shared" si="32"/>
        <v>0</v>
      </c>
      <c r="J809" s="544"/>
      <c r="K809" s="444" t="s">
        <v>1130</v>
      </c>
      <c r="L809" s="449">
        <v>600</v>
      </c>
      <c r="M809" s="289"/>
      <c r="N809" s="245"/>
      <c r="O809" s="450">
        <v>0</v>
      </c>
      <c r="P809" s="451">
        <f t="shared" si="33"/>
        <v>0</v>
      </c>
      <c r="Q809" s="289"/>
      <c r="R809" s="245"/>
      <c r="S809" s="289"/>
      <c r="T809" s="245"/>
      <c r="U809" s="289"/>
      <c r="V809" s="245"/>
      <c r="W809" s="289"/>
      <c r="X809" s="245"/>
      <c r="Y809" s="289"/>
      <c r="Z809" s="245"/>
    </row>
    <row r="810" spans="1:26" s="436" customFormat="1" ht="15.75" customHeight="1">
      <c r="A810" s="443"/>
      <c r="B810" s="444"/>
      <c r="C810" s="445" t="s">
        <v>1263</v>
      </c>
      <c r="D810" s="543" t="s">
        <v>1264</v>
      </c>
      <c r="E810" s="444" t="s">
        <v>1130</v>
      </c>
      <c r="F810" s="446">
        <f t="shared" si="30"/>
        <v>0</v>
      </c>
      <c r="G810" s="447">
        <f t="shared" si="31"/>
        <v>260</v>
      </c>
      <c r="H810" s="435"/>
      <c r="I810" s="447">
        <f t="shared" si="32"/>
        <v>0</v>
      </c>
      <c r="J810" s="544"/>
      <c r="K810" s="444" t="s">
        <v>1130</v>
      </c>
      <c r="L810" s="449">
        <v>260</v>
      </c>
      <c r="M810" s="289"/>
      <c r="N810" s="245"/>
      <c r="O810" s="450">
        <v>0</v>
      </c>
      <c r="P810" s="451">
        <f t="shared" si="33"/>
        <v>0</v>
      </c>
      <c r="Q810" s="289"/>
      <c r="R810" s="245"/>
      <c r="S810" s="289"/>
      <c r="T810" s="245"/>
      <c r="U810" s="289"/>
      <c r="V810" s="245"/>
      <c r="W810" s="289"/>
      <c r="X810" s="245"/>
      <c r="Y810" s="289"/>
      <c r="Z810" s="245"/>
    </row>
    <row r="811" spans="1:26" s="436" customFormat="1" ht="15.75" customHeight="1">
      <c r="A811" s="443"/>
      <c r="B811" s="444"/>
      <c r="C811" s="445" t="s">
        <v>1265</v>
      </c>
      <c r="D811" s="543" t="s">
        <v>1266</v>
      </c>
      <c r="E811" s="444" t="s">
        <v>1130</v>
      </c>
      <c r="F811" s="446">
        <f t="shared" si="30"/>
        <v>0</v>
      </c>
      <c r="G811" s="447">
        <f t="shared" si="31"/>
        <v>265</v>
      </c>
      <c r="H811" s="435"/>
      <c r="I811" s="447">
        <f t="shared" si="32"/>
        <v>0</v>
      </c>
      <c r="J811" s="544"/>
      <c r="K811" s="444" t="s">
        <v>1130</v>
      </c>
      <c r="L811" s="449">
        <v>265</v>
      </c>
      <c r="M811" s="289"/>
      <c r="N811" s="245"/>
      <c r="O811" s="450">
        <v>0</v>
      </c>
      <c r="P811" s="451">
        <f t="shared" si="33"/>
        <v>0</v>
      </c>
      <c r="Q811" s="289"/>
      <c r="R811" s="245"/>
      <c r="S811" s="289"/>
      <c r="T811" s="245"/>
      <c r="U811" s="289"/>
      <c r="V811" s="245"/>
      <c r="W811" s="289"/>
      <c r="X811" s="245"/>
      <c r="Y811" s="289"/>
      <c r="Z811" s="245"/>
    </row>
    <row r="812" spans="1:26" s="436" customFormat="1" ht="15.75" customHeight="1">
      <c r="A812" s="443"/>
      <c r="B812" s="444"/>
      <c r="C812" s="445" t="s">
        <v>1267</v>
      </c>
      <c r="D812" s="543" t="s">
        <v>1268</v>
      </c>
      <c r="E812" s="444" t="s">
        <v>1130</v>
      </c>
      <c r="F812" s="446">
        <f t="shared" si="30"/>
        <v>0</v>
      </c>
      <c r="G812" s="447">
        <f t="shared" si="31"/>
        <v>271</v>
      </c>
      <c r="H812" s="435"/>
      <c r="I812" s="447">
        <f t="shared" si="32"/>
        <v>0</v>
      </c>
      <c r="J812" s="544"/>
      <c r="K812" s="444" t="s">
        <v>1130</v>
      </c>
      <c r="L812" s="449">
        <v>271</v>
      </c>
      <c r="M812" s="289"/>
      <c r="N812" s="245"/>
      <c r="O812" s="450">
        <v>0</v>
      </c>
      <c r="P812" s="451">
        <f t="shared" si="33"/>
        <v>0</v>
      </c>
      <c r="Q812" s="289"/>
      <c r="R812" s="245"/>
      <c r="S812" s="289"/>
      <c r="T812" s="245"/>
      <c r="U812" s="289"/>
      <c r="V812" s="245"/>
      <c r="W812" s="289"/>
      <c r="X812" s="245"/>
      <c r="Y812" s="289"/>
      <c r="Z812" s="245"/>
    </row>
    <row r="813" spans="1:26" s="436" customFormat="1" ht="15.75" customHeight="1">
      <c r="A813" s="443"/>
      <c r="B813" s="444"/>
      <c r="C813" s="445" t="s">
        <v>1269</v>
      </c>
      <c r="D813" s="543" t="s">
        <v>1270</v>
      </c>
      <c r="E813" s="444" t="s">
        <v>1130</v>
      </c>
      <c r="F813" s="446">
        <f t="shared" si="30"/>
        <v>0</v>
      </c>
      <c r="G813" s="447">
        <f t="shared" si="31"/>
        <v>275</v>
      </c>
      <c r="H813" s="435"/>
      <c r="I813" s="447">
        <f t="shared" si="32"/>
        <v>0</v>
      </c>
      <c r="J813" s="544"/>
      <c r="K813" s="444" t="s">
        <v>1130</v>
      </c>
      <c r="L813" s="449">
        <v>275</v>
      </c>
      <c r="M813" s="289"/>
      <c r="N813" s="245"/>
      <c r="O813" s="450">
        <v>0</v>
      </c>
      <c r="P813" s="451">
        <f t="shared" si="33"/>
        <v>0</v>
      </c>
      <c r="Q813" s="289"/>
      <c r="R813" s="245"/>
      <c r="S813" s="289"/>
      <c r="T813" s="245"/>
      <c r="U813" s="289"/>
      <c r="V813" s="245"/>
      <c r="W813" s="289"/>
      <c r="X813" s="245"/>
      <c r="Y813" s="289"/>
      <c r="Z813" s="245"/>
    </row>
    <row r="814" spans="1:26" s="436" customFormat="1" ht="15.75" customHeight="1">
      <c r="A814" s="443"/>
      <c r="B814" s="444"/>
      <c r="C814" s="445" t="s">
        <v>1271</v>
      </c>
      <c r="D814" s="543" t="s">
        <v>1272</v>
      </c>
      <c r="E814" s="444" t="s">
        <v>1130</v>
      </c>
      <c r="F814" s="446">
        <f t="shared" si="30"/>
        <v>0</v>
      </c>
      <c r="G814" s="447">
        <f t="shared" si="31"/>
        <v>287</v>
      </c>
      <c r="H814" s="435"/>
      <c r="I814" s="447">
        <f t="shared" si="32"/>
        <v>0</v>
      </c>
      <c r="J814" s="544"/>
      <c r="K814" s="444" t="s">
        <v>1130</v>
      </c>
      <c r="L814" s="449">
        <v>287</v>
      </c>
      <c r="M814" s="289"/>
      <c r="N814" s="245"/>
      <c r="O814" s="450">
        <v>0</v>
      </c>
      <c r="P814" s="451">
        <f t="shared" si="33"/>
        <v>0</v>
      </c>
      <c r="Q814" s="289"/>
      <c r="R814" s="245"/>
      <c r="S814" s="289"/>
      <c r="T814" s="245"/>
      <c r="U814" s="289"/>
      <c r="V814" s="245"/>
      <c r="W814" s="289"/>
      <c r="X814" s="245"/>
      <c r="Y814" s="289"/>
      <c r="Z814" s="245"/>
    </row>
    <row r="815" spans="1:26" s="436" customFormat="1" ht="15.75" customHeight="1">
      <c r="A815" s="443"/>
      <c r="B815" s="444"/>
      <c r="C815" s="445" t="s">
        <v>1273</v>
      </c>
      <c r="D815" s="543" t="s">
        <v>1274</v>
      </c>
      <c r="E815" s="444" t="s">
        <v>1130</v>
      </c>
      <c r="F815" s="446">
        <f t="shared" si="30"/>
        <v>0</v>
      </c>
      <c r="G815" s="447">
        <f t="shared" si="31"/>
        <v>300</v>
      </c>
      <c r="H815" s="435"/>
      <c r="I815" s="447">
        <f t="shared" si="32"/>
        <v>0</v>
      </c>
      <c r="J815" s="544"/>
      <c r="K815" s="444" t="s">
        <v>1130</v>
      </c>
      <c r="L815" s="449">
        <v>300</v>
      </c>
      <c r="M815" s="289"/>
      <c r="N815" s="245"/>
      <c r="O815" s="450">
        <v>0</v>
      </c>
      <c r="P815" s="451">
        <f t="shared" si="33"/>
        <v>0</v>
      </c>
      <c r="Q815" s="289"/>
      <c r="R815" s="245"/>
      <c r="S815" s="289"/>
      <c r="T815" s="245"/>
      <c r="U815" s="289"/>
      <c r="V815" s="245"/>
      <c r="W815" s="289"/>
      <c r="X815" s="245"/>
      <c r="Y815" s="289"/>
      <c r="Z815" s="245"/>
    </row>
    <row r="816" spans="1:26" s="436" customFormat="1" ht="15.75" customHeight="1">
      <c r="A816" s="443"/>
      <c r="B816" s="444"/>
      <c r="C816" s="445" t="s">
        <v>1275</v>
      </c>
      <c r="D816" s="543" t="s">
        <v>1276</v>
      </c>
      <c r="E816" s="444" t="s">
        <v>1130</v>
      </c>
      <c r="F816" s="446">
        <f t="shared" si="30"/>
        <v>0</v>
      </c>
      <c r="G816" s="447">
        <f t="shared" si="31"/>
        <v>310</v>
      </c>
      <c r="H816" s="435"/>
      <c r="I816" s="447">
        <f t="shared" si="32"/>
        <v>0</v>
      </c>
      <c r="J816" s="544"/>
      <c r="K816" s="444" t="s">
        <v>1130</v>
      </c>
      <c r="L816" s="449">
        <v>310</v>
      </c>
      <c r="M816" s="289"/>
      <c r="N816" s="245"/>
      <c r="O816" s="450">
        <v>0</v>
      </c>
      <c r="P816" s="451">
        <f t="shared" si="33"/>
        <v>0</v>
      </c>
      <c r="Q816" s="289"/>
      <c r="R816" s="245"/>
      <c r="S816" s="289"/>
      <c r="T816" s="245"/>
      <c r="U816" s="289"/>
      <c r="V816" s="245"/>
      <c r="W816" s="289"/>
      <c r="X816" s="245"/>
      <c r="Y816" s="289"/>
      <c r="Z816" s="245"/>
    </row>
    <row r="817" spans="1:26" s="436" customFormat="1" ht="15.75" customHeight="1">
      <c r="A817" s="443"/>
      <c r="B817" s="444"/>
      <c r="C817" s="445" t="s">
        <v>1277</v>
      </c>
      <c r="D817" s="543" t="s">
        <v>1278</v>
      </c>
      <c r="E817" s="444" t="s">
        <v>1130</v>
      </c>
      <c r="F817" s="446">
        <f t="shared" si="30"/>
        <v>0</v>
      </c>
      <c r="G817" s="447">
        <f t="shared" si="31"/>
        <v>366</v>
      </c>
      <c r="H817" s="435"/>
      <c r="I817" s="447">
        <f t="shared" si="32"/>
        <v>0</v>
      </c>
      <c r="J817" s="544"/>
      <c r="K817" s="444" t="s">
        <v>1130</v>
      </c>
      <c r="L817" s="449">
        <v>366</v>
      </c>
      <c r="M817" s="289"/>
      <c r="N817" s="245"/>
      <c r="O817" s="450">
        <v>0</v>
      </c>
      <c r="P817" s="451">
        <f t="shared" si="33"/>
        <v>0</v>
      </c>
      <c r="Q817" s="289"/>
      <c r="R817" s="245"/>
      <c r="S817" s="289"/>
      <c r="T817" s="245"/>
      <c r="U817" s="289"/>
      <c r="V817" s="245"/>
      <c r="W817" s="289"/>
      <c r="X817" s="245"/>
      <c r="Y817" s="289"/>
      <c r="Z817" s="245"/>
    </row>
    <row r="818" spans="1:26" s="436" customFormat="1" ht="15.75" customHeight="1">
      <c r="A818" s="443"/>
      <c r="B818" s="444"/>
      <c r="C818" s="445" t="s">
        <v>1279</v>
      </c>
      <c r="D818" s="543" t="s">
        <v>1300</v>
      </c>
      <c r="E818" s="444" t="s">
        <v>1130</v>
      </c>
      <c r="F818" s="446">
        <f t="shared" si="30"/>
        <v>0</v>
      </c>
      <c r="G818" s="447">
        <f t="shared" si="31"/>
        <v>415</v>
      </c>
      <c r="H818" s="435"/>
      <c r="I818" s="447">
        <f t="shared" si="32"/>
        <v>0</v>
      </c>
      <c r="J818" s="544"/>
      <c r="K818" s="444" t="s">
        <v>1130</v>
      </c>
      <c r="L818" s="449">
        <v>415</v>
      </c>
      <c r="M818" s="289"/>
      <c r="N818" s="245"/>
      <c r="O818" s="450">
        <v>0</v>
      </c>
      <c r="P818" s="451">
        <f t="shared" si="33"/>
        <v>0</v>
      </c>
      <c r="Q818" s="289"/>
      <c r="R818" s="245"/>
      <c r="S818" s="289"/>
      <c r="T818" s="245"/>
      <c r="U818" s="289"/>
      <c r="V818" s="245"/>
      <c r="W818" s="289"/>
      <c r="X818" s="245"/>
      <c r="Y818" s="289"/>
      <c r="Z818" s="245"/>
    </row>
    <row r="819" spans="1:26" s="436" customFormat="1" ht="15.75" customHeight="1">
      <c r="A819" s="443"/>
      <c r="B819" s="444"/>
      <c r="C819" s="445" t="s">
        <v>1301</v>
      </c>
      <c r="D819" s="543" t="s">
        <v>1302</v>
      </c>
      <c r="E819" s="444" t="s">
        <v>1130</v>
      </c>
      <c r="F819" s="446">
        <f t="shared" si="30"/>
        <v>0</v>
      </c>
      <c r="G819" s="447">
        <f t="shared" si="31"/>
        <v>720</v>
      </c>
      <c r="H819" s="435"/>
      <c r="I819" s="447">
        <f t="shared" si="32"/>
        <v>0</v>
      </c>
      <c r="J819" s="544"/>
      <c r="K819" s="444" t="s">
        <v>1130</v>
      </c>
      <c r="L819" s="449">
        <v>720</v>
      </c>
      <c r="M819" s="289"/>
      <c r="N819" s="245"/>
      <c r="O819" s="450">
        <v>0</v>
      </c>
      <c r="P819" s="451">
        <f t="shared" si="33"/>
        <v>0</v>
      </c>
      <c r="Q819" s="289"/>
      <c r="R819" s="245"/>
      <c r="S819" s="289"/>
      <c r="T819" s="245"/>
      <c r="U819" s="289"/>
      <c r="V819" s="245"/>
      <c r="W819" s="289"/>
      <c r="X819" s="245"/>
      <c r="Y819" s="289"/>
      <c r="Z819" s="245"/>
    </row>
    <row r="820" spans="1:26" s="436" customFormat="1" ht="15.75" customHeight="1">
      <c r="A820" s="443"/>
      <c r="B820" s="444"/>
      <c r="C820" s="445" t="s">
        <v>1303</v>
      </c>
      <c r="D820" s="543" t="s">
        <v>1304</v>
      </c>
      <c r="E820" s="444" t="s">
        <v>1130</v>
      </c>
      <c r="F820" s="446">
        <f t="shared" si="30"/>
        <v>0</v>
      </c>
      <c r="G820" s="447">
        <f t="shared" si="31"/>
        <v>325</v>
      </c>
      <c r="H820" s="435"/>
      <c r="I820" s="447">
        <f t="shared" si="32"/>
        <v>0</v>
      </c>
      <c r="J820" s="544"/>
      <c r="K820" s="444" t="s">
        <v>1130</v>
      </c>
      <c r="L820" s="449">
        <v>325</v>
      </c>
      <c r="M820" s="289"/>
      <c r="N820" s="245"/>
      <c r="O820" s="450">
        <v>0</v>
      </c>
      <c r="P820" s="451">
        <f t="shared" si="33"/>
        <v>0</v>
      </c>
      <c r="Q820" s="289"/>
      <c r="R820" s="245"/>
      <c r="S820" s="289"/>
      <c r="T820" s="245"/>
      <c r="U820" s="289"/>
      <c r="V820" s="245"/>
      <c r="W820" s="289"/>
      <c r="X820" s="245"/>
      <c r="Y820" s="289"/>
      <c r="Z820" s="245"/>
    </row>
    <row r="821" spans="1:26" s="436" customFormat="1" ht="15.75" customHeight="1">
      <c r="A821" s="443"/>
      <c r="B821" s="444"/>
      <c r="C821" s="445" t="s">
        <v>1305</v>
      </c>
      <c r="D821" s="543" t="s">
        <v>1306</v>
      </c>
      <c r="E821" s="444" t="s">
        <v>1130</v>
      </c>
      <c r="F821" s="446">
        <f t="shared" si="30"/>
        <v>0</v>
      </c>
      <c r="G821" s="447">
        <f t="shared" si="31"/>
        <v>330</v>
      </c>
      <c r="H821" s="435"/>
      <c r="I821" s="447">
        <f t="shared" si="32"/>
        <v>0</v>
      </c>
      <c r="J821" s="544"/>
      <c r="K821" s="444" t="s">
        <v>1130</v>
      </c>
      <c r="L821" s="449">
        <v>330</v>
      </c>
      <c r="M821" s="289"/>
      <c r="N821" s="245"/>
      <c r="O821" s="450">
        <v>0</v>
      </c>
      <c r="P821" s="451">
        <f t="shared" si="33"/>
        <v>0</v>
      </c>
      <c r="Q821" s="289"/>
      <c r="R821" s="245"/>
      <c r="S821" s="289"/>
      <c r="T821" s="245"/>
      <c r="U821" s="289"/>
      <c r="V821" s="245"/>
      <c r="W821" s="289"/>
      <c r="X821" s="245"/>
      <c r="Y821" s="289"/>
      <c r="Z821" s="245"/>
    </row>
    <row r="822" spans="1:26" s="436" customFormat="1" ht="15.75" customHeight="1">
      <c r="A822" s="443"/>
      <c r="B822" s="444"/>
      <c r="C822" s="445" t="s">
        <v>1307</v>
      </c>
      <c r="D822" s="543" t="s">
        <v>1308</v>
      </c>
      <c r="E822" s="444" t="s">
        <v>1130</v>
      </c>
      <c r="F822" s="446">
        <f t="shared" si="30"/>
        <v>0</v>
      </c>
      <c r="G822" s="447">
        <f t="shared" si="31"/>
        <v>336</v>
      </c>
      <c r="H822" s="435"/>
      <c r="I822" s="447">
        <f t="shared" si="32"/>
        <v>0</v>
      </c>
      <c r="J822" s="544"/>
      <c r="K822" s="444" t="s">
        <v>1130</v>
      </c>
      <c r="L822" s="449">
        <v>336</v>
      </c>
      <c r="M822" s="289"/>
      <c r="N822" s="245"/>
      <c r="O822" s="450">
        <v>0</v>
      </c>
      <c r="P822" s="451">
        <f t="shared" si="33"/>
        <v>0</v>
      </c>
      <c r="Q822" s="289"/>
      <c r="R822" s="245"/>
      <c r="S822" s="289"/>
      <c r="T822" s="245"/>
      <c r="U822" s="289"/>
      <c r="V822" s="245"/>
      <c r="W822" s="289"/>
      <c r="X822" s="245"/>
      <c r="Y822" s="289"/>
      <c r="Z822" s="245"/>
    </row>
    <row r="823" spans="1:26" s="436" customFormat="1" ht="15.75" customHeight="1">
      <c r="A823" s="443"/>
      <c r="B823" s="444"/>
      <c r="C823" s="445" t="s">
        <v>1309</v>
      </c>
      <c r="D823" s="543" t="s">
        <v>1310</v>
      </c>
      <c r="E823" s="444" t="s">
        <v>1130</v>
      </c>
      <c r="F823" s="446">
        <f t="shared" si="30"/>
        <v>0</v>
      </c>
      <c r="G823" s="447">
        <f t="shared" si="31"/>
        <v>340</v>
      </c>
      <c r="H823" s="435"/>
      <c r="I823" s="447">
        <f t="shared" si="32"/>
        <v>0</v>
      </c>
      <c r="J823" s="544"/>
      <c r="K823" s="444" t="s">
        <v>1130</v>
      </c>
      <c r="L823" s="449">
        <v>340</v>
      </c>
      <c r="M823" s="289"/>
      <c r="N823" s="245"/>
      <c r="O823" s="450">
        <v>0</v>
      </c>
      <c r="P823" s="451">
        <f t="shared" si="33"/>
        <v>0</v>
      </c>
      <c r="Q823" s="289"/>
      <c r="R823" s="245"/>
      <c r="S823" s="289"/>
      <c r="T823" s="245"/>
      <c r="U823" s="289"/>
      <c r="V823" s="245"/>
      <c r="W823" s="289"/>
      <c r="X823" s="245"/>
      <c r="Y823" s="289"/>
      <c r="Z823" s="245"/>
    </row>
    <row r="824" spans="1:26" s="436" customFormat="1" ht="15.75" customHeight="1">
      <c r="A824" s="443"/>
      <c r="B824" s="444"/>
      <c r="C824" s="445" t="s">
        <v>1311</v>
      </c>
      <c r="D824" s="543" t="s">
        <v>13</v>
      </c>
      <c r="E824" s="444" t="s">
        <v>1130</v>
      </c>
      <c r="F824" s="446">
        <f t="shared" si="30"/>
        <v>0</v>
      </c>
      <c r="G824" s="447">
        <f t="shared" si="31"/>
        <v>355</v>
      </c>
      <c r="H824" s="435"/>
      <c r="I824" s="447">
        <f t="shared" si="32"/>
        <v>0</v>
      </c>
      <c r="J824" s="544"/>
      <c r="K824" s="444" t="s">
        <v>1130</v>
      </c>
      <c r="L824" s="449">
        <v>355</v>
      </c>
      <c r="M824" s="289"/>
      <c r="N824" s="245"/>
      <c r="O824" s="450">
        <v>0</v>
      </c>
      <c r="P824" s="451">
        <f t="shared" si="33"/>
        <v>0</v>
      </c>
      <c r="Q824" s="289"/>
      <c r="R824" s="245"/>
      <c r="S824" s="289"/>
      <c r="T824" s="245"/>
      <c r="U824" s="289"/>
      <c r="V824" s="245"/>
      <c r="W824" s="289"/>
      <c r="X824" s="245"/>
      <c r="Y824" s="289"/>
      <c r="Z824" s="245"/>
    </row>
    <row r="825" spans="1:26" s="436" customFormat="1" ht="15.75" customHeight="1">
      <c r="A825" s="443"/>
      <c r="B825" s="444"/>
      <c r="C825" s="445" t="s">
        <v>14</v>
      </c>
      <c r="D825" s="543" t="s">
        <v>15</v>
      </c>
      <c r="E825" s="444" t="s">
        <v>1130</v>
      </c>
      <c r="F825" s="446">
        <f t="shared" si="30"/>
        <v>0</v>
      </c>
      <c r="G825" s="447">
        <f t="shared" si="31"/>
        <v>365</v>
      </c>
      <c r="H825" s="435"/>
      <c r="I825" s="447">
        <f t="shared" si="32"/>
        <v>0</v>
      </c>
      <c r="J825" s="544"/>
      <c r="K825" s="444" t="s">
        <v>1130</v>
      </c>
      <c r="L825" s="449">
        <v>365</v>
      </c>
      <c r="M825" s="289"/>
      <c r="N825" s="245"/>
      <c r="O825" s="450">
        <v>0</v>
      </c>
      <c r="P825" s="451">
        <f t="shared" si="33"/>
        <v>0</v>
      </c>
      <c r="Q825" s="289"/>
      <c r="R825" s="245"/>
      <c r="S825" s="289"/>
      <c r="T825" s="245"/>
      <c r="U825" s="289"/>
      <c r="V825" s="245"/>
      <c r="W825" s="289"/>
      <c r="X825" s="245"/>
      <c r="Y825" s="289"/>
      <c r="Z825" s="245"/>
    </row>
    <row r="826" spans="1:26" s="436" customFormat="1" ht="15.75" customHeight="1">
      <c r="A826" s="443"/>
      <c r="B826" s="444"/>
      <c r="C826" s="445" t="s">
        <v>16</v>
      </c>
      <c r="D826" s="543" t="s">
        <v>17</v>
      </c>
      <c r="E826" s="444" t="s">
        <v>1130</v>
      </c>
      <c r="F826" s="446">
        <f t="shared" si="30"/>
        <v>0</v>
      </c>
      <c r="G826" s="447">
        <f t="shared" si="31"/>
        <v>375</v>
      </c>
      <c r="H826" s="435"/>
      <c r="I826" s="447">
        <f t="shared" si="32"/>
        <v>0</v>
      </c>
      <c r="J826" s="544"/>
      <c r="K826" s="444" t="s">
        <v>1130</v>
      </c>
      <c r="L826" s="449">
        <v>375</v>
      </c>
      <c r="M826" s="289"/>
      <c r="N826" s="245"/>
      <c r="O826" s="450">
        <v>0</v>
      </c>
      <c r="P826" s="451">
        <f t="shared" si="33"/>
        <v>0</v>
      </c>
      <c r="Q826" s="289"/>
      <c r="R826" s="245"/>
      <c r="S826" s="289"/>
      <c r="T826" s="245"/>
      <c r="U826" s="289"/>
      <c r="V826" s="245"/>
      <c r="W826" s="289"/>
      <c r="X826" s="245"/>
      <c r="Y826" s="289"/>
      <c r="Z826" s="245"/>
    </row>
    <row r="827" spans="1:26" s="436" customFormat="1" ht="15.75" customHeight="1">
      <c r="A827" s="443"/>
      <c r="B827" s="444"/>
      <c r="C827" s="445" t="s">
        <v>18</v>
      </c>
      <c r="D827" s="543" t="s">
        <v>19</v>
      </c>
      <c r="E827" s="444" t="s">
        <v>1130</v>
      </c>
      <c r="F827" s="446">
        <f t="shared" si="30"/>
        <v>0</v>
      </c>
      <c r="G827" s="447">
        <f t="shared" si="31"/>
        <v>430</v>
      </c>
      <c r="H827" s="435"/>
      <c r="I827" s="447">
        <f t="shared" si="32"/>
        <v>0</v>
      </c>
      <c r="J827" s="544"/>
      <c r="K827" s="444" t="s">
        <v>1130</v>
      </c>
      <c r="L827" s="449">
        <v>430</v>
      </c>
      <c r="M827" s="289"/>
      <c r="N827" s="245"/>
      <c r="O827" s="450">
        <v>0</v>
      </c>
      <c r="P827" s="451">
        <f t="shared" si="33"/>
        <v>0</v>
      </c>
      <c r="Q827" s="289"/>
      <c r="R827" s="245"/>
      <c r="S827" s="289"/>
      <c r="T827" s="245"/>
      <c r="U827" s="289"/>
      <c r="V827" s="245"/>
      <c r="W827" s="289"/>
      <c r="X827" s="245"/>
      <c r="Y827" s="289"/>
      <c r="Z827" s="245"/>
    </row>
    <row r="828" spans="1:26" s="436" customFormat="1" ht="15.75" customHeight="1">
      <c r="A828" s="443"/>
      <c r="B828" s="444"/>
      <c r="C828" s="445" t="s">
        <v>20</v>
      </c>
      <c r="D828" s="543" t="s">
        <v>21</v>
      </c>
      <c r="E828" s="444" t="s">
        <v>1130</v>
      </c>
      <c r="F828" s="446">
        <f t="shared" si="30"/>
        <v>0</v>
      </c>
      <c r="G828" s="447">
        <f t="shared" si="31"/>
        <v>485</v>
      </c>
      <c r="H828" s="435"/>
      <c r="I828" s="447">
        <f t="shared" si="32"/>
        <v>0</v>
      </c>
      <c r="J828" s="544"/>
      <c r="K828" s="444" t="s">
        <v>1130</v>
      </c>
      <c r="L828" s="449">
        <v>485</v>
      </c>
      <c r="M828" s="289"/>
      <c r="N828" s="245"/>
      <c r="O828" s="450">
        <v>0</v>
      </c>
      <c r="P828" s="451">
        <f t="shared" si="33"/>
        <v>0</v>
      </c>
      <c r="Q828" s="289"/>
      <c r="R828" s="245"/>
      <c r="S828" s="289"/>
      <c r="T828" s="245"/>
      <c r="U828" s="289"/>
      <c r="V828" s="245"/>
      <c r="W828" s="289"/>
      <c r="X828" s="245"/>
      <c r="Y828" s="289"/>
      <c r="Z828" s="245"/>
    </row>
    <row r="829" spans="1:26" s="436" customFormat="1" ht="15.75" customHeight="1">
      <c r="A829" s="443"/>
      <c r="B829" s="444"/>
      <c r="C829" s="445" t="s">
        <v>22</v>
      </c>
      <c r="D829" s="543" t="s">
        <v>1458</v>
      </c>
      <c r="E829" s="444" t="s">
        <v>1130</v>
      </c>
      <c r="F829" s="446">
        <f t="shared" si="30"/>
        <v>0</v>
      </c>
      <c r="G829" s="447">
        <f t="shared" si="31"/>
        <v>560</v>
      </c>
      <c r="H829" s="435"/>
      <c r="I829" s="447">
        <f t="shared" si="32"/>
        <v>0</v>
      </c>
      <c r="J829" s="544"/>
      <c r="K829" s="444" t="s">
        <v>1130</v>
      </c>
      <c r="L829" s="449">
        <v>560</v>
      </c>
      <c r="M829" s="289"/>
      <c r="N829" s="245"/>
      <c r="O829" s="450">
        <v>0</v>
      </c>
      <c r="P829" s="451">
        <f t="shared" si="33"/>
        <v>0</v>
      </c>
      <c r="Q829" s="289"/>
      <c r="R829" s="245"/>
      <c r="S829" s="289"/>
      <c r="T829" s="245"/>
      <c r="U829" s="289"/>
      <c r="V829" s="245"/>
      <c r="W829" s="289"/>
      <c r="X829" s="245"/>
      <c r="Y829" s="289"/>
      <c r="Z829" s="245"/>
    </row>
    <row r="830" spans="1:26" s="436" customFormat="1" ht="15.75" customHeight="1">
      <c r="A830" s="443"/>
      <c r="B830" s="444"/>
      <c r="C830" s="445" t="s">
        <v>1459</v>
      </c>
      <c r="D830" s="543" t="s">
        <v>1460</v>
      </c>
      <c r="E830" s="444" t="s">
        <v>1130</v>
      </c>
      <c r="F830" s="446">
        <f t="shared" ref="F830:F838" si="34">M830+O830+Q830+S830+U830+W830+Y830</f>
        <v>0</v>
      </c>
      <c r="G830" s="447">
        <f t="shared" ref="G830:G838" si="35">L830</f>
        <v>1000</v>
      </c>
      <c r="H830" s="435"/>
      <c r="I830" s="447">
        <f t="shared" ref="I830:I838" si="36">N830+P830+R830+T830+V830+X830+Z830</f>
        <v>0</v>
      </c>
      <c r="J830" s="544"/>
      <c r="K830" s="444" t="s">
        <v>1130</v>
      </c>
      <c r="L830" s="449">
        <v>1000</v>
      </c>
      <c r="M830" s="289"/>
      <c r="N830" s="245"/>
      <c r="O830" s="450">
        <v>0</v>
      </c>
      <c r="P830" s="451">
        <f t="shared" ref="P830:P838" si="37">INT($L830*O830*100+0.5)/100</f>
        <v>0</v>
      </c>
      <c r="Q830" s="289"/>
      <c r="R830" s="245"/>
      <c r="S830" s="289"/>
      <c r="T830" s="245"/>
      <c r="U830" s="289"/>
      <c r="V830" s="245"/>
      <c r="W830" s="289"/>
      <c r="X830" s="245"/>
      <c r="Y830" s="289"/>
      <c r="Z830" s="245"/>
    </row>
    <row r="831" spans="1:26" s="436" customFormat="1" ht="15.75" customHeight="1">
      <c r="A831" s="443"/>
      <c r="B831" s="444"/>
      <c r="C831" s="445" t="s">
        <v>1461</v>
      </c>
      <c r="D831" s="543" t="s">
        <v>1462</v>
      </c>
      <c r="E831" s="444" t="s">
        <v>1130</v>
      </c>
      <c r="F831" s="446">
        <f t="shared" si="34"/>
        <v>0</v>
      </c>
      <c r="G831" s="447">
        <f t="shared" si="35"/>
        <v>540</v>
      </c>
      <c r="H831" s="435"/>
      <c r="I831" s="447">
        <f t="shared" si="36"/>
        <v>0</v>
      </c>
      <c r="J831" s="544"/>
      <c r="K831" s="444" t="s">
        <v>1130</v>
      </c>
      <c r="L831" s="449">
        <v>540</v>
      </c>
      <c r="M831" s="289"/>
      <c r="N831" s="245"/>
      <c r="O831" s="450">
        <v>0</v>
      </c>
      <c r="P831" s="451">
        <f t="shared" si="37"/>
        <v>0</v>
      </c>
      <c r="Q831" s="289"/>
      <c r="R831" s="245"/>
      <c r="S831" s="289"/>
      <c r="T831" s="245"/>
      <c r="U831" s="289"/>
      <c r="V831" s="245"/>
      <c r="W831" s="289"/>
      <c r="X831" s="245"/>
      <c r="Y831" s="289"/>
      <c r="Z831" s="245"/>
    </row>
    <row r="832" spans="1:26" s="436" customFormat="1" ht="15.75" customHeight="1">
      <c r="A832" s="443"/>
      <c r="B832" s="444"/>
      <c r="C832" s="445" t="s">
        <v>1463</v>
      </c>
      <c r="D832" s="543" t="s">
        <v>1464</v>
      </c>
      <c r="E832" s="444" t="s">
        <v>1130</v>
      </c>
      <c r="F832" s="446">
        <f t="shared" si="34"/>
        <v>0</v>
      </c>
      <c r="G832" s="447">
        <f t="shared" si="35"/>
        <v>552</v>
      </c>
      <c r="H832" s="435"/>
      <c r="I832" s="447">
        <f t="shared" si="36"/>
        <v>0</v>
      </c>
      <c r="J832" s="544"/>
      <c r="K832" s="444" t="s">
        <v>1130</v>
      </c>
      <c r="L832" s="449">
        <v>552</v>
      </c>
      <c r="M832" s="289"/>
      <c r="N832" s="245"/>
      <c r="O832" s="450">
        <v>0</v>
      </c>
      <c r="P832" s="451">
        <f t="shared" si="37"/>
        <v>0</v>
      </c>
      <c r="Q832" s="289"/>
      <c r="R832" s="245"/>
      <c r="S832" s="289"/>
      <c r="T832" s="245"/>
      <c r="U832" s="289"/>
      <c r="V832" s="245"/>
      <c r="W832" s="289"/>
      <c r="X832" s="245"/>
      <c r="Y832" s="289"/>
      <c r="Z832" s="245"/>
    </row>
    <row r="833" spans="1:26" s="436" customFormat="1" ht="15.75" customHeight="1">
      <c r="A833" s="443"/>
      <c r="B833" s="444"/>
      <c r="C833" s="445" t="s">
        <v>1465</v>
      </c>
      <c r="D833" s="543" t="s">
        <v>1466</v>
      </c>
      <c r="E833" s="444" t="s">
        <v>1130</v>
      </c>
      <c r="F833" s="446">
        <f t="shared" si="34"/>
        <v>0</v>
      </c>
      <c r="G833" s="447">
        <f t="shared" si="35"/>
        <v>562</v>
      </c>
      <c r="H833" s="435"/>
      <c r="I833" s="447">
        <f t="shared" si="36"/>
        <v>0</v>
      </c>
      <c r="J833" s="544"/>
      <c r="K833" s="444" t="s">
        <v>1130</v>
      </c>
      <c r="L833" s="449">
        <v>562</v>
      </c>
      <c r="M833" s="289"/>
      <c r="N833" s="245"/>
      <c r="O833" s="450">
        <v>0</v>
      </c>
      <c r="P833" s="451">
        <f t="shared" si="37"/>
        <v>0</v>
      </c>
      <c r="Q833" s="289"/>
      <c r="R833" s="245"/>
      <c r="S833" s="289"/>
      <c r="T833" s="245"/>
      <c r="U833" s="289"/>
      <c r="V833" s="245"/>
      <c r="W833" s="289"/>
      <c r="X833" s="245"/>
      <c r="Y833" s="289"/>
      <c r="Z833" s="245"/>
    </row>
    <row r="834" spans="1:26" s="436" customFormat="1" ht="15.75" customHeight="1">
      <c r="A834" s="443"/>
      <c r="B834" s="444"/>
      <c r="C834" s="445" t="s">
        <v>1467</v>
      </c>
      <c r="D834" s="543" t="s">
        <v>1468</v>
      </c>
      <c r="E834" s="444" t="s">
        <v>1130</v>
      </c>
      <c r="F834" s="446">
        <f t="shared" si="34"/>
        <v>0</v>
      </c>
      <c r="G834" s="447">
        <f t="shared" si="35"/>
        <v>572</v>
      </c>
      <c r="H834" s="435"/>
      <c r="I834" s="447">
        <f t="shared" si="36"/>
        <v>0</v>
      </c>
      <c r="J834" s="544"/>
      <c r="K834" s="444" t="s">
        <v>1130</v>
      </c>
      <c r="L834" s="449">
        <v>572</v>
      </c>
      <c r="M834" s="289"/>
      <c r="N834" s="245"/>
      <c r="O834" s="450">
        <v>0</v>
      </c>
      <c r="P834" s="451">
        <f t="shared" si="37"/>
        <v>0</v>
      </c>
      <c r="Q834" s="289"/>
      <c r="R834" s="245"/>
      <c r="S834" s="289"/>
      <c r="T834" s="245"/>
      <c r="U834" s="289"/>
      <c r="V834" s="245"/>
      <c r="W834" s="289"/>
      <c r="X834" s="245"/>
      <c r="Y834" s="289"/>
      <c r="Z834" s="245"/>
    </row>
    <row r="835" spans="1:26" s="436" customFormat="1" ht="15.75" customHeight="1">
      <c r="A835" s="443"/>
      <c r="B835" s="444"/>
      <c r="C835" s="445" t="s">
        <v>1469</v>
      </c>
      <c r="D835" s="543" t="s">
        <v>1470</v>
      </c>
      <c r="E835" s="444" t="s">
        <v>1130</v>
      </c>
      <c r="F835" s="446">
        <f t="shared" si="34"/>
        <v>0</v>
      </c>
      <c r="G835" s="447">
        <f t="shared" si="35"/>
        <v>635</v>
      </c>
      <c r="H835" s="435"/>
      <c r="I835" s="447">
        <f t="shared" si="36"/>
        <v>0</v>
      </c>
      <c r="J835" s="544"/>
      <c r="K835" s="444" t="s">
        <v>1130</v>
      </c>
      <c r="L835" s="449">
        <v>635</v>
      </c>
      <c r="M835" s="289"/>
      <c r="N835" s="245"/>
      <c r="O835" s="450">
        <v>0</v>
      </c>
      <c r="P835" s="451">
        <f t="shared" si="37"/>
        <v>0</v>
      </c>
      <c r="Q835" s="289"/>
      <c r="R835" s="245"/>
      <c r="S835" s="289"/>
      <c r="T835" s="245"/>
      <c r="U835" s="289"/>
      <c r="V835" s="245"/>
      <c r="W835" s="289"/>
      <c r="X835" s="245"/>
      <c r="Y835" s="289"/>
      <c r="Z835" s="245"/>
    </row>
    <row r="836" spans="1:26" s="436" customFormat="1" ht="15.75" customHeight="1">
      <c r="A836" s="443"/>
      <c r="B836" s="444"/>
      <c r="C836" s="445" t="s">
        <v>1471</v>
      </c>
      <c r="D836" s="543" t="s">
        <v>1472</v>
      </c>
      <c r="E836" s="444" t="s">
        <v>1130</v>
      </c>
      <c r="F836" s="446">
        <f t="shared" si="34"/>
        <v>0</v>
      </c>
      <c r="G836" s="447">
        <f t="shared" si="35"/>
        <v>730</v>
      </c>
      <c r="H836" s="435"/>
      <c r="I836" s="447">
        <f t="shared" si="36"/>
        <v>0</v>
      </c>
      <c r="J836" s="544"/>
      <c r="K836" s="444" t="s">
        <v>1130</v>
      </c>
      <c r="L836" s="449">
        <v>730</v>
      </c>
      <c r="M836" s="289"/>
      <c r="N836" s="245"/>
      <c r="O836" s="450">
        <v>0</v>
      </c>
      <c r="P836" s="451">
        <f t="shared" si="37"/>
        <v>0</v>
      </c>
      <c r="Q836" s="289"/>
      <c r="R836" s="245"/>
      <c r="S836" s="289"/>
      <c r="T836" s="245"/>
      <c r="U836" s="289"/>
      <c r="V836" s="245"/>
      <c r="W836" s="289"/>
      <c r="X836" s="245"/>
      <c r="Y836" s="289"/>
      <c r="Z836" s="245"/>
    </row>
    <row r="837" spans="1:26" s="436" customFormat="1" ht="15.75" customHeight="1">
      <c r="A837" s="443"/>
      <c r="B837" s="444"/>
      <c r="C837" s="445" t="s">
        <v>1473</v>
      </c>
      <c r="D837" s="543" t="s">
        <v>1474</v>
      </c>
      <c r="E837" s="444" t="s">
        <v>1130</v>
      </c>
      <c r="F837" s="446">
        <f t="shared" si="34"/>
        <v>0</v>
      </c>
      <c r="G837" s="447">
        <f t="shared" si="35"/>
        <v>1100</v>
      </c>
      <c r="H837" s="435"/>
      <c r="I837" s="447">
        <f t="shared" si="36"/>
        <v>0</v>
      </c>
      <c r="J837" s="544"/>
      <c r="K837" s="444" t="s">
        <v>1130</v>
      </c>
      <c r="L837" s="449">
        <v>1100</v>
      </c>
      <c r="M837" s="289"/>
      <c r="N837" s="245"/>
      <c r="O837" s="450">
        <v>0</v>
      </c>
      <c r="P837" s="451">
        <f t="shared" si="37"/>
        <v>0</v>
      </c>
      <c r="Q837" s="289"/>
      <c r="R837" s="245"/>
      <c r="S837" s="289"/>
      <c r="T837" s="245"/>
      <c r="U837" s="289"/>
      <c r="V837" s="245"/>
      <c r="W837" s="289"/>
      <c r="X837" s="245"/>
      <c r="Y837" s="289"/>
      <c r="Z837" s="245"/>
    </row>
    <row r="838" spans="1:26" s="436" customFormat="1" ht="15.75" customHeight="1">
      <c r="A838" s="443"/>
      <c r="B838" s="444"/>
      <c r="C838" s="445"/>
      <c r="D838" s="543" t="s">
        <v>1178</v>
      </c>
      <c r="E838" s="444" t="s">
        <v>1130</v>
      </c>
      <c r="F838" s="446">
        <f t="shared" si="34"/>
        <v>0</v>
      </c>
      <c r="G838" s="447">
        <f t="shared" si="35"/>
        <v>1100</v>
      </c>
      <c r="H838" s="442">
        <f>F838*G838</f>
        <v>0</v>
      </c>
      <c r="I838" s="447">
        <f t="shared" si="36"/>
        <v>0</v>
      </c>
      <c r="J838" s="544"/>
      <c r="K838" s="444" t="s">
        <v>1130</v>
      </c>
      <c r="L838" s="449">
        <v>1100</v>
      </c>
      <c r="M838" s="289"/>
      <c r="N838" s="245"/>
      <c r="O838" s="450">
        <v>0</v>
      </c>
      <c r="P838" s="451">
        <f t="shared" si="37"/>
        <v>0</v>
      </c>
      <c r="Q838" s="289"/>
      <c r="R838" s="245"/>
      <c r="S838" s="289"/>
      <c r="T838" s="245"/>
      <c r="U838" s="289"/>
      <c r="V838" s="245"/>
      <c r="W838" s="289"/>
      <c r="X838" s="245"/>
      <c r="Y838" s="289"/>
      <c r="Z838" s="245"/>
    </row>
    <row r="839" spans="1:26" ht="15" customHeight="1">
      <c r="A839" s="250"/>
      <c r="B839" s="251"/>
      <c r="C839" s="453"/>
      <c r="D839" s="330"/>
      <c r="E839" s="251"/>
      <c r="F839" s="252"/>
      <c r="G839" s="253"/>
      <c r="H839" s="254"/>
      <c r="I839" s="253"/>
      <c r="J839" s="253"/>
      <c r="K839" s="251"/>
      <c r="L839" s="253"/>
      <c r="M839" s="289"/>
      <c r="N839" s="245"/>
      <c r="O839" s="258"/>
      <c r="P839" s="257"/>
      <c r="Q839" s="289"/>
      <c r="R839" s="245"/>
      <c r="S839" s="289"/>
      <c r="T839" s="245"/>
      <c r="U839" s="289"/>
      <c r="V839" s="245"/>
      <c r="W839" s="289"/>
      <c r="X839" s="245"/>
      <c r="Y839" s="289"/>
      <c r="Z839" s="245"/>
    </row>
    <row r="840" spans="1:26" ht="15" customHeight="1">
      <c r="A840" s="250"/>
      <c r="B840" s="251"/>
      <c r="C840" s="453" t="s">
        <v>1475</v>
      </c>
      <c r="D840" s="330" t="s">
        <v>1476</v>
      </c>
      <c r="E840" s="251"/>
      <c r="F840" s="252"/>
      <c r="G840" s="253"/>
      <c r="H840" s="254"/>
      <c r="I840" s="253"/>
      <c r="J840" s="253"/>
      <c r="K840" s="251"/>
      <c r="L840" s="253"/>
      <c r="M840" s="289"/>
      <c r="N840" s="245"/>
      <c r="O840" s="258"/>
      <c r="P840" s="257"/>
      <c r="Q840" s="289"/>
      <c r="R840" s="245"/>
      <c r="S840" s="289"/>
      <c r="T840" s="245"/>
      <c r="U840" s="289"/>
      <c r="V840" s="245"/>
      <c r="W840" s="289"/>
      <c r="X840" s="245"/>
      <c r="Y840" s="289"/>
      <c r="Z840" s="245"/>
    </row>
    <row r="841" spans="1:26" s="436" customFormat="1" ht="15">
      <c r="A841" s="443"/>
      <c r="B841" s="444"/>
      <c r="C841" s="445" t="s">
        <v>1477</v>
      </c>
      <c r="D841" s="543" t="s">
        <v>1478</v>
      </c>
      <c r="E841" s="444" t="s">
        <v>1130</v>
      </c>
      <c r="F841" s="446">
        <f t="shared" ref="F841:F849" si="38">M841+O841+Q841+S841+U841+W841+Y841</f>
        <v>0</v>
      </c>
      <c r="G841" s="447">
        <f t="shared" ref="G841:G849" si="39">L841</f>
        <v>400</v>
      </c>
      <c r="H841" s="442">
        <f t="shared" ref="H841:H849" si="40">F841*G841</f>
        <v>0</v>
      </c>
      <c r="I841" s="447">
        <f t="shared" ref="I841:I849" si="41">N841+P841+R841+T841+V841+X841+Z841</f>
        <v>0</v>
      </c>
      <c r="J841" s="544"/>
      <c r="K841" s="444" t="s">
        <v>1130</v>
      </c>
      <c r="L841" s="449">
        <v>400</v>
      </c>
      <c r="M841" s="289"/>
      <c r="N841" s="245"/>
      <c r="O841" s="450">
        <v>0</v>
      </c>
      <c r="P841" s="451">
        <f t="shared" ref="P841:P849" si="42">INT($L841*O841*100+0.5)/100</f>
        <v>0</v>
      </c>
      <c r="Q841" s="289"/>
      <c r="R841" s="245"/>
      <c r="S841" s="289"/>
      <c r="T841" s="245"/>
      <c r="U841" s="289"/>
      <c r="V841" s="245"/>
      <c r="W841" s="289"/>
      <c r="X841" s="245"/>
      <c r="Y841" s="289"/>
      <c r="Z841" s="245"/>
    </row>
    <row r="842" spans="1:26" s="436" customFormat="1" ht="15">
      <c r="A842" s="443"/>
      <c r="B842" s="444"/>
      <c r="C842" s="445" t="s">
        <v>1479</v>
      </c>
      <c r="D842" s="543" t="s">
        <v>1480</v>
      </c>
      <c r="E842" s="444" t="s">
        <v>1130</v>
      </c>
      <c r="F842" s="446">
        <f t="shared" si="38"/>
        <v>0</v>
      </c>
      <c r="G842" s="447">
        <f t="shared" si="39"/>
        <v>490</v>
      </c>
      <c r="H842" s="442">
        <f t="shared" si="40"/>
        <v>0</v>
      </c>
      <c r="I842" s="447">
        <f t="shared" si="41"/>
        <v>0</v>
      </c>
      <c r="J842" s="544"/>
      <c r="K842" s="444" t="s">
        <v>1130</v>
      </c>
      <c r="L842" s="449">
        <v>490</v>
      </c>
      <c r="M842" s="289"/>
      <c r="N842" s="245"/>
      <c r="O842" s="450">
        <v>0</v>
      </c>
      <c r="P842" s="451">
        <f t="shared" si="42"/>
        <v>0</v>
      </c>
      <c r="Q842" s="289"/>
      <c r="R842" s="245"/>
      <c r="S842" s="289"/>
      <c r="T842" s="245"/>
      <c r="U842" s="289"/>
      <c r="V842" s="245"/>
      <c r="W842" s="289"/>
      <c r="X842" s="245"/>
      <c r="Y842" s="289"/>
      <c r="Z842" s="245"/>
    </row>
    <row r="843" spans="1:26" s="436" customFormat="1" ht="15">
      <c r="A843" s="443"/>
      <c r="B843" s="444"/>
      <c r="C843" s="445" t="s">
        <v>1481</v>
      </c>
      <c r="D843" s="543" t="s">
        <v>1482</v>
      </c>
      <c r="E843" s="444" t="s">
        <v>1130</v>
      </c>
      <c r="F843" s="446">
        <f t="shared" si="38"/>
        <v>0</v>
      </c>
      <c r="G843" s="447">
        <f t="shared" si="39"/>
        <v>560</v>
      </c>
      <c r="H843" s="442">
        <f t="shared" si="40"/>
        <v>0</v>
      </c>
      <c r="I843" s="447">
        <f t="shared" si="41"/>
        <v>0</v>
      </c>
      <c r="J843" s="544"/>
      <c r="K843" s="444" t="s">
        <v>1130</v>
      </c>
      <c r="L843" s="449">
        <v>560</v>
      </c>
      <c r="M843" s="289"/>
      <c r="N843" s="245"/>
      <c r="O843" s="450">
        <v>0</v>
      </c>
      <c r="P843" s="451">
        <f t="shared" si="42"/>
        <v>0</v>
      </c>
      <c r="Q843" s="289"/>
      <c r="R843" s="245"/>
      <c r="S843" s="289"/>
      <c r="T843" s="245"/>
      <c r="U843" s="289"/>
      <c r="V843" s="245"/>
      <c r="W843" s="289"/>
      <c r="X843" s="245"/>
      <c r="Y843" s="289"/>
      <c r="Z843" s="245"/>
    </row>
    <row r="844" spans="1:26" s="436" customFormat="1" ht="15">
      <c r="A844" s="443"/>
      <c r="B844" s="444"/>
      <c r="C844" s="445" t="s">
        <v>1483</v>
      </c>
      <c r="D844" s="543" t="s">
        <v>1484</v>
      </c>
      <c r="E844" s="444" t="s">
        <v>1130</v>
      </c>
      <c r="F844" s="446">
        <f t="shared" si="38"/>
        <v>0</v>
      </c>
      <c r="G844" s="447">
        <f t="shared" si="39"/>
        <v>665</v>
      </c>
      <c r="H844" s="442">
        <f t="shared" si="40"/>
        <v>0</v>
      </c>
      <c r="I844" s="447">
        <f t="shared" si="41"/>
        <v>0</v>
      </c>
      <c r="J844" s="544"/>
      <c r="K844" s="444" t="s">
        <v>1130</v>
      </c>
      <c r="L844" s="449">
        <v>665</v>
      </c>
      <c r="M844" s="289"/>
      <c r="N844" s="245"/>
      <c r="O844" s="450">
        <v>0</v>
      </c>
      <c r="P844" s="451">
        <f t="shared" si="42"/>
        <v>0</v>
      </c>
      <c r="Q844" s="289"/>
      <c r="R844" s="245"/>
      <c r="S844" s="289"/>
      <c r="T844" s="245"/>
      <c r="U844" s="289"/>
      <c r="V844" s="245"/>
      <c r="W844" s="289"/>
      <c r="X844" s="245"/>
      <c r="Y844" s="289"/>
      <c r="Z844" s="245"/>
    </row>
    <row r="845" spans="1:26" s="436" customFormat="1" ht="15">
      <c r="A845" s="443"/>
      <c r="B845" s="444"/>
      <c r="C845" s="445" t="s">
        <v>1485</v>
      </c>
      <c r="D845" s="543" t="s">
        <v>1486</v>
      </c>
      <c r="E845" s="444" t="s">
        <v>1130</v>
      </c>
      <c r="F845" s="446">
        <f t="shared" si="38"/>
        <v>0</v>
      </c>
      <c r="G845" s="447">
        <f t="shared" si="39"/>
        <v>770</v>
      </c>
      <c r="H845" s="442">
        <f t="shared" si="40"/>
        <v>0</v>
      </c>
      <c r="I845" s="447">
        <f t="shared" si="41"/>
        <v>0</v>
      </c>
      <c r="J845" s="544"/>
      <c r="K845" s="444" t="s">
        <v>1130</v>
      </c>
      <c r="L845" s="449">
        <v>770</v>
      </c>
      <c r="M845" s="289"/>
      <c r="N845" s="245"/>
      <c r="O845" s="450">
        <v>0</v>
      </c>
      <c r="P845" s="451">
        <f t="shared" si="42"/>
        <v>0</v>
      </c>
      <c r="Q845" s="289"/>
      <c r="R845" s="245"/>
      <c r="S845" s="289"/>
      <c r="T845" s="245"/>
      <c r="U845" s="289"/>
      <c r="V845" s="245"/>
      <c r="W845" s="289"/>
      <c r="X845" s="245"/>
      <c r="Y845" s="289"/>
      <c r="Z845" s="245"/>
    </row>
    <row r="846" spans="1:26" s="436" customFormat="1" ht="15">
      <c r="A846" s="443"/>
      <c r="B846" s="444"/>
      <c r="C846" s="445" t="s">
        <v>1487</v>
      </c>
      <c r="D846" s="543" t="s">
        <v>1488</v>
      </c>
      <c r="E846" s="444" t="s">
        <v>1130</v>
      </c>
      <c r="F846" s="446">
        <f t="shared" si="38"/>
        <v>0</v>
      </c>
      <c r="G846" s="447">
        <f t="shared" si="39"/>
        <v>1070</v>
      </c>
      <c r="H846" s="442">
        <f t="shared" si="40"/>
        <v>0</v>
      </c>
      <c r="I846" s="447">
        <f t="shared" si="41"/>
        <v>0</v>
      </c>
      <c r="J846" s="544"/>
      <c r="K846" s="444" t="s">
        <v>1130</v>
      </c>
      <c r="L846" s="449">
        <v>1070</v>
      </c>
      <c r="M846" s="289"/>
      <c r="N846" s="245"/>
      <c r="O846" s="450">
        <v>0</v>
      </c>
      <c r="P846" s="451">
        <f t="shared" si="42"/>
        <v>0</v>
      </c>
      <c r="Q846" s="289"/>
      <c r="R846" s="245"/>
      <c r="S846" s="289"/>
      <c r="T846" s="245"/>
      <c r="U846" s="289"/>
      <c r="V846" s="245"/>
      <c r="W846" s="289"/>
      <c r="X846" s="245"/>
      <c r="Y846" s="289"/>
      <c r="Z846" s="245"/>
    </row>
    <row r="847" spans="1:26" s="436" customFormat="1" ht="15">
      <c r="A847" s="443"/>
      <c r="B847" s="444"/>
      <c r="C847" s="445" t="s">
        <v>1489</v>
      </c>
      <c r="D847" s="543" t="s">
        <v>1490</v>
      </c>
      <c r="E847" s="444" t="s">
        <v>1130</v>
      </c>
      <c r="F847" s="446">
        <f t="shared" si="38"/>
        <v>0</v>
      </c>
      <c r="G847" s="447">
        <f t="shared" si="39"/>
        <v>2600</v>
      </c>
      <c r="H847" s="442">
        <f t="shared" si="40"/>
        <v>0</v>
      </c>
      <c r="I847" s="447">
        <f t="shared" si="41"/>
        <v>0</v>
      </c>
      <c r="J847" s="544"/>
      <c r="K847" s="444" t="s">
        <v>1130</v>
      </c>
      <c r="L847" s="449">
        <v>2600</v>
      </c>
      <c r="M847" s="289"/>
      <c r="N847" s="245"/>
      <c r="O847" s="450">
        <v>0</v>
      </c>
      <c r="P847" s="451">
        <f t="shared" si="42"/>
        <v>0</v>
      </c>
      <c r="Q847" s="289"/>
      <c r="R847" s="245"/>
      <c r="S847" s="289"/>
      <c r="T847" s="245"/>
      <c r="U847" s="289"/>
      <c r="V847" s="245"/>
      <c r="W847" s="289"/>
      <c r="X847" s="245"/>
      <c r="Y847" s="289"/>
      <c r="Z847" s="245"/>
    </row>
    <row r="848" spans="1:26" s="436" customFormat="1" ht="15">
      <c r="A848" s="443"/>
      <c r="B848" s="444"/>
      <c r="C848" s="445" t="s">
        <v>1491</v>
      </c>
      <c r="D848" s="543" t="s">
        <v>1492</v>
      </c>
      <c r="E848" s="444" t="s">
        <v>1130</v>
      </c>
      <c r="F848" s="446">
        <f t="shared" si="38"/>
        <v>0</v>
      </c>
      <c r="G848" s="447">
        <f t="shared" si="39"/>
        <v>3280</v>
      </c>
      <c r="H848" s="442">
        <f t="shared" si="40"/>
        <v>0</v>
      </c>
      <c r="I848" s="447">
        <f t="shared" si="41"/>
        <v>0</v>
      </c>
      <c r="J848" s="544"/>
      <c r="K848" s="444" t="s">
        <v>1130</v>
      </c>
      <c r="L848" s="449">
        <v>3280</v>
      </c>
      <c r="M848" s="289"/>
      <c r="N848" s="245"/>
      <c r="O848" s="450">
        <v>0</v>
      </c>
      <c r="P848" s="451">
        <f t="shared" si="42"/>
        <v>0</v>
      </c>
      <c r="Q848" s="289"/>
      <c r="R848" s="245"/>
      <c r="S848" s="289"/>
      <c r="T848" s="245"/>
      <c r="U848" s="289"/>
      <c r="V848" s="245"/>
      <c r="W848" s="289"/>
      <c r="X848" s="245"/>
      <c r="Y848" s="289"/>
      <c r="Z848" s="245"/>
    </row>
    <row r="849" spans="1:26" s="436" customFormat="1" ht="15">
      <c r="A849" s="443"/>
      <c r="B849" s="444"/>
      <c r="C849" s="445" t="s">
        <v>1493</v>
      </c>
      <c r="D849" s="543" t="s">
        <v>1494</v>
      </c>
      <c r="E849" s="444" t="s">
        <v>1130</v>
      </c>
      <c r="F849" s="446">
        <f t="shared" si="38"/>
        <v>0</v>
      </c>
      <c r="G849" s="447">
        <f t="shared" si="39"/>
        <v>4980</v>
      </c>
      <c r="H849" s="442">
        <f t="shared" si="40"/>
        <v>0</v>
      </c>
      <c r="I849" s="447">
        <f t="shared" si="41"/>
        <v>0</v>
      </c>
      <c r="J849" s="544"/>
      <c r="K849" s="444" t="s">
        <v>1130</v>
      </c>
      <c r="L849" s="449">
        <v>4980</v>
      </c>
      <c r="M849" s="289"/>
      <c r="N849" s="245"/>
      <c r="O849" s="450">
        <v>0</v>
      </c>
      <c r="P849" s="451">
        <f t="shared" si="42"/>
        <v>0</v>
      </c>
      <c r="Q849" s="289"/>
      <c r="R849" s="245"/>
      <c r="S849" s="289"/>
      <c r="T849" s="245"/>
      <c r="U849" s="289"/>
      <c r="V849" s="245"/>
      <c r="W849" s="289"/>
      <c r="X849" s="245"/>
      <c r="Y849" s="289"/>
      <c r="Z849" s="245"/>
    </row>
    <row r="850" spans="1:26" ht="15" customHeight="1">
      <c r="A850" s="250"/>
      <c r="B850" s="251"/>
      <c r="C850" s="453"/>
      <c r="D850" s="330"/>
      <c r="E850" s="251"/>
      <c r="F850" s="252"/>
      <c r="G850" s="253"/>
      <c r="H850" s="254"/>
      <c r="I850" s="253"/>
      <c r="J850" s="253"/>
      <c r="K850" s="251"/>
      <c r="L850" s="253"/>
      <c r="M850" s="289"/>
      <c r="N850" s="245"/>
      <c r="O850" s="258"/>
      <c r="P850" s="257"/>
      <c r="Q850" s="289"/>
      <c r="R850" s="245"/>
      <c r="S850" s="289"/>
      <c r="T850" s="245"/>
      <c r="U850" s="289"/>
      <c r="V850" s="245"/>
      <c r="W850" s="289"/>
      <c r="X850" s="245"/>
      <c r="Y850" s="289"/>
      <c r="Z850" s="245"/>
    </row>
    <row r="851" spans="1:26" ht="15" customHeight="1">
      <c r="A851" s="250"/>
      <c r="B851" s="251"/>
      <c r="C851" s="453" t="s">
        <v>1495</v>
      </c>
      <c r="D851" s="330" t="s">
        <v>1496</v>
      </c>
      <c r="E851" s="251"/>
      <c r="F851" s="252"/>
      <c r="G851" s="253"/>
      <c r="H851" s="254"/>
      <c r="I851" s="253"/>
      <c r="J851" s="253"/>
      <c r="K851" s="251"/>
      <c r="L851" s="253"/>
      <c r="M851" s="289"/>
      <c r="N851" s="245"/>
      <c r="O851" s="258"/>
      <c r="P851" s="257"/>
      <c r="Q851" s="289"/>
      <c r="R851" s="245"/>
      <c r="S851" s="289"/>
      <c r="T851" s="245"/>
      <c r="U851" s="289"/>
      <c r="V851" s="245"/>
      <c r="W851" s="289"/>
      <c r="X851" s="245"/>
      <c r="Y851" s="289"/>
      <c r="Z851" s="245"/>
    </row>
    <row r="852" spans="1:26" s="436" customFormat="1" ht="15">
      <c r="A852" s="443"/>
      <c r="B852" s="444"/>
      <c r="C852" s="445" t="s">
        <v>1497</v>
      </c>
      <c r="D852" s="543" t="s">
        <v>1498</v>
      </c>
      <c r="E852" s="444" t="s">
        <v>1130</v>
      </c>
      <c r="F852" s="446">
        <f t="shared" ref="F852:F858" si="43">M852+O852+Q852+S852+U852+W852+Y852</f>
        <v>0</v>
      </c>
      <c r="G852" s="447">
        <f t="shared" ref="G852:G858" si="44">L852</f>
        <v>320</v>
      </c>
      <c r="H852" s="442">
        <f t="shared" ref="H852:H858" si="45">F852*G852</f>
        <v>0</v>
      </c>
      <c r="I852" s="447">
        <f t="shared" ref="I852:I858" si="46">N852+P852+R852+T852+V852+X852+Z852</f>
        <v>0</v>
      </c>
      <c r="J852" s="544"/>
      <c r="K852" s="444" t="s">
        <v>1130</v>
      </c>
      <c r="L852" s="449">
        <v>320</v>
      </c>
      <c r="M852" s="289"/>
      <c r="N852" s="245"/>
      <c r="O852" s="450">
        <v>0</v>
      </c>
      <c r="P852" s="451">
        <f t="shared" ref="P852:P858" si="47">INT($L852*O852*100+0.5)/100</f>
        <v>0</v>
      </c>
      <c r="Q852" s="289"/>
      <c r="R852" s="245"/>
      <c r="S852" s="289"/>
      <c r="T852" s="245"/>
      <c r="U852" s="289"/>
      <c r="V852" s="245"/>
      <c r="W852" s="289"/>
      <c r="X852" s="245"/>
      <c r="Y852" s="289"/>
      <c r="Z852" s="245"/>
    </row>
    <row r="853" spans="1:26" s="436" customFormat="1" ht="15">
      <c r="A853" s="443"/>
      <c r="B853" s="444"/>
      <c r="C853" s="445" t="s">
        <v>1499</v>
      </c>
      <c r="D853" s="543" t="s">
        <v>1500</v>
      </c>
      <c r="E853" s="444" t="s">
        <v>1130</v>
      </c>
      <c r="F853" s="446">
        <f t="shared" si="43"/>
        <v>0</v>
      </c>
      <c r="G853" s="447">
        <f t="shared" si="44"/>
        <v>320</v>
      </c>
      <c r="H853" s="442">
        <f t="shared" si="45"/>
        <v>0</v>
      </c>
      <c r="I853" s="447">
        <f t="shared" si="46"/>
        <v>0</v>
      </c>
      <c r="J853" s="544"/>
      <c r="K853" s="444" t="s">
        <v>1130</v>
      </c>
      <c r="L853" s="449">
        <v>320</v>
      </c>
      <c r="M853" s="289"/>
      <c r="N853" s="245"/>
      <c r="O853" s="450">
        <v>0</v>
      </c>
      <c r="P853" s="451">
        <f t="shared" si="47"/>
        <v>0</v>
      </c>
      <c r="Q853" s="289"/>
      <c r="R853" s="245"/>
      <c r="S853" s="289"/>
      <c r="T853" s="245"/>
      <c r="U853" s="289"/>
      <c r="V853" s="245"/>
      <c r="W853" s="289"/>
      <c r="X853" s="245"/>
      <c r="Y853" s="289"/>
      <c r="Z853" s="245"/>
    </row>
    <row r="854" spans="1:26" s="436" customFormat="1" ht="15">
      <c r="A854" s="443"/>
      <c r="B854" s="444"/>
      <c r="C854" s="445" t="s">
        <v>1501</v>
      </c>
      <c r="D854" s="543" t="s">
        <v>1502</v>
      </c>
      <c r="E854" s="444" t="s">
        <v>1130</v>
      </c>
      <c r="F854" s="446">
        <f t="shared" si="43"/>
        <v>0</v>
      </c>
      <c r="G854" s="447">
        <f t="shared" si="44"/>
        <v>440</v>
      </c>
      <c r="H854" s="442">
        <f t="shared" si="45"/>
        <v>0</v>
      </c>
      <c r="I854" s="447">
        <f t="shared" si="46"/>
        <v>0</v>
      </c>
      <c r="J854" s="544"/>
      <c r="K854" s="444" t="s">
        <v>1130</v>
      </c>
      <c r="L854" s="449">
        <v>440</v>
      </c>
      <c r="M854" s="289"/>
      <c r="N854" s="245"/>
      <c r="O854" s="450">
        <v>0</v>
      </c>
      <c r="P854" s="451">
        <f t="shared" si="47"/>
        <v>0</v>
      </c>
      <c r="Q854" s="289"/>
      <c r="R854" s="245"/>
      <c r="S854" s="289"/>
      <c r="T854" s="245"/>
      <c r="U854" s="289"/>
      <c r="V854" s="245"/>
      <c r="W854" s="289"/>
      <c r="X854" s="245"/>
      <c r="Y854" s="289"/>
      <c r="Z854" s="245"/>
    </row>
    <row r="855" spans="1:26" s="436" customFormat="1" ht="15">
      <c r="A855" s="443"/>
      <c r="B855" s="444"/>
      <c r="C855" s="445" t="s">
        <v>1503</v>
      </c>
      <c r="D855" s="543" t="s">
        <v>1504</v>
      </c>
      <c r="E855" s="444" t="s">
        <v>1130</v>
      </c>
      <c r="F855" s="446">
        <f t="shared" si="43"/>
        <v>0</v>
      </c>
      <c r="G855" s="447">
        <f t="shared" si="44"/>
        <v>560</v>
      </c>
      <c r="H855" s="442">
        <f t="shared" si="45"/>
        <v>0</v>
      </c>
      <c r="I855" s="447">
        <f t="shared" si="46"/>
        <v>0</v>
      </c>
      <c r="J855" s="544"/>
      <c r="K855" s="444" t="s">
        <v>1130</v>
      </c>
      <c r="L855" s="449">
        <v>560</v>
      </c>
      <c r="M855" s="289"/>
      <c r="N855" s="245"/>
      <c r="O855" s="450">
        <v>0</v>
      </c>
      <c r="P855" s="451">
        <f t="shared" si="47"/>
        <v>0</v>
      </c>
      <c r="Q855" s="289"/>
      <c r="R855" s="245"/>
      <c r="S855" s="289"/>
      <c r="T855" s="245"/>
      <c r="U855" s="289"/>
      <c r="V855" s="245"/>
      <c r="W855" s="289"/>
      <c r="X855" s="245"/>
      <c r="Y855" s="289"/>
      <c r="Z855" s="245"/>
    </row>
    <row r="856" spans="1:26" s="436" customFormat="1" ht="15">
      <c r="A856" s="443"/>
      <c r="B856" s="444"/>
      <c r="C856" s="445" t="s">
        <v>1505</v>
      </c>
      <c r="D856" s="543" t="s">
        <v>1506</v>
      </c>
      <c r="E856" s="444" t="s">
        <v>1130</v>
      </c>
      <c r="F856" s="446">
        <f t="shared" si="43"/>
        <v>0</v>
      </c>
      <c r="G856" s="447">
        <f t="shared" si="44"/>
        <v>650</v>
      </c>
      <c r="H856" s="442">
        <f t="shared" si="45"/>
        <v>0</v>
      </c>
      <c r="I856" s="447">
        <f t="shared" si="46"/>
        <v>0</v>
      </c>
      <c r="J856" s="544"/>
      <c r="K856" s="444" t="s">
        <v>1130</v>
      </c>
      <c r="L856" s="449">
        <v>650</v>
      </c>
      <c r="M856" s="289"/>
      <c r="N856" s="245"/>
      <c r="O856" s="450">
        <v>0</v>
      </c>
      <c r="P856" s="451">
        <f t="shared" si="47"/>
        <v>0</v>
      </c>
      <c r="Q856" s="289"/>
      <c r="R856" s="245"/>
      <c r="S856" s="289"/>
      <c r="T856" s="245"/>
      <c r="U856" s="289"/>
      <c r="V856" s="245"/>
      <c r="W856" s="289"/>
      <c r="X856" s="245"/>
      <c r="Y856" s="289"/>
      <c r="Z856" s="245"/>
    </row>
    <row r="857" spans="1:26" s="436" customFormat="1" ht="15">
      <c r="A857" s="443"/>
      <c r="B857" s="444"/>
      <c r="C857" s="445" t="s">
        <v>1507</v>
      </c>
      <c r="D857" s="543" t="s">
        <v>1508</v>
      </c>
      <c r="E857" s="444" t="s">
        <v>1130</v>
      </c>
      <c r="F857" s="446">
        <f t="shared" si="43"/>
        <v>0</v>
      </c>
      <c r="G857" s="447">
        <f t="shared" si="44"/>
        <v>1200</v>
      </c>
      <c r="H857" s="442">
        <f t="shared" si="45"/>
        <v>0</v>
      </c>
      <c r="I857" s="447">
        <f t="shared" si="46"/>
        <v>0</v>
      </c>
      <c r="J857" s="544"/>
      <c r="K857" s="444" t="s">
        <v>1130</v>
      </c>
      <c r="L857" s="449">
        <v>1200</v>
      </c>
      <c r="M857" s="289"/>
      <c r="N857" s="245"/>
      <c r="O857" s="450">
        <v>0</v>
      </c>
      <c r="P857" s="451">
        <f t="shared" si="47"/>
        <v>0</v>
      </c>
      <c r="Q857" s="289"/>
      <c r="R857" s="245"/>
      <c r="S857" s="289"/>
      <c r="T857" s="245"/>
      <c r="U857" s="289"/>
      <c r="V857" s="245"/>
      <c r="W857" s="289"/>
      <c r="X857" s="245"/>
      <c r="Y857" s="289"/>
      <c r="Z857" s="245"/>
    </row>
    <row r="858" spans="1:26" s="436" customFormat="1" ht="15">
      <c r="A858" s="443"/>
      <c r="B858" s="444"/>
      <c r="C858" s="445" t="s">
        <v>1509</v>
      </c>
      <c r="D858" s="543" t="s">
        <v>1510</v>
      </c>
      <c r="E858" s="444" t="s">
        <v>1130</v>
      </c>
      <c r="F858" s="446">
        <f t="shared" si="43"/>
        <v>0</v>
      </c>
      <c r="G858" s="447">
        <f t="shared" si="44"/>
        <v>2000</v>
      </c>
      <c r="H858" s="442">
        <f t="shared" si="45"/>
        <v>0</v>
      </c>
      <c r="I858" s="447">
        <f t="shared" si="46"/>
        <v>0</v>
      </c>
      <c r="J858" s="544"/>
      <c r="K858" s="444" t="s">
        <v>1130</v>
      </c>
      <c r="L858" s="449">
        <v>2000</v>
      </c>
      <c r="M858" s="289"/>
      <c r="N858" s="245"/>
      <c r="O858" s="450">
        <v>0</v>
      </c>
      <c r="P858" s="451">
        <f t="shared" si="47"/>
        <v>0</v>
      </c>
      <c r="Q858" s="289"/>
      <c r="R858" s="245"/>
      <c r="S858" s="289"/>
      <c r="T858" s="245"/>
      <c r="U858" s="289"/>
      <c r="V858" s="245"/>
      <c r="W858" s="289"/>
      <c r="X858" s="245"/>
      <c r="Y858" s="289"/>
      <c r="Z858" s="245"/>
    </row>
    <row r="859" spans="1:26" ht="15" customHeight="1">
      <c r="A859" s="250"/>
      <c r="B859" s="251"/>
      <c r="C859" s="453"/>
      <c r="D859" s="330"/>
      <c r="E859" s="251"/>
      <c r="F859" s="252"/>
      <c r="G859" s="253"/>
      <c r="H859" s="254"/>
      <c r="I859" s="253"/>
      <c r="J859" s="253"/>
      <c r="K859" s="251"/>
      <c r="L859" s="253"/>
      <c r="M859" s="289"/>
      <c r="N859" s="245"/>
      <c r="O859" s="258"/>
      <c r="P859" s="257"/>
      <c r="Q859" s="289"/>
      <c r="R859" s="245"/>
      <c r="S859" s="289"/>
      <c r="T859" s="245"/>
      <c r="U859" s="289"/>
      <c r="V859" s="245"/>
      <c r="W859" s="289"/>
      <c r="X859" s="245"/>
      <c r="Y859" s="289"/>
      <c r="Z859" s="245"/>
    </row>
    <row r="860" spans="1:26" ht="15" customHeight="1">
      <c r="A860" s="250"/>
      <c r="B860" s="251"/>
      <c r="C860" s="453" t="s">
        <v>1511</v>
      </c>
      <c r="D860" s="330" t="s">
        <v>1512</v>
      </c>
      <c r="E860" s="251"/>
      <c r="F860" s="252"/>
      <c r="G860" s="253"/>
      <c r="H860" s="254"/>
      <c r="I860" s="253"/>
      <c r="J860" s="253"/>
      <c r="K860" s="251"/>
      <c r="L860" s="253"/>
      <c r="M860" s="289"/>
      <c r="N860" s="245"/>
      <c r="O860" s="258"/>
      <c r="P860" s="257"/>
      <c r="Q860" s="289"/>
      <c r="R860" s="245"/>
      <c r="S860" s="289"/>
      <c r="T860" s="245"/>
      <c r="U860" s="289"/>
      <c r="V860" s="245"/>
      <c r="W860" s="289"/>
      <c r="X860" s="245"/>
      <c r="Y860" s="289"/>
      <c r="Z860" s="245"/>
    </row>
    <row r="861" spans="1:26" s="436" customFormat="1" ht="15">
      <c r="A861" s="443"/>
      <c r="B861" s="444"/>
      <c r="C861" s="445" t="s">
        <v>1513</v>
      </c>
      <c r="D861" s="543" t="s">
        <v>1514</v>
      </c>
      <c r="E861" s="444" t="s">
        <v>1130</v>
      </c>
      <c r="F861" s="446">
        <f t="shared" ref="F861:F869" si="48">M861+O861+Q861+S861+U861+W861+Y861</f>
        <v>0</v>
      </c>
      <c r="G861" s="447">
        <f t="shared" ref="G861:G869" si="49">L861</f>
        <v>515</v>
      </c>
      <c r="H861" s="442">
        <f t="shared" ref="H861:H869" si="50">F861*G861</f>
        <v>0</v>
      </c>
      <c r="I861" s="447">
        <f t="shared" ref="I861:I869" si="51">N861+P861+R861+T861+V861+X861+Z861</f>
        <v>0</v>
      </c>
      <c r="J861" s="544"/>
      <c r="K861" s="444" t="s">
        <v>1130</v>
      </c>
      <c r="L861" s="449">
        <v>515</v>
      </c>
      <c r="M861" s="289"/>
      <c r="N861" s="245"/>
      <c r="O861" s="450">
        <v>0</v>
      </c>
      <c r="P861" s="451">
        <f t="shared" ref="P861:P869" si="52">INT($L861*O861*100+0.5)/100</f>
        <v>0</v>
      </c>
      <c r="Q861" s="289"/>
      <c r="R861" s="245"/>
      <c r="S861" s="289"/>
      <c r="T861" s="245"/>
      <c r="U861" s="289"/>
      <c r="V861" s="245"/>
      <c r="W861" s="289"/>
      <c r="X861" s="245"/>
      <c r="Y861" s="289"/>
      <c r="Z861" s="245"/>
    </row>
    <row r="862" spans="1:26" s="436" customFormat="1" ht="15">
      <c r="A862" s="443"/>
      <c r="B862" s="444"/>
      <c r="C862" s="445" t="s">
        <v>1515</v>
      </c>
      <c r="D862" s="543" t="s">
        <v>1516</v>
      </c>
      <c r="E862" s="444" t="s">
        <v>1130</v>
      </c>
      <c r="F862" s="446">
        <f t="shared" si="48"/>
        <v>0</v>
      </c>
      <c r="G862" s="447">
        <f t="shared" si="49"/>
        <v>570</v>
      </c>
      <c r="H862" s="442">
        <f t="shared" si="50"/>
        <v>0</v>
      </c>
      <c r="I862" s="447">
        <f t="shared" si="51"/>
        <v>0</v>
      </c>
      <c r="J862" s="544"/>
      <c r="K862" s="444" t="s">
        <v>1130</v>
      </c>
      <c r="L862" s="449">
        <v>570</v>
      </c>
      <c r="M862" s="289"/>
      <c r="N862" s="245"/>
      <c r="O862" s="450">
        <v>0</v>
      </c>
      <c r="P862" s="451">
        <f t="shared" si="52"/>
        <v>0</v>
      </c>
      <c r="Q862" s="289"/>
      <c r="R862" s="245"/>
      <c r="S862" s="289"/>
      <c r="T862" s="245"/>
      <c r="U862" s="289"/>
      <c r="V862" s="245"/>
      <c r="W862" s="289"/>
      <c r="X862" s="245"/>
      <c r="Y862" s="289"/>
      <c r="Z862" s="245"/>
    </row>
    <row r="863" spans="1:26" s="436" customFormat="1" ht="15">
      <c r="A863" s="443"/>
      <c r="B863" s="444"/>
      <c r="C863" s="445" t="s">
        <v>1517</v>
      </c>
      <c r="D863" s="543" t="s">
        <v>1518</v>
      </c>
      <c r="E863" s="444" t="s">
        <v>1130</v>
      </c>
      <c r="F863" s="446">
        <f t="shared" si="48"/>
        <v>0</v>
      </c>
      <c r="G863" s="447">
        <f t="shared" si="49"/>
        <v>625</v>
      </c>
      <c r="H863" s="442">
        <f t="shared" si="50"/>
        <v>0</v>
      </c>
      <c r="I863" s="447">
        <f t="shared" si="51"/>
        <v>0</v>
      </c>
      <c r="J863" s="544"/>
      <c r="K863" s="444" t="s">
        <v>1130</v>
      </c>
      <c r="L863" s="449">
        <v>625</v>
      </c>
      <c r="M863" s="289"/>
      <c r="N863" s="245"/>
      <c r="O863" s="450">
        <v>0</v>
      </c>
      <c r="P863" s="451">
        <f t="shared" si="52"/>
        <v>0</v>
      </c>
      <c r="Q863" s="289"/>
      <c r="R863" s="245"/>
      <c r="S863" s="289"/>
      <c r="T863" s="245"/>
      <c r="U863" s="289"/>
      <c r="V863" s="245"/>
      <c r="W863" s="289"/>
      <c r="X863" s="245"/>
      <c r="Y863" s="289"/>
      <c r="Z863" s="245"/>
    </row>
    <row r="864" spans="1:26" s="436" customFormat="1" ht="15">
      <c r="A864" s="443"/>
      <c r="B864" s="444"/>
      <c r="C864" s="445" t="s">
        <v>1519</v>
      </c>
      <c r="D864" s="543" t="s">
        <v>1520</v>
      </c>
      <c r="E864" s="444" t="s">
        <v>1130</v>
      </c>
      <c r="F864" s="446">
        <f t="shared" si="48"/>
        <v>0</v>
      </c>
      <c r="G864" s="447">
        <f t="shared" si="49"/>
        <v>690</v>
      </c>
      <c r="H864" s="442">
        <f t="shared" si="50"/>
        <v>0</v>
      </c>
      <c r="I864" s="447">
        <f t="shared" si="51"/>
        <v>0</v>
      </c>
      <c r="J864" s="544"/>
      <c r="K864" s="444" t="s">
        <v>1130</v>
      </c>
      <c r="L864" s="449">
        <v>690</v>
      </c>
      <c r="M864" s="289"/>
      <c r="N864" s="245"/>
      <c r="O864" s="450">
        <v>0</v>
      </c>
      <c r="P864" s="451">
        <f t="shared" si="52"/>
        <v>0</v>
      </c>
      <c r="Q864" s="289"/>
      <c r="R864" s="245"/>
      <c r="S864" s="289"/>
      <c r="T864" s="245"/>
      <c r="U864" s="289"/>
      <c r="V864" s="245"/>
      <c r="W864" s="289"/>
      <c r="X864" s="245"/>
      <c r="Y864" s="289"/>
      <c r="Z864" s="245"/>
    </row>
    <row r="865" spans="1:26" s="436" customFormat="1" ht="15">
      <c r="A865" s="443"/>
      <c r="B865" s="444"/>
      <c r="C865" s="445" t="s">
        <v>1521</v>
      </c>
      <c r="D865" s="543" t="s">
        <v>1522</v>
      </c>
      <c r="E865" s="444" t="s">
        <v>1130</v>
      </c>
      <c r="F865" s="446">
        <f t="shared" si="48"/>
        <v>0</v>
      </c>
      <c r="G865" s="447">
        <f t="shared" si="49"/>
        <v>750</v>
      </c>
      <c r="H865" s="442">
        <f t="shared" si="50"/>
        <v>0</v>
      </c>
      <c r="I865" s="447">
        <f t="shared" si="51"/>
        <v>0</v>
      </c>
      <c r="J865" s="544"/>
      <c r="K865" s="444" t="s">
        <v>1130</v>
      </c>
      <c r="L865" s="449">
        <v>750</v>
      </c>
      <c r="M865" s="289"/>
      <c r="N865" s="245"/>
      <c r="O865" s="450">
        <v>0</v>
      </c>
      <c r="P865" s="451">
        <f t="shared" si="52"/>
        <v>0</v>
      </c>
      <c r="Q865" s="289"/>
      <c r="R865" s="245"/>
      <c r="S865" s="289"/>
      <c r="T865" s="245"/>
      <c r="U865" s="289"/>
      <c r="V865" s="245"/>
      <c r="W865" s="289"/>
      <c r="X865" s="245"/>
      <c r="Y865" s="289"/>
      <c r="Z865" s="245"/>
    </row>
    <row r="866" spans="1:26" s="436" customFormat="1" ht="15">
      <c r="A866" s="443"/>
      <c r="B866" s="444"/>
      <c r="C866" s="445" t="s">
        <v>1523</v>
      </c>
      <c r="D866" s="543" t="s">
        <v>1637</v>
      </c>
      <c r="E866" s="444" t="s">
        <v>1130</v>
      </c>
      <c r="F866" s="446">
        <f t="shared" si="48"/>
        <v>0</v>
      </c>
      <c r="G866" s="447">
        <f t="shared" si="49"/>
        <v>950</v>
      </c>
      <c r="H866" s="442">
        <f t="shared" si="50"/>
        <v>0</v>
      </c>
      <c r="I866" s="447">
        <f t="shared" si="51"/>
        <v>0</v>
      </c>
      <c r="J866" s="544"/>
      <c r="K866" s="444" t="s">
        <v>1130</v>
      </c>
      <c r="L866" s="449">
        <v>950</v>
      </c>
      <c r="M866" s="289"/>
      <c r="N866" s="245"/>
      <c r="O866" s="450">
        <v>0</v>
      </c>
      <c r="P866" s="451">
        <f t="shared" si="52"/>
        <v>0</v>
      </c>
      <c r="Q866" s="289"/>
      <c r="R866" s="245"/>
      <c r="S866" s="289"/>
      <c r="T866" s="245"/>
      <c r="U866" s="289"/>
      <c r="V866" s="245"/>
      <c r="W866" s="289"/>
      <c r="X866" s="245"/>
      <c r="Y866" s="289"/>
      <c r="Z866" s="245"/>
    </row>
    <row r="867" spans="1:26" s="436" customFormat="1" ht="15">
      <c r="A867" s="443"/>
      <c r="B867" s="444"/>
      <c r="C867" s="445" t="s">
        <v>1638</v>
      </c>
      <c r="D867" s="543" t="s">
        <v>1639</v>
      </c>
      <c r="E867" s="444" t="s">
        <v>1130</v>
      </c>
      <c r="F867" s="446">
        <f t="shared" si="48"/>
        <v>0</v>
      </c>
      <c r="G867" s="447">
        <f t="shared" si="49"/>
        <v>1140</v>
      </c>
      <c r="H867" s="442">
        <f t="shared" si="50"/>
        <v>0</v>
      </c>
      <c r="I867" s="447">
        <f t="shared" si="51"/>
        <v>0</v>
      </c>
      <c r="J867" s="544"/>
      <c r="K867" s="444" t="s">
        <v>1130</v>
      </c>
      <c r="L867" s="449">
        <v>1140</v>
      </c>
      <c r="M867" s="289"/>
      <c r="N867" s="245"/>
      <c r="O867" s="450">
        <v>0</v>
      </c>
      <c r="P867" s="451">
        <f t="shared" si="52"/>
        <v>0</v>
      </c>
      <c r="Q867" s="289"/>
      <c r="R867" s="245"/>
      <c r="S867" s="289"/>
      <c r="T867" s="245"/>
      <c r="U867" s="289"/>
      <c r="V867" s="245"/>
      <c r="W867" s="289"/>
      <c r="X867" s="245"/>
      <c r="Y867" s="289"/>
      <c r="Z867" s="245"/>
    </row>
    <row r="868" spans="1:26" s="436" customFormat="1" ht="15">
      <c r="A868" s="443"/>
      <c r="B868" s="444"/>
      <c r="C868" s="445" t="s">
        <v>1640</v>
      </c>
      <c r="D868" s="543" t="s">
        <v>1641</v>
      </c>
      <c r="E868" s="444" t="s">
        <v>1130</v>
      </c>
      <c r="F868" s="446">
        <f t="shared" si="48"/>
        <v>0</v>
      </c>
      <c r="G868" s="447">
        <f t="shared" si="49"/>
        <v>1140</v>
      </c>
      <c r="H868" s="442">
        <f t="shared" si="50"/>
        <v>0</v>
      </c>
      <c r="I868" s="447">
        <f t="shared" si="51"/>
        <v>0</v>
      </c>
      <c r="J868" s="544"/>
      <c r="K868" s="444" t="s">
        <v>1130</v>
      </c>
      <c r="L868" s="449">
        <v>1140</v>
      </c>
      <c r="M868" s="289"/>
      <c r="N868" s="245"/>
      <c r="O868" s="450">
        <v>0</v>
      </c>
      <c r="P868" s="451">
        <f t="shared" si="52"/>
        <v>0</v>
      </c>
      <c r="Q868" s="289"/>
      <c r="R868" s="245"/>
      <c r="S868" s="289"/>
      <c r="T868" s="245"/>
      <c r="U868" s="289"/>
      <c r="V868" s="245"/>
      <c r="W868" s="289"/>
      <c r="X868" s="245"/>
      <c r="Y868" s="289"/>
      <c r="Z868" s="245"/>
    </row>
    <row r="869" spans="1:26" s="436" customFormat="1" ht="15">
      <c r="A869" s="443"/>
      <c r="B869" s="444"/>
      <c r="C869" s="445" t="s">
        <v>1642</v>
      </c>
      <c r="D869" s="543" t="s">
        <v>1643</v>
      </c>
      <c r="E869" s="444" t="s">
        <v>1130</v>
      </c>
      <c r="F869" s="446">
        <f t="shared" si="48"/>
        <v>0</v>
      </c>
      <c r="G869" s="447">
        <f t="shared" si="49"/>
        <v>1490</v>
      </c>
      <c r="H869" s="442">
        <f t="shared" si="50"/>
        <v>0</v>
      </c>
      <c r="I869" s="447">
        <f t="shared" si="51"/>
        <v>0</v>
      </c>
      <c r="J869" s="544"/>
      <c r="K869" s="444" t="s">
        <v>1130</v>
      </c>
      <c r="L869" s="449">
        <v>1490</v>
      </c>
      <c r="M869" s="289"/>
      <c r="N869" s="245"/>
      <c r="O869" s="450">
        <v>0</v>
      </c>
      <c r="P869" s="451">
        <f t="shared" si="52"/>
        <v>0</v>
      </c>
      <c r="Q869" s="289"/>
      <c r="R869" s="245"/>
      <c r="S869" s="289"/>
      <c r="T869" s="245"/>
      <c r="U869" s="289"/>
      <c r="V869" s="245"/>
      <c r="W869" s="289"/>
      <c r="X869" s="245"/>
      <c r="Y869" s="289"/>
      <c r="Z869" s="245"/>
    </row>
    <row r="870" spans="1:26" ht="15" customHeight="1">
      <c r="A870" s="250"/>
      <c r="B870" s="251"/>
      <c r="C870" s="453"/>
      <c r="D870" s="330"/>
      <c r="E870" s="251"/>
      <c r="F870" s="252"/>
      <c r="G870" s="253"/>
      <c r="H870" s="254"/>
      <c r="I870" s="253"/>
      <c r="J870" s="253"/>
      <c r="K870" s="251"/>
      <c r="L870" s="253"/>
      <c r="M870" s="289"/>
      <c r="N870" s="245"/>
      <c r="O870" s="258"/>
      <c r="P870" s="257"/>
      <c r="Q870" s="289"/>
      <c r="R870" s="245"/>
      <c r="S870" s="289"/>
      <c r="T870" s="245"/>
      <c r="U870" s="289"/>
      <c r="V870" s="245"/>
      <c r="W870" s="289"/>
      <c r="X870" s="245"/>
      <c r="Y870" s="289"/>
      <c r="Z870" s="245"/>
    </row>
    <row r="871" spans="1:26" ht="15" customHeight="1">
      <c r="A871" s="250"/>
      <c r="B871" s="251"/>
      <c r="C871" s="453" t="s">
        <v>1644</v>
      </c>
      <c r="D871" s="330" t="s">
        <v>1645</v>
      </c>
      <c r="E871" s="251"/>
      <c r="F871" s="252"/>
      <c r="G871" s="253"/>
      <c r="H871" s="254"/>
      <c r="I871" s="253"/>
      <c r="J871" s="253"/>
      <c r="K871" s="251"/>
      <c r="L871" s="253"/>
      <c r="M871" s="289"/>
      <c r="N871" s="245"/>
      <c r="O871" s="258"/>
      <c r="P871" s="257"/>
      <c r="Q871" s="289"/>
      <c r="R871" s="245"/>
      <c r="S871" s="289"/>
      <c r="T871" s="245"/>
      <c r="U871" s="289"/>
      <c r="V871" s="245"/>
      <c r="W871" s="289"/>
      <c r="X871" s="245"/>
      <c r="Y871" s="289"/>
      <c r="Z871" s="245"/>
    </row>
    <row r="872" spans="1:26" s="436" customFormat="1" ht="15">
      <c r="A872" s="443"/>
      <c r="B872" s="444"/>
      <c r="C872" s="445" t="s">
        <v>1646</v>
      </c>
      <c r="D872" s="543" t="s">
        <v>1647</v>
      </c>
      <c r="E872" s="444" t="s">
        <v>1130</v>
      </c>
      <c r="F872" s="446">
        <f t="shared" ref="F872:F877" si="53">M872+O872+Q872+S872+U872+W872+Y872</f>
        <v>0</v>
      </c>
      <c r="G872" s="447">
        <f t="shared" ref="G872:G877" si="54">L872</f>
        <v>113</v>
      </c>
      <c r="H872" s="442">
        <f t="shared" ref="H872:H877" si="55">F872*G872</f>
        <v>0</v>
      </c>
      <c r="I872" s="447">
        <f t="shared" ref="I872:I877" si="56">N872+P872+R872+T872+V872+X872+Z872</f>
        <v>0</v>
      </c>
      <c r="J872" s="544"/>
      <c r="K872" s="444" t="s">
        <v>1130</v>
      </c>
      <c r="L872" s="449">
        <v>113</v>
      </c>
      <c r="M872" s="289"/>
      <c r="N872" s="245"/>
      <c r="O872" s="450">
        <v>0</v>
      </c>
      <c r="P872" s="451">
        <f t="shared" ref="P872:P877" si="57">INT($L872*O872*100+0.5)/100</f>
        <v>0</v>
      </c>
      <c r="Q872" s="289"/>
      <c r="R872" s="245"/>
      <c r="S872" s="289"/>
      <c r="T872" s="245"/>
      <c r="U872" s="289"/>
      <c r="V872" s="245"/>
      <c r="W872" s="289"/>
      <c r="X872" s="245"/>
      <c r="Y872" s="289"/>
      <c r="Z872" s="245"/>
    </row>
    <row r="873" spans="1:26" s="436" customFormat="1" ht="15">
      <c r="A873" s="443"/>
      <c r="B873" s="444"/>
      <c r="C873" s="445" t="s">
        <v>1648</v>
      </c>
      <c r="D873" s="543" t="s">
        <v>1649</v>
      </c>
      <c r="E873" s="444" t="s">
        <v>1130</v>
      </c>
      <c r="F873" s="446">
        <f t="shared" si="53"/>
        <v>0</v>
      </c>
      <c r="G873" s="447">
        <f t="shared" si="54"/>
        <v>136</v>
      </c>
      <c r="H873" s="442">
        <f t="shared" si="55"/>
        <v>0</v>
      </c>
      <c r="I873" s="447">
        <f t="shared" si="56"/>
        <v>0</v>
      </c>
      <c r="J873" s="544"/>
      <c r="K873" s="444" t="s">
        <v>1130</v>
      </c>
      <c r="L873" s="449">
        <v>136</v>
      </c>
      <c r="M873" s="289"/>
      <c r="N873" s="245"/>
      <c r="O873" s="450">
        <v>0</v>
      </c>
      <c r="P873" s="451">
        <f t="shared" si="57"/>
        <v>0</v>
      </c>
      <c r="Q873" s="289"/>
      <c r="R873" s="245"/>
      <c r="S873" s="289"/>
      <c r="T873" s="245"/>
      <c r="U873" s="289"/>
      <c r="V873" s="245"/>
      <c r="W873" s="289"/>
      <c r="X873" s="245"/>
      <c r="Y873" s="289"/>
      <c r="Z873" s="245"/>
    </row>
    <row r="874" spans="1:26" s="436" customFormat="1" ht="15">
      <c r="A874" s="443"/>
      <c r="B874" s="444"/>
      <c r="C874" s="445" t="s">
        <v>1650</v>
      </c>
      <c r="D874" s="543" t="s">
        <v>1651</v>
      </c>
      <c r="E874" s="444" t="s">
        <v>1130</v>
      </c>
      <c r="F874" s="446">
        <f t="shared" si="53"/>
        <v>0</v>
      </c>
      <c r="G874" s="447">
        <f t="shared" si="54"/>
        <v>172</v>
      </c>
      <c r="H874" s="442">
        <f t="shared" si="55"/>
        <v>0</v>
      </c>
      <c r="I874" s="447">
        <f t="shared" si="56"/>
        <v>0</v>
      </c>
      <c r="J874" s="544"/>
      <c r="K874" s="444" t="s">
        <v>1130</v>
      </c>
      <c r="L874" s="449">
        <v>172</v>
      </c>
      <c r="M874" s="289"/>
      <c r="N874" s="245"/>
      <c r="O874" s="450">
        <v>0</v>
      </c>
      <c r="P874" s="451">
        <f t="shared" si="57"/>
        <v>0</v>
      </c>
      <c r="Q874" s="289"/>
      <c r="R874" s="245"/>
      <c r="S874" s="289"/>
      <c r="T874" s="245"/>
      <c r="U874" s="289"/>
      <c r="V874" s="245"/>
      <c r="W874" s="289"/>
      <c r="X874" s="245"/>
      <c r="Y874" s="289"/>
      <c r="Z874" s="245"/>
    </row>
    <row r="875" spans="1:26" s="436" customFormat="1" ht="15">
      <c r="A875" s="443"/>
      <c r="B875" s="444"/>
      <c r="C875" s="445" t="s">
        <v>1652</v>
      </c>
      <c r="D875" s="543" t="s">
        <v>1653</v>
      </c>
      <c r="E875" s="444" t="s">
        <v>1130</v>
      </c>
      <c r="F875" s="446">
        <f t="shared" si="53"/>
        <v>0</v>
      </c>
      <c r="G875" s="447">
        <f t="shared" si="54"/>
        <v>197</v>
      </c>
      <c r="H875" s="442">
        <f t="shared" si="55"/>
        <v>0</v>
      </c>
      <c r="I875" s="447">
        <f t="shared" si="56"/>
        <v>0</v>
      </c>
      <c r="J875" s="544"/>
      <c r="K875" s="444" t="s">
        <v>1130</v>
      </c>
      <c r="L875" s="449">
        <v>197</v>
      </c>
      <c r="M875" s="289"/>
      <c r="N875" s="245"/>
      <c r="O875" s="450">
        <v>0</v>
      </c>
      <c r="P875" s="451">
        <f t="shared" si="57"/>
        <v>0</v>
      </c>
      <c r="Q875" s="289"/>
      <c r="R875" s="245"/>
      <c r="S875" s="289"/>
      <c r="T875" s="245"/>
      <c r="U875" s="289"/>
      <c r="V875" s="245"/>
      <c r="W875" s="289"/>
      <c r="X875" s="245"/>
      <c r="Y875" s="289"/>
      <c r="Z875" s="245"/>
    </row>
    <row r="876" spans="1:26" s="436" customFormat="1" ht="15">
      <c r="A876" s="443"/>
      <c r="B876" s="444"/>
      <c r="C876" s="445" t="s">
        <v>1654</v>
      </c>
      <c r="D876" s="543" t="s">
        <v>1655</v>
      </c>
      <c r="E876" s="444" t="s">
        <v>1130</v>
      </c>
      <c r="F876" s="446">
        <f t="shared" si="53"/>
        <v>0</v>
      </c>
      <c r="G876" s="447">
        <f t="shared" si="54"/>
        <v>242</v>
      </c>
      <c r="H876" s="442">
        <f t="shared" si="55"/>
        <v>0</v>
      </c>
      <c r="I876" s="447">
        <f t="shared" si="56"/>
        <v>0</v>
      </c>
      <c r="J876" s="544"/>
      <c r="K876" s="444" t="s">
        <v>1130</v>
      </c>
      <c r="L876" s="449">
        <v>242</v>
      </c>
      <c r="M876" s="289"/>
      <c r="N876" s="245"/>
      <c r="O876" s="450">
        <v>0</v>
      </c>
      <c r="P876" s="451">
        <f t="shared" si="57"/>
        <v>0</v>
      </c>
      <c r="Q876" s="289"/>
      <c r="R876" s="245"/>
      <c r="S876" s="289"/>
      <c r="T876" s="245"/>
      <c r="U876" s="289"/>
      <c r="V876" s="245"/>
      <c r="W876" s="289"/>
      <c r="X876" s="245"/>
      <c r="Y876" s="289"/>
      <c r="Z876" s="245"/>
    </row>
    <row r="877" spans="1:26" s="436" customFormat="1" ht="15">
      <c r="A877" s="443"/>
      <c r="B877" s="444"/>
      <c r="C877" s="445" t="s">
        <v>1656</v>
      </c>
      <c r="D877" s="543" t="s">
        <v>1657</v>
      </c>
      <c r="E877" s="444" t="s">
        <v>1130</v>
      </c>
      <c r="F877" s="446">
        <f t="shared" si="53"/>
        <v>0</v>
      </c>
      <c r="G877" s="447">
        <f t="shared" si="54"/>
        <v>297</v>
      </c>
      <c r="H877" s="442">
        <f t="shared" si="55"/>
        <v>0</v>
      </c>
      <c r="I877" s="447">
        <f t="shared" si="56"/>
        <v>0</v>
      </c>
      <c r="J877" s="544"/>
      <c r="K877" s="444" t="s">
        <v>1130</v>
      </c>
      <c r="L877" s="449">
        <v>297</v>
      </c>
      <c r="M877" s="289"/>
      <c r="N877" s="245"/>
      <c r="O877" s="450">
        <v>0</v>
      </c>
      <c r="P877" s="451">
        <f t="shared" si="57"/>
        <v>0</v>
      </c>
      <c r="Q877" s="289"/>
      <c r="R877" s="245"/>
      <c r="S877" s="289"/>
      <c r="T877" s="245"/>
      <c r="U877" s="289"/>
      <c r="V877" s="245"/>
      <c r="W877" s="289"/>
      <c r="X877" s="245"/>
      <c r="Y877" s="289"/>
      <c r="Z877" s="245"/>
    </row>
    <row r="878" spans="1:26" ht="15" customHeight="1">
      <c r="A878" s="250"/>
      <c r="B878" s="251"/>
      <c r="C878" s="453"/>
      <c r="D878" s="330"/>
      <c r="E878" s="251"/>
      <c r="F878" s="252"/>
      <c r="G878" s="253"/>
      <c r="H878" s="254"/>
      <c r="I878" s="253"/>
      <c r="J878" s="253"/>
      <c r="K878" s="251"/>
      <c r="L878" s="253"/>
      <c r="M878" s="289"/>
      <c r="N878" s="245"/>
      <c r="O878" s="258"/>
      <c r="P878" s="257"/>
      <c r="Q878" s="289"/>
      <c r="R878" s="245"/>
      <c r="S878" s="289"/>
      <c r="T878" s="245"/>
      <c r="U878" s="289"/>
      <c r="V878" s="245"/>
      <c r="W878" s="289"/>
      <c r="X878" s="245"/>
      <c r="Y878" s="289"/>
      <c r="Z878" s="245"/>
    </row>
    <row r="879" spans="1:26" ht="15" customHeight="1">
      <c r="A879" s="250"/>
      <c r="B879" s="251"/>
      <c r="C879" s="453" t="s">
        <v>1658</v>
      </c>
      <c r="D879" s="330" t="s">
        <v>1659</v>
      </c>
      <c r="E879" s="251"/>
      <c r="F879" s="252"/>
      <c r="G879" s="253"/>
      <c r="H879" s="254"/>
      <c r="I879" s="253"/>
      <c r="J879" s="253"/>
      <c r="K879" s="251"/>
      <c r="L879" s="253"/>
      <c r="M879" s="289"/>
      <c r="N879" s="245"/>
      <c r="O879" s="258"/>
      <c r="P879" s="257"/>
      <c r="Q879" s="289"/>
      <c r="R879" s="245"/>
      <c r="S879" s="289"/>
      <c r="T879" s="245"/>
      <c r="U879" s="289"/>
      <c r="V879" s="245"/>
      <c r="W879" s="289"/>
      <c r="X879" s="245"/>
      <c r="Y879" s="289"/>
      <c r="Z879" s="245"/>
    </row>
    <row r="880" spans="1:26" s="436" customFormat="1" ht="15">
      <c r="A880" s="443"/>
      <c r="B880" s="444"/>
      <c r="C880" s="445" t="s">
        <v>1660</v>
      </c>
      <c r="D880" s="543" t="s">
        <v>1661</v>
      </c>
      <c r="E880" s="444" t="s">
        <v>1130</v>
      </c>
      <c r="F880" s="446">
        <f t="shared" ref="F880:F887" si="58">M880+O880+Q880+S880+U880+W880+Y880</f>
        <v>0</v>
      </c>
      <c r="G880" s="447">
        <f t="shared" ref="G880:G887" si="59">L880</f>
        <v>15.3</v>
      </c>
      <c r="H880" s="442">
        <f t="shared" ref="H880:H887" si="60">F880*G880</f>
        <v>0</v>
      </c>
      <c r="I880" s="447">
        <f t="shared" ref="I880:I887" si="61">N880+P880+R880+T880+V880+X880+Z880</f>
        <v>0</v>
      </c>
      <c r="J880" s="544"/>
      <c r="K880" s="444" t="s">
        <v>1130</v>
      </c>
      <c r="L880" s="449">
        <v>15.3</v>
      </c>
      <c r="M880" s="289"/>
      <c r="N880" s="245"/>
      <c r="O880" s="450">
        <v>0</v>
      </c>
      <c r="P880" s="451">
        <f t="shared" ref="P880:P887" si="62">INT($L880*O880*100+0.5)/100</f>
        <v>0</v>
      </c>
      <c r="Q880" s="289"/>
      <c r="R880" s="245"/>
      <c r="S880" s="289"/>
      <c r="T880" s="245"/>
      <c r="U880" s="289"/>
      <c r="V880" s="245"/>
      <c r="W880" s="289"/>
      <c r="X880" s="245"/>
      <c r="Y880" s="289"/>
      <c r="Z880" s="245"/>
    </row>
    <row r="881" spans="1:26" s="436" customFormat="1" ht="15">
      <c r="A881" s="443"/>
      <c r="B881" s="444"/>
      <c r="C881" s="445" t="s">
        <v>1662</v>
      </c>
      <c r="D881" s="543" t="s">
        <v>1663</v>
      </c>
      <c r="E881" s="444" t="s">
        <v>1130</v>
      </c>
      <c r="F881" s="446">
        <f t="shared" si="58"/>
        <v>0</v>
      </c>
      <c r="G881" s="447">
        <f t="shared" si="59"/>
        <v>18.5</v>
      </c>
      <c r="H881" s="442">
        <f t="shared" si="60"/>
        <v>0</v>
      </c>
      <c r="I881" s="447">
        <f t="shared" si="61"/>
        <v>0</v>
      </c>
      <c r="J881" s="544"/>
      <c r="K881" s="444" t="s">
        <v>1130</v>
      </c>
      <c r="L881" s="449">
        <v>18.5</v>
      </c>
      <c r="M881" s="289"/>
      <c r="N881" s="245"/>
      <c r="O881" s="450">
        <v>0</v>
      </c>
      <c r="P881" s="451">
        <f t="shared" si="62"/>
        <v>0</v>
      </c>
      <c r="Q881" s="289"/>
      <c r="R881" s="245"/>
      <c r="S881" s="289"/>
      <c r="T881" s="245"/>
      <c r="U881" s="289"/>
      <c r="V881" s="245"/>
      <c r="W881" s="289"/>
      <c r="X881" s="245"/>
      <c r="Y881" s="289"/>
      <c r="Z881" s="245"/>
    </row>
    <row r="882" spans="1:26" s="436" customFormat="1" ht="15">
      <c r="A882" s="443"/>
      <c r="B882" s="444"/>
      <c r="C882" s="445" t="s">
        <v>1664</v>
      </c>
      <c r="D882" s="543" t="s">
        <v>1665</v>
      </c>
      <c r="E882" s="444" t="s">
        <v>1130</v>
      </c>
      <c r="F882" s="446">
        <f t="shared" si="58"/>
        <v>0</v>
      </c>
      <c r="G882" s="447">
        <f t="shared" si="59"/>
        <v>20</v>
      </c>
      <c r="H882" s="442">
        <f t="shared" si="60"/>
        <v>0</v>
      </c>
      <c r="I882" s="447">
        <f t="shared" si="61"/>
        <v>0</v>
      </c>
      <c r="J882" s="544"/>
      <c r="K882" s="444" t="s">
        <v>1130</v>
      </c>
      <c r="L882" s="449">
        <v>20</v>
      </c>
      <c r="M882" s="289"/>
      <c r="N882" s="245"/>
      <c r="O882" s="450">
        <v>0</v>
      </c>
      <c r="P882" s="451">
        <f t="shared" si="62"/>
        <v>0</v>
      </c>
      <c r="Q882" s="289"/>
      <c r="R882" s="245"/>
      <c r="S882" s="289"/>
      <c r="T882" s="245"/>
      <c r="U882" s="289"/>
      <c r="V882" s="245"/>
      <c r="W882" s="289"/>
      <c r="X882" s="245"/>
      <c r="Y882" s="289"/>
      <c r="Z882" s="245"/>
    </row>
    <row r="883" spans="1:26" s="436" customFormat="1" ht="15">
      <c r="A883" s="443"/>
      <c r="B883" s="444"/>
      <c r="C883" s="445" t="s">
        <v>1666</v>
      </c>
      <c r="D883" s="543" t="s">
        <v>1667</v>
      </c>
      <c r="E883" s="444" t="s">
        <v>1130</v>
      </c>
      <c r="F883" s="446">
        <f t="shared" si="58"/>
        <v>0</v>
      </c>
      <c r="G883" s="447">
        <f t="shared" si="59"/>
        <v>21</v>
      </c>
      <c r="H883" s="442">
        <f t="shared" si="60"/>
        <v>0</v>
      </c>
      <c r="I883" s="447">
        <f t="shared" si="61"/>
        <v>0</v>
      </c>
      <c r="J883" s="544"/>
      <c r="K883" s="444" t="s">
        <v>1130</v>
      </c>
      <c r="L883" s="449">
        <v>21</v>
      </c>
      <c r="M883" s="289"/>
      <c r="N883" s="245"/>
      <c r="O883" s="450">
        <v>0</v>
      </c>
      <c r="P883" s="451">
        <f t="shared" si="62"/>
        <v>0</v>
      </c>
      <c r="Q883" s="289"/>
      <c r="R883" s="245"/>
      <c r="S883" s="289"/>
      <c r="T883" s="245"/>
      <c r="U883" s="289"/>
      <c r="V883" s="245"/>
      <c r="W883" s="289"/>
      <c r="X883" s="245"/>
      <c r="Y883" s="289"/>
      <c r="Z883" s="245"/>
    </row>
    <row r="884" spans="1:26" s="436" customFormat="1" ht="15">
      <c r="A884" s="443"/>
      <c r="B884" s="444"/>
      <c r="C884" s="445" t="s">
        <v>1668</v>
      </c>
      <c r="D884" s="543" t="s">
        <v>1669</v>
      </c>
      <c r="E884" s="444" t="s">
        <v>1130</v>
      </c>
      <c r="F884" s="446">
        <f t="shared" si="58"/>
        <v>0</v>
      </c>
      <c r="G884" s="447">
        <f t="shared" si="59"/>
        <v>23.8</v>
      </c>
      <c r="H884" s="442">
        <f t="shared" si="60"/>
        <v>0</v>
      </c>
      <c r="I884" s="447">
        <f t="shared" si="61"/>
        <v>0</v>
      </c>
      <c r="J884" s="544"/>
      <c r="K884" s="444" t="s">
        <v>1130</v>
      </c>
      <c r="L884" s="449">
        <v>23.8</v>
      </c>
      <c r="M884" s="289"/>
      <c r="N884" s="245"/>
      <c r="O884" s="450">
        <v>0</v>
      </c>
      <c r="P884" s="451">
        <f t="shared" si="62"/>
        <v>0</v>
      </c>
      <c r="Q884" s="289"/>
      <c r="R884" s="245"/>
      <c r="S884" s="289"/>
      <c r="T884" s="245"/>
      <c r="U884" s="289"/>
      <c r="V884" s="245"/>
      <c r="W884" s="289"/>
      <c r="X884" s="245"/>
      <c r="Y884" s="289"/>
      <c r="Z884" s="245"/>
    </row>
    <row r="885" spans="1:26" s="436" customFormat="1" ht="15">
      <c r="A885" s="443"/>
      <c r="B885" s="444"/>
      <c r="C885" s="445" t="s">
        <v>1670</v>
      </c>
      <c r="D885" s="543" t="s">
        <v>1671</v>
      </c>
      <c r="E885" s="444" t="s">
        <v>1130</v>
      </c>
      <c r="F885" s="446">
        <f t="shared" si="58"/>
        <v>0</v>
      </c>
      <c r="G885" s="447">
        <f t="shared" si="59"/>
        <v>24.5</v>
      </c>
      <c r="H885" s="442">
        <f t="shared" si="60"/>
        <v>0</v>
      </c>
      <c r="I885" s="447">
        <f t="shared" si="61"/>
        <v>0</v>
      </c>
      <c r="J885" s="544"/>
      <c r="K885" s="444" t="s">
        <v>1130</v>
      </c>
      <c r="L885" s="449">
        <v>24.5</v>
      </c>
      <c r="M885" s="289"/>
      <c r="N885" s="245"/>
      <c r="O885" s="450">
        <v>0</v>
      </c>
      <c r="P885" s="451">
        <f t="shared" si="62"/>
        <v>0</v>
      </c>
      <c r="Q885" s="289"/>
      <c r="R885" s="245"/>
      <c r="S885" s="289"/>
      <c r="T885" s="245"/>
      <c r="U885" s="289"/>
      <c r="V885" s="245"/>
      <c r="W885" s="289"/>
      <c r="X885" s="245"/>
      <c r="Y885" s="289"/>
      <c r="Z885" s="245"/>
    </row>
    <row r="886" spans="1:26" s="436" customFormat="1" ht="15">
      <c r="A886" s="443"/>
      <c r="B886" s="444"/>
      <c r="C886" s="445" t="s">
        <v>1672</v>
      </c>
      <c r="D886" s="543" t="s">
        <v>1673</v>
      </c>
      <c r="E886" s="444" t="s">
        <v>1130</v>
      </c>
      <c r="F886" s="446">
        <f t="shared" si="58"/>
        <v>0</v>
      </c>
      <c r="G886" s="447">
        <f t="shared" si="59"/>
        <v>25.5</v>
      </c>
      <c r="H886" s="442">
        <f t="shared" si="60"/>
        <v>0</v>
      </c>
      <c r="I886" s="447">
        <f t="shared" si="61"/>
        <v>0</v>
      </c>
      <c r="J886" s="544"/>
      <c r="K886" s="444" t="s">
        <v>1130</v>
      </c>
      <c r="L886" s="449">
        <v>25.5</v>
      </c>
      <c r="M886" s="289"/>
      <c r="N886" s="245"/>
      <c r="O886" s="450">
        <v>0</v>
      </c>
      <c r="P886" s="451">
        <f t="shared" si="62"/>
        <v>0</v>
      </c>
      <c r="Q886" s="289"/>
      <c r="R886" s="245"/>
      <c r="S886" s="289"/>
      <c r="T886" s="245"/>
      <c r="U886" s="289"/>
      <c r="V886" s="245"/>
      <c r="W886" s="289"/>
      <c r="X886" s="245"/>
      <c r="Y886" s="289"/>
      <c r="Z886" s="245"/>
    </row>
    <row r="887" spans="1:26" s="436" customFormat="1" ht="15">
      <c r="A887" s="443"/>
      <c r="B887" s="444"/>
      <c r="C887" s="445" t="s">
        <v>1674</v>
      </c>
      <c r="D887" s="543" t="s">
        <v>1675</v>
      </c>
      <c r="E887" s="444" t="s">
        <v>1130</v>
      </c>
      <c r="F887" s="446">
        <f t="shared" si="58"/>
        <v>0</v>
      </c>
      <c r="G887" s="447">
        <f t="shared" si="59"/>
        <v>30.5</v>
      </c>
      <c r="H887" s="442">
        <f t="shared" si="60"/>
        <v>0</v>
      </c>
      <c r="I887" s="447">
        <f t="shared" si="61"/>
        <v>0</v>
      </c>
      <c r="J887" s="544"/>
      <c r="K887" s="444" t="s">
        <v>1130</v>
      </c>
      <c r="L887" s="449">
        <v>30.5</v>
      </c>
      <c r="M887" s="289"/>
      <c r="N887" s="245"/>
      <c r="O887" s="450">
        <v>0</v>
      </c>
      <c r="P887" s="451">
        <f t="shared" si="62"/>
        <v>0</v>
      </c>
      <c r="Q887" s="289"/>
      <c r="R887" s="245"/>
      <c r="S887" s="289"/>
      <c r="T887" s="245"/>
      <c r="U887" s="289"/>
      <c r="V887" s="245"/>
      <c r="W887" s="289"/>
      <c r="X887" s="245"/>
      <c r="Y887" s="289"/>
      <c r="Z887" s="245"/>
    </row>
    <row r="888" spans="1:26" ht="15" customHeight="1">
      <c r="A888" s="250"/>
      <c r="B888" s="251"/>
      <c r="C888" s="453"/>
      <c r="D888" s="330"/>
      <c r="E888" s="251"/>
      <c r="F888" s="252"/>
      <c r="G888" s="253"/>
      <c r="H888" s="254"/>
      <c r="I888" s="253"/>
      <c r="J888" s="253"/>
      <c r="K888" s="251"/>
      <c r="L888" s="253"/>
      <c r="M888" s="289"/>
      <c r="N888" s="245"/>
      <c r="O888" s="258"/>
      <c r="P888" s="257"/>
      <c r="Q888" s="289"/>
      <c r="R888" s="245"/>
      <c r="S888" s="289"/>
      <c r="T888" s="245"/>
      <c r="U888" s="289"/>
      <c r="V888" s="245"/>
      <c r="W888" s="289"/>
      <c r="X888" s="245"/>
      <c r="Y888" s="289"/>
      <c r="Z888" s="245"/>
    </row>
    <row r="889" spans="1:26" ht="15" customHeight="1">
      <c r="A889" s="250"/>
      <c r="B889" s="251"/>
      <c r="C889" s="453" t="s">
        <v>1676</v>
      </c>
      <c r="D889" s="330" t="s">
        <v>1677</v>
      </c>
      <c r="E889" s="251"/>
      <c r="F889" s="252"/>
      <c r="G889" s="253"/>
      <c r="H889" s="254"/>
      <c r="I889" s="253"/>
      <c r="J889" s="253"/>
      <c r="K889" s="251"/>
      <c r="L889" s="253"/>
      <c r="M889" s="289"/>
      <c r="N889" s="245"/>
      <c r="O889" s="258"/>
      <c r="P889" s="257"/>
      <c r="Q889" s="289"/>
      <c r="R889" s="245"/>
      <c r="S889" s="289"/>
      <c r="T889" s="245"/>
      <c r="U889" s="289"/>
      <c r="V889" s="245"/>
      <c r="W889" s="289"/>
      <c r="X889" s="245"/>
      <c r="Y889" s="289"/>
      <c r="Z889" s="245"/>
    </row>
    <row r="890" spans="1:26" s="436" customFormat="1" ht="15">
      <c r="A890" s="443"/>
      <c r="B890" s="444"/>
      <c r="C890" s="445" t="s">
        <v>1678</v>
      </c>
      <c r="D890" s="543" t="s">
        <v>1679</v>
      </c>
      <c r="E890" s="444" t="s">
        <v>1130</v>
      </c>
      <c r="F890" s="446">
        <f t="shared" ref="F890:F897" si="63">M890+O890+Q890+S890+U890+W890+Y890</f>
        <v>0</v>
      </c>
      <c r="G890" s="447">
        <f t="shared" ref="G890:G897" si="64">L890</f>
        <v>18</v>
      </c>
      <c r="H890" s="442">
        <f t="shared" ref="H890:H897" si="65">F890*G890</f>
        <v>0</v>
      </c>
      <c r="I890" s="447">
        <f t="shared" ref="I890:I897" si="66">N890+P890+R890+T890+V890+X890+Z890</f>
        <v>0</v>
      </c>
      <c r="J890" s="544"/>
      <c r="K890" s="444" t="s">
        <v>1130</v>
      </c>
      <c r="L890" s="449">
        <v>18</v>
      </c>
      <c r="M890" s="289"/>
      <c r="N890" s="245"/>
      <c r="O890" s="450">
        <v>0</v>
      </c>
      <c r="P890" s="451">
        <f t="shared" ref="P890:P897" si="67">INT($L890*O890*100+0.5)/100</f>
        <v>0</v>
      </c>
      <c r="Q890" s="289"/>
      <c r="R890" s="245"/>
      <c r="S890" s="289"/>
      <c r="T890" s="245"/>
      <c r="U890" s="289"/>
      <c r="V890" s="245"/>
      <c r="W890" s="289"/>
      <c r="X890" s="245"/>
      <c r="Y890" s="289"/>
      <c r="Z890" s="245"/>
    </row>
    <row r="891" spans="1:26" s="436" customFormat="1" ht="15">
      <c r="A891" s="443"/>
      <c r="B891" s="444"/>
      <c r="C891" s="445" t="s">
        <v>1680</v>
      </c>
      <c r="D891" s="543" t="s">
        <v>1681</v>
      </c>
      <c r="E891" s="444" t="s">
        <v>1130</v>
      </c>
      <c r="F891" s="446">
        <f t="shared" si="63"/>
        <v>0</v>
      </c>
      <c r="G891" s="447">
        <f t="shared" si="64"/>
        <v>22</v>
      </c>
      <c r="H891" s="442">
        <f t="shared" si="65"/>
        <v>0</v>
      </c>
      <c r="I891" s="447">
        <f t="shared" si="66"/>
        <v>0</v>
      </c>
      <c r="J891" s="544"/>
      <c r="K891" s="444" t="s">
        <v>1130</v>
      </c>
      <c r="L891" s="449">
        <v>22</v>
      </c>
      <c r="M891" s="289"/>
      <c r="N891" s="245"/>
      <c r="O891" s="450">
        <v>0</v>
      </c>
      <c r="P891" s="451">
        <f t="shared" si="67"/>
        <v>0</v>
      </c>
      <c r="Q891" s="289"/>
      <c r="R891" s="245"/>
      <c r="S891" s="289"/>
      <c r="T891" s="245"/>
      <c r="U891" s="289"/>
      <c r="V891" s="245"/>
      <c r="W891" s="289"/>
      <c r="X891" s="245"/>
      <c r="Y891" s="289"/>
      <c r="Z891" s="245"/>
    </row>
    <row r="892" spans="1:26" s="436" customFormat="1" ht="15">
      <c r="A892" s="443"/>
      <c r="B892" s="444"/>
      <c r="C892" s="445" t="s">
        <v>1682</v>
      </c>
      <c r="D892" s="543" t="s">
        <v>1683</v>
      </c>
      <c r="E892" s="444" t="s">
        <v>1130</v>
      </c>
      <c r="F892" s="446">
        <f t="shared" si="63"/>
        <v>0</v>
      </c>
      <c r="G892" s="447">
        <f t="shared" si="64"/>
        <v>28</v>
      </c>
      <c r="H892" s="442">
        <f t="shared" si="65"/>
        <v>0</v>
      </c>
      <c r="I892" s="447">
        <f t="shared" si="66"/>
        <v>0</v>
      </c>
      <c r="J892" s="544"/>
      <c r="K892" s="444" t="s">
        <v>1130</v>
      </c>
      <c r="L892" s="449">
        <v>28</v>
      </c>
      <c r="M892" s="289"/>
      <c r="N892" s="245"/>
      <c r="O892" s="450">
        <v>0</v>
      </c>
      <c r="P892" s="451">
        <f t="shared" si="67"/>
        <v>0</v>
      </c>
      <c r="Q892" s="289"/>
      <c r="R892" s="245"/>
      <c r="S892" s="289"/>
      <c r="T892" s="245"/>
      <c r="U892" s="289"/>
      <c r="V892" s="245"/>
      <c r="W892" s="289"/>
      <c r="X892" s="245"/>
      <c r="Y892" s="289"/>
      <c r="Z892" s="245"/>
    </row>
    <row r="893" spans="1:26" s="436" customFormat="1" ht="15">
      <c r="A893" s="443"/>
      <c r="B893" s="444"/>
      <c r="C893" s="445" t="s">
        <v>1684</v>
      </c>
      <c r="D893" s="543" t="s">
        <v>1685</v>
      </c>
      <c r="E893" s="444" t="s">
        <v>1130</v>
      </c>
      <c r="F893" s="446">
        <f t="shared" si="63"/>
        <v>0</v>
      </c>
      <c r="G893" s="447">
        <f t="shared" si="64"/>
        <v>33</v>
      </c>
      <c r="H893" s="442">
        <f t="shared" si="65"/>
        <v>0</v>
      </c>
      <c r="I893" s="447">
        <f t="shared" si="66"/>
        <v>0</v>
      </c>
      <c r="J893" s="544"/>
      <c r="K893" s="444" t="s">
        <v>1130</v>
      </c>
      <c r="L893" s="449">
        <v>33</v>
      </c>
      <c r="M893" s="289"/>
      <c r="N893" s="245"/>
      <c r="O893" s="450">
        <v>0</v>
      </c>
      <c r="P893" s="451">
        <f t="shared" si="67"/>
        <v>0</v>
      </c>
      <c r="Q893" s="289"/>
      <c r="R893" s="245"/>
      <c r="S893" s="289"/>
      <c r="T893" s="245"/>
      <c r="U893" s="289"/>
      <c r="V893" s="245"/>
      <c r="W893" s="289"/>
      <c r="X893" s="245"/>
      <c r="Y893" s="289"/>
      <c r="Z893" s="245"/>
    </row>
    <row r="894" spans="1:26" s="436" customFormat="1" ht="15">
      <c r="A894" s="443"/>
      <c r="B894" s="444"/>
      <c r="C894" s="445" t="s">
        <v>1686</v>
      </c>
      <c r="D894" s="543" t="s">
        <v>1687</v>
      </c>
      <c r="E894" s="444" t="s">
        <v>1130</v>
      </c>
      <c r="F894" s="446">
        <f t="shared" si="63"/>
        <v>0</v>
      </c>
      <c r="G894" s="447">
        <f t="shared" si="64"/>
        <v>40</v>
      </c>
      <c r="H894" s="442">
        <f t="shared" si="65"/>
        <v>0</v>
      </c>
      <c r="I894" s="447">
        <f t="shared" si="66"/>
        <v>0</v>
      </c>
      <c r="J894" s="544"/>
      <c r="K894" s="444" t="s">
        <v>1130</v>
      </c>
      <c r="L894" s="449">
        <v>40</v>
      </c>
      <c r="M894" s="289"/>
      <c r="N894" s="245"/>
      <c r="O894" s="450">
        <v>0</v>
      </c>
      <c r="P894" s="451">
        <f t="shared" si="67"/>
        <v>0</v>
      </c>
      <c r="Q894" s="289"/>
      <c r="R894" s="245"/>
      <c r="S894" s="289"/>
      <c r="T894" s="245"/>
      <c r="U894" s="289"/>
      <c r="V894" s="245"/>
      <c r="W894" s="289"/>
      <c r="X894" s="245"/>
      <c r="Y894" s="289"/>
      <c r="Z894" s="245"/>
    </row>
    <row r="895" spans="1:26" s="436" customFormat="1" ht="15">
      <c r="A895" s="443"/>
      <c r="B895" s="444"/>
      <c r="C895" s="445" t="s">
        <v>1688</v>
      </c>
      <c r="D895" s="543" t="s">
        <v>1689</v>
      </c>
      <c r="E895" s="444" t="s">
        <v>1130</v>
      </c>
      <c r="F895" s="446">
        <f t="shared" si="63"/>
        <v>0</v>
      </c>
      <c r="G895" s="447">
        <f t="shared" si="64"/>
        <v>41</v>
      </c>
      <c r="H895" s="442">
        <f t="shared" si="65"/>
        <v>0</v>
      </c>
      <c r="I895" s="447">
        <f t="shared" si="66"/>
        <v>0</v>
      </c>
      <c r="J895" s="544"/>
      <c r="K895" s="444" t="s">
        <v>1130</v>
      </c>
      <c r="L895" s="449">
        <v>41</v>
      </c>
      <c r="M895" s="289"/>
      <c r="N895" s="245"/>
      <c r="O895" s="450">
        <v>0</v>
      </c>
      <c r="P895" s="451">
        <f t="shared" si="67"/>
        <v>0</v>
      </c>
      <c r="Q895" s="289"/>
      <c r="R895" s="245"/>
      <c r="S895" s="289"/>
      <c r="T895" s="245"/>
      <c r="U895" s="289"/>
      <c r="V895" s="245"/>
      <c r="W895" s="289"/>
      <c r="X895" s="245"/>
      <c r="Y895" s="289"/>
      <c r="Z895" s="245"/>
    </row>
    <row r="896" spans="1:26" s="436" customFormat="1" ht="15">
      <c r="A896" s="443"/>
      <c r="B896" s="444"/>
      <c r="C896" s="445" t="s">
        <v>1690</v>
      </c>
      <c r="D896" s="543" t="s">
        <v>1691</v>
      </c>
      <c r="E896" s="444" t="s">
        <v>1130</v>
      </c>
      <c r="F896" s="446">
        <f t="shared" si="63"/>
        <v>0</v>
      </c>
      <c r="G896" s="447">
        <f t="shared" si="64"/>
        <v>42</v>
      </c>
      <c r="H896" s="442">
        <f t="shared" si="65"/>
        <v>0</v>
      </c>
      <c r="I896" s="447">
        <f t="shared" si="66"/>
        <v>0</v>
      </c>
      <c r="J896" s="544"/>
      <c r="K896" s="444" t="s">
        <v>1130</v>
      </c>
      <c r="L896" s="449">
        <v>42</v>
      </c>
      <c r="M896" s="289"/>
      <c r="N896" s="245"/>
      <c r="O896" s="450">
        <v>0</v>
      </c>
      <c r="P896" s="451">
        <f t="shared" si="67"/>
        <v>0</v>
      </c>
      <c r="Q896" s="289"/>
      <c r="R896" s="245"/>
      <c r="S896" s="289"/>
      <c r="T896" s="245"/>
      <c r="U896" s="289"/>
      <c r="V896" s="245"/>
      <c r="W896" s="289"/>
      <c r="X896" s="245"/>
      <c r="Y896" s="289"/>
      <c r="Z896" s="245"/>
    </row>
    <row r="897" spans="1:26" s="436" customFormat="1" ht="15">
      <c r="A897" s="443"/>
      <c r="B897" s="444"/>
      <c r="C897" s="445" t="s">
        <v>1692</v>
      </c>
      <c r="D897" s="543" t="s">
        <v>1693</v>
      </c>
      <c r="E897" s="444" t="s">
        <v>1130</v>
      </c>
      <c r="F897" s="446">
        <f t="shared" si="63"/>
        <v>0</v>
      </c>
      <c r="G897" s="447">
        <f t="shared" si="64"/>
        <v>43</v>
      </c>
      <c r="H897" s="442">
        <f t="shared" si="65"/>
        <v>0</v>
      </c>
      <c r="I897" s="447">
        <f t="shared" si="66"/>
        <v>0</v>
      </c>
      <c r="J897" s="544"/>
      <c r="K897" s="444" t="s">
        <v>1130</v>
      </c>
      <c r="L897" s="449">
        <v>43</v>
      </c>
      <c r="M897" s="289"/>
      <c r="N897" s="245"/>
      <c r="O897" s="450">
        <v>0</v>
      </c>
      <c r="P897" s="451">
        <f t="shared" si="67"/>
        <v>0</v>
      </c>
      <c r="Q897" s="289"/>
      <c r="R897" s="245"/>
      <c r="S897" s="289"/>
      <c r="T897" s="245"/>
      <c r="U897" s="289"/>
      <c r="V897" s="245"/>
      <c r="W897" s="289"/>
      <c r="X897" s="245"/>
      <c r="Y897" s="289"/>
      <c r="Z897" s="245"/>
    </row>
    <row r="898" spans="1:26" ht="15" customHeight="1">
      <c r="A898" s="250"/>
      <c r="B898" s="251"/>
      <c r="C898" s="453"/>
      <c r="D898" s="330"/>
      <c r="E898" s="251"/>
      <c r="F898" s="252"/>
      <c r="G898" s="253"/>
      <c r="H898" s="254"/>
      <c r="I898" s="253"/>
      <c r="J898" s="253"/>
      <c r="K898" s="251"/>
      <c r="L898" s="253"/>
      <c r="M898" s="289"/>
      <c r="N898" s="245"/>
      <c r="O898" s="258"/>
      <c r="P898" s="257"/>
      <c r="Q898" s="289"/>
      <c r="R898" s="245"/>
      <c r="S898" s="289"/>
      <c r="T898" s="245"/>
      <c r="U898" s="289"/>
      <c r="V898" s="245"/>
      <c r="W898" s="289"/>
      <c r="X898" s="245"/>
      <c r="Y898" s="289"/>
      <c r="Z898" s="245"/>
    </row>
    <row r="899" spans="1:26" ht="15" customHeight="1">
      <c r="A899" s="250"/>
      <c r="B899" s="251"/>
      <c r="C899" s="453" t="s">
        <v>1694</v>
      </c>
      <c r="D899" s="330" t="s">
        <v>1695</v>
      </c>
      <c r="E899" s="251"/>
      <c r="F899" s="252"/>
      <c r="G899" s="253"/>
      <c r="H899" s="254"/>
      <c r="I899" s="253"/>
      <c r="J899" s="253"/>
      <c r="K899" s="251"/>
      <c r="L899" s="253"/>
      <c r="M899" s="289"/>
      <c r="N899" s="245"/>
      <c r="O899" s="258"/>
      <c r="P899" s="257"/>
      <c r="Q899" s="289"/>
      <c r="R899" s="245"/>
      <c r="S899" s="289"/>
      <c r="T899" s="245"/>
      <c r="U899" s="289"/>
      <c r="V899" s="245"/>
      <c r="W899" s="289"/>
      <c r="X899" s="245"/>
      <c r="Y899" s="289"/>
      <c r="Z899" s="245"/>
    </row>
    <row r="900" spans="1:26" s="436" customFormat="1" ht="15">
      <c r="A900" s="443"/>
      <c r="B900" s="444"/>
      <c r="C900" s="445" t="s">
        <v>1696</v>
      </c>
      <c r="D900" s="543" t="s">
        <v>1697</v>
      </c>
      <c r="E900" s="444" t="s">
        <v>1130</v>
      </c>
      <c r="F900" s="446">
        <f t="shared" ref="F900:F910" si="68">M900+O900+Q900+S900+U900+W900+Y900</f>
        <v>0</v>
      </c>
      <c r="G900" s="447">
        <f t="shared" ref="G900:G910" si="69">L900</f>
        <v>31</v>
      </c>
      <c r="H900" s="442">
        <f t="shared" ref="H900:H910" si="70">F900*G900</f>
        <v>0</v>
      </c>
      <c r="I900" s="447">
        <f t="shared" ref="I900:I910" si="71">N900+P900+R900+T900+V900+X900+Z900</f>
        <v>0</v>
      </c>
      <c r="J900" s="544"/>
      <c r="K900" s="444" t="s">
        <v>1130</v>
      </c>
      <c r="L900" s="449">
        <v>31</v>
      </c>
      <c r="M900" s="289"/>
      <c r="N900" s="245"/>
      <c r="O900" s="450">
        <v>0</v>
      </c>
      <c r="P900" s="451">
        <f t="shared" ref="P900:P910" si="72">INT($L900*O900*100+0.5)/100</f>
        <v>0</v>
      </c>
      <c r="Q900" s="289"/>
      <c r="R900" s="245"/>
      <c r="S900" s="289"/>
      <c r="T900" s="245"/>
      <c r="U900" s="289"/>
      <c r="V900" s="245"/>
      <c r="W900" s="289"/>
      <c r="X900" s="245"/>
      <c r="Y900" s="289"/>
      <c r="Z900" s="245"/>
    </row>
    <row r="901" spans="1:26" s="436" customFormat="1" ht="15">
      <c r="A901" s="443"/>
      <c r="B901" s="444"/>
      <c r="C901" s="445" t="s">
        <v>1698</v>
      </c>
      <c r="D901" s="543" t="s">
        <v>1699</v>
      </c>
      <c r="E901" s="444" t="s">
        <v>1130</v>
      </c>
      <c r="F901" s="446">
        <f t="shared" si="68"/>
        <v>0</v>
      </c>
      <c r="G901" s="447">
        <f t="shared" si="69"/>
        <v>33</v>
      </c>
      <c r="H901" s="442">
        <f t="shared" si="70"/>
        <v>0</v>
      </c>
      <c r="I901" s="447">
        <f t="shared" si="71"/>
        <v>0</v>
      </c>
      <c r="J901" s="544"/>
      <c r="K901" s="444" t="s">
        <v>1130</v>
      </c>
      <c r="L901" s="449">
        <v>33</v>
      </c>
      <c r="M901" s="289"/>
      <c r="N901" s="245"/>
      <c r="O901" s="450">
        <v>0</v>
      </c>
      <c r="P901" s="451">
        <f t="shared" si="72"/>
        <v>0</v>
      </c>
      <c r="Q901" s="289"/>
      <c r="R901" s="245"/>
      <c r="S901" s="289"/>
      <c r="T901" s="245"/>
      <c r="U901" s="289"/>
      <c r="V901" s="245"/>
      <c r="W901" s="289"/>
      <c r="X901" s="245"/>
      <c r="Y901" s="289"/>
      <c r="Z901" s="245"/>
    </row>
    <row r="902" spans="1:26" s="436" customFormat="1" ht="15">
      <c r="A902" s="443"/>
      <c r="B902" s="444"/>
      <c r="C902" s="445" t="s">
        <v>1700</v>
      </c>
      <c r="D902" s="543" t="s">
        <v>1701</v>
      </c>
      <c r="E902" s="444" t="s">
        <v>1130</v>
      </c>
      <c r="F902" s="446">
        <f t="shared" si="68"/>
        <v>0</v>
      </c>
      <c r="G902" s="447">
        <f t="shared" si="69"/>
        <v>34</v>
      </c>
      <c r="H902" s="442">
        <f t="shared" si="70"/>
        <v>0</v>
      </c>
      <c r="I902" s="447">
        <f t="shared" si="71"/>
        <v>0</v>
      </c>
      <c r="J902" s="544"/>
      <c r="K902" s="444" t="s">
        <v>1130</v>
      </c>
      <c r="L902" s="449">
        <v>34</v>
      </c>
      <c r="M902" s="289"/>
      <c r="N902" s="245"/>
      <c r="O902" s="450">
        <v>0</v>
      </c>
      <c r="P902" s="451">
        <f t="shared" si="72"/>
        <v>0</v>
      </c>
      <c r="Q902" s="289"/>
      <c r="R902" s="245"/>
      <c r="S902" s="289"/>
      <c r="T902" s="245"/>
      <c r="U902" s="289"/>
      <c r="V902" s="245"/>
      <c r="W902" s="289"/>
      <c r="X902" s="245"/>
      <c r="Y902" s="289"/>
      <c r="Z902" s="245"/>
    </row>
    <row r="903" spans="1:26" s="436" customFormat="1" ht="15">
      <c r="A903" s="443"/>
      <c r="B903" s="444"/>
      <c r="C903" s="445" t="s">
        <v>1702</v>
      </c>
      <c r="D903" s="543" t="s">
        <v>1703</v>
      </c>
      <c r="E903" s="444" t="s">
        <v>1130</v>
      </c>
      <c r="F903" s="446">
        <f t="shared" si="68"/>
        <v>0</v>
      </c>
      <c r="G903" s="447">
        <f t="shared" si="69"/>
        <v>35</v>
      </c>
      <c r="H903" s="442">
        <f t="shared" si="70"/>
        <v>0</v>
      </c>
      <c r="I903" s="447">
        <f t="shared" si="71"/>
        <v>0</v>
      </c>
      <c r="J903" s="544"/>
      <c r="K903" s="444" t="s">
        <v>1130</v>
      </c>
      <c r="L903" s="449">
        <v>35</v>
      </c>
      <c r="M903" s="289"/>
      <c r="N903" s="245"/>
      <c r="O903" s="450">
        <v>0</v>
      </c>
      <c r="P903" s="451">
        <f t="shared" si="72"/>
        <v>0</v>
      </c>
      <c r="Q903" s="289"/>
      <c r="R903" s="245"/>
      <c r="S903" s="289"/>
      <c r="T903" s="245"/>
      <c r="U903" s="289"/>
      <c r="V903" s="245"/>
      <c r="W903" s="289"/>
      <c r="X903" s="245"/>
      <c r="Y903" s="289"/>
      <c r="Z903" s="245"/>
    </row>
    <row r="904" spans="1:26" s="436" customFormat="1" ht="15">
      <c r="A904" s="443"/>
      <c r="B904" s="444"/>
      <c r="C904" s="445" t="s">
        <v>1704</v>
      </c>
      <c r="D904" s="543" t="s">
        <v>1705</v>
      </c>
      <c r="E904" s="444" t="s">
        <v>1130</v>
      </c>
      <c r="F904" s="446">
        <f t="shared" si="68"/>
        <v>0</v>
      </c>
      <c r="G904" s="447">
        <f t="shared" si="69"/>
        <v>37</v>
      </c>
      <c r="H904" s="442">
        <f t="shared" si="70"/>
        <v>0</v>
      </c>
      <c r="I904" s="447">
        <f t="shared" si="71"/>
        <v>0</v>
      </c>
      <c r="J904" s="544"/>
      <c r="K904" s="444" t="s">
        <v>1130</v>
      </c>
      <c r="L904" s="449">
        <v>37</v>
      </c>
      <c r="M904" s="289"/>
      <c r="N904" s="245"/>
      <c r="O904" s="450">
        <v>0</v>
      </c>
      <c r="P904" s="451">
        <f t="shared" si="72"/>
        <v>0</v>
      </c>
      <c r="Q904" s="289"/>
      <c r="R904" s="245"/>
      <c r="S904" s="289"/>
      <c r="T904" s="245"/>
      <c r="U904" s="289"/>
      <c r="V904" s="245"/>
      <c r="W904" s="289"/>
      <c r="X904" s="245"/>
      <c r="Y904" s="289"/>
      <c r="Z904" s="245"/>
    </row>
    <row r="905" spans="1:26" s="436" customFormat="1" ht="15">
      <c r="A905" s="443"/>
      <c r="B905" s="444"/>
      <c r="C905" s="445" t="s">
        <v>1706</v>
      </c>
      <c r="D905" s="543" t="s">
        <v>1707</v>
      </c>
      <c r="E905" s="444" t="s">
        <v>1130</v>
      </c>
      <c r="F905" s="446">
        <f t="shared" si="68"/>
        <v>0</v>
      </c>
      <c r="G905" s="447">
        <f t="shared" si="69"/>
        <v>41</v>
      </c>
      <c r="H905" s="442">
        <f t="shared" si="70"/>
        <v>0</v>
      </c>
      <c r="I905" s="447">
        <f t="shared" si="71"/>
        <v>0</v>
      </c>
      <c r="J905" s="544"/>
      <c r="K905" s="444" t="s">
        <v>1130</v>
      </c>
      <c r="L905" s="449">
        <v>41</v>
      </c>
      <c r="M905" s="289"/>
      <c r="N905" s="245"/>
      <c r="O905" s="450">
        <v>0</v>
      </c>
      <c r="P905" s="451">
        <f t="shared" si="72"/>
        <v>0</v>
      </c>
      <c r="Q905" s="289"/>
      <c r="R905" s="245"/>
      <c r="S905" s="289"/>
      <c r="T905" s="245"/>
      <c r="U905" s="289"/>
      <c r="V905" s="245"/>
      <c r="W905" s="289"/>
      <c r="X905" s="245"/>
      <c r="Y905" s="289"/>
      <c r="Z905" s="245"/>
    </row>
    <row r="906" spans="1:26" s="436" customFormat="1" ht="15">
      <c r="A906" s="443"/>
      <c r="B906" s="444"/>
      <c r="C906" s="445" t="s">
        <v>1708</v>
      </c>
      <c r="D906" s="543" t="s">
        <v>1709</v>
      </c>
      <c r="E906" s="444" t="s">
        <v>1130</v>
      </c>
      <c r="F906" s="446">
        <f t="shared" si="68"/>
        <v>0</v>
      </c>
      <c r="G906" s="447">
        <f t="shared" si="69"/>
        <v>43</v>
      </c>
      <c r="H906" s="442">
        <f t="shared" si="70"/>
        <v>0</v>
      </c>
      <c r="I906" s="447">
        <f t="shared" si="71"/>
        <v>0</v>
      </c>
      <c r="J906" s="544"/>
      <c r="K906" s="444" t="s">
        <v>1130</v>
      </c>
      <c r="L906" s="449">
        <v>43</v>
      </c>
      <c r="M906" s="289"/>
      <c r="N906" s="245"/>
      <c r="O906" s="450">
        <v>0</v>
      </c>
      <c r="P906" s="451">
        <f t="shared" si="72"/>
        <v>0</v>
      </c>
      <c r="Q906" s="289"/>
      <c r="R906" s="245"/>
      <c r="S906" s="289"/>
      <c r="T906" s="245"/>
      <c r="U906" s="289"/>
      <c r="V906" s="245"/>
      <c r="W906" s="289"/>
      <c r="X906" s="245"/>
      <c r="Y906" s="289"/>
      <c r="Z906" s="245"/>
    </row>
    <row r="907" spans="1:26" s="436" customFormat="1" ht="15">
      <c r="A907" s="443"/>
      <c r="B907" s="444"/>
      <c r="C907" s="445" t="s">
        <v>1710</v>
      </c>
      <c r="D907" s="543" t="s">
        <v>1711</v>
      </c>
      <c r="E907" s="444" t="s">
        <v>1130</v>
      </c>
      <c r="F907" s="446">
        <f t="shared" si="68"/>
        <v>0</v>
      </c>
      <c r="G907" s="447">
        <f t="shared" si="69"/>
        <v>80</v>
      </c>
      <c r="H907" s="442">
        <f t="shared" si="70"/>
        <v>0</v>
      </c>
      <c r="I907" s="447">
        <f t="shared" si="71"/>
        <v>0</v>
      </c>
      <c r="J907" s="544"/>
      <c r="K907" s="444" t="s">
        <v>1130</v>
      </c>
      <c r="L907" s="449">
        <v>80</v>
      </c>
      <c r="M907" s="289"/>
      <c r="N907" s="245"/>
      <c r="O907" s="450">
        <v>0</v>
      </c>
      <c r="P907" s="451">
        <f t="shared" si="72"/>
        <v>0</v>
      </c>
      <c r="Q907" s="289"/>
      <c r="R907" s="245"/>
      <c r="S907" s="289"/>
      <c r="T907" s="245"/>
      <c r="U907" s="289"/>
      <c r="V907" s="245"/>
      <c r="W907" s="289"/>
      <c r="X907" s="245"/>
      <c r="Y907" s="289"/>
      <c r="Z907" s="245"/>
    </row>
    <row r="908" spans="1:26" s="436" customFormat="1" ht="15">
      <c r="A908" s="443"/>
      <c r="B908" s="444"/>
      <c r="C908" s="445" t="s">
        <v>1712</v>
      </c>
      <c r="D908" s="543" t="s">
        <v>1713</v>
      </c>
      <c r="E908" s="444" t="s">
        <v>1130</v>
      </c>
      <c r="F908" s="446">
        <f t="shared" si="68"/>
        <v>0</v>
      </c>
      <c r="G908" s="447">
        <f t="shared" si="69"/>
        <v>81</v>
      </c>
      <c r="H908" s="442">
        <f t="shared" si="70"/>
        <v>0</v>
      </c>
      <c r="I908" s="447">
        <f t="shared" si="71"/>
        <v>0</v>
      </c>
      <c r="J908" s="544"/>
      <c r="K908" s="444" t="s">
        <v>1130</v>
      </c>
      <c r="L908" s="449">
        <v>81</v>
      </c>
      <c r="M908" s="289"/>
      <c r="N908" s="245"/>
      <c r="O908" s="450">
        <v>0</v>
      </c>
      <c r="P908" s="451">
        <f t="shared" si="72"/>
        <v>0</v>
      </c>
      <c r="Q908" s="289"/>
      <c r="R908" s="245"/>
      <c r="S908" s="289"/>
      <c r="T908" s="245"/>
      <c r="U908" s="289"/>
      <c r="V908" s="245"/>
      <c r="W908" s="289"/>
      <c r="X908" s="245"/>
      <c r="Y908" s="289"/>
      <c r="Z908" s="245"/>
    </row>
    <row r="909" spans="1:26" s="436" customFormat="1" ht="15">
      <c r="A909" s="443"/>
      <c r="B909" s="444"/>
      <c r="C909" s="445" t="s">
        <v>1714</v>
      </c>
      <c r="D909" s="543" t="s">
        <v>1715</v>
      </c>
      <c r="E909" s="444" t="s">
        <v>1130</v>
      </c>
      <c r="F909" s="446">
        <f t="shared" si="68"/>
        <v>0</v>
      </c>
      <c r="G909" s="447">
        <f t="shared" si="69"/>
        <v>112</v>
      </c>
      <c r="H909" s="442">
        <f t="shared" si="70"/>
        <v>0</v>
      </c>
      <c r="I909" s="447">
        <f t="shared" si="71"/>
        <v>0</v>
      </c>
      <c r="J909" s="544"/>
      <c r="K909" s="444" t="s">
        <v>1130</v>
      </c>
      <c r="L909" s="449">
        <v>112</v>
      </c>
      <c r="M909" s="289"/>
      <c r="N909" s="245"/>
      <c r="O909" s="450">
        <v>0</v>
      </c>
      <c r="P909" s="451">
        <f t="shared" si="72"/>
        <v>0</v>
      </c>
      <c r="Q909" s="289"/>
      <c r="R909" s="245"/>
      <c r="S909" s="289"/>
      <c r="T909" s="245"/>
      <c r="U909" s="289"/>
      <c r="V909" s="245"/>
      <c r="W909" s="289"/>
      <c r="X909" s="245"/>
      <c r="Y909" s="289"/>
      <c r="Z909" s="245"/>
    </row>
    <row r="910" spans="1:26" s="436" customFormat="1" ht="15">
      <c r="A910" s="443"/>
      <c r="B910" s="444"/>
      <c r="C910" s="445" t="s">
        <v>1716</v>
      </c>
      <c r="D910" s="543" t="s">
        <v>1717</v>
      </c>
      <c r="E910" s="444" t="s">
        <v>1130</v>
      </c>
      <c r="F910" s="446">
        <f t="shared" si="68"/>
        <v>0</v>
      </c>
      <c r="G910" s="447">
        <f t="shared" si="69"/>
        <v>113</v>
      </c>
      <c r="H910" s="442">
        <f t="shared" si="70"/>
        <v>0</v>
      </c>
      <c r="I910" s="447">
        <f t="shared" si="71"/>
        <v>0</v>
      </c>
      <c r="J910" s="544"/>
      <c r="K910" s="444" t="s">
        <v>1130</v>
      </c>
      <c r="L910" s="449">
        <v>113</v>
      </c>
      <c r="M910" s="289"/>
      <c r="N910" s="245"/>
      <c r="O910" s="450">
        <v>0</v>
      </c>
      <c r="P910" s="451">
        <f t="shared" si="72"/>
        <v>0</v>
      </c>
      <c r="Q910" s="289"/>
      <c r="R910" s="245"/>
      <c r="S910" s="289"/>
      <c r="T910" s="245"/>
      <c r="U910" s="289"/>
      <c r="V910" s="245"/>
      <c r="W910" s="289"/>
      <c r="X910" s="245"/>
      <c r="Y910" s="289"/>
      <c r="Z910" s="245"/>
    </row>
    <row r="911" spans="1:26" ht="15" customHeight="1">
      <c r="A911" s="250"/>
      <c r="B911" s="251"/>
      <c r="C911" s="453"/>
      <c r="D911" s="330"/>
      <c r="E911" s="251"/>
      <c r="F911" s="252"/>
      <c r="G911" s="253"/>
      <c r="H911" s="254"/>
      <c r="I911" s="253"/>
      <c r="J911" s="253"/>
      <c r="K911" s="251"/>
      <c r="L911" s="253"/>
      <c r="M911" s="289"/>
      <c r="N911" s="245"/>
      <c r="O911" s="258"/>
      <c r="P911" s="257"/>
      <c r="Q911" s="289"/>
      <c r="R911" s="245"/>
      <c r="S911" s="289"/>
      <c r="T911" s="245"/>
      <c r="U911" s="289"/>
      <c r="V911" s="245"/>
      <c r="W911" s="289"/>
      <c r="X911" s="245"/>
      <c r="Y911" s="289"/>
      <c r="Z911" s="245"/>
    </row>
    <row r="912" spans="1:26" ht="15" customHeight="1">
      <c r="A912" s="250"/>
      <c r="B912" s="251"/>
      <c r="C912" s="453" t="s">
        <v>1719</v>
      </c>
      <c r="D912" s="330" t="s">
        <v>1718</v>
      </c>
      <c r="E912" s="251"/>
      <c r="F912" s="252"/>
      <c r="G912" s="253"/>
      <c r="H912" s="254"/>
      <c r="I912" s="253"/>
      <c r="J912" s="253"/>
      <c r="K912" s="251"/>
      <c r="L912" s="253"/>
      <c r="M912" s="289"/>
      <c r="N912" s="245"/>
      <c r="O912" s="258"/>
      <c r="P912" s="257"/>
      <c r="Q912" s="289"/>
      <c r="R912" s="245"/>
      <c r="S912" s="289"/>
      <c r="T912" s="245"/>
      <c r="U912" s="289"/>
      <c r="V912" s="245"/>
      <c r="W912" s="289"/>
      <c r="X912" s="245"/>
      <c r="Y912" s="289"/>
      <c r="Z912" s="245"/>
    </row>
    <row r="913" spans="1:26" s="436" customFormat="1" ht="15">
      <c r="A913" s="443"/>
      <c r="B913" s="444"/>
      <c r="C913" s="445" t="s">
        <v>1719</v>
      </c>
      <c r="D913" s="543" t="s">
        <v>1720</v>
      </c>
      <c r="E913" s="444" t="s">
        <v>1130</v>
      </c>
      <c r="F913" s="446">
        <f>M913+O913+Q913+S913+U913+W913+Y913</f>
        <v>0</v>
      </c>
      <c r="G913" s="447">
        <f>L913</f>
        <v>30</v>
      </c>
      <c r="H913" s="442">
        <f>F913*G913</f>
        <v>0</v>
      </c>
      <c r="I913" s="447">
        <f>N913+P913+R913+T913+V913+X913+Z913</f>
        <v>0</v>
      </c>
      <c r="J913" s="544"/>
      <c r="K913" s="444" t="s">
        <v>1130</v>
      </c>
      <c r="L913" s="449">
        <v>30</v>
      </c>
      <c r="M913" s="289"/>
      <c r="N913" s="245"/>
      <c r="O913" s="450">
        <v>0</v>
      </c>
      <c r="P913" s="451">
        <f>INT($L913*O913*100+0.5)/100</f>
        <v>0</v>
      </c>
      <c r="Q913" s="289"/>
      <c r="R913" s="245"/>
      <c r="S913" s="289"/>
      <c r="T913" s="245"/>
      <c r="U913" s="289"/>
      <c r="V913" s="245"/>
      <c r="W913" s="289"/>
      <c r="X913" s="245"/>
      <c r="Y913" s="289"/>
      <c r="Z913" s="245"/>
    </row>
    <row r="914" spans="1:26" s="436" customFormat="1" ht="15">
      <c r="A914" s="443"/>
      <c r="B914" s="444"/>
      <c r="C914" s="445" t="s">
        <v>1721</v>
      </c>
      <c r="D914" s="543" t="s">
        <v>1722</v>
      </c>
      <c r="E914" s="444" t="s">
        <v>1130</v>
      </c>
      <c r="F914" s="446">
        <f>M914+O914+Q914+S914+U914+W914+Y914</f>
        <v>0</v>
      </c>
      <c r="G914" s="447">
        <f>L914</f>
        <v>35</v>
      </c>
      <c r="H914" s="442">
        <f>F914*G914</f>
        <v>0</v>
      </c>
      <c r="I914" s="447">
        <f>N914+P914+R914+T914+V914+X914+Z914</f>
        <v>0</v>
      </c>
      <c r="J914" s="544"/>
      <c r="K914" s="444" t="s">
        <v>1130</v>
      </c>
      <c r="L914" s="449">
        <v>35</v>
      </c>
      <c r="M914" s="289"/>
      <c r="N914" s="245"/>
      <c r="O914" s="450">
        <v>0</v>
      </c>
      <c r="P914" s="451">
        <f>INT($L914*O914*100+0.5)/100</f>
        <v>0</v>
      </c>
      <c r="Q914" s="289"/>
      <c r="R914" s="245"/>
      <c r="S914" s="289"/>
      <c r="T914" s="245"/>
      <c r="U914" s="289"/>
      <c r="V914" s="245"/>
      <c r="W914" s="289"/>
      <c r="X914" s="245"/>
      <c r="Y914" s="289"/>
      <c r="Z914" s="245"/>
    </row>
    <row r="915" spans="1:26" s="436" customFormat="1" ht="15">
      <c r="A915" s="443"/>
      <c r="B915" s="444"/>
      <c r="C915" s="445" t="s">
        <v>1723</v>
      </c>
      <c r="D915" s="543" t="s">
        <v>1724</v>
      </c>
      <c r="E915" s="444" t="s">
        <v>1130</v>
      </c>
      <c r="F915" s="446">
        <f>M915+O915+Q915+S915+U915+W915+Y915</f>
        <v>0</v>
      </c>
      <c r="G915" s="447">
        <f>L915</f>
        <v>45</v>
      </c>
      <c r="H915" s="442">
        <f>F915*G915</f>
        <v>0</v>
      </c>
      <c r="I915" s="447">
        <f>N915+P915+R915+T915+V915+X915+Z915</f>
        <v>0</v>
      </c>
      <c r="J915" s="544"/>
      <c r="K915" s="444" t="s">
        <v>1130</v>
      </c>
      <c r="L915" s="449">
        <v>45</v>
      </c>
      <c r="M915" s="289"/>
      <c r="N915" s="245"/>
      <c r="O915" s="450">
        <v>0</v>
      </c>
      <c r="P915" s="451">
        <f>INT($L915*O915*100+0.5)/100</f>
        <v>0</v>
      </c>
      <c r="Q915" s="289"/>
      <c r="R915" s="245"/>
      <c r="S915" s="289"/>
      <c r="T915" s="245"/>
      <c r="U915" s="289"/>
      <c r="V915" s="245"/>
      <c r="W915" s="289"/>
      <c r="X915" s="245"/>
      <c r="Y915" s="289"/>
      <c r="Z915" s="245"/>
    </row>
    <row r="916" spans="1:26" s="436" customFormat="1" ht="15">
      <c r="A916" s="443"/>
      <c r="B916" s="444"/>
      <c r="C916" s="445" t="s">
        <v>1725</v>
      </c>
      <c r="D916" s="543" t="s">
        <v>1726</v>
      </c>
      <c r="E916" s="444" t="s">
        <v>1130</v>
      </c>
      <c r="F916" s="446">
        <f>M916+O916+Q916+S916+U916+W916+Y916</f>
        <v>0</v>
      </c>
      <c r="G916" s="447">
        <f>L916</f>
        <v>60</v>
      </c>
      <c r="H916" s="442">
        <f>F916*G916</f>
        <v>0</v>
      </c>
      <c r="I916" s="447">
        <f>N916+P916+R916+T916+V916+X916+Z916</f>
        <v>0</v>
      </c>
      <c r="J916" s="544"/>
      <c r="K916" s="444" t="s">
        <v>1130</v>
      </c>
      <c r="L916" s="449">
        <v>60</v>
      </c>
      <c r="M916" s="289"/>
      <c r="N916" s="245"/>
      <c r="O916" s="450">
        <v>0</v>
      </c>
      <c r="P916" s="451">
        <f>INT($L916*O916*100+0.5)/100</f>
        <v>0</v>
      </c>
      <c r="Q916" s="289"/>
      <c r="R916" s="245"/>
      <c r="S916" s="289"/>
      <c r="T916" s="245"/>
      <c r="U916" s="289"/>
      <c r="V916" s="245"/>
      <c r="W916" s="289"/>
      <c r="X916" s="245"/>
      <c r="Y916" s="289"/>
      <c r="Z916" s="245"/>
    </row>
    <row r="917" spans="1:26" ht="15" customHeight="1">
      <c r="A917" s="250"/>
      <c r="B917" s="251"/>
      <c r="C917" s="453"/>
      <c r="D917" s="330"/>
      <c r="E917" s="251"/>
      <c r="F917" s="252"/>
      <c r="G917" s="253"/>
      <c r="H917" s="254"/>
      <c r="I917" s="253"/>
      <c r="J917" s="253"/>
      <c r="K917" s="251"/>
      <c r="L917" s="253"/>
      <c r="M917" s="289"/>
      <c r="N917" s="245"/>
      <c r="O917" s="258"/>
      <c r="P917" s="257"/>
      <c r="Q917" s="289"/>
      <c r="R917" s="245"/>
      <c r="S917" s="289"/>
      <c r="T917" s="245"/>
      <c r="U917" s="289"/>
      <c r="V917" s="245"/>
      <c r="W917" s="289"/>
      <c r="X917" s="245"/>
      <c r="Y917" s="289"/>
      <c r="Z917" s="245"/>
    </row>
    <row r="918" spans="1:26" ht="15" customHeight="1">
      <c r="A918" s="250"/>
      <c r="B918" s="251"/>
      <c r="C918" s="453" t="s">
        <v>1727</v>
      </c>
      <c r="D918" s="330" t="s">
        <v>1728</v>
      </c>
      <c r="E918" s="251"/>
      <c r="F918" s="252"/>
      <c r="G918" s="253"/>
      <c r="H918" s="254"/>
      <c r="I918" s="253"/>
      <c r="J918" s="253"/>
      <c r="K918" s="251"/>
      <c r="L918" s="253"/>
      <c r="M918" s="289"/>
      <c r="N918" s="245"/>
      <c r="O918" s="258"/>
      <c r="P918" s="257"/>
      <c r="Q918" s="289"/>
      <c r="R918" s="245"/>
      <c r="S918" s="289"/>
      <c r="T918" s="245"/>
      <c r="U918" s="289"/>
      <c r="V918" s="245"/>
      <c r="W918" s="289"/>
      <c r="X918" s="245"/>
      <c r="Y918" s="289"/>
      <c r="Z918" s="245"/>
    </row>
    <row r="919" spans="1:26" s="436" customFormat="1" ht="15">
      <c r="A919" s="443"/>
      <c r="B919" s="444"/>
      <c r="C919" s="445" t="s">
        <v>1729</v>
      </c>
      <c r="D919" s="543" t="s">
        <v>1730</v>
      </c>
      <c r="E919" s="444" t="s">
        <v>1130</v>
      </c>
      <c r="F919" s="446">
        <f t="shared" ref="F919:F928" si="73">M919+O919+Q919+S919+U919+W919+Y919</f>
        <v>0</v>
      </c>
      <c r="G919" s="447">
        <f t="shared" ref="G919:G928" si="74">L919</f>
        <v>58</v>
      </c>
      <c r="H919" s="442">
        <f t="shared" ref="H919:H928" si="75">F919*G919</f>
        <v>0</v>
      </c>
      <c r="I919" s="447">
        <f t="shared" ref="I919:I928" si="76">N919+P919+R919+T919+V919+X919+Z919</f>
        <v>0</v>
      </c>
      <c r="J919" s="544"/>
      <c r="K919" s="444" t="s">
        <v>1130</v>
      </c>
      <c r="L919" s="449">
        <v>58</v>
      </c>
      <c r="M919" s="289"/>
      <c r="N919" s="245"/>
      <c r="O919" s="450">
        <v>0</v>
      </c>
      <c r="P919" s="451">
        <f t="shared" ref="P919:P928" si="77">INT($L919*O919*100+0.5)/100</f>
        <v>0</v>
      </c>
      <c r="Q919" s="289"/>
      <c r="R919" s="245"/>
      <c r="S919" s="289"/>
      <c r="T919" s="245"/>
      <c r="U919" s="289"/>
      <c r="V919" s="245"/>
      <c r="W919" s="289"/>
      <c r="X919" s="245"/>
      <c r="Y919" s="289"/>
      <c r="Z919" s="245"/>
    </row>
    <row r="920" spans="1:26" s="436" customFormat="1" ht="15">
      <c r="A920" s="443"/>
      <c r="B920" s="444"/>
      <c r="C920" s="445" t="s">
        <v>1731</v>
      </c>
      <c r="D920" s="543" t="s">
        <v>1732</v>
      </c>
      <c r="E920" s="444" t="s">
        <v>1130</v>
      </c>
      <c r="F920" s="446">
        <f t="shared" si="73"/>
        <v>0</v>
      </c>
      <c r="G920" s="447">
        <f t="shared" si="74"/>
        <v>60</v>
      </c>
      <c r="H920" s="442">
        <f t="shared" si="75"/>
        <v>0</v>
      </c>
      <c r="I920" s="447">
        <f t="shared" si="76"/>
        <v>0</v>
      </c>
      <c r="J920" s="544"/>
      <c r="K920" s="444" t="s">
        <v>1130</v>
      </c>
      <c r="L920" s="449">
        <v>60</v>
      </c>
      <c r="M920" s="289"/>
      <c r="N920" s="245"/>
      <c r="O920" s="450">
        <v>0</v>
      </c>
      <c r="P920" s="451">
        <f t="shared" si="77"/>
        <v>0</v>
      </c>
      <c r="Q920" s="289"/>
      <c r="R920" s="245"/>
      <c r="S920" s="289"/>
      <c r="T920" s="245"/>
      <c r="U920" s="289"/>
      <c r="V920" s="245"/>
      <c r="W920" s="289"/>
      <c r="X920" s="245"/>
      <c r="Y920" s="289"/>
      <c r="Z920" s="245"/>
    </row>
    <row r="921" spans="1:26" s="436" customFormat="1" ht="15">
      <c r="A921" s="443"/>
      <c r="B921" s="444"/>
      <c r="C921" s="445" t="s">
        <v>1733</v>
      </c>
      <c r="D921" s="543" t="s">
        <v>1734</v>
      </c>
      <c r="E921" s="444" t="s">
        <v>1130</v>
      </c>
      <c r="F921" s="446">
        <f t="shared" si="73"/>
        <v>0</v>
      </c>
      <c r="G921" s="447">
        <f t="shared" si="74"/>
        <v>60</v>
      </c>
      <c r="H921" s="442">
        <f t="shared" si="75"/>
        <v>0</v>
      </c>
      <c r="I921" s="447">
        <f t="shared" si="76"/>
        <v>0</v>
      </c>
      <c r="J921" s="544"/>
      <c r="K921" s="444" t="s">
        <v>1130</v>
      </c>
      <c r="L921" s="449">
        <v>60</v>
      </c>
      <c r="M921" s="289"/>
      <c r="N921" s="245"/>
      <c r="O921" s="450">
        <v>0</v>
      </c>
      <c r="P921" s="451">
        <f t="shared" si="77"/>
        <v>0</v>
      </c>
      <c r="Q921" s="289"/>
      <c r="R921" s="245"/>
      <c r="S921" s="289"/>
      <c r="T921" s="245"/>
      <c r="U921" s="289"/>
      <c r="V921" s="245"/>
      <c r="W921" s="289"/>
      <c r="X921" s="245"/>
      <c r="Y921" s="289"/>
      <c r="Z921" s="245"/>
    </row>
    <row r="922" spans="1:26" s="436" customFormat="1" ht="15">
      <c r="A922" s="443"/>
      <c r="B922" s="444"/>
      <c r="C922" s="445" t="s">
        <v>1735</v>
      </c>
      <c r="D922" s="543" t="s">
        <v>1736</v>
      </c>
      <c r="E922" s="444" t="s">
        <v>1130</v>
      </c>
      <c r="F922" s="446">
        <f t="shared" si="73"/>
        <v>0</v>
      </c>
      <c r="G922" s="447">
        <f t="shared" si="74"/>
        <v>66</v>
      </c>
      <c r="H922" s="442">
        <f t="shared" si="75"/>
        <v>0</v>
      </c>
      <c r="I922" s="447">
        <f t="shared" si="76"/>
        <v>0</v>
      </c>
      <c r="J922" s="544"/>
      <c r="K922" s="444" t="s">
        <v>1130</v>
      </c>
      <c r="L922" s="449">
        <v>66</v>
      </c>
      <c r="M922" s="289"/>
      <c r="N922" s="245"/>
      <c r="O922" s="450">
        <v>0</v>
      </c>
      <c r="P922" s="451">
        <f t="shared" si="77"/>
        <v>0</v>
      </c>
      <c r="Q922" s="289"/>
      <c r="R922" s="245"/>
      <c r="S922" s="289"/>
      <c r="T922" s="245"/>
      <c r="U922" s="289"/>
      <c r="V922" s="245"/>
      <c r="W922" s="289"/>
      <c r="X922" s="245"/>
      <c r="Y922" s="289"/>
      <c r="Z922" s="245"/>
    </row>
    <row r="923" spans="1:26" s="436" customFormat="1" ht="15">
      <c r="A923" s="443"/>
      <c r="B923" s="444"/>
      <c r="C923" s="445" t="s">
        <v>1737</v>
      </c>
      <c r="D923" s="543" t="s">
        <v>1738</v>
      </c>
      <c r="E923" s="444" t="s">
        <v>1130</v>
      </c>
      <c r="F923" s="446">
        <f t="shared" si="73"/>
        <v>0</v>
      </c>
      <c r="G923" s="447">
        <f t="shared" si="74"/>
        <v>77</v>
      </c>
      <c r="H923" s="442">
        <f t="shared" si="75"/>
        <v>0</v>
      </c>
      <c r="I923" s="447">
        <f t="shared" si="76"/>
        <v>0</v>
      </c>
      <c r="J923" s="544"/>
      <c r="K923" s="444" t="s">
        <v>1130</v>
      </c>
      <c r="L923" s="449">
        <v>77</v>
      </c>
      <c r="M923" s="289"/>
      <c r="N923" s="245"/>
      <c r="O923" s="450">
        <v>0</v>
      </c>
      <c r="P923" s="451">
        <f t="shared" si="77"/>
        <v>0</v>
      </c>
      <c r="Q923" s="289"/>
      <c r="R923" s="245"/>
      <c r="S923" s="289"/>
      <c r="T923" s="245"/>
      <c r="U923" s="289"/>
      <c r="V923" s="245"/>
      <c r="W923" s="289"/>
      <c r="X923" s="245"/>
      <c r="Y923" s="289"/>
      <c r="Z923" s="245"/>
    </row>
    <row r="924" spans="1:26" s="436" customFormat="1" ht="15">
      <c r="A924" s="443"/>
      <c r="B924" s="444"/>
      <c r="C924" s="445" t="s">
        <v>1739</v>
      </c>
      <c r="D924" s="543" t="s">
        <v>1740</v>
      </c>
      <c r="E924" s="444" t="s">
        <v>1130</v>
      </c>
      <c r="F924" s="446">
        <f t="shared" si="73"/>
        <v>0</v>
      </c>
      <c r="G924" s="447">
        <f t="shared" si="74"/>
        <v>86</v>
      </c>
      <c r="H924" s="442">
        <f t="shared" si="75"/>
        <v>0</v>
      </c>
      <c r="I924" s="447">
        <f t="shared" si="76"/>
        <v>0</v>
      </c>
      <c r="J924" s="544"/>
      <c r="K924" s="444" t="s">
        <v>1130</v>
      </c>
      <c r="L924" s="449">
        <v>86</v>
      </c>
      <c r="M924" s="289"/>
      <c r="N924" s="245"/>
      <c r="O924" s="450">
        <v>0</v>
      </c>
      <c r="P924" s="451">
        <f t="shared" si="77"/>
        <v>0</v>
      </c>
      <c r="Q924" s="289"/>
      <c r="R924" s="245"/>
      <c r="S924" s="289"/>
      <c r="T924" s="245"/>
      <c r="U924" s="289"/>
      <c r="V924" s="245"/>
      <c r="W924" s="289"/>
      <c r="X924" s="245"/>
      <c r="Y924" s="289"/>
      <c r="Z924" s="245"/>
    </row>
    <row r="925" spans="1:26" s="436" customFormat="1" ht="15">
      <c r="A925" s="443"/>
      <c r="B925" s="444"/>
      <c r="C925" s="445" t="s">
        <v>1741</v>
      </c>
      <c r="D925" s="543" t="s">
        <v>1742</v>
      </c>
      <c r="E925" s="444" t="s">
        <v>1130</v>
      </c>
      <c r="F925" s="446">
        <f t="shared" si="73"/>
        <v>0</v>
      </c>
      <c r="G925" s="447">
        <f t="shared" si="74"/>
        <v>106</v>
      </c>
      <c r="H925" s="442">
        <f t="shared" si="75"/>
        <v>0</v>
      </c>
      <c r="I925" s="447">
        <f t="shared" si="76"/>
        <v>0</v>
      </c>
      <c r="J925" s="544"/>
      <c r="K925" s="444" t="s">
        <v>1130</v>
      </c>
      <c r="L925" s="449">
        <v>106</v>
      </c>
      <c r="M925" s="289"/>
      <c r="N925" s="245"/>
      <c r="O925" s="450">
        <v>0</v>
      </c>
      <c r="P925" s="451">
        <f t="shared" si="77"/>
        <v>0</v>
      </c>
      <c r="Q925" s="289"/>
      <c r="R925" s="245"/>
      <c r="S925" s="289"/>
      <c r="T925" s="245"/>
      <c r="U925" s="289"/>
      <c r="V925" s="245"/>
      <c r="W925" s="289"/>
      <c r="X925" s="245"/>
      <c r="Y925" s="289"/>
      <c r="Z925" s="245"/>
    </row>
    <row r="926" spans="1:26" s="436" customFormat="1" ht="15">
      <c r="A926" s="443"/>
      <c r="B926" s="444"/>
      <c r="C926" s="445" t="s">
        <v>1743</v>
      </c>
      <c r="D926" s="543" t="s">
        <v>1744</v>
      </c>
      <c r="E926" s="444" t="s">
        <v>1130</v>
      </c>
      <c r="F926" s="446">
        <f t="shared" si="73"/>
        <v>0</v>
      </c>
      <c r="G926" s="447">
        <f t="shared" si="74"/>
        <v>120</v>
      </c>
      <c r="H926" s="442">
        <f t="shared" si="75"/>
        <v>0</v>
      </c>
      <c r="I926" s="447">
        <f t="shared" si="76"/>
        <v>0</v>
      </c>
      <c r="J926" s="544"/>
      <c r="K926" s="444" t="s">
        <v>1130</v>
      </c>
      <c r="L926" s="449">
        <v>120</v>
      </c>
      <c r="M926" s="289"/>
      <c r="N926" s="245"/>
      <c r="O926" s="450">
        <v>0</v>
      </c>
      <c r="P926" s="451">
        <f t="shared" si="77"/>
        <v>0</v>
      </c>
      <c r="Q926" s="289"/>
      <c r="R926" s="245"/>
      <c r="S926" s="289"/>
      <c r="T926" s="245"/>
      <c r="U926" s="289"/>
      <c r="V926" s="245"/>
      <c r="W926" s="289"/>
      <c r="X926" s="245"/>
      <c r="Y926" s="289"/>
      <c r="Z926" s="245"/>
    </row>
    <row r="927" spans="1:26" s="436" customFormat="1" ht="15">
      <c r="A927" s="443"/>
      <c r="B927" s="444"/>
      <c r="C927" s="445" t="s">
        <v>1745</v>
      </c>
      <c r="D927" s="543" t="s">
        <v>1746</v>
      </c>
      <c r="E927" s="444" t="s">
        <v>1130</v>
      </c>
      <c r="F927" s="446">
        <f t="shared" si="73"/>
        <v>0</v>
      </c>
      <c r="G927" s="447">
        <f t="shared" si="74"/>
        <v>146</v>
      </c>
      <c r="H927" s="442">
        <f t="shared" si="75"/>
        <v>0</v>
      </c>
      <c r="I927" s="447">
        <f t="shared" si="76"/>
        <v>0</v>
      </c>
      <c r="J927" s="544"/>
      <c r="K927" s="444" t="s">
        <v>1130</v>
      </c>
      <c r="L927" s="449">
        <v>146</v>
      </c>
      <c r="M927" s="289"/>
      <c r="N927" s="245"/>
      <c r="O927" s="450">
        <v>0</v>
      </c>
      <c r="P927" s="451">
        <f t="shared" si="77"/>
        <v>0</v>
      </c>
      <c r="Q927" s="289"/>
      <c r="R927" s="245"/>
      <c r="S927" s="289"/>
      <c r="T927" s="245"/>
      <c r="U927" s="289"/>
      <c r="V927" s="245"/>
      <c r="W927" s="289"/>
      <c r="X927" s="245"/>
      <c r="Y927" s="289"/>
      <c r="Z927" s="245"/>
    </row>
    <row r="928" spans="1:26" s="436" customFormat="1" ht="15">
      <c r="A928" s="443"/>
      <c r="B928" s="444"/>
      <c r="C928" s="445" t="s">
        <v>1747</v>
      </c>
      <c r="D928" s="543" t="s">
        <v>1748</v>
      </c>
      <c r="E928" s="444" t="s">
        <v>1130</v>
      </c>
      <c r="F928" s="446">
        <f t="shared" si="73"/>
        <v>0</v>
      </c>
      <c r="G928" s="447">
        <f t="shared" si="74"/>
        <v>190</v>
      </c>
      <c r="H928" s="442">
        <f t="shared" si="75"/>
        <v>0</v>
      </c>
      <c r="I928" s="447">
        <f t="shared" si="76"/>
        <v>0</v>
      </c>
      <c r="J928" s="544"/>
      <c r="K928" s="444" t="s">
        <v>1130</v>
      </c>
      <c r="L928" s="449">
        <v>190</v>
      </c>
      <c r="M928" s="289"/>
      <c r="N928" s="245"/>
      <c r="O928" s="450">
        <v>0</v>
      </c>
      <c r="P928" s="451">
        <f t="shared" si="77"/>
        <v>0</v>
      </c>
      <c r="Q928" s="289"/>
      <c r="R928" s="245"/>
      <c r="S928" s="289"/>
      <c r="T928" s="245"/>
      <c r="U928" s="289"/>
      <c r="V928" s="245"/>
      <c r="W928" s="289"/>
      <c r="X928" s="245"/>
      <c r="Y928" s="289"/>
      <c r="Z928" s="245"/>
    </row>
    <row r="929" spans="1:26" ht="15" customHeight="1">
      <c r="A929" s="250"/>
      <c r="B929" s="251"/>
      <c r="C929" s="453"/>
      <c r="D929" s="330"/>
      <c r="E929" s="251"/>
      <c r="F929" s="252"/>
      <c r="G929" s="253"/>
      <c r="H929" s="254"/>
      <c r="I929" s="253"/>
      <c r="J929" s="253"/>
      <c r="K929" s="251"/>
      <c r="L929" s="253"/>
      <c r="M929" s="289"/>
      <c r="N929" s="245"/>
      <c r="O929" s="258"/>
      <c r="P929" s="257"/>
      <c r="Q929" s="289"/>
      <c r="R929" s="245"/>
      <c r="S929" s="289"/>
      <c r="T929" s="245"/>
      <c r="U929" s="289"/>
      <c r="V929" s="245"/>
      <c r="W929" s="289"/>
      <c r="X929" s="245"/>
      <c r="Y929" s="289"/>
      <c r="Z929" s="245"/>
    </row>
    <row r="930" spans="1:26" ht="15" customHeight="1">
      <c r="A930" s="250"/>
      <c r="B930" s="251"/>
      <c r="C930" s="453" t="s">
        <v>1749</v>
      </c>
      <c r="D930" s="330" t="s">
        <v>1750</v>
      </c>
      <c r="E930" s="251"/>
      <c r="F930" s="252"/>
      <c r="G930" s="253"/>
      <c r="H930" s="254"/>
      <c r="I930" s="253"/>
      <c r="J930" s="253"/>
      <c r="K930" s="251"/>
      <c r="L930" s="253"/>
      <c r="M930" s="289"/>
      <c r="N930" s="245"/>
      <c r="O930" s="258"/>
      <c r="P930" s="257"/>
      <c r="Q930" s="289"/>
      <c r="R930" s="245"/>
      <c r="S930" s="289"/>
      <c r="T930" s="245"/>
      <c r="U930" s="289"/>
      <c r="V930" s="245"/>
      <c r="W930" s="289"/>
      <c r="X930" s="245"/>
      <c r="Y930" s="289"/>
      <c r="Z930" s="245"/>
    </row>
    <row r="931" spans="1:26" s="436" customFormat="1" ht="15">
      <c r="A931" s="443"/>
      <c r="B931" s="444"/>
      <c r="C931" s="445" t="s">
        <v>1751</v>
      </c>
      <c r="D931" s="543" t="s">
        <v>1752</v>
      </c>
      <c r="E931" s="444" t="s">
        <v>1130</v>
      </c>
      <c r="F931" s="446">
        <f t="shared" ref="F931:F942" si="78">M931+O931+Q931+S931+U931+W931+Y931</f>
        <v>0</v>
      </c>
      <c r="G931" s="447">
        <f t="shared" ref="G931:G942" si="79">L931</f>
        <v>17</v>
      </c>
      <c r="H931" s="442">
        <f t="shared" ref="H931:H942" si="80">F931*G931</f>
        <v>0</v>
      </c>
      <c r="I931" s="447">
        <f t="shared" ref="I931:I942" si="81">N931+P931+R931+T931+V931+X931+Z931</f>
        <v>0</v>
      </c>
      <c r="J931" s="544"/>
      <c r="K931" s="444" t="s">
        <v>1130</v>
      </c>
      <c r="L931" s="449">
        <v>17</v>
      </c>
      <c r="M931" s="289"/>
      <c r="N931" s="245"/>
      <c r="O931" s="450">
        <v>0</v>
      </c>
      <c r="P931" s="451">
        <f t="shared" ref="P931:P942" si="82">INT($L931*O931*100+0.5)/100</f>
        <v>0</v>
      </c>
      <c r="Q931" s="289"/>
      <c r="R931" s="245"/>
      <c r="S931" s="289"/>
      <c r="T931" s="245"/>
      <c r="U931" s="289"/>
      <c r="V931" s="245"/>
      <c r="W931" s="289"/>
      <c r="X931" s="245"/>
      <c r="Y931" s="289"/>
      <c r="Z931" s="245"/>
    </row>
    <row r="932" spans="1:26" s="436" customFormat="1" ht="15">
      <c r="A932" s="443"/>
      <c r="B932" s="444"/>
      <c r="C932" s="445" t="s">
        <v>1753</v>
      </c>
      <c r="D932" s="543" t="s">
        <v>1754</v>
      </c>
      <c r="E932" s="444" t="s">
        <v>1130</v>
      </c>
      <c r="F932" s="446">
        <f t="shared" si="78"/>
        <v>0</v>
      </c>
      <c r="G932" s="447">
        <f t="shared" si="79"/>
        <v>17</v>
      </c>
      <c r="H932" s="442">
        <f t="shared" si="80"/>
        <v>0</v>
      </c>
      <c r="I932" s="447">
        <f t="shared" si="81"/>
        <v>0</v>
      </c>
      <c r="J932" s="544"/>
      <c r="K932" s="444" t="s">
        <v>1130</v>
      </c>
      <c r="L932" s="449">
        <v>17</v>
      </c>
      <c r="M932" s="289"/>
      <c r="N932" s="245"/>
      <c r="O932" s="450">
        <v>0</v>
      </c>
      <c r="P932" s="451">
        <f t="shared" si="82"/>
        <v>0</v>
      </c>
      <c r="Q932" s="289"/>
      <c r="R932" s="245"/>
      <c r="S932" s="289"/>
      <c r="T932" s="245"/>
      <c r="U932" s="289"/>
      <c r="V932" s="245"/>
      <c r="W932" s="289"/>
      <c r="X932" s="245"/>
      <c r="Y932" s="289"/>
      <c r="Z932" s="245"/>
    </row>
    <row r="933" spans="1:26" s="436" customFormat="1" ht="15">
      <c r="A933" s="443"/>
      <c r="B933" s="444"/>
      <c r="C933" s="445" t="s">
        <v>1755</v>
      </c>
      <c r="D933" s="543" t="s">
        <v>1756</v>
      </c>
      <c r="E933" s="444" t="s">
        <v>1130</v>
      </c>
      <c r="F933" s="446">
        <f t="shared" si="78"/>
        <v>0</v>
      </c>
      <c r="G933" s="447">
        <f t="shared" si="79"/>
        <v>25</v>
      </c>
      <c r="H933" s="442">
        <f t="shared" si="80"/>
        <v>0</v>
      </c>
      <c r="I933" s="447">
        <f t="shared" si="81"/>
        <v>0</v>
      </c>
      <c r="J933" s="544"/>
      <c r="K933" s="444" t="s">
        <v>1130</v>
      </c>
      <c r="L933" s="449">
        <v>25</v>
      </c>
      <c r="M933" s="289"/>
      <c r="N933" s="245"/>
      <c r="O933" s="450">
        <v>0</v>
      </c>
      <c r="P933" s="451">
        <f t="shared" si="82"/>
        <v>0</v>
      </c>
      <c r="Q933" s="289"/>
      <c r="R933" s="245"/>
      <c r="S933" s="289"/>
      <c r="T933" s="245"/>
      <c r="U933" s="289"/>
      <c r="V933" s="245"/>
      <c r="W933" s="289"/>
      <c r="X933" s="245"/>
      <c r="Y933" s="289"/>
      <c r="Z933" s="245"/>
    </row>
    <row r="934" spans="1:26" s="436" customFormat="1" ht="15">
      <c r="A934" s="443"/>
      <c r="B934" s="444"/>
      <c r="C934" s="445" t="s">
        <v>1757</v>
      </c>
      <c r="D934" s="543" t="s">
        <v>1758</v>
      </c>
      <c r="E934" s="444" t="s">
        <v>1130</v>
      </c>
      <c r="F934" s="446">
        <f t="shared" si="78"/>
        <v>0</v>
      </c>
      <c r="G934" s="447">
        <f t="shared" si="79"/>
        <v>30</v>
      </c>
      <c r="H934" s="442">
        <f t="shared" si="80"/>
        <v>0</v>
      </c>
      <c r="I934" s="447">
        <f t="shared" si="81"/>
        <v>0</v>
      </c>
      <c r="J934" s="544"/>
      <c r="K934" s="444" t="s">
        <v>1130</v>
      </c>
      <c r="L934" s="449">
        <v>30</v>
      </c>
      <c r="M934" s="289"/>
      <c r="N934" s="245"/>
      <c r="O934" s="450">
        <v>0</v>
      </c>
      <c r="P934" s="451">
        <f t="shared" si="82"/>
        <v>0</v>
      </c>
      <c r="Q934" s="289"/>
      <c r="R934" s="245"/>
      <c r="S934" s="289"/>
      <c r="T934" s="245"/>
      <c r="U934" s="289"/>
      <c r="V934" s="245"/>
      <c r="W934" s="289"/>
      <c r="X934" s="245"/>
      <c r="Y934" s="289"/>
      <c r="Z934" s="245"/>
    </row>
    <row r="935" spans="1:26" s="436" customFormat="1" ht="15">
      <c r="A935" s="443"/>
      <c r="B935" s="444"/>
      <c r="C935" s="445" t="s">
        <v>1759</v>
      </c>
      <c r="D935" s="543" t="s">
        <v>1760</v>
      </c>
      <c r="E935" s="444" t="s">
        <v>1130</v>
      </c>
      <c r="F935" s="446">
        <f t="shared" si="78"/>
        <v>0</v>
      </c>
      <c r="G935" s="447">
        <f t="shared" si="79"/>
        <v>38</v>
      </c>
      <c r="H935" s="442">
        <f t="shared" si="80"/>
        <v>0</v>
      </c>
      <c r="I935" s="447">
        <f t="shared" si="81"/>
        <v>0</v>
      </c>
      <c r="J935" s="544"/>
      <c r="K935" s="444" t="s">
        <v>1130</v>
      </c>
      <c r="L935" s="449">
        <v>38</v>
      </c>
      <c r="M935" s="289"/>
      <c r="N935" s="245"/>
      <c r="O935" s="450">
        <v>0</v>
      </c>
      <c r="P935" s="451">
        <f t="shared" si="82"/>
        <v>0</v>
      </c>
      <c r="Q935" s="289"/>
      <c r="R935" s="245"/>
      <c r="S935" s="289"/>
      <c r="T935" s="245"/>
      <c r="U935" s="289"/>
      <c r="V935" s="245"/>
      <c r="W935" s="289"/>
      <c r="X935" s="245"/>
      <c r="Y935" s="289"/>
      <c r="Z935" s="245"/>
    </row>
    <row r="936" spans="1:26" s="436" customFormat="1" ht="15">
      <c r="A936" s="443"/>
      <c r="B936" s="444"/>
      <c r="C936" s="445" t="s">
        <v>1761</v>
      </c>
      <c r="D936" s="543" t="s">
        <v>1762</v>
      </c>
      <c r="E936" s="444" t="s">
        <v>1130</v>
      </c>
      <c r="F936" s="446">
        <f t="shared" si="78"/>
        <v>0</v>
      </c>
      <c r="G936" s="447">
        <f t="shared" si="79"/>
        <v>45</v>
      </c>
      <c r="H936" s="442">
        <f t="shared" si="80"/>
        <v>0</v>
      </c>
      <c r="I936" s="447">
        <f t="shared" si="81"/>
        <v>0</v>
      </c>
      <c r="J936" s="544"/>
      <c r="K936" s="444" t="s">
        <v>1130</v>
      </c>
      <c r="L936" s="449">
        <v>45</v>
      </c>
      <c r="M936" s="289"/>
      <c r="N936" s="245"/>
      <c r="O936" s="450">
        <v>0</v>
      </c>
      <c r="P936" s="451">
        <f t="shared" si="82"/>
        <v>0</v>
      </c>
      <c r="Q936" s="289"/>
      <c r="R936" s="245"/>
      <c r="S936" s="289"/>
      <c r="T936" s="245"/>
      <c r="U936" s="289"/>
      <c r="V936" s="245"/>
      <c r="W936" s="289"/>
      <c r="X936" s="245"/>
      <c r="Y936" s="289"/>
      <c r="Z936" s="245"/>
    </row>
    <row r="937" spans="1:26" s="436" customFormat="1" ht="15">
      <c r="A937" s="443"/>
      <c r="B937" s="444"/>
      <c r="C937" s="445" t="s">
        <v>1763</v>
      </c>
      <c r="D937" s="543" t="s">
        <v>1764</v>
      </c>
      <c r="E937" s="444" t="s">
        <v>1130</v>
      </c>
      <c r="F937" s="446">
        <f t="shared" si="78"/>
        <v>0</v>
      </c>
      <c r="G937" s="447">
        <f t="shared" si="79"/>
        <v>60</v>
      </c>
      <c r="H937" s="442">
        <f t="shared" si="80"/>
        <v>0</v>
      </c>
      <c r="I937" s="447">
        <f t="shared" si="81"/>
        <v>0</v>
      </c>
      <c r="J937" s="544"/>
      <c r="K937" s="444" t="s">
        <v>1130</v>
      </c>
      <c r="L937" s="449">
        <v>60</v>
      </c>
      <c r="M937" s="289"/>
      <c r="N937" s="245"/>
      <c r="O937" s="450">
        <v>0</v>
      </c>
      <c r="P937" s="451">
        <f t="shared" si="82"/>
        <v>0</v>
      </c>
      <c r="Q937" s="289"/>
      <c r="R937" s="245"/>
      <c r="S937" s="289"/>
      <c r="T937" s="245"/>
      <c r="U937" s="289"/>
      <c r="V937" s="245"/>
      <c r="W937" s="289"/>
      <c r="X937" s="245"/>
      <c r="Y937" s="289"/>
      <c r="Z937" s="245"/>
    </row>
    <row r="938" spans="1:26" s="436" customFormat="1" ht="15">
      <c r="A938" s="443"/>
      <c r="B938" s="444"/>
      <c r="C938" s="445" t="s">
        <v>37</v>
      </c>
      <c r="D938" s="543" t="s">
        <v>38</v>
      </c>
      <c r="E938" s="444" t="s">
        <v>1130</v>
      </c>
      <c r="F938" s="446">
        <f t="shared" si="78"/>
        <v>0</v>
      </c>
      <c r="G938" s="447">
        <f t="shared" si="79"/>
        <v>75</v>
      </c>
      <c r="H938" s="442">
        <f t="shared" si="80"/>
        <v>0</v>
      </c>
      <c r="I938" s="447">
        <f t="shared" si="81"/>
        <v>0</v>
      </c>
      <c r="J938" s="544"/>
      <c r="K938" s="444" t="s">
        <v>1130</v>
      </c>
      <c r="L938" s="449">
        <v>75</v>
      </c>
      <c r="M938" s="289"/>
      <c r="N938" s="245"/>
      <c r="O938" s="450">
        <v>0</v>
      </c>
      <c r="P938" s="451">
        <f t="shared" si="82"/>
        <v>0</v>
      </c>
      <c r="Q938" s="289"/>
      <c r="R938" s="245"/>
      <c r="S938" s="289"/>
      <c r="T938" s="245"/>
      <c r="U938" s="289"/>
      <c r="V938" s="245"/>
      <c r="W938" s="289"/>
      <c r="X938" s="245"/>
      <c r="Y938" s="289"/>
      <c r="Z938" s="245"/>
    </row>
    <row r="939" spans="1:26" s="436" customFormat="1" ht="15">
      <c r="A939" s="443"/>
      <c r="B939" s="444"/>
      <c r="C939" s="445" t="s">
        <v>39</v>
      </c>
      <c r="D939" s="543" t="s">
        <v>40</v>
      </c>
      <c r="E939" s="444" t="s">
        <v>1130</v>
      </c>
      <c r="F939" s="446">
        <f t="shared" si="78"/>
        <v>0</v>
      </c>
      <c r="G939" s="447">
        <f t="shared" si="79"/>
        <v>90</v>
      </c>
      <c r="H939" s="442">
        <f t="shared" si="80"/>
        <v>0</v>
      </c>
      <c r="I939" s="447">
        <f t="shared" si="81"/>
        <v>0</v>
      </c>
      <c r="J939" s="544"/>
      <c r="K939" s="444" t="s">
        <v>1130</v>
      </c>
      <c r="L939" s="449">
        <v>90</v>
      </c>
      <c r="M939" s="289"/>
      <c r="N939" s="245"/>
      <c r="O939" s="450">
        <v>0</v>
      </c>
      <c r="P939" s="451">
        <f t="shared" si="82"/>
        <v>0</v>
      </c>
      <c r="Q939" s="289"/>
      <c r="R939" s="245"/>
      <c r="S939" s="289"/>
      <c r="T939" s="245"/>
      <c r="U939" s="289"/>
      <c r="V939" s="245"/>
      <c r="W939" s="289"/>
      <c r="X939" s="245"/>
      <c r="Y939" s="289"/>
      <c r="Z939" s="245"/>
    </row>
    <row r="940" spans="1:26" s="436" customFormat="1" ht="15">
      <c r="A940" s="443"/>
      <c r="B940" s="444"/>
      <c r="C940" s="445" t="s">
        <v>41</v>
      </c>
      <c r="D940" s="543" t="s">
        <v>42</v>
      </c>
      <c r="E940" s="444" t="s">
        <v>1130</v>
      </c>
      <c r="F940" s="446">
        <f t="shared" si="78"/>
        <v>0</v>
      </c>
      <c r="G940" s="447">
        <f t="shared" si="79"/>
        <v>120</v>
      </c>
      <c r="H940" s="442">
        <f t="shared" si="80"/>
        <v>0</v>
      </c>
      <c r="I940" s="447">
        <f t="shared" si="81"/>
        <v>0</v>
      </c>
      <c r="J940" s="544"/>
      <c r="K940" s="444" t="s">
        <v>1130</v>
      </c>
      <c r="L940" s="449">
        <v>120</v>
      </c>
      <c r="M940" s="289"/>
      <c r="N940" s="245"/>
      <c r="O940" s="450">
        <v>0</v>
      </c>
      <c r="P940" s="451">
        <f t="shared" si="82"/>
        <v>0</v>
      </c>
      <c r="Q940" s="289"/>
      <c r="R940" s="245"/>
      <c r="S940" s="289"/>
      <c r="T940" s="245"/>
      <c r="U940" s="289"/>
      <c r="V940" s="245"/>
      <c r="W940" s="289"/>
      <c r="X940" s="245"/>
      <c r="Y940" s="289"/>
      <c r="Z940" s="245"/>
    </row>
    <row r="941" spans="1:26" s="436" customFormat="1" ht="15">
      <c r="A941" s="443"/>
      <c r="B941" s="444"/>
      <c r="C941" s="445" t="s">
        <v>43</v>
      </c>
      <c r="D941" s="543" t="s">
        <v>44</v>
      </c>
      <c r="E941" s="444" t="s">
        <v>1130</v>
      </c>
      <c r="F941" s="446">
        <f t="shared" si="78"/>
        <v>0</v>
      </c>
      <c r="G941" s="447">
        <f t="shared" si="79"/>
        <v>140</v>
      </c>
      <c r="H941" s="442">
        <f t="shared" si="80"/>
        <v>0</v>
      </c>
      <c r="I941" s="447">
        <f t="shared" si="81"/>
        <v>0</v>
      </c>
      <c r="J941" s="544"/>
      <c r="K941" s="444" t="s">
        <v>1130</v>
      </c>
      <c r="L941" s="449">
        <v>140</v>
      </c>
      <c r="M941" s="289"/>
      <c r="N941" s="245"/>
      <c r="O941" s="450">
        <v>0</v>
      </c>
      <c r="P941" s="451">
        <f t="shared" si="82"/>
        <v>0</v>
      </c>
      <c r="Q941" s="289"/>
      <c r="R941" s="245"/>
      <c r="S941" s="289"/>
      <c r="T941" s="245"/>
      <c r="U941" s="289"/>
      <c r="V941" s="245"/>
      <c r="W941" s="289"/>
      <c r="X941" s="245"/>
      <c r="Y941" s="289"/>
      <c r="Z941" s="245"/>
    </row>
    <row r="942" spans="1:26" s="436" customFormat="1" ht="15">
      <c r="A942" s="443"/>
      <c r="B942" s="444"/>
      <c r="C942" s="445" t="s">
        <v>45</v>
      </c>
      <c r="D942" s="543" t="s">
        <v>46</v>
      </c>
      <c r="E942" s="444" t="s">
        <v>1130</v>
      </c>
      <c r="F942" s="446">
        <f t="shared" si="78"/>
        <v>0</v>
      </c>
      <c r="G942" s="447">
        <f t="shared" si="79"/>
        <v>155</v>
      </c>
      <c r="H942" s="442">
        <f t="shared" si="80"/>
        <v>0</v>
      </c>
      <c r="I942" s="447">
        <f t="shared" si="81"/>
        <v>0</v>
      </c>
      <c r="J942" s="544"/>
      <c r="K942" s="444" t="s">
        <v>1130</v>
      </c>
      <c r="L942" s="449">
        <v>155</v>
      </c>
      <c r="M942" s="289"/>
      <c r="N942" s="245"/>
      <c r="O942" s="450">
        <v>0</v>
      </c>
      <c r="P942" s="451">
        <f t="shared" si="82"/>
        <v>0</v>
      </c>
      <c r="Q942" s="289"/>
      <c r="R942" s="245"/>
      <c r="S942" s="289"/>
      <c r="T942" s="245"/>
      <c r="U942" s="289"/>
      <c r="V942" s="245"/>
      <c r="W942" s="289"/>
      <c r="X942" s="245"/>
      <c r="Y942" s="289"/>
      <c r="Z942" s="245"/>
    </row>
    <row r="943" spans="1:26" ht="15" customHeight="1">
      <c r="A943" s="250"/>
      <c r="B943" s="251"/>
      <c r="C943" s="453"/>
      <c r="D943" s="330"/>
      <c r="E943" s="251"/>
      <c r="F943" s="252"/>
      <c r="G943" s="253"/>
      <c r="H943" s="254"/>
      <c r="I943" s="253"/>
      <c r="J943" s="253"/>
      <c r="K943" s="251"/>
      <c r="L943" s="253"/>
      <c r="M943" s="289"/>
      <c r="N943" s="245"/>
      <c r="O943" s="258"/>
      <c r="P943" s="257"/>
      <c r="Q943" s="289"/>
      <c r="R943" s="245"/>
      <c r="S943" s="289"/>
      <c r="T943" s="245"/>
      <c r="U943" s="289"/>
      <c r="V943" s="245"/>
      <c r="W943" s="289"/>
      <c r="X943" s="245"/>
      <c r="Y943" s="289"/>
      <c r="Z943" s="245"/>
    </row>
    <row r="944" spans="1:26" ht="15" customHeight="1">
      <c r="A944" s="250"/>
      <c r="B944" s="251"/>
      <c r="C944" s="453" t="s">
        <v>47</v>
      </c>
      <c r="D944" s="330" t="s">
        <v>48</v>
      </c>
      <c r="E944" s="251"/>
      <c r="F944" s="252"/>
      <c r="G944" s="253"/>
      <c r="H944" s="254"/>
      <c r="I944" s="253"/>
      <c r="J944" s="253"/>
      <c r="K944" s="251"/>
      <c r="L944" s="253"/>
      <c r="M944" s="289"/>
      <c r="N944" s="245"/>
      <c r="O944" s="258"/>
      <c r="P944" s="257"/>
      <c r="Q944" s="289"/>
      <c r="R944" s="245"/>
      <c r="S944" s="289"/>
      <c r="T944" s="245"/>
      <c r="U944" s="289"/>
      <c r="V944" s="245"/>
      <c r="W944" s="289"/>
      <c r="X944" s="245"/>
      <c r="Y944" s="289"/>
      <c r="Z944" s="245"/>
    </row>
    <row r="945" spans="1:26" s="436" customFormat="1" ht="25.5">
      <c r="A945" s="443"/>
      <c r="B945" s="444"/>
      <c r="C945" s="445"/>
      <c r="D945" s="543" t="s">
        <v>49</v>
      </c>
      <c r="E945" s="444"/>
      <c r="F945" s="446"/>
      <c r="G945" s="447"/>
      <c r="H945" s="435"/>
      <c r="I945" s="544"/>
      <c r="J945" s="544"/>
      <c r="K945" s="444"/>
      <c r="L945" s="447"/>
      <c r="M945" s="289"/>
      <c r="N945" s="245"/>
      <c r="O945" s="450">
        <v>0</v>
      </c>
      <c r="P945" s="451">
        <f>INT($L945*O945*100+0.5)/100</f>
        <v>0</v>
      </c>
      <c r="Q945" s="289"/>
      <c r="R945" s="245"/>
      <c r="S945" s="289"/>
      <c r="T945" s="245"/>
      <c r="U945" s="289"/>
      <c r="V945" s="245"/>
      <c r="W945" s="289"/>
      <c r="X945" s="245"/>
      <c r="Y945" s="289"/>
      <c r="Z945" s="245"/>
    </row>
    <row r="946" spans="1:26" s="436" customFormat="1" ht="15">
      <c r="A946" s="443"/>
      <c r="B946" s="444"/>
      <c r="C946" s="445"/>
      <c r="D946" s="543" t="s">
        <v>50</v>
      </c>
      <c r="E946" s="444" t="s">
        <v>1130</v>
      </c>
      <c r="F946" s="446">
        <f>M946+O946+Q946+S946+U946+W946+Y946</f>
        <v>0</v>
      </c>
      <c r="G946" s="447">
        <f>L946</f>
        <v>0.5</v>
      </c>
      <c r="H946" s="442">
        <f>F946*G946</f>
        <v>0</v>
      </c>
      <c r="I946" s="447">
        <f>N946+P946+R946+T946+V946+X946+Z946</f>
        <v>0</v>
      </c>
      <c r="J946" s="544"/>
      <c r="K946" s="444" t="s">
        <v>1130</v>
      </c>
      <c r="L946" s="449">
        <v>0.5</v>
      </c>
      <c r="M946" s="289"/>
      <c r="N946" s="245"/>
      <c r="O946" s="450">
        <v>0</v>
      </c>
      <c r="P946" s="451">
        <f>INT($L946*O946*100+0.5)/100</f>
        <v>0</v>
      </c>
      <c r="Q946" s="289"/>
      <c r="R946" s="245"/>
      <c r="S946" s="289"/>
      <c r="T946" s="245"/>
      <c r="U946" s="289"/>
      <c r="V946" s="245"/>
      <c r="W946" s="289"/>
      <c r="X946" s="245"/>
      <c r="Y946" s="289"/>
      <c r="Z946" s="245"/>
    </row>
    <row r="947" spans="1:26" ht="15" customHeight="1">
      <c r="A947" s="250"/>
      <c r="B947" s="251"/>
      <c r="C947" s="453"/>
      <c r="D947" s="330"/>
      <c r="E947" s="251"/>
      <c r="F947" s="252"/>
      <c r="G947" s="253"/>
      <c r="H947" s="254"/>
      <c r="I947" s="253"/>
      <c r="J947" s="253"/>
      <c r="K947" s="251"/>
      <c r="L947" s="253"/>
      <c r="M947" s="289"/>
      <c r="N947" s="245"/>
      <c r="O947" s="258"/>
      <c r="P947" s="257"/>
      <c r="Q947" s="289"/>
      <c r="R947" s="245"/>
      <c r="S947" s="289"/>
      <c r="T947" s="245"/>
      <c r="U947" s="289"/>
      <c r="V947" s="245"/>
      <c r="W947" s="289"/>
      <c r="X947" s="245"/>
      <c r="Y947" s="289"/>
      <c r="Z947" s="245"/>
    </row>
    <row r="948" spans="1:26" ht="15" customHeight="1">
      <c r="A948" s="250"/>
      <c r="B948" s="251"/>
      <c r="C948" s="453" t="s">
        <v>51</v>
      </c>
      <c r="D948" s="330" t="s">
        <v>52</v>
      </c>
      <c r="E948" s="251"/>
      <c r="F948" s="252"/>
      <c r="G948" s="253"/>
      <c r="H948" s="254"/>
      <c r="I948" s="253"/>
      <c r="J948" s="253"/>
      <c r="K948" s="251"/>
      <c r="L948" s="253"/>
      <c r="M948" s="289"/>
      <c r="N948" s="245"/>
      <c r="O948" s="258"/>
      <c r="P948" s="257"/>
      <c r="Q948" s="289"/>
      <c r="R948" s="245"/>
      <c r="S948" s="289"/>
      <c r="T948" s="245"/>
      <c r="U948" s="289"/>
      <c r="V948" s="245"/>
      <c r="W948" s="289"/>
      <c r="X948" s="245"/>
      <c r="Y948" s="289"/>
      <c r="Z948" s="245"/>
    </row>
    <row r="949" spans="1:26" s="436" customFormat="1" ht="25.5">
      <c r="A949" s="443"/>
      <c r="B949" s="444"/>
      <c r="C949" s="445"/>
      <c r="D949" s="543" t="s">
        <v>53</v>
      </c>
      <c r="E949" s="444" t="s">
        <v>2475</v>
      </c>
      <c r="F949" s="446">
        <f>M949+O949+Q949+S949+U949+W949+Y949</f>
        <v>0</v>
      </c>
      <c r="G949" s="447">
        <f>L949</f>
        <v>0.3</v>
      </c>
      <c r="H949" s="442">
        <f>F949*G949</f>
        <v>0</v>
      </c>
      <c r="I949" s="447">
        <f>N949+P949+R949+T949+V949+X949+Z949</f>
        <v>0</v>
      </c>
      <c r="J949" s="544"/>
      <c r="K949" s="444" t="s">
        <v>2475</v>
      </c>
      <c r="L949" s="449">
        <v>0.3</v>
      </c>
      <c r="M949" s="289"/>
      <c r="N949" s="245"/>
      <c r="O949" s="450">
        <v>0</v>
      </c>
      <c r="P949" s="451">
        <f>INT($L949*O949*100+0.5)/100</f>
        <v>0</v>
      </c>
      <c r="Q949" s="289"/>
      <c r="R949" s="245"/>
      <c r="S949" s="289"/>
      <c r="T949" s="245"/>
      <c r="U949" s="289"/>
      <c r="V949" s="245"/>
      <c r="W949" s="289"/>
      <c r="X949" s="245"/>
      <c r="Y949" s="289"/>
      <c r="Z949" s="245"/>
    </row>
    <row r="950" spans="1:26" ht="15" customHeight="1">
      <c r="A950" s="250"/>
      <c r="B950" s="251"/>
      <c r="C950" s="453"/>
      <c r="D950" s="330"/>
      <c r="E950" s="251"/>
      <c r="F950" s="252"/>
      <c r="G950" s="253"/>
      <c r="H950" s="254"/>
      <c r="I950" s="253"/>
      <c r="J950" s="253"/>
      <c r="K950" s="251"/>
      <c r="L950" s="253"/>
      <c r="M950" s="289"/>
      <c r="N950" s="245"/>
      <c r="O950" s="258"/>
      <c r="P950" s="257"/>
      <c r="Q950" s="289"/>
      <c r="R950" s="245"/>
      <c r="S950" s="289"/>
      <c r="T950" s="245"/>
      <c r="U950" s="289"/>
      <c r="V950" s="245"/>
      <c r="W950" s="289"/>
      <c r="X950" s="245"/>
      <c r="Y950" s="289"/>
      <c r="Z950" s="245"/>
    </row>
    <row r="951" spans="1:26" ht="15" customHeight="1">
      <c r="A951" s="250"/>
      <c r="B951" s="251"/>
      <c r="C951" s="453" t="s">
        <v>54</v>
      </c>
      <c r="D951" s="330" t="s">
        <v>55</v>
      </c>
      <c r="E951" s="251"/>
      <c r="F951" s="252"/>
      <c r="G951" s="253"/>
      <c r="H951" s="254"/>
      <c r="I951" s="253"/>
      <c r="J951" s="253"/>
      <c r="K951" s="251"/>
      <c r="L951" s="253"/>
      <c r="M951" s="289"/>
      <c r="N951" s="245"/>
      <c r="O951" s="258"/>
      <c r="P951" s="257"/>
      <c r="Q951" s="289"/>
      <c r="R951" s="245"/>
      <c r="S951" s="289"/>
      <c r="T951" s="245"/>
      <c r="U951" s="289"/>
      <c r="V951" s="245"/>
      <c r="W951" s="289"/>
      <c r="X951" s="245"/>
      <c r="Y951" s="289"/>
      <c r="Z951" s="245"/>
    </row>
    <row r="952" spans="1:26" s="436" customFormat="1" ht="15">
      <c r="A952" s="443"/>
      <c r="B952" s="444"/>
      <c r="C952" s="445" t="s">
        <v>56</v>
      </c>
      <c r="D952" s="543" t="s">
        <v>57</v>
      </c>
      <c r="E952" s="444" t="s">
        <v>1130</v>
      </c>
      <c r="F952" s="446">
        <f t="shared" ref="F952:F963" si="83">M952+O952+Q952+S952+U952+W952+Y952</f>
        <v>0</v>
      </c>
      <c r="G952" s="447">
        <f t="shared" ref="G952:G963" si="84">L952</f>
        <v>25</v>
      </c>
      <c r="H952" s="442">
        <f t="shared" ref="H952:H963" si="85">F952*G952</f>
        <v>0</v>
      </c>
      <c r="I952" s="447">
        <f t="shared" ref="I952:I963" si="86">N952+P952+R952+T952+V952+X952+Z952</f>
        <v>0</v>
      </c>
      <c r="J952" s="544"/>
      <c r="K952" s="444" t="s">
        <v>1130</v>
      </c>
      <c r="L952" s="449">
        <v>25</v>
      </c>
      <c r="M952" s="289"/>
      <c r="N952" s="245"/>
      <c r="O952" s="450">
        <v>0</v>
      </c>
      <c r="P952" s="451">
        <f t="shared" ref="P952:P963" si="87">INT($L952*O952*100+0.5)/100</f>
        <v>0</v>
      </c>
      <c r="Q952" s="289"/>
      <c r="R952" s="245"/>
      <c r="S952" s="289"/>
      <c r="T952" s="245"/>
      <c r="U952" s="289"/>
      <c r="V952" s="245"/>
      <c r="W952" s="289"/>
      <c r="X952" s="245"/>
      <c r="Y952" s="289"/>
      <c r="Z952" s="245"/>
    </row>
    <row r="953" spans="1:26" s="436" customFormat="1" ht="15">
      <c r="A953" s="443"/>
      <c r="B953" s="444"/>
      <c r="C953" s="445" t="s">
        <v>58</v>
      </c>
      <c r="D953" s="543" t="s">
        <v>59</v>
      </c>
      <c r="E953" s="444" t="s">
        <v>1130</v>
      </c>
      <c r="F953" s="446">
        <f t="shared" si="83"/>
        <v>0</v>
      </c>
      <c r="G953" s="447">
        <f t="shared" si="84"/>
        <v>26.5</v>
      </c>
      <c r="H953" s="442">
        <f t="shared" si="85"/>
        <v>0</v>
      </c>
      <c r="I953" s="447">
        <f t="shared" si="86"/>
        <v>0</v>
      </c>
      <c r="J953" s="544"/>
      <c r="K953" s="444" t="s">
        <v>1130</v>
      </c>
      <c r="L953" s="449">
        <v>26.5</v>
      </c>
      <c r="M953" s="289"/>
      <c r="N953" s="245"/>
      <c r="O953" s="450">
        <v>0</v>
      </c>
      <c r="P953" s="451">
        <f t="shared" si="87"/>
        <v>0</v>
      </c>
      <c r="Q953" s="289"/>
      <c r="R953" s="245"/>
      <c r="S953" s="289"/>
      <c r="T953" s="245"/>
      <c r="U953" s="289"/>
      <c r="V953" s="245"/>
      <c r="W953" s="289"/>
      <c r="X953" s="245"/>
      <c r="Y953" s="289"/>
      <c r="Z953" s="245"/>
    </row>
    <row r="954" spans="1:26" s="436" customFormat="1" ht="15">
      <c r="A954" s="443"/>
      <c r="B954" s="444"/>
      <c r="C954" s="445" t="s">
        <v>60</v>
      </c>
      <c r="D954" s="543" t="s">
        <v>61</v>
      </c>
      <c r="E954" s="444" t="s">
        <v>1130</v>
      </c>
      <c r="F954" s="446">
        <f t="shared" si="83"/>
        <v>0</v>
      </c>
      <c r="G954" s="447">
        <f t="shared" si="84"/>
        <v>26.5</v>
      </c>
      <c r="H954" s="442">
        <f t="shared" si="85"/>
        <v>0</v>
      </c>
      <c r="I954" s="447">
        <f t="shared" si="86"/>
        <v>0</v>
      </c>
      <c r="J954" s="544"/>
      <c r="K954" s="444" t="s">
        <v>1130</v>
      </c>
      <c r="L954" s="449">
        <v>26.5</v>
      </c>
      <c r="M954" s="289"/>
      <c r="N954" s="245"/>
      <c r="O954" s="450">
        <v>0</v>
      </c>
      <c r="P954" s="451">
        <f t="shared" si="87"/>
        <v>0</v>
      </c>
      <c r="Q954" s="289"/>
      <c r="R954" s="245"/>
      <c r="S954" s="289"/>
      <c r="T954" s="245"/>
      <c r="U954" s="289"/>
      <c r="V954" s="245"/>
      <c r="W954" s="289"/>
      <c r="X954" s="245"/>
      <c r="Y954" s="289"/>
      <c r="Z954" s="245"/>
    </row>
    <row r="955" spans="1:26" s="436" customFormat="1" ht="15">
      <c r="A955" s="443"/>
      <c r="B955" s="444"/>
      <c r="C955" s="445" t="s">
        <v>62</v>
      </c>
      <c r="D955" s="543" t="s">
        <v>63</v>
      </c>
      <c r="E955" s="444" t="s">
        <v>1130</v>
      </c>
      <c r="F955" s="446">
        <f t="shared" si="83"/>
        <v>0</v>
      </c>
      <c r="G955" s="447">
        <f t="shared" si="84"/>
        <v>27</v>
      </c>
      <c r="H955" s="442">
        <f t="shared" si="85"/>
        <v>0</v>
      </c>
      <c r="I955" s="447">
        <f t="shared" si="86"/>
        <v>0</v>
      </c>
      <c r="J955" s="544"/>
      <c r="K955" s="444" t="s">
        <v>1130</v>
      </c>
      <c r="L955" s="449">
        <v>27</v>
      </c>
      <c r="M955" s="289"/>
      <c r="N955" s="245"/>
      <c r="O955" s="450">
        <v>0</v>
      </c>
      <c r="P955" s="451">
        <f t="shared" si="87"/>
        <v>0</v>
      </c>
      <c r="Q955" s="289"/>
      <c r="R955" s="245"/>
      <c r="S955" s="289"/>
      <c r="T955" s="245"/>
      <c r="U955" s="289"/>
      <c r="V955" s="245"/>
      <c r="W955" s="289"/>
      <c r="X955" s="245"/>
      <c r="Y955" s="289"/>
      <c r="Z955" s="245"/>
    </row>
    <row r="956" spans="1:26" s="436" customFormat="1" ht="15">
      <c r="A956" s="443"/>
      <c r="B956" s="444"/>
      <c r="C956" s="445" t="s">
        <v>64</v>
      </c>
      <c r="D956" s="543" t="s">
        <v>65</v>
      </c>
      <c r="E956" s="444" t="s">
        <v>1130</v>
      </c>
      <c r="F956" s="446">
        <f t="shared" si="83"/>
        <v>0</v>
      </c>
      <c r="G956" s="447">
        <f t="shared" si="84"/>
        <v>29</v>
      </c>
      <c r="H956" s="442">
        <f t="shared" si="85"/>
        <v>0</v>
      </c>
      <c r="I956" s="447">
        <f t="shared" si="86"/>
        <v>0</v>
      </c>
      <c r="J956" s="544"/>
      <c r="K956" s="444" t="s">
        <v>1130</v>
      </c>
      <c r="L956" s="449">
        <v>29</v>
      </c>
      <c r="M956" s="289"/>
      <c r="N956" s="245"/>
      <c r="O956" s="450">
        <v>0</v>
      </c>
      <c r="P956" s="451">
        <f t="shared" si="87"/>
        <v>0</v>
      </c>
      <c r="Q956" s="289"/>
      <c r="R956" s="245"/>
      <c r="S956" s="289"/>
      <c r="T956" s="245"/>
      <c r="U956" s="289"/>
      <c r="V956" s="245"/>
      <c r="W956" s="289"/>
      <c r="X956" s="245"/>
      <c r="Y956" s="289"/>
      <c r="Z956" s="245"/>
    </row>
    <row r="957" spans="1:26" s="436" customFormat="1" ht="15">
      <c r="A957" s="443"/>
      <c r="B957" s="444"/>
      <c r="C957" s="445" t="s">
        <v>66</v>
      </c>
      <c r="D957" s="543" t="s">
        <v>67</v>
      </c>
      <c r="E957" s="444" t="s">
        <v>1130</v>
      </c>
      <c r="F957" s="446">
        <f t="shared" si="83"/>
        <v>0</v>
      </c>
      <c r="G957" s="447">
        <f t="shared" si="84"/>
        <v>31</v>
      </c>
      <c r="H957" s="442">
        <f t="shared" si="85"/>
        <v>0</v>
      </c>
      <c r="I957" s="447">
        <f t="shared" si="86"/>
        <v>0</v>
      </c>
      <c r="J957" s="544"/>
      <c r="K957" s="444" t="s">
        <v>1130</v>
      </c>
      <c r="L957" s="449">
        <v>31</v>
      </c>
      <c r="M957" s="289"/>
      <c r="N957" s="245"/>
      <c r="O957" s="450">
        <v>0</v>
      </c>
      <c r="P957" s="451">
        <f t="shared" si="87"/>
        <v>0</v>
      </c>
      <c r="Q957" s="289"/>
      <c r="R957" s="245"/>
      <c r="S957" s="289"/>
      <c r="T957" s="245"/>
      <c r="U957" s="289"/>
      <c r="V957" s="245"/>
      <c r="W957" s="289"/>
      <c r="X957" s="245"/>
      <c r="Y957" s="289"/>
      <c r="Z957" s="245"/>
    </row>
    <row r="958" spans="1:26" s="436" customFormat="1" ht="15">
      <c r="A958" s="443"/>
      <c r="B958" s="444"/>
      <c r="C958" s="445" t="s">
        <v>68</v>
      </c>
      <c r="D958" s="543" t="s">
        <v>69</v>
      </c>
      <c r="E958" s="444" t="s">
        <v>1130</v>
      </c>
      <c r="F958" s="446">
        <f t="shared" si="83"/>
        <v>0</v>
      </c>
      <c r="G958" s="447">
        <f t="shared" si="84"/>
        <v>35</v>
      </c>
      <c r="H958" s="442">
        <f t="shared" si="85"/>
        <v>0</v>
      </c>
      <c r="I958" s="447">
        <f t="shared" si="86"/>
        <v>0</v>
      </c>
      <c r="J958" s="544"/>
      <c r="K958" s="444" t="s">
        <v>1130</v>
      </c>
      <c r="L958" s="449">
        <v>35</v>
      </c>
      <c r="M958" s="289"/>
      <c r="N958" s="245"/>
      <c r="O958" s="450">
        <v>0</v>
      </c>
      <c r="P958" s="451">
        <f t="shared" si="87"/>
        <v>0</v>
      </c>
      <c r="Q958" s="289"/>
      <c r="R958" s="245"/>
      <c r="S958" s="289"/>
      <c r="T958" s="245"/>
      <c r="U958" s="289"/>
      <c r="V958" s="245"/>
      <c r="W958" s="289"/>
      <c r="X958" s="245"/>
      <c r="Y958" s="289"/>
      <c r="Z958" s="245"/>
    </row>
    <row r="959" spans="1:26" s="436" customFormat="1" ht="15">
      <c r="A959" s="443"/>
      <c r="B959" s="444"/>
      <c r="C959" s="445" t="s">
        <v>70</v>
      </c>
      <c r="D959" s="543" t="s">
        <v>71</v>
      </c>
      <c r="E959" s="444" t="s">
        <v>1130</v>
      </c>
      <c r="F959" s="446">
        <f t="shared" si="83"/>
        <v>0</v>
      </c>
      <c r="G959" s="447">
        <f t="shared" si="84"/>
        <v>37.6</v>
      </c>
      <c r="H959" s="442">
        <f t="shared" si="85"/>
        <v>0</v>
      </c>
      <c r="I959" s="447">
        <f t="shared" si="86"/>
        <v>0</v>
      </c>
      <c r="J959" s="544"/>
      <c r="K959" s="444" t="s">
        <v>1130</v>
      </c>
      <c r="L959" s="449">
        <v>37.6</v>
      </c>
      <c r="M959" s="289"/>
      <c r="N959" s="245"/>
      <c r="O959" s="450">
        <v>0</v>
      </c>
      <c r="P959" s="451">
        <f t="shared" si="87"/>
        <v>0</v>
      </c>
      <c r="Q959" s="289"/>
      <c r="R959" s="245"/>
      <c r="S959" s="289"/>
      <c r="T959" s="245"/>
      <c r="U959" s="289"/>
      <c r="V959" s="245"/>
      <c r="W959" s="289"/>
      <c r="X959" s="245"/>
      <c r="Y959" s="289"/>
      <c r="Z959" s="245"/>
    </row>
    <row r="960" spans="1:26" s="436" customFormat="1" ht="15">
      <c r="A960" s="443"/>
      <c r="B960" s="444"/>
      <c r="C960" s="445" t="s">
        <v>72</v>
      </c>
      <c r="D960" s="543" t="s">
        <v>73</v>
      </c>
      <c r="E960" s="444" t="s">
        <v>1130</v>
      </c>
      <c r="F960" s="446">
        <f t="shared" si="83"/>
        <v>0</v>
      </c>
      <c r="G960" s="447">
        <f t="shared" si="84"/>
        <v>44</v>
      </c>
      <c r="H960" s="442">
        <f t="shared" si="85"/>
        <v>0</v>
      </c>
      <c r="I960" s="447">
        <f t="shared" si="86"/>
        <v>0</v>
      </c>
      <c r="J960" s="544"/>
      <c r="K960" s="444" t="s">
        <v>1130</v>
      </c>
      <c r="L960" s="449">
        <v>44</v>
      </c>
      <c r="M960" s="289"/>
      <c r="N960" s="245"/>
      <c r="O960" s="450">
        <v>0</v>
      </c>
      <c r="P960" s="451">
        <f t="shared" si="87"/>
        <v>0</v>
      </c>
      <c r="Q960" s="289"/>
      <c r="R960" s="245"/>
      <c r="S960" s="289"/>
      <c r="T960" s="245"/>
      <c r="U960" s="289"/>
      <c r="V960" s="245"/>
      <c r="W960" s="289"/>
      <c r="X960" s="245"/>
      <c r="Y960" s="289"/>
      <c r="Z960" s="245"/>
    </row>
    <row r="961" spans="1:26" s="436" customFormat="1" ht="15">
      <c r="A961" s="443"/>
      <c r="B961" s="444"/>
      <c r="C961" s="445" t="s">
        <v>74</v>
      </c>
      <c r="D961" s="543" t="s">
        <v>75</v>
      </c>
      <c r="E961" s="444" t="s">
        <v>1130</v>
      </c>
      <c r="F961" s="446">
        <f t="shared" si="83"/>
        <v>0</v>
      </c>
      <c r="G961" s="447">
        <f t="shared" si="84"/>
        <v>70</v>
      </c>
      <c r="H961" s="442">
        <f t="shared" si="85"/>
        <v>0</v>
      </c>
      <c r="I961" s="447">
        <f t="shared" si="86"/>
        <v>0</v>
      </c>
      <c r="J961" s="544"/>
      <c r="K961" s="444" t="s">
        <v>1130</v>
      </c>
      <c r="L961" s="449">
        <v>70</v>
      </c>
      <c r="M961" s="289"/>
      <c r="N961" s="245"/>
      <c r="O961" s="450">
        <v>0</v>
      </c>
      <c r="P961" s="451">
        <f t="shared" si="87"/>
        <v>0</v>
      </c>
      <c r="Q961" s="289"/>
      <c r="R961" s="245"/>
      <c r="S961" s="289"/>
      <c r="T961" s="245"/>
      <c r="U961" s="289"/>
      <c r="V961" s="245"/>
      <c r="W961" s="289"/>
      <c r="X961" s="245"/>
      <c r="Y961" s="289"/>
      <c r="Z961" s="245"/>
    </row>
    <row r="962" spans="1:26" s="436" customFormat="1" ht="15">
      <c r="A962" s="443"/>
      <c r="B962" s="444"/>
      <c r="C962" s="445" t="s">
        <v>76</v>
      </c>
      <c r="D962" s="543" t="s">
        <v>77</v>
      </c>
      <c r="E962" s="444" t="s">
        <v>1130</v>
      </c>
      <c r="F962" s="446">
        <f t="shared" si="83"/>
        <v>0</v>
      </c>
      <c r="G962" s="447">
        <f t="shared" si="84"/>
        <v>85</v>
      </c>
      <c r="H962" s="442">
        <f t="shared" si="85"/>
        <v>0</v>
      </c>
      <c r="I962" s="447">
        <f t="shared" si="86"/>
        <v>0</v>
      </c>
      <c r="J962" s="544"/>
      <c r="K962" s="444" t="s">
        <v>1130</v>
      </c>
      <c r="L962" s="449">
        <v>85</v>
      </c>
      <c r="M962" s="289"/>
      <c r="N962" s="245"/>
      <c r="O962" s="450">
        <v>0</v>
      </c>
      <c r="P962" s="451">
        <f t="shared" si="87"/>
        <v>0</v>
      </c>
      <c r="Q962" s="289"/>
      <c r="R962" s="245"/>
      <c r="S962" s="289"/>
      <c r="T962" s="245"/>
      <c r="U962" s="289"/>
      <c r="V962" s="245"/>
      <c r="W962" s="289"/>
      <c r="X962" s="245"/>
      <c r="Y962" s="289"/>
      <c r="Z962" s="245"/>
    </row>
    <row r="963" spans="1:26" s="436" customFormat="1" ht="15">
      <c r="A963" s="443"/>
      <c r="B963" s="444"/>
      <c r="C963" s="445" t="s">
        <v>78</v>
      </c>
      <c r="D963" s="543" t="s">
        <v>79</v>
      </c>
      <c r="E963" s="444" t="s">
        <v>1130</v>
      </c>
      <c r="F963" s="446">
        <f t="shared" si="83"/>
        <v>0</v>
      </c>
      <c r="G963" s="447">
        <f t="shared" si="84"/>
        <v>102</v>
      </c>
      <c r="H963" s="442">
        <f t="shared" si="85"/>
        <v>0</v>
      </c>
      <c r="I963" s="447">
        <f t="shared" si="86"/>
        <v>0</v>
      </c>
      <c r="J963" s="544"/>
      <c r="K963" s="444" t="s">
        <v>1130</v>
      </c>
      <c r="L963" s="449">
        <v>102</v>
      </c>
      <c r="M963" s="289"/>
      <c r="N963" s="245"/>
      <c r="O963" s="450">
        <v>0</v>
      </c>
      <c r="P963" s="451">
        <f t="shared" si="87"/>
        <v>0</v>
      </c>
      <c r="Q963" s="289"/>
      <c r="R963" s="245"/>
      <c r="S963" s="289"/>
      <c r="T963" s="245"/>
      <c r="U963" s="289"/>
      <c r="V963" s="245"/>
      <c r="W963" s="289"/>
      <c r="X963" s="245"/>
      <c r="Y963" s="289"/>
      <c r="Z963" s="245"/>
    </row>
    <row r="964" spans="1:26" ht="15" customHeight="1">
      <c r="A964" s="250"/>
      <c r="B964" s="251"/>
      <c r="C964" s="453"/>
      <c r="D964" s="330"/>
      <c r="E964" s="251"/>
      <c r="F964" s="252"/>
      <c r="G964" s="253"/>
      <c r="H964" s="254"/>
      <c r="I964" s="253"/>
      <c r="J964" s="253"/>
      <c r="K964" s="251"/>
      <c r="L964" s="253"/>
      <c r="M964" s="289"/>
      <c r="N964" s="245"/>
      <c r="O964" s="258"/>
      <c r="P964" s="257"/>
      <c r="Q964" s="289"/>
      <c r="R964" s="245"/>
      <c r="S964" s="289"/>
      <c r="T964" s="245"/>
      <c r="U964" s="289"/>
      <c r="V964" s="245"/>
      <c r="W964" s="289"/>
      <c r="X964" s="245"/>
      <c r="Y964" s="289"/>
      <c r="Z964" s="245"/>
    </row>
    <row r="965" spans="1:26" ht="15" customHeight="1">
      <c r="A965" s="250"/>
      <c r="B965" s="251"/>
      <c r="C965" s="453" t="s">
        <v>80</v>
      </c>
      <c r="D965" s="330" t="s">
        <v>81</v>
      </c>
      <c r="E965" s="251"/>
      <c r="F965" s="252"/>
      <c r="G965" s="253"/>
      <c r="H965" s="254"/>
      <c r="I965" s="253"/>
      <c r="J965" s="253"/>
      <c r="K965" s="251"/>
      <c r="L965" s="253"/>
      <c r="M965" s="289"/>
      <c r="N965" s="245"/>
      <c r="O965" s="258"/>
      <c r="P965" s="257"/>
      <c r="Q965" s="289"/>
      <c r="R965" s="245"/>
      <c r="S965" s="289"/>
      <c r="T965" s="245"/>
      <c r="U965" s="289"/>
      <c r="V965" s="245"/>
      <c r="W965" s="289"/>
      <c r="X965" s="245"/>
      <c r="Y965" s="289"/>
      <c r="Z965" s="245"/>
    </row>
    <row r="966" spans="1:26" s="436" customFormat="1" ht="15">
      <c r="A966" s="443"/>
      <c r="B966" s="444"/>
      <c r="C966" s="445"/>
      <c r="D966" s="543" t="s">
        <v>82</v>
      </c>
      <c r="E966" s="444"/>
      <c r="F966" s="446"/>
      <c r="G966" s="447"/>
      <c r="H966" s="435"/>
      <c r="I966" s="544"/>
      <c r="J966" s="544"/>
      <c r="K966" s="444"/>
      <c r="L966" s="447"/>
      <c r="M966" s="545"/>
      <c r="N966" s="545"/>
      <c r="O966" s="544"/>
      <c r="P966" s="544"/>
      <c r="Q966" s="545"/>
      <c r="R966" s="545"/>
      <c r="S966" s="545"/>
      <c r="T966" s="545"/>
      <c r="U966" s="545"/>
      <c r="V966" s="545"/>
      <c r="W966" s="545"/>
      <c r="X966" s="545"/>
      <c r="Y966" s="545"/>
      <c r="Z966" s="547"/>
    </row>
    <row r="967" spans="1:26" s="436" customFormat="1" ht="15">
      <c r="A967" s="443"/>
      <c r="B967" s="444"/>
      <c r="C967" s="445" t="s">
        <v>83</v>
      </c>
      <c r="D967" s="543" t="s">
        <v>84</v>
      </c>
      <c r="E967" s="444" t="s">
        <v>2475</v>
      </c>
      <c r="F967" s="446">
        <f t="shared" ref="F967:F976" si="88">M967+O967+Q967+S967+U967+W967+Y967</f>
        <v>0</v>
      </c>
      <c r="G967" s="447">
        <f t="shared" ref="G967:G976" si="89">L967</f>
        <v>16</v>
      </c>
      <c r="H967" s="442">
        <f t="shared" ref="H967:H976" si="90">F967*G967</f>
        <v>0</v>
      </c>
      <c r="I967" s="447">
        <f t="shared" ref="I967:I976" si="91">N967+P967+R967+T967+V967+X967+Z967</f>
        <v>0</v>
      </c>
      <c r="J967" s="544"/>
      <c r="K967" s="444" t="s">
        <v>2475</v>
      </c>
      <c r="L967" s="449">
        <v>16</v>
      </c>
      <c r="M967" s="289"/>
      <c r="N967" s="245"/>
      <c r="O967" s="450">
        <v>0</v>
      </c>
      <c r="P967" s="451">
        <f t="shared" ref="P967:P976" si="92">INT($L967*O967*100+0.5)/100</f>
        <v>0</v>
      </c>
      <c r="Q967" s="289"/>
      <c r="R967" s="245"/>
      <c r="S967" s="289"/>
      <c r="T967" s="245"/>
      <c r="U967" s="289"/>
      <c r="V967" s="245"/>
      <c r="W967" s="289"/>
      <c r="X967" s="245"/>
      <c r="Y967" s="289"/>
      <c r="Z967" s="245"/>
    </row>
    <row r="968" spans="1:26" s="436" customFormat="1" ht="15">
      <c r="A968" s="443"/>
      <c r="B968" s="444"/>
      <c r="C968" s="445" t="s">
        <v>85</v>
      </c>
      <c r="D968" s="543" t="s">
        <v>86</v>
      </c>
      <c r="E968" s="444" t="s">
        <v>2475</v>
      </c>
      <c r="F968" s="446">
        <f t="shared" si="88"/>
        <v>0</v>
      </c>
      <c r="G968" s="447">
        <f t="shared" si="89"/>
        <v>16</v>
      </c>
      <c r="H968" s="442">
        <f t="shared" si="90"/>
        <v>0</v>
      </c>
      <c r="I968" s="447">
        <f t="shared" si="91"/>
        <v>0</v>
      </c>
      <c r="J968" s="544"/>
      <c r="K968" s="444" t="s">
        <v>2475</v>
      </c>
      <c r="L968" s="449">
        <v>16</v>
      </c>
      <c r="M968" s="289"/>
      <c r="N968" s="245"/>
      <c r="O968" s="450">
        <v>0</v>
      </c>
      <c r="P968" s="451">
        <f t="shared" si="92"/>
        <v>0</v>
      </c>
      <c r="Q968" s="289"/>
      <c r="R968" s="245"/>
      <c r="S968" s="289"/>
      <c r="T968" s="245"/>
      <c r="U968" s="289"/>
      <c r="V968" s="245"/>
      <c r="W968" s="289"/>
      <c r="X968" s="245"/>
      <c r="Y968" s="289"/>
      <c r="Z968" s="245"/>
    </row>
    <row r="969" spans="1:26" s="436" customFormat="1" ht="15">
      <c r="A969" s="443"/>
      <c r="B969" s="444"/>
      <c r="C969" s="445" t="s">
        <v>87</v>
      </c>
      <c r="D969" s="543" t="s">
        <v>88</v>
      </c>
      <c r="E969" s="444" t="s">
        <v>2475</v>
      </c>
      <c r="F969" s="446">
        <f t="shared" si="88"/>
        <v>0</v>
      </c>
      <c r="G969" s="447">
        <f t="shared" si="89"/>
        <v>16</v>
      </c>
      <c r="H969" s="442">
        <f t="shared" si="90"/>
        <v>0</v>
      </c>
      <c r="I969" s="447">
        <f t="shared" si="91"/>
        <v>0</v>
      </c>
      <c r="J969" s="544"/>
      <c r="K969" s="444" t="s">
        <v>2475</v>
      </c>
      <c r="L969" s="449">
        <v>16</v>
      </c>
      <c r="M969" s="289"/>
      <c r="N969" s="245"/>
      <c r="O969" s="450">
        <v>0</v>
      </c>
      <c r="P969" s="451">
        <f t="shared" si="92"/>
        <v>0</v>
      </c>
      <c r="Q969" s="289"/>
      <c r="R969" s="245"/>
      <c r="S969" s="289"/>
      <c r="T969" s="245"/>
      <c r="U969" s="289"/>
      <c r="V969" s="245"/>
      <c r="W969" s="289"/>
      <c r="X969" s="245"/>
      <c r="Y969" s="289"/>
      <c r="Z969" s="245"/>
    </row>
    <row r="970" spans="1:26" s="436" customFormat="1" ht="15">
      <c r="A970" s="443"/>
      <c r="B970" s="444"/>
      <c r="C970" s="445" t="s">
        <v>89</v>
      </c>
      <c r="D970" s="543" t="s">
        <v>90</v>
      </c>
      <c r="E970" s="444" t="s">
        <v>2475</v>
      </c>
      <c r="F970" s="446">
        <f t="shared" si="88"/>
        <v>0</v>
      </c>
      <c r="G970" s="447">
        <f t="shared" si="89"/>
        <v>16</v>
      </c>
      <c r="H970" s="442">
        <f t="shared" si="90"/>
        <v>0</v>
      </c>
      <c r="I970" s="447">
        <f t="shared" si="91"/>
        <v>0</v>
      </c>
      <c r="J970" s="544"/>
      <c r="K970" s="444" t="s">
        <v>2475</v>
      </c>
      <c r="L970" s="449">
        <v>16</v>
      </c>
      <c r="M970" s="289"/>
      <c r="N970" s="245"/>
      <c r="O970" s="450">
        <v>0</v>
      </c>
      <c r="P970" s="451">
        <f t="shared" si="92"/>
        <v>0</v>
      </c>
      <c r="Q970" s="289"/>
      <c r="R970" s="245"/>
      <c r="S970" s="289"/>
      <c r="T970" s="245"/>
      <c r="U970" s="289"/>
      <c r="V970" s="245"/>
      <c r="W970" s="289"/>
      <c r="X970" s="245"/>
      <c r="Y970" s="289"/>
      <c r="Z970" s="245"/>
    </row>
    <row r="971" spans="1:26" s="436" customFormat="1" ht="15">
      <c r="A971" s="443"/>
      <c r="B971" s="444"/>
      <c r="C971" s="445" t="s">
        <v>91</v>
      </c>
      <c r="D971" s="543" t="s">
        <v>92</v>
      </c>
      <c r="E971" s="444" t="s">
        <v>2475</v>
      </c>
      <c r="F971" s="446">
        <f t="shared" si="88"/>
        <v>0</v>
      </c>
      <c r="G971" s="447">
        <f t="shared" si="89"/>
        <v>16</v>
      </c>
      <c r="H971" s="442">
        <f t="shared" si="90"/>
        <v>0</v>
      </c>
      <c r="I971" s="447">
        <f t="shared" si="91"/>
        <v>0</v>
      </c>
      <c r="J971" s="544"/>
      <c r="K971" s="444" t="s">
        <v>2475</v>
      </c>
      <c r="L971" s="449">
        <v>16</v>
      </c>
      <c r="M971" s="289"/>
      <c r="N971" s="245"/>
      <c r="O971" s="450">
        <v>0</v>
      </c>
      <c r="P971" s="451">
        <f t="shared" si="92"/>
        <v>0</v>
      </c>
      <c r="Q971" s="289"/>
      <c r="R971" s="245"/>
      <c r="S971" s="289"/>
      <c r="T971" s="245"/>
      <c r="U971" s="289"/>
      <c r="V971" s="245"/>
      <c r="W971" s="289"/>
      <c r="X971" s="245"/>
      <c r="Y971" s="289"/>
      <c r="Z971" s="245"/>
    </row>
    <row r="972" spans="1:26" s="436" customFormat="1" ht="15">
      <c r="A972" s="443"/>
      <c r="B972" s="444"/>
      <c r="C972" s="445" t="s">
        <v>93</v>
      </c>
      <c r="D972" s="543" t="s">
        <v>94</v>
      </c>
      <c r="E972" s="444" t="s">
        <v>2475</v>
      </c>
      <c r="F972" s="446">
        <f t="shared" si="88"/>
        <v>0</v>
      </c>
      <c r="G972" s="447">
        <f t="shared" si="89"/>
        <v>20</v>
      </c>
      <c r="H972" s="442">
        <f t="shared" si="90"/>
        <v>0</v>
      </c>
      <c r="I972" s="447">
        <f t="shared" si="91"/>
        <v>0</v>
      </c>
      <c r="J972" s="544"/>
      <c r="K972" s="444" t="s">
        <v>2475</v>
      </c>
      <c r="L972" s="449">
        <v>20</v>
      </c>
      <c r="M972" s="289"/>
      <c r="N972" s="245"/>
      <c r="O972" s="450">
        <v>0</v>
      </c>
      <c r="P972" s="451">
        <f t="shared" si="92"/>
        <v>0</v>
      </c>
      <c r="Q972" s="289"/>
      <c r="R972" s="245"/>
      <c r="S972" s="289"/>
      <c r="T972" s="245"/>
      <c r="U972" s="289"/>
      <c r="V972" s="245"/>
      <c r="W972" s="289"/>
      <c r="X972" s="245"/>
      <c r="Y972" s="289"/>
      <c r="Z972" s="245"/>
    </row>
    <row r="973" spans="1:26" s="436" customFormat="1" ht="15">
      <c r="A973" s="443"/>
      <c r="B973" s="444"/>
      <c r="C973" s="445" t="s">
        <v>95</v>
      </c>
      <c r="D973" s="543" t="s">
        <v>96</v>
      </c>
      <c r="E973" s="444" t="s">
        <v>2475</v>
      </c>
      <c r="F973" s="446">
        <f t="shared" si="88"/>
        <v>0</v>
      </c>
      <c r="G973" s="447">
        <f t="shared" si="89"/>
        <v>30</v>
      </c>
      <c r="H973" s="442">
        <f t="shared" si="90"/>
        <v>0</v>
      </c>
      <c r="I973" s="447">
        <f t="shared" si="91"/>
        <v>0</v>
      </c>
      <c r="J973" s="544"/>
      <c r="K973" s="444" t="s">
        <v>2475</v>
      </c>
      <c r="L973" s="449">
        <v>30</v>
      </c>
      <c r="M973" s="289"/>
      <c r="N973" s="245"/>
      <c r="O973" s="450">
        <v>0</v>
      </c>
      <c r="P973" s="451">
        <f t="shared" si="92"/>
        <v>0</v>
      </c>
      <c r="Q973" s="289"/>
      <c r="R973" s="245"/>
      <c r="S973" s="289"/>
      <c r="T973" s="245"/>
      <c r="U973" s="289"/>
      <c r="V973" s="245"/>
      <c r="W973" s="289"/>
      <c r="X973" s="245"/>
      <c r="Y973" s="289"/>
      <c r="Z973" s="245"/>
    </row>
    <row r="974" spans="1:26" s="436" customFormat="1" ht="15">
      <c r="A974" s="443"/>
      <c r="B974" s="444"/>
      <c r="C974" s="445" t="s">
        <v>97</v>
      </c>
      <c r="D974" s="543" t="s">
        <v>98</v>
      </c>
      <c r="E974" s="444" t="s">
        <v>2475</v>
      </c>
      <c r="F974" s="446">
        <f t="shared" si="88"/>
        <v>0</v>
      </c>
      <c r="G974" s="447">
        <f t="shared" si="89"/>
        <v>40</v>
      </c>
      <c r="H974" s="442">
        <f t="shared" si="90"/>
        <v>0</v>
      </c>
      <c r="I974" s="447">
        <f t="shared" si="91"/>
        <v>0</v>
      </c>
      <c r="J974" s="544"/>
      <c r="K974" s="444" t="s">
        <v>2475</v>
      </c>
      <c r="L974" s="449">
        <v>40</v>
      </c>
      <c r="M974" s="289"/>
      <c r="N974" s="245"/>
      <c r="O974" s="450">
        <v>0</v>
      </c>
      <c r="P974" s="451">
        <f t="shared" si="92"/>
        <v>0</v>
      </c>
      <c r="Q974" s="289"/>
      <c r="R974" s="245"/>
      <c r="S974" s="289"/>
      <c r="T974" s="245"/>
      <c r="U974" s="289"/>
      <c r="V974" s="245"/>
      <c r="W974" s="289"/>
      <c r="X974" s="245"/>
      <c r="Y974" s="289"/>
      <c r="Z974" s="245"/>
    </row>
    <row r="975" spans="1:26" s="436" customFormat="1" ht="15">
      <c r="A975" s="443"/>
      <c r="B975" s="444"/>
      <c r="C975" s="445" t="s">
        <v>99</v>
      </c>
      <c r="D975" s="543" t="s">
        <v>100</v>
      </c>
      <c r="E975" s="444" t="s">
        <v>2475</v>
      </c>
      <c r="F975" s="446">
        <f t="shared" si="88"/>
        <v>0</v>
      </c>
      <c r="G975" s="447">
        <f t="shared" si="89"/>
        <v>42</v>
      </c>
      <c r="H975" s="442">
        <f t="shared" si="90"/>
        <v>0</v>
      </c>
      <c r="I975" s="447">
        <f t="shared" si="91"/>
        <v>0</v>
      </c>
      <c r="J975" s="544"/>
      <c r="K975" s="444" t="s">
        <v>2475</v>
      </c>
      <c r="L975" s="449">
        <v>42</v>
      </c>
      <c r="M975" s="289"/>
      <c r="N975" s="245"/>
      <c r="O975" s="450">
        <v>0</v>
      </c>
      <c r="P975" s="451">
        <f t="shared" si="92"/>
        <v>0</v>
      </c>
      <c r="Q975" s="289"/>
      <c r="R975" s="245"/>
      <c r="S975" s="289"/>
      <c r="T975" s="245"/>
      <c r="U975" s="289"/>
      <c r="V975" s="245"/>
      <c r="W975" s="289"/>
      <c r="X975" s="245"/>
      <c r="Y975" s="289"/>
      <c r="Z975" s="245"/>
    </row>
    <row r="976" spans="1:26" s="436" customFormat="1" ht="15">
      <c r="A976" s="443"/>
      <c r="B976" s="444"/>
      <c r="C976" s="445" t="s">
        <v>101</v>
      </c>
      <c r="D976" s="543" t="s">
        <v>102</v>
      </c>
      <c r="E976" s="444" t="s">
        <v>2475</v>
      </c>
      <c r="F976" s="446">
        <f t="shared" si="88"/>
        <v>0</v>
      </c>
      <c r="G976" s="447">
        <f t="shared" si="89"/>
        <v>60</v>
      </c>
      <c r="H976" s="442">
        <f t="shared" si="90"/>
        <v>0</v>
      </c>
      <c r="I976" s="447">
        <f t="shared" si="91"/>
        <v>0</v>
      </c>
      <c r="J976" s="544"/>
      <c r="K976" s="444" t="s">
        <v>2475</v>
      </c>
      <c r="L976" s="449">
        <v>60</v>
      </c>
      <c r="M976" s="289"/>
      <c r="N976" s="245"/>
      <c r="O976" s="450">
        <v>0</v>
      </c>
      <c r="P976" s="451">
        <f t="shared" si="92"/>
        <v>0</v>
      </c>
      <c r="Q976" s="289"/>
      <c r="R976" s="245"/>
      <c r="S976" s="289"/>
      <c r="T976" s="245"/>
      <c r="U976" s="289"/>
      <c r="V976" s="245"/>
      <c r="W976" s="289"/>
      <c r="X976" s="245"/>
      <c r="Y976" s="289"/>
      <c r="Z976" s="245"/>
    </row>
    <row r="977" spans="1:26" ht="15" customHeight="1">
      <c r="A977" s="250"/>
      <c r="B977" s="251"/>
      <c r="C977" s="453"/>
      <c r="D977" s="330"/>
      <c r="E977" s="251"/>
      <c r="F977" s="252"/>
      <c r="G977" s="253"/>
      <c r="H977" s="254"/>
      <c r="I977" s="253"/>
      <c r="J977" s="253"/>
      <c r="K977" s="251"/>
      <c r="L977" s="253"/>
      <c r="M977" s="289"/>
      <c r="N977" s="245"/>
      <c r="O977" s="258"/>
      <c r="P977" s="257"/>
      <c r="Q977" s="289"/>
      <c r="R977" s="245"/>
      <c r="S977" s="289"/>
      <c r="T977" s="245"/>
      <c r="U977" s="289"/>
      <c r="V977" s="245"/>
      <c r="W977" s="289"/>
      <c r="X977" s="245"/>
      <c r="Y977" s="289"/>
      <c r="Z977" s="245"/>
    </row>
    <row r="978" spans="1:26" ht="15" customHeight="1">
      <c r="A978" s="250"/>
      <c r="B978" s="251"/>
      <c r="C978" s="453" t="s">
        <v>103</v>
      </c>
      <c r="D978" s="330" t="s">
        <v>104</v>
      </c>
      <c r="E978" s="251"/>
      <c r="F978" s="252"/>
      <c r="G978" s="253"/>
      <c r="H978" s="254"/>
      <c r="I978" s="253"/>
      <c r="J978" s="253"/>
      <c r="K978" s="251"/>
      <c r="L978" s="253"/>
      <c r="M978" s="289"/>
      <c r="N978" s="245"/>
      <c r="O978" s="258"/>
      <c r="P978" s="257"/>
      <c r="Q978" s="289"/>
      <c r="R978" s="245"/>
      <c r="S978" s="289"/>
      <c r="T978" s="245"/>
      <c r="U978" s="289"/>
      <c r="V978" s="245"/>
      <c r="W978" s="289"/>
      <c r="X978" s="245"/>
      <c r="Y978" s="289"/>
      <c r="Z978" s="245"/>
    </row>
    <row r="979" spans="1:26" s="454" customFormat="1" ht="15">
      <c r="A979" s="443"/>
      <c r="B979" s="444"/>
      <c r="C979" s="445"/>
      <c r="D979" s="543" t="s">
        <v>105</v>
      </c>
      <c r="E979" s="444"/>
      <c r="F979" s="446"/>
      <c r="G979" s="447"/>
      <c r="H979" s="435"/>
      <c r="I979" s="545"/>
      <c r="J979" s="545"/>
      <c r="K979" s="444"/>
      <c r="L979" s="447"/>
      <c r="M979" s="545"/>
      <c r="N979" s="545"/>
      <c r="O979" s="545"/>
      <c r="P979" s="545"/>
      <c r="Q979" s="545"/>
      <c r="R979" s="545"/>
      <c r="S979" s="545"/>
      <c r="T979" s="545"/>
      <c r="U979" s="545"/>
      <c r="V979" s="545"/>
      <c r="W979" s="545"/>
      <c r="X979" s="545"/>
      <c r="Y979" s="545"/>
      <c r="Z979" s="547"/>
    </row>
    <row r="980" spans="1:26" s="436" customFormat="1" ht="15">
      <c r="A980" s="443"/>
      <c r="B980" s="444"/>
      <c r="C980" s="445" t="s">
        <v>106</v>
      </c>
      <c r="D980" s="543" t="s">
        <v>107</v>
      </c>
      <c r="E980" s="444" t="s">
        <v>2475</v>
      </c>
      <c r="F980" s="446">
        <f t="shared" ref="F980:F988" si="93">M980+O980+Q980+S980+U980+W980+Y980</f>
        <v>0</v>
      </c>
      <c r="G980" s="447">
        <f t="shared" ref="G980:G988" si="94">L980</f>
        <v>20</v>
      </c>
      <c r="H980" s="442">
        <f t="shared" ref="H980:H988" si="95">F980*G980</f>
        <v>0</v>
      </c>
      <c r="I980" s="447">
        <f t="shared" ref="I980:I988" si="96">N980+P980+R980+T980+V980+X980+Z980</f>
        <v>0</v>
      </c>
      <c r="J980" s="544"/>
      <c r="K980" s="444" t="s">
        <v>2475</v>
      </c>
      <c r="L980" s="449">
        <v>20</v>
      </c>
      <c r="M980" s="289"/>
      <c r="N980" s="245"/>
      <c r="O980" s="450">
        <v>0</v>
      </c>
      <c r="P980" s="451">
        <f t="shared" ref="P980:P988" si="97">INT($L980*O980*100+0.5)/100</f>
        <v>0</v>
      </c>
      <c r="Q980" s="289"/>
      <c r="R980" s="245"/>
      <c r="S980" s="289"/>
      <c r="T980" s="245"/>
      <c r="U980" s="289"/>
      <c r="V980" s="245"/>
      <c r="W980" s="289"/>
      <c r="X980" s="245"/>
      <c r="Y980" s="289"/>
      <c r="Z980" s="245"/>
    </row>
    <row r="981" spans="1:26" s="436" customFormat="1" ht="15">
      <c r="A981" s="443"/>
      <c r="B981" s="444"/>
      <c r="C981" s="445" t="s">
        <v>108</v>
      </c>
      <c r="D981" s="543" t="s">
        <v>109</v>
      </c>
      <c r="E981" s="444" t="s">
        <v>2475</v>
      </c>
      <c r="F981" s="446">
        <f t="shared" si="93"/>
        <v>0</v>
      </c>
      <c r="G981" s="447">
        <f t="shared" si="94"/>
        <v>20</v>
      </c>
      <c r="H981" s="442">
        <f t="shared" si="95"/>
        <v>0</v>
      </c>
      <c r="I981" s="447">
        <f t="shared" si="96"/>
        <v>0</v>
      </c>
      <c r="J981" s="544"/>
      <c r="K981" s="444" t="s">
        <v>2475</v>
      </c>
      <c r="L981" s="449">
        <v>20</v>
      </c>
      <c r="M981" s="289"/>
      <c r="N981" s="245"/>
      <c r="O981" s="450">
        <v>0</v>
      </c>
      <c r="P981" s="451">
        <f t="shared" si="97"/>
        <v>0</v>
      </c>
      <c r="Q981" s="289"/>
      <c r="R981" s="245"/>
      <c r="S981" s="289"/>
      <c r="T981" s="245"/>
      <c r="U981" s="289"/>
      <c r="V981" s="245"/>
      <c r="W981" s="289"/>
      <c r="X981" s="245"/>
      <c r="Y981" s="289"/>
      <c r="Z981" s="245"/>
    </row>
    <row r="982" spans="1:26" s="436" customFormat="1" ht="15">
      <c r="A982" s="443"/>
      <c r="B982" s="444"/>
      <c r="C982" s="445" t="s">
        <v>110</v>
      </c>
      <c r="D982" s="543" t="s">
        <v>111</v>
      </c>
      <c r="E982" s="444" t="s">
        <v>2475</v>
      </c>
      <c r="F982" s="446">
        <f t="shared" si="93"/>
        <v>0</v>
      </c>
      <c r="G982" s="447">
        <f t="shared" si="94"/>
        <v>22</v>
      </c>
      <c r="H982" s="442">
        <f t="shared" si="95"/>
        <v>0</v>
      </c>
      <c r="I982" s="447">
        <f t="shared" si="96"/>
        <v>0</v>
      </c>
      <c r="J982" s="544"/>
      <c r="K982" s="444" t="s">
        <v>2475</v>
      </c>
      <c r="L982" s="449">
        <v>22</v>
      </c>
      <c r="M982" s="289"/>
      <c r="N982" s="245"/>
      <c r="O982" s="450">
        <v>0</v>
      </c>
      <c r="P982" s="451">
        <f t="shared" si="97"/>
        <v>0</v>
      </c>
      <c r="Q982" s="289"/>
      <c r="R982" s="245"/>
      <c r="S982" s="289"/>
      <c r="T982" s="245"/>
      <c r="U982" s="289"/>
      <c r="V982" s="245"/>
      <c r="W982" s="289"/>
      <c r="X982" s="245"/>
      <c r="Y982" s="289"/>
      <c r="Z982" s="245"/>
    </row>
    <row r="983" spans="1:26" s="436" customFormat="1" ht="15">
      <c r="A983" s="443"/>
      <c r="B983" s="444"/>
      <c r="C983" s="445" t="s">
        <v>112</v>
      </c>
      <c r="D983" s="543" t="s">
        <v>113</v>
      </c>
      <c r="E983" s="444" t="s">
        <v>2475</v>
      </c>
      <c r="F983" s="446">
        <f t="shared" si="93"/>
        <v>0</v>
      </c>
      <c r="G983" s="447">
        <f t="shared" si="94"/>
        <v>22</v>
      </c>
      <c r="H983" s="442">
        <f t="shared" si="95"/>
        <v>0</v>
      </c>
      <c r="I983" s="447">
        <f t="shared" si="96"/>
        <v>0</v>
      </c>
      <c r="J983" s="544"/>
      <c r="K983" s="444" t="s">
        <v>2475</v>
      </c>
      <c r="L983" s="449">
        <v>22</v>
      </c>
      <c r="M983" s="289"/>
      <c r="N983" s="245"/>
      <c r="O983" s="450">
        <v>0</v>
      </c>
      <c r="P983" s="451">
        <f t="shared" si="97"/>
        <v>0</v>
      </c>
      <c r="Q983" s="289"/>
      <c r="R983" s="245"/>
      <c r="S983" s="289"/>
      <c r="T983" s="245"/>
      <c r="U983" s="289"/>
      <c r="V983" s="245"/>
      <c r="W983" s="289"/>
      <c r="X983" s="245"/>
      <c r="Y983" s="289"/>
      <c r="Z983" s="245"/>
    </row>
    <row r="984" spans="1:26" s="436" customFormat="1" ht="15">
      <c r="A984" s="443"/>
      <c r="B984" s="444"/>
      <c r="C984" s="445" t="s">
        <v>114</v>
      </c>
      <c r="D984" s="543" t="s">
        <v>115</v>
      </c>
      <c r="E984" s="444" t="s">
        <v>2475</v>
      </c>
      <c r="F984" s="446">
        <f t="shared" si="93"/>
        <v>0</v>
      </c>
      <c r="G984" s="447">
        <f t="shared" si="94"/>
        <v>25</v>
      </c>
      <c r="H984" s="442">
        <f t="shared" si="95"/>
        <v>0</v>
      </c>
      <c r="I984" s="447">
        <f t="shared" si="96"/>
        <v>0</v>
      </c>
      <c r="J984" s="544"/>
      <c r="K984" s="444" t="s">
        <v>2475</v>
      </c>
      <c r="L984" s="449">
        <v>25</v>
      </c>
      <c r="M984" s="289"/>
      <c r="N984" s="245"/>
      <c r="O984" s="450">
        <v>0</v>
      </c>
      <c r="P984" s="451">
        <f t="shared" si="97"/>
        <v>0</v>
      </c>
      <c r="Q984" s="289"/>
      <c r="R984" s="245"/>
      <c r="S984" s="289"/>
      <c r="T984" s="245"/>
      <c r="U984" s="289"/>
      <c r="V984" s="245"/>
      <c r="W984" s="289"/>
      <c r="X984" s="245"/>
      <c r="Y984" s="289"/>
      <c r="Z984" s="245"/>
    </row>
    <row r="985" spans="1:26" s="436" customFormat="1" ht="15">
      <c r="A985" s="443"/>
      <c r="B985" s="444"/>
      <c r="C985" s="445" t="s">
        <v>116</v>
      </c>
      <c r="D985" s="543" t="s">
        <v>117</v>
      </c>
      <c r="E985" s="444" t="s">
        <v>2475</v>
      </c>
      <c r="F985" s="446">
        <f t="shared" si="93"/>
        <v>0</v>
      </c>
      <c r="G985" s="447">
        <f t="shared" si="94"/>
        <v>25</v>
      </c>
      <c r="H985" s="442">
        <f t="shared" si="95"/>
        <v>0</v>
      </c>
      <c r="I985" s="447">
        <f t="shared" si="96"/>
        <v>0</v>
      </c>
      <c r="J985" s="544"/>
      <c r="K985" s="444" t="s">
        <v>2475</v>
      </c>
      <c r="L985" s="449">
        <v>25</v>
      </c>
      <c r="M985" s="289"/>
      <c r="N985" s="245"/>
      <c r="O985" s="450">
        <v>0</v>
      </c>
      <c r="P985" s="451">
        <f t="shared" si="97"/>
        <v>0</v>
      </c>
      <c r="Q985" s="289"/>
      <c r="R985" s="245"/>
      <c r="S985" s="289"/>
      <c r="T985" s="245"/>
      <c r="U985" s="289"/>
      <c r="V985" s="245"/>
      <c r="W985" s="289"/>
      <c r="X985" s="245"/>
      <c r="Y985" s="289"/>
      <c r="Z985" s="245"/>
    </row>
    <row r="986" spans="1:26" s="436" customFormat="1" ht="15">
      <c r="A986" s="443"/>
      <c r="B986" s="444"/>
      <c r="C986" s="445" t="s">
        <v>118</v>
      </c>
      <c r="D986" s="543" t="s">
        <v>119</v>
      </c>
      <c r="E986" s="444" t="s">
        <v>2475</v>
      </c>
      <c r="F986" s="446">
        <f t="shared" si="93"/>
        <v>0</v>
      </c>
      <c r="G986" s="447">
        <f t="shared" si="94"/>
        <v>25</v>
      </c>
      <c r="H986" s="442">
        <f t="shared" si="95"/>
        <v>0</v>
      </c>
      <c r="I986" s="447">
        <f t="shared" si="96"/>
        <v>0</v>
      </c>
      <c r="J986" s="544"/>
      <c r="K986" s="444" t="s">
        <v>2475</v>
      </c>
      <c r="L986" s="449">
        <v>25</v>
      </c>
      <c r="M986" s="289"/>
      <c r="N986" s="245"/>
      <c r="O986" s="450">
        <v>0</v>
      </c>
      <c r="P986" s="451">
        <f t="shared" si="97"/>
        <v>0</v>
      </c>
      <c r="Q986" s="289"/>
      <c r="R986" s="245"/>
      <c r="S986" s="289"/>
      <c r="T986" s="245"/>
      <c r="U986" s="289"/>
      <c r="V986" s="245"/>
      <c r="W986" s="289"/>
      <c r="X986" s="245"/>
      <c r="Y986" s="289"/>
      <c r="Z986" s="245"/>
    </row>
    <row r="987" spans="1:26" s="436" customFormat="1" ht="15">
      <c r="A987" s="443"/>
      <c r="B987" s="444"/>
      <c r="C987" s="445" t="s">
        <v>120</v>
      </c>
      <c r="D987" s="543" t="s">
        <v>121</v>
      </c>
      <c r="E987" s="444" t="s">
        <v>2475</v>
      </c>
      <c r="F987" s="446">
        <f t="shared" si="93"/>
        <v>0</v>
      </c>
      <c r="G987" s="447">
        <f t="shared" si="94"/>
        <v>30</v>
      </c>
      <c r="H987" s="442">
        <f t="shared" si="95"/>
        <v>0</v>
      </c>
      <c r="I987" s="447">
        <f t="shared" si="96"/>
        <v>0</v>
      </c>
      <c r="J987" s="544"/>
      <c r="K987" s="444" t="s">
        <v>2475</v>
      </c>
      <c r="L987" s="449">
        <v>30</v>
      </c>
      <c r="M987" s="289"/>
      <c r="N987" s="245"/>
      <c r="O987" s="450">
        <v>0</v>
      </c>
      <c r="P987" s="451">
        <f t="shared" si="97"/>
        <v>0</v>
      </c>
      <c r="Q987" s="289"/>
      <c r="R987" s="245"/>
      <c r="S987" s="289"/>
      <c r="T987" s="245"/>
      <c r="U987" s="289"/>
      <c r="V987" s="245"/>
      <c r="W987" s="289"/>
      <c r="X987" s="245"/>
      <c r="Y987" s="289"/>
      <c r="Z987" s="245"/>
    </row>
    <row r="988" spans="1:26" s="436" customFormat="1" ht="15">
      <c r="A988" s="443"/>
      <c r="B988" s="444"/>
      <c r="C988" s="445" t="s">
        <v>122</v>
      </c>
      <c r="D988" s="543" t="s">
        <v>123</v>
      </c>
      <c r="E988" s="444" t="s">
        <v>2475</v>
      </c>
      <c r="F988" s="446">
        <f t="shared" si="93"/>
        <v>0</v>
      </c>
      <c r="G988" s="447">
        <f t="shared" si="94"/>
        <v>32</v>
      </c>
      <c r="H988" s="442">
        <f t="shared" si="95"/>
        <v>0</v>
      </c>
      <c r="I988" s="447">
        <f t="shared" si="96"/>
        <v>0</v>
      </c>
      <c r="J988" s="544"/>
      <c r="K988" s="444" t="s">
        <v>2475</v>
      </c>
      <c r="L988" s="449">
        <v>32</v>
      </c>
      <c r="M988" s="289"/>
      <c r="N988" s="245"/>
      <c r="O988" s="450">
        <v>0</v>
      </c>
      <c r="P988" s="451">
        <f t="shared" si="97"/>
        <v>0</v>
      </c>
      <c r="Q988" s="289"/>
      <c r="R988" s="245"/>
      <c r="S988" s="289"/>
      <c r="T988" s="245"/>
      <c r="U988" s="289"/>
      <c r="V988" s="245"/>
      <c r="W988" s="289"/>
      <c r="X988" s="245"/>
      <c r="Y988" s="289"/>
      <c r="Z988" s="245"/>
    </row>
    <row r="989" spans="1:26" ht="15" customHeight="1">
      <c r="A989" s="250"/>
      <c r="B989" s="251"/>
      <c r="C989" s="453"/>
      <c r="D989" s="330"/>
      <c r="E989" s="251"/>
      <c r="F989" s="252"/>
      <c r="G989" s="253"/>
      <c r="H989" s="254"/>
      <c r="I989" s="253"/>
      <c r="J989" s="253"/>
      <c r="K989" s="251"/>
      <c r="L989" s="253"/>
      <c r="M989" s="289"/>
      <c r="N989" s="245"/>
      <c r="O989" s="258"/>
      <c r="P989" s="257"/>
      <c r="Q989" s="289"/>
      <c r="R989" s="245"/>
      <c r="S989" s="289"/>
      <c r="T989" s="245"/>
      <c r="U989" s="289"/>
      <c r="V989" s="245"/>
      <c r="W989" s="289"/>
      <c r="X989" s="245"/>
      <c r="Y989" s="289"/>
      <c r="Z989" s="245"/>
    </row>
    <row r="990" spans="1:26" ht="15" customHeight="1">
      <c r="A990" s="250"/>
      <c r="B990" s="251"/>
      <c r="C990" s="453" t="s">
        <v>124</v>
      </c>
      <c r="D990" s="330" t="s">
        <v>125</v>
      </c>
      <c r="E990" s="251"/>
      <c r="F990" s="252"/>
      <c r="G990" s="253"/>
      <c r="H990" s="254"/>
      <c r="I990" s="253"/>
      <c r="J990" s="253"/>
      <c r="K990" s="251"/>
      <c r="L990" s="253"/>
      <c r="M990" s="289"/>
      <c r="N990" s="245"/>
      <c r="O990" s="258"/>
      <c r="P990" s="257"/>
      <c r="Q990" s="289"/>
      <c r="R990" s="245"/>
      <c r="S990" s="289"/>
      <c r="T990" s="245"/>
      <c r="U990" s="289"/>
      <c r="V990" s="245"/>
      <c r="W990" s="289"/>
      <c r="X990" s="245"/>
      <c r="Y990" s="289"/>
      <c r="Z990" s="245"/>
    </row>
    <row r="991" spans="1:26" ht="15" customHeight="1">
      <c r="A991" s="250"/>
      <c r="B991" s="251"/>
      <c r="C991" s="453"/>
      <c r="D991" s="330" t="s">
        <v>126</v>
      </c>
      <c r="E991" s="251"/>
      <c r="F991" s="252"/>
      <c r="G991" s="253"/>
      <c r="H991" s="254"/>
      <c r="I991" s="253"/>
      <c r="J991" s="253"/>
      <c r="K991" s="251"/>
      <c r="L991" s="253"/>
      <c r="M991" s="289"/>
      <c r="N991" s="245"/>
      <c r="O991" s="258"/>
      <c r="P991" s="257"/>
      <c r="Q991" s="289"/>
      <c r="R991" s="245"/>
      <c r="S991" s="289"/>
      <c r="T991" s="245"/>
      <c r="U991" s="289"/>
      <c r="V991" s="245"/>
      <c r="W991" s="289"/>
      <c r="X991" s="245"/>
      <c r="Y991" s="289"/>
      <c r="Z991" s="245"/>
    </row>
    <row r="992" spans="1:26" s="436" customFormat="1" ht="15">
      <c r="A992" s="443"/>
      <c r="B992" s="444"/>
      <c r="C992" s="445" t="s">
        <v>127</v>
      </c>
      <c r="D992" s="543" t="s">
        <v>128</v>
      </c>
      <c r="E992" s="444" t="s">
        <v>1130</v>
      </c>
      <c r="F992" s="446">
        <f t="shared" ref="F992:F1000" si="98">M992+O992+Q992+S992+U992+W992+Y992</f>
        <v>0</v>
      </c>
      <c r="G992" s="447">
        <f t="shared" ref="G992:G1000" si="99">L992</f>
        <v>30</v>
      </c>
      <c r="H992" s="442">
        <f t="shared" ref="H992:H1000" si="100">F992*G992</f>
        <v>0</v>
      </c>
      <c r="I992" s="447">
        <f t="shared" ref="I992:I1000" si="101">N992+P992+R992+T992+V992+X992+Z992</f>
        <v>0</v>
      </c>
      <c r="J992" s="544"/>
      <c r="K992" s="444" t="s">
        <v>1130</v>
      </c>
      <c r="L992" s="449">
        <v>30</v>
      </c>
      <c r="M992" s="289"/>
      <c r="N992" s="245"/>
      <c r="O992" s="450">
        <v>0</v>
      </c>
      <c r="P992" s="451">
        <f t="shared" ref="P992:P1000" si="102">INT($L992*O992*100+0.5)/100</f>
        <v>0</v>
      </c>
      <c r="Q992" s="289"/>
      <c r="R992" s="245"/>
      <c r="S992" s="289"/>
      <c r="T992" s="245"/>
      <c r="U992" s="289"/>
      <c r="V992" s="245"/>
      <c r="W992" s="289"/>
      <c r="X992" s="245"/>
      <c r="Y992" s="289"/>
      <c r="Z992" s="245"/>
    </row>
    <row r="993" spans="1:26" s="436" customFormat="1" ht="15">
      <c r="A993" s="443"/>
      <c r="B993" s="444"/>
      <c r="C993" s="445" t="s">
        <v>129</v>
      </c>
      <c r="D993" s="543" t="s">
        <v>130</v>
      </c>
      <c r="E993" s="444" t="s">
        <v>1130</v>
      </c>
      <c r="F993" s="446">
        <f t="shared" si="98"/>
        <v>0</v>
      </c>
      <c r="G993" s="447">
        <f t="shared" si="99"/>
        <v>35</v>
      </c>
      <c r="H993" s="442">
        <f t="shared" si="100"/>
        <v>0</v>
      </c>
      <c r="I993" s="447">
        <f t="shared" si="101"/>
        <v>0</v>
      </c>
      <c r="J993" s="544"/>
      <c r="K993" s="444" t="s">
        <v>1130</v>
      </c>
      <c r="L993" s="449">
        <v>35</v>
      </c>
      <c r="M993" s="289"/>
      <c r="N993" s="245"/>
      <c r="O993" s="450">
        <v>0</v>
      </c>
      <c r="P993" s="451">
        <f t="shared" si="102"/>
        <v>0</v>
      </c>
      <c r="Q993" s="289"/>
      <c r="R993" s="245"/>
      <c r="S993" s="289"/>
      <c r="T993" s="245"/>
      <c r="U993" s="289"/>
      <c r="V993" s="245"/>
      <c r="W993" s="289"/>
      <c r="X993" s="245"/>
      <c r="Y993" s="289"/>
      <c r="Z993" s="245"/>
    </row>
    <row r="994" spans="1:26" s="436" customFormat="1" ht="15">
      <c r="A994" s="443"/>
      <c r="B994" s="444"/>
      <c r="C994" s="445" t="s">
        <v>131</v>
      </c>
      <c r="D994" s="543" t="s">
        <v>132</v>
      </c>
      <c r="E994" s="444" t="s">
        <v>1130</v>
      </c>
      <c r="F994" s="446">
        <f t="shared" si="98"/>
        <v>0</v>
      </c>
      <c r="G994" s="447">
        <f t="shared" si="99"/>
        <v>40</v>
      </c>
      <c r="H994" s="442">
        <f t="shared" si="100"/>
        <v>0</v>
      </c>
      <c r="I994" s="447">
        <f t="shared" si="101"/>
        <v>0</v>
      </c>
      <c r="J994" s="544"/>
      <c r="K994" s="444" t="s">
        <v>1130</v>
      </c>
      <c r="L994" s="449">
        <v>40</v>
      </c>
      <c r="M994" s="289"/>
      <c r="N994" s="245"/>
      <c r="O994" s="450">
        <v>0</v>
      </c>
      <c r="P994" s="451">
        <f t="shared" si="102"/>
        <v>0</v>
      </c>
      <c r="Q994" s="289"/>
      <c r="R994" s="245"/>
      <c r="S994" s="289"/>
      <c r="T994" s="245"/>
      <c r="U994" s="289"/>
      <c r="V994" s="245"/>
      <c r="W994" s="289"/>
      <c r="X994" s="245"/>
      <c r="Y994" s="289"/>
      <c r="Z994" s="245"/>
    </row>
    <row r="995" spans="1:26" s="436" customFormat="1" ht="15">
      <c r="A995" s="443"/>
      <c r="B995" s="444"/>
      <c r="C995" s="445" t="s">
        <v>133</v>
      </c>
      <c r="D995" s="543" t="s">
        <v>134</v>
      </c>
      <c r="E995" s="444" t="s">
        <v>1130</v>
      </c>
      <c r="F995" s="446">
        <f t="shared" si="98"/>
        <v>0</v>
      </c>
      <c r="G995" s="447">
        <f t="shared" si="99"/>
        <v>55</v>
      </c>
      <c r="H995" s="442">
        <f t="shared" si="100"/>
        <v>0</v>
      </c>
      <c r="I995" s="447">
        <f t="shared" si="101"/>
        <v>0</v>
      </c>
      <c r="J995" s="544"/>
      <c r="K995" s="444" t="s">
        <v>1130</v>
      </c>
      <c r="L995" s="449">
        <v>55</v>
      </c>
      <c r="M995" s="289"/>
      <c r="N995" s="245"/>
      <c r="O995" s="450">
        <v>0</v>
      </c>
      <c r="P995" s="451">
        <f t="shared" si="102"/>
        <v>0</v>
      </c>
      <c r="Q995" s="289"/>
      <c r="R995" s="245"/>
      <c r="S995" s="289"/>
      <c r="T995" s="245"/>
      <c r="U995" s="289"/>
      <c r="V995" s="245"/>
      <c r="W995" s="289"/>
      <c r="X995" s="245"/>
      <c r="Y995" s="289"/>
      <c r="Z995" s="245"/>
    </row>
    <row r="996" spans="1:26" s="436" customFormat="1" ht="15">
      <c r="A996" s="443"/>
      <c r="B996" s="444"/>
      <c r="C996" s="445" t="s">
        <v>135</v>
      </c>
      <c r="D996" s="543" t="s">
        <v>136</v>
      </c>
      <c r="E996" s="444" t="s">
        <v>1130</v>
      </c>
      <c r="F996" s="446">
        <f t="shared" si="98"/>
        <v>0</v>
      </c>
      <c r="G996" s="447">
        <f t="shared" si="99"/>
        <v>65</v>
      </c>
      <c r="H996" s="442">
        <f t="shared" si="100"/>
        <v>0</v>
      </c>
      <c r="I996" s="447">
        <f t="shared" si="101"/>
        <v>0</v>
      </c>
      <c r="J996" s="544"/>
      <c r="K996" s="444" t="s">
        <v>1130</v>
      </c>
      <c r="L996" s="449">
        <v>65</v>
      </c>
      <c r="M996" s="289"/>
      <c r="N996" s="245"/>
      <c r="O996" s="450">
        <v>0</v>
      </c>
      <c r="P996" s="451">
        <f t="shared" si="102"/>
        <v>0</v>
      </c>
      <c r="Q996" s="289"/>
      <c r="R996" s="245"/>
      <c r="S996" s="289"/>
      <c r="T996" s="245"/>
      <c r="U996" s="289"/>
      <c r="V996" s="245"/>
      <c r="W996" s="289"/>
      <c r="X996" s="245"/>
      <c r="Y996" s="289"/>
      <c r="Z996" s="245"/>
    </row>
    <row r="997" spans="1:26" s="436" customFormat="1" ht="15">
      <c r="A997" s="443"/>
      <c r="B997" s="444"/>
      <c r="C997" s="445" t="s">
        <v>137</v>
      </c>
      <c r="D997" s="543" t="s">
        <v>138</v>
      </c>
      <c r="E997" s="444" t="s">
        <v>1130</v>
      </c>
      <c r="F997" s="446">
        <f t="shared" si="98"/>
        <v>0</v>
      </c>
      <c r="G997" s="447">
        <f t="shared" si="99"/>
        <v>80</v>
      </c>
      <c r="H997" s="442">
        <f t="shared" si="100"/>
        <v>0</v>
      </c>
      <c r="I997" s="447">
        <f t="shared" si="101"/>
        <v>0</v>
      </c>
      <c r="J997" s="544"/>
      <c r="K997" s="444" t="s">
        <v>1130</v>
      </c>
      <c r="L997" s="449">
        <v>80</v>
      </c>
      <c r="M997" s="289"/>
      <c r="N997" s="245"/>
      <c r="O997" s="450">
        <v>0</v>
      </c>
      <c r="P997" s="451">
        <f t="shared" si="102"/>
        <v>0</v>
      </c>
      <c r="Q997" s="289"/>
      <c r="R997" s="245"/>
      <c r="S997" s="289"/>
      <c r="T997" s="245"/>
      <c r="U997" s="289"/>
      <c r="V997" s="245"/>
      <c r="W997" s="289"/>
      <c r="X997" s="245"/>
      <c r="Y997" s="289"/>
      <c r="Z997" s="245"/>
    </row>
    <row r="998" spans="1:26" s="436" customFormat="1" ht="15">
      <c r="A998" s="443"/>
      <c r="B998" s="444"/>
      <c r="C998" s="445" t="s">
        <v>139</v>
      </c>
      <c r="D998" s="543" t="s">
        <v>140</v>
      </c>
      <c r="E998" s="444" t="s">
        <v>1130</v>
      </c>
      <c r="F998" s="446">
        <f t="shared" si="98"/>
        <v>0</v>
      </c>
      <c r="G998" s="447">
        <f t="shared" si="99"/>
        <v>100</v>
      </c>
      <c r="H998" s="442">
        <f t="shared" si="100"/>
        <v>0</v>
      </c>
      <c r="I998" s="447">
        <f t="shared" si="101"/>
        <v>0</v>
      </c>
      <c r="J998" s="544"/>
      <c r="K998" s="444" t="s">
        <v>1130</v>
      </c>
      <c r="L998" s="449">
        <v>100</v>
      </c>
      <c r="M998" s="289"/>
      <c r="N998" s="245"/>
      <c r="O998" s="450">
        <v>0</v>
      </c>
      <c r="P998" s="451">
        <f t="shared" si="102"/>
        <v>0</v>
      </c>
      <c r="Q998" s="289"/>
      <c r="R998" s="245"/>
      <c r="S998" s="289"/>
      <c r="T998" s="245"/>
      <c r="U998" s="289"/>
      <c r="V998" s="245"/>
      <c r="W998" s="289"/>
      <c r="X998" s="245"/>
      <c r="Y998" s="289"/>
      <c r="Z998" s="245"/>
    </row>
    <row r="999" spans="1:26" s="436" customFormat="1" ht="15">
      <c r="A999" s="443"/>
      <c r="B999" s="444"/>
      <c r="C999" s="445" t="s">
        <v>141</v>
      </c>
      <c r="D999" s="543" t="s">
        <v>142</v>
      </c>
      <c r="E999" s="444" t="s">
        <v>1130</v>
      </c>
      <c r="F999" s="446">
        <f t="shared" si="98"/>
        <v>0</v>
      </c>
      <c r="G999" s="447">
        <f t="shared" si="99"/>
        <v>115</v>
      </c>
      <c r="H999" s="442">
        <f t="shared" si="100"/>
        <v>0</v>
      </c>
      <c r="I999" s="447">
        <f t="shared" si="101"/>
        <v>0</v>
      </c>
      <c r="J999" s="544"/>
      <c r="K999" s="444" t="s">
        <v>1130</v>
      </c>
      <c r="L999" s="449">
        <v>115</v>
      </c>
      <c r="M999" s="289"/>
      <c r="N999" s="245"/>
      <c r="O999" s="450">
        <v>0</v>
      </c>
      <c r="P999" s="451">
        <f t="shared" si="102"/>
        <v>0</v>
      </c>
      <c r="Q999" s="289"/>
      <c r="R999" s="245"/>
      <c r="S999" s="289"/>
      <c r="T999" s="245"/>
      <c r="U999" s="289"/>
      <c r="V999" s="245"/>
      <c r="W999" s="289"/>
      <c r="X999" s="245"/>
      <c r="Y999" s="289"/>
      <c r="Z999" s="245"/>
    </row>
    <row r="1000" spans="1:26" s="436" customFormat="1" ht="15">
      <c r="A1000" s="443"/>
      <c r="B1000" s="444"/>
      <c r="C1000" s="445" t="s">
        <v>143</v>
      </c>
      <c r="D1000" s="543" t="s">
        <v>144</v>
      </c>
      <c r="E1000" s="444" t="s">
        <v>1130</v>
      </c>
      <c r="F1000" s="446">
        <f t="shared" si="98"/>
        <v>0</v>
      </c>
      <c r="G1000" s="447">
        <f t="shared" si="99"/>
        <v>140</v>
      </c>
      <c r="H1000" s="442">
        <f t="shared" si="100"/>
        <v>0</v>
      </c>
      <c r="I1000" s="447">
        <f t="shared" si="101"/>
        <v>0</v>
      </c>
      <c r="J1000" s="544"/>
      <c r="K1000" s="444" t="s">
        <v>1130</v>
      </c>
      <c r="L1000" s="449">
        <v>140</v>
      </c>
      <c r="M1000" s="289"/>
      <c r="N1000" s="245"/>
      <c r="O1000" s="450">
        <v>0</v>
      </c>
      <c r="P1000" s="451">
        <f t="shared" si="102"/>
        <v>0</v>
      </c>
      <c r="Q1000" s="289"/>
      <c r="R1000" s="245"/>
      <c r="S1000" s="289"/>
      <c r="T1000" s="245"/>
      <c r="U1000" s="289"/>
      <c r="V1000" s="245"/>
      <c r="W1000" s="289"/>
      <c r="X1000" s="245"/>
      <c r="Y1000" s="289"/>
      <c r="Z1000" s="245"/>
    </row>
    <row r="1001" spans="1:26" ht="15" customHeight="1">
      <c r="A1001" s="250"/>
      <c r="B1001" s="251"/>
      <c r="C1001" s="453"/>
      <c r="D1001" s="330"/>
      <c r="E1001" s="251"/>
      <c r="F1001" s="252"/>
      <c r="G1001" s="253"/>
      <c r="H1001" s="254"/>
      <c r="I1001" s="253"/>
      <c r="J1001" s="253"/>
      <c r="K1001" s="251"/>
      <c r="L1001" s="253"/>
      <c r="M1001" s="289"/>
      <c r="N1001" s="245"/>
      <c r="O1001" s="258"/>
      <c r="P1001" s="257"/>
      <c r="Q1001" s="289"/>
      <c r="R1001" s="245"/>
      <c r="S1001" s="289"/>
      <c r="T1001" s="245"/>
      <c r="U1001" s="289"/>
      <c r="V1001" s="245"/>
      <c r="W1001" s="289"/>
      <c r="X1001" s="245"/>
      <c r="Y1001" s="289"/>
      <c r="Z1001" s="245"/>
    </row>
    <row r="1002" spans="1:26" ht="15" customHeight="1">
      <c r="A1002" s="250"/>
      <c r="B1002" s="251"/>
      <c r="C1002" s="453" t="s">
        <v>145</v>
      </c>
      <c r="D1002" s="330" t="s">
        <v>146</v>
      </c>
      <c r="E1002" s="251"/>
      <c r="F1002" s="252"/>
      <c r="G1002" s="253"/>
      <c r="H1002" s="254"/>
      <c r="I1002" s="253"/>
      <c r="J1002" s="253"/>
      <c r="K1002" s="251"/>
      <c r="L1002" s="253"/>
      <c r="M1002" s="289"/>
      <c r="N1002" s="245"/>
      <c r="O1002" s="258"/>
      <c r="P1002" s="257"/>
      <c r="Q1002" s="289"/>
      <c r="R1002" s="245"/>
      <c r="S1002" s="289"/>
      <c r="T1002" s="245"/>
      <c r="U1002" s="289"/>
      <c r="V1002" s="245"/>
      <c r="W1002" s="289"/>
      <c r="X1002" s="245"/>
      <c r="Y1002" s="289"/>
      <c r="Z1002" s="245"/>
    </row>
    <row r="1003" spans="1:26" s="436" customFormat="1" ht="15">
      <c r="A1003" s="443"/>
      <c r="B1003" s="444"/>
      <c r="C1003" s="445" t="s">
        <v>147</v>
      </c>
      <c r="D1003" s="543" t="s">
        <v>148</v>
      </c>
      <c r="E1003" s="444" t="s">
        <v>2475</v>
      </c>
      <c r="F1003" s="446">
        <f t="shared" ref="F1003:F1009" si="103">M1003+O1003+Q1003+S1003+U1003+W1003+Y1003</f>
        <v>0</v>
      </c>
      <c r="G1003" s="447">
        <f t="shared" ref="G1003:G1009" si="104">L1003</f>
        <v>40</v>
      </c>
      <c r="H1003" s="442">
        <f t="shared" ref="H1003:H1009" si="105">F1003*G1003</f>
        <v>0</v>
      </c>
      <c r="I1003" s="447">
        <f t="shared" ref="I1003:I1009" si="106">N1003+P1003+R1003+T1003+V1003+X1003+Z1003</f>
        <v>0</v>
      </c>
      <c r="J1003" s="544"/>
      <c r="K1003" s="444" t="s">
        <v>2475</v>
      </c>
      <c r="L1003" s="449">
        <v>40</v>
      </c>
      <c r="M1003" s="289"/>
      <c r="N1003" s="245"/>
      <c r="O1003" s="450">
        <v>0</v>
      </c>
      <c r="P1003" s="451">
        <f t="shared" ref="P1003:P1009" si="107">INT($L1003*O1003*100+0.5)/100</f>
        <v>0</v>
      </c>
      <c r="Q1003" s="289"/>
      <c r="R1003" s="245"/>
      <c r="S1003" s="289"/>
      <c r="T1003" s="245"/>
      <c r="U1003" s="289"/>
      <c r="V1003" s="245"/>
      <c r="W1003" s="289"/>
      <c r="X1003" s="245"/>
      <c r="Y1003" s="289"/>
      <c r="Z1003" s="245"/>
    </row>
    <row r="1004" spans="1:26" s="436" customFormat="1" ht="15">
      <c r="A1004" s="443"/>
      <c r="B1004" s="444"/>
      <c r="C1004" s="445" t="s">
        <v>149</v>
      </c>
      <c r="D1004" s="543" t="s">
        <v>150</v>
      </c>
      <c r="E1004" s="444" t="s">
        <v>2475</v>
      </c>
      <c r="F1004" s="446">
        <f t="shared" si="103"/>
        <v>0</v>
      </c>
      <c r="G1004" s="447">
        <f t="shared" si="104"/>
        <v>55</v>
      </c>
      <c r="H1004" s="442">
        <f t="shared" si="105"/>
        <v>0</v>
      </c>
      <c r="I1004" s="447">
        <f t="shared" si="106"/>
        <v>0</v>
      </c>
      <c r="J1004" s="544"/>
      <c r="K1004" s="444" t="s">
        <v>2475</v>
      </c>
      <c r="L1004" s="449">
        <v>55</v>
      </c>
      <c r="M1004" s="289"/>
      <c r="N1004" s="245"/>
      <c r="O1004" s="450">
        <v>0</v>
      </c>
      <c r="P1004" s="451">
        <f t="shared" si="107"/>
        <v>0</v>
      </c>
      <c r="Q1004" s="289"/>
      <c r="R1004" s="245"/>
      <c r="S1004" s="289"/>
      <c r="T1004" s="245"/>
      <c r="U1004" s="289"/>
      <c r="V1004" s="245"/>
      <c r="W1004" s="289"/>
      <c r="X1004" s="245"/>
      <c r="Y1004" s="289"/>
      <c r="Z1004" s="245"/>
    </row>
    <row r="1005" spans="1:26" s="436" customFormat="1" ht="15">
      <c r="A1005" s="443"/>
      <c r="B1005" s="444"/>
      <c r="C1005" s="445" t="s">
        <v>151</v>
      </c>
      <c r="D1005" s="543" t="s">
        <v>152</v>
      </c>
      <c r="E1005" s="444" t="s">
        <v>2475</v>
      </c>
      <c r="F1005" s="446">
        <f t="shared" si="103"/>
        <v>0</v>
      </c>
      <c r="G1005" s="447">
        <f t="shared" si="104"/>
        <v>75</v>
      </c>
      <c r="H1005" s="442">
        <f t="shared" si="105"/>
        <v>0</v>
      </c>
      <c r="I1005" s="447">
        <f t="shared" si="106"/>
        <v>0</v>
      </c>
      <c r="J1005" s="544"/>
      <c r="K1005" s="444" t="s">
        <v>2475</v>
      </c>
      <c r="L1005" s="449">
        <v>75</v>
      </c>
      <c r="M1005" s="289"/>
      <c r="N1005" s="245"/>
      <c r="O1005" s="450">
        <v>0</v>
      </c>
      <c r="P1005" s="451">
        <f t="shared" si="107"/>
        <v>0</v>
      </c>
      <c r="Q1005" s="289"/>
      <c r="R1005" s="245"/>
      <c r="S1005" s="289"/>
      <c r="T1005" s="245"/>
      <c r="U1005" s="289"/>
      <c r="V1005" s="245"/>
      <c r="W1005" s="289"/>
      <c r="X1005" s="245"/>
      <c r="Y1005" s="289"/>
      <c r="Z1005" s="245"/>
    </row>
    <row r="1006" spans="1:26" s="436" customFormat="1" ht="15">
      <c r="A1006" s="443"/>
      <c r="B1006" s="444"/>
      <c r="C1006" s="445" t="s">
        <v>153</v>
      </c>
      <c r="D1006" s="543" t="s">
        <v>154</v>
      </c>
      <c r="E1006" s="444" t="s">
        <v>2475</v>
      </c>
      <c r="F1006" s="446">
        <f t="shared" si="103"/>
        <v>0</v>
      </c>
      <c r="G1006" s="447">
        <f t="shared" si="104"/>
        <v>100</v>
      </c>
      <c r="H1006" s="442">
        <f t="shared" si="105"/>
        <v>0</v>
      </c>
      <c r="I1006" s="447">
        <f t="shared" si="106"/>
        <v>0</v>
      </c>
      <c r="J1006" s="544"/>
      <c r="K1006" s="444" t="s">
        <v>2475</v>
      </c>
      <c r="L1006" s="449">
        <v>100</v>
      </c>
      <c r="M1006" s="289"/>
      <c r="N1006" s="245"/>
      <c r="O1006" s="450">
        <v>0</v>
      </c>
      <c r="P1006" s="451">
        <f t="shared" si="107"/>
        <v>0</v>
      </c>
      <c r="Q1006" s="289"/>
      <c r="R1006" s="245"/>
      <c r="S1006" s="289"/>
      <c r="T1006" s="245"/>
      <c r="U1006" s="289"/>
      <c r="V1006" s="245"/>
      <c r="W1006" s="289"/>
      <c r="X1006" s="245"/>
      <c r="Y1006" s="289"/>
      <c r="Z1006" s="245"/>
    </row>
    <row r="1007" spans="1:26" s="436" customFormat="1" ht="15">
      <c r="A1007" s="443"/>
      <c r="B1007" s="444"/>
      <c r="C1007" s="445" t="s">
        <v>155</v>
      </c>
      <c r="D1007" s="543" t="s">
        <v>156</v>
      </c>
      <c r="E1007" s="444" t="s">
        <v>2475</v>
      </c>
      <c r="F1007" s="446">
        <f t="shared" si="103"/>
        <v>0</v>
      </c>
      <c r="G1007" s="447">
        <f t="shared" si="104"/>
        <v>130</v>
      </c>
      <c r="H1007" s="442">
        <f t="shared" si="105"/>
        <v>0</v>
      </c>
      <c r="I1007" s="447">
        <f t="shared" si="106"/>
        <v>0</v>
      </c>
      <c r="J1007" s="544"/>
      <c r="K1007" s="444" t="s">
        <v>2475</v>
      </c>
      <c r="L1007" s="449">
        <v>130</v>
      </c>
      <c r="M1007" s="289"/>
      <c r="N1007" s="245"/>
      <c r="O1007" s="450">
        <v>0</v>
      </c>
      <c r="P1007" s="451">
        <f t="shared" si="107"/>
        <v>0</v>
      </c>
      <c r="Q1007" s="289"/>
      <c r="R1007" s="245"/>
      <c r="S1007" s="289"/>
      <c r="T1007" s="245"/>
      <c r="U1007" s="289"/>
      <c r="V1007" s="245"/>
      <c r="W1007" s="289"/>
      <c r="X1007" s="245"/>
      <c r="Y1007" s="289"/>
      <c r="Z1007" s="245"/>
    </row>
    <row r="1008" spans="1:26" s="436" customFormat="1" ht="15">
      <c r="A1008" s="443"/>
      <c r="B1008" s="444"/>
      <c r="C1008" s="445" t="s">
        <v>157</v>
      </c>
      <c r="D1008" s="543" t="s">
        <v>158</v>
      </c>
      <c r="E1008" s="444" t="s">
        <v>2475</v>
      </c>
      <c r="F1008" s="446">
        <f t="shared" si="103"/>
        <v>0</v>
      </c>
      <c r="G1008" s="447">
        <f t="shared" si="104"/>
        <v>150</v>
      </c>
      <c r="H1008" s="442">
        <f t="shared" si="105"/>
        <v>0</v>
      </c>
      <c r="I1008" s="447">
        <f t="shared" si="106"/>
        <v>0</v>
      </c>
      <c r="J1008" s="544"/>
      <c r="K1008" s="444" t="s">
        <v>2475</v>
      </c>
      <c r="L1008" s="449">
        <v>150</v>
      </c>
      <c r="M1008" s="289"/>
      <c r="N1008" s="245"/>
      <c r="O1008" s="450">
        <v>0</v>
      </c>
      <c r="P1008" s="451">
        <f t="shared" si="107"/>
        <v>0</v>
      </c>
      <c r="Q1008" s="289"/>
      <c r="R1008" s="245"/>
      <c r="S1008" s="289"/>
      <c r="T1008" s="245"/>
      <c r="U1008" s="289"/>
      <c r="V1008" s="245"/>
      <c r="W1008" s="289"/>
      <c r="X1008" s="245"/>
      <c r="Y1008" s="289"/>
      <c r="Z1008" s="245"/>
    </row>
    <row r="1009" spans="1:26" s="436" customFormat="1" ht="15">
      <c r="A1009" s="443"/>
      <c r="B1009" s="444"/>
      <c r="C1009" s="445" t="s">
        <v>159</v>
      </c>
      <c r="D1009" s="543" t="s">
        <v>160</v>
      </c>
      <c r="E1009" s="444" t="s">
        <v>2475</v>
      </c>
      <c r="F1009" s="446">
        <f t="shared" si="103"/>
        <v>0</v>
      </c>
      <c r="G1009" s="447">
        <f t="shared" si="104"/>
        <v>180</v>
      </c>
      <c r="H1009" s="442">
        <f t="shared" si="105"/>
        <v>0</v>
      </c>
      <c r="I1009" s="447">
        <f t="shared" si="106"/>
        <v>0</v>
      </c>
      <c r="J1009" s="544"/>
      <c r="K1009" s="444" t="s">
        <v>2475</v>
      </c>
      <c r="L1009" s="449">
        <v>180</v>
      </c>
      <c r="M1009" s="289"/>
      <c r="N1009" s="245"/>
      <c r="O1009" s="450">
        <v>0</v>
      </c>
      <c r="P1009" s="451">
        <f t="shared" si="107"/>
        <v>0</v>
      </c>
      <c r="Q1009" s="289"/>
      <c r="R1009" s="245"/>
      <c r="S1009" s="289"/>
      <c r="T1009" s="245"/>
      <c r="U1009" s="289"/>
      <c r="V1009" s="245"/>
      <c r="W1009" s="289"/>
      <c r="X1009" s="245"/>
      <c r="Y1009" s="289"/>
      <c r="Z1009" s="245"/>
    </row>
    <row r="1010" spans="1:26" ht="15" customHeight="1">
      <c r="A1010" s="250"/>
      <c r="B1010" s="251"/>
      <c r="C1010" s="453"/>
      <c r="D1010" s="330"/>
      <c r="E1010" s="251"/>
      <c r="F1010" s="252"/>
      <c r="G1010" s="253"/>
      <c r="H1010" s="254"/>
      <c r="I1010" s="253"/>
      <c r="J1010" s="253"/>
      <c r="K1010" s="251"/>
      <c r="L1010" s="253"/>
      <c r="M1010" s="289"/>
      <c r="N1010" s="245"/>
      <c r="O1010" s="258"/>
      <c r="P1010" s="257"/>
      <c r="Q1010" s="289"/>
      <c r="R1010" s="245"/>
      <c r="S1010" s="289"/>
      <c r="T1010" s="245"/>
      <c r="U1010" s="289"/>
      <c r="V1010" s="245"/>
      <c r="W1010" s="289"/>
      <c r="X1010" s="245"/>
      <c r="Y1010" s="289"/>
      <c r="Z1010" s="245"/>
    </row>
    <row r="1011" spans="1:26" ht="15" customHeight="1">
      <c r="A1011" s="250"/>
      <c r="B1011" s="251"/>
      <c r="C1011" s="453" t="s">
        <v>161</v>
      </c>
      <c r="D1011" s="330" t="s">
        <v>162</v>
      </c>
      <c r="E1011" s="251"/>
      <c r="F1011" s="252"/>
      <c r="G1011" s="253"/>
      <c r="H1011" s="254"/>
      <c r="I1011" s="253"/>
      <c r="J1011" s="253"/>
      <c r="K1011" s="251"/>
      <c r="L1011" s="253"/>
      <c r="M1011" s="289"/>
      <c r="N1011" s="245"/>
      <c r="O1011" s="258"/>
      <c r="P1011" s="257"/>
      <c r="Q1011" s="289"/>
      <c r="R1011" s="245"/>
      <c r="S1011" s="289"/>
      <c r="T1011" s="245"/>
      <c r="U1011" s="289"/>
      <c r="V1011" s="245"/>
      <c r="W1011" s="289"/>
      <c r="X1011" s="245"/>
      <c r="Y1011" s="289"/>
      <c r="Z1011" s="245"/>
    </row>
    <row r="1012" spans="1:26" s="436" customFormat="1" ht="15">
      <c r="A1012" s="443"/>
      <c r="B1012" s="444"/>
      <c r="C1012" s="445" t="s">
        <v>163</v>
      </c>
      <c r="D1012" s="543" t="s">
        <v>164</v>
      </c>
      <c r="E1012" s="444" t="s">
        <v>2475</v>
      </c>
      <c r="F1012" s="446">
        <f t="shared" ref="F1012:F1019" si="108">M1012+O1012+Q1012+S1012+U1012+W1012+Y1012</f>
        <v>0</v>
      </c>
      <c r="G1012" s="447">
        <f t="shared" ref="G1012:G1019" si="109">L1012</f>
        <v>3.8</v>
      </c>
      <c r="H1012" s="442">
        <f t="shared" ref="H1012:H1019" si="110">F1012*G1012</f>
        <v>0</v>
      </c>
      <c r="I1012" s="447">
        <f t="shared" ref="I1012:I1019" si="111">N1012+P1012+R1012+T1012+V1012+X1012+Z1012</f>
        <v>0</v>
      </c>
      <c r="J1012" s="544"/>
      <c r="K1012" s="444" t="s">
        <v>2475</v>
      </c>
      <c r="L1012" s="449">
        <v>3.8</v>
      </c>
      <c r="M1012" s="289"/>
      <c r="N1012" s="245"/>
      <c r="O1012" s="450">
        <v>0</v>
      </c>
      <c r="P1012" s="451">
        <f>INT($L1012*O1012*100+0.5)/100</f>
        <v>0</v>
      </c>
      <c r="Q1012" s="289"/>
      <c r="R1012" s="245"/>
      <c r="S1012" s="289"/>
      <c r="T1012" s="245"/>
      <c r="U1012" s="289"/>
      <c r="V1012" s="245"/>
      <c r="W1012" s="289"/>
      <c r="X1012" s="245"/>
      <c r="Y1012" s="289"/>
      <c r="Z1012" s="245"/>
    </row>
    <row r="1013" spans="1:26" s="436" customFormat="1" ht="15">
      <c r="A1013" s="443"/>
      <c r="B1013" s="444"/>
      <c r="C1013" s="445" t="s">
        <v>165</v>
      </c>
      <c r="D1013" s="543" t="s">
        <v>166</v>
      </c>
      <c r="E1013" s="444" t="s">
        <v>2475</v>
      </c>
      <c r="F1013" s="446">
        <f t="shared" si="108"/>
        <v>0</v>
      </c>
      <c r="G1013" s="447">
        <f t="shared" si="109"/>
        <v>3.8</v>
      </c>
      <c r="H1013" s="442">
        <f t="shared" si="110"/>
        <v>0</v>
      </c>
      <c r="I1013" s="447">
        <f t="shared" si="111"/>
        <v>0</v>
      </c>
      <c r="J1013" s="544"/>
      <c r="K1013" s="444" t="s">
        <v>2475</v>
      </c>
      <c r="L1013" s="449">
        <v>3.8</v>
      </c>
      <c r="M1013" s="289"/>
      <c r="N1013" s="245"/>
      <c r="O1013" s="450">
        <v>0</v>
      </c>
      <c r="P1013" s="451">
        <f t="shared" ref="P1013:P1019" si="112">INT($L1013*O1013*100+0.5)/100</f>
        <v>0</v>
      </c>
      <c r="Q1013" s="289"/>
      <c r="R1013" s="245"/>
      <c r="S1013" s="289"/>
      <c r="T1013" s="245"/>
      <c r="U1013" s="289"/>
      <c r="V1013" s="245"/>
      <c r="W1013" s="289"/>
      <c r="X1013" s="245"/>
      <c r="Y1013" s="289"/>
      <c r="Z1013" s="245"/>
    </row>
    <row r="1014" spans="1:26" s="436" customFormat="1" ht="15">
      <c r="A1014" s="443"/>
      <c r="B1014" s="444"/>
      <c r="C1014" s="445" t="s">
        <v>167</v>
      </c>
      <c r="D1014" s="543" t="s">
        <v>168</v>
      </c>
      <c r="E1014" s="444" t="s">
        <v>2475</v>
      </c>
      <c r="F1014" s="446">
        <f t="shared" si="108"/>
        <v>0</v>
      </c>
      <c r="G1014" s="447">
        <f t="shared" si="109"/>
        <v>3.8</v>
      </c>
      <c r="H1014" s="442">
        <f t="shared" si="110"/>
        <v>0</v>
      </c>
      <c r="I1014" s="447">
        <f t="shared" si="111"/>
        <v>0</v>
      </c>
      <c r="J1014" s="544"/>
      <c r="K1014" s="444" t="s">
        <v>2475</v>
      </c>
      <c r="L1014" s="449">
        <v>3.8</v>
      </c>
      <c r="M1014" s="289"/>
      <c r="N1014" s="245"/>
      <c r="O1014" s="450">
        <v>0</v>
      </c>
      <c r="P1014" s="451">
        <f t="shared" si="112"/>
        <v>0</v>
      </c>
      <c r="Q1014" s="289"/>
      <c r="R1014" s="245"/>
      <c r="S1014" s="289"/>
      <c r="T1014" s="245"/>
      <c r="U1014" s="289"/>
      <c r="V1014" s="245"/>
      <c r="W1014" s="289"/>
      <c r="X1014" s="245"/>
      <c r="Y1014" s="289"/>
      <c r="Z1014" s="245"/>
    </row>
    <row r="1015" spans="1:26" s="436" customFormat="1" ht="15">
      <c r="A1015" s="443"/>
      <c r="B1015" s="444"/>
      <c r="C1015" s="445" t="s">
        <v>169</v>
      </c>
      <c r="D1015" s="543" t="s">
        <v>170</v>
      </c>
      <c r="E1015" s="444" t="s">
        <v>2475</v>
      </c>
      <c r="F1015" s="446">
        <f t="shared" si="108"/>
        <v>0</v>
      </c>
      <c r="G1015" s="447">
        <f t="shared" si="109"/>
        <v>3.8</v>
      </c>
      <c r="H1015" s="442">
        <f t="shared" si="110"/>
        <v>0</v>
      </c>
      <c r="I1015" s="447">
        <f t="shared" si="111"/>
        <v>0</v>
      </c>
      <c r="J1015" s="544"/>
      <c r="K1015" s="444" t="s">
        <v>2475</v>
      </c>
      <c r="L1015" s="449">
        <v>3.8</v>
      </c>
      <c r="M1015" s="289"/>
      <c r="N1015" s="245"/>
      <c r="O1015" s="450">
        <v>0</v>
      </c>
      <c r="P1015" s="451">
        <f t="shared" si="112"/>
        <v>0</v>
      </c>
      <c r="Q1015" s="289"/>
      <c r="R1015" s="245"/>
      <c r="S1015" s="289"/>
      <c r="T1015" s="245"/>
      <c r="U1015" s="289"/>
      <c r="V1015" s="245"/>
      <c r="W1015" s="289"/>
      <c r="X1015" s="245"/>
      <c r="Y1015" s="289"/>
      <c r="Z1015" s="245"/>
    </row>
    <row r="1016" spans="1:26" s="436" customFormat="1" ht="15">
      <c r="A1016" s="443"/>
      <c r="B1016" s="444"/>
      <c r="C1016" s="445" t="s">
        <v>171</v>
      </c>
      <c r="D1016" s="543" t="s">
        <v>172</v>
      </c>
      <c r="E1016" s="444" t="s">
        <v>2475</v>
      </c>
      <c r="F1016" s="446">
        <f t="shared" si="108"/>
        <v>0</v>
      </c>
      <c r="G1016" s="447">
        <f t="shared" si="109"/>
        <v>3.95</v>
      </c>
      <c r="H1016" s="442">
        <f t="shared" si="110"/>
        <v>0</v>
      </c>
      <c r="I1016" s="447">
        <f t="shared" si="111"/>
        <v>0</v>
      </c>
      <c r="J1016" s="544"/>
      <c r="K1016" s="444" t="s">
        <v>2475</v>
      </c>
      <c r="L1016" s="449">
        <v>3.95</v>
      </c>
      <c r="M1016" s="289"/>
      <c r="N1016" s="245"/>
      <c r="O1016" s="450">
        <v>0</v>
      </c>
      <c r="P1016" s="451">
        <f t="shared" si="112"/>
        <v>0</v>
      </c>
      <c r="Q1016" s="289"/>
      <c r="R1016" s="245"/>
      <c r="S1016" s="289"/>
      <c r="T1016" s="245"/>
      <c r="U1016" s="289"/>
      <c r="V1016" s="245"/>
      <c r="W1016" s="289"/>
      <c r="X1016" s="245"/>
      <c r="Y1016" s="289"/>
      <c r="Z1016" s="245"/>
    </row>
    <row r="1017" spans="1:26" s="436" customFormat="1" ht="15">
      <c r="A1017" s="443"/>
      <c r="B1017" s="444"/>
      <c r="C1017" s="445" t="s">
        <v>173</v>
      </c>
      <c r="D1017" s="543" t="s">
        <v>174</v>
      </c>
      <c r="E1017" s="444" t="s">
        <v>2475</v>
      </c>
      <c r="F1017" s="446">
        <f t="shared" si="108"/>
        <v>0</v>
      </c>
      <c r="G1017" s="447">
        <f t="shared" si="109"/>
        <v>4.13</v>
      </c>
      <c r="H1017" s="442">
        <f t="shared" si="110"/>
        <v>0</v>
      </c>
      <c r="I1017" s="447">
        <f t="shared" si="111"/>
        <v>0</v>
      </c>
      <c r="J1017" s="544"/>
      <c r="K1017" s="444" t="s">
        <v>2475</v>
      </c>
      <c r="L1017" s="449">
        <v>4.13</v>
      </c>
      <c r="M1017" s="289"/>
      <c r="N1017" s="245"/>
      <c r="O1017" s="450">
        <v>0</v>
      </c>
      <c r="P1017" s="451">
        <f t="shared" si="112"/>
        <v>0</v>
      </c>
      <c r="Q1017" s="289"/>
      <c r="R1017" s="245"/>
      <c r="S1017" s="289"/>
      <c r="T1017" s="245"/>
      <c r="U1017" s="289"/>
      <c r="V1017" s="245"/>
      <c r="W1017" s="289"/>
      <c r="X1017" s="245"/>
      <c r="Y1017" s="289"/>
      <c r="Z1017" s="245"/>
    </row>
    <row r="1018" spans="1:26" s="436" customFormat="1" ht="15">
      <c r="A1018" s="443"/>
      <c r="B1018" s="444"/>
      <c r="C1018" s="445" t="s">
        <v>175</v>
      </c>
      <c r="D1018" s="543" t="s">
        <v>176</v>
      </c>
      <c r="E1018" s="444" t="s">
        <v>2475</v>
      </c>
      <c r="F1018" s="446">
        <f t="shared" si="108"/>
        <v>0</v>
      </c>
      <c r="G1018" s="447">
        <f t="shared" si="109"/>
        <v>4.13</v>
      </c>
      <c r="H1018" s="442">
        <f t="shared" si="110"/>
        <v>0</v>
      </c>
      <c r="I1018" s="447">
        <f t="shared" si="111"/>
        <v>0</v>
      </c>
      <c r="J1018" s="544"/>
      <c r="K1018" s="444" t="s">
        <v>2475</v>
      </c>
      <c r="L1018" s="449">
        <v>4.13</v>
      </c>
      <c r="M1018" s="289"/>
      <c r="N1018" s="245"/>
      <c r="O1018" s="450">
        <v>0</v>
      </c>
      <c r="P1018" s="451">
        <f t="shared" si="112"/>
        <v>0</v>
      </c>
      <c r="Q1018" s="289"/>
      <c r="R1018" s="245"/>
      <c r="S1018" s="289"/>
      <c r="T1018" s="245"/>
      <c r="U1018" s="289"/>
      <c r="V1018" s="245"/>
      <c r="W1018" s="289"/>
      <c r="X1018" s="245"/>
      <c r="Y1018" s="289"/>
      <c r="Z1018" s="245"/>
    </row>
    <row r="1019" spans="1:26" s="436" customFormat="1" ht="15">
      <c r="A1019" s="443"/>
      <c r="B1019" s="444"/>
      <c r="C1019" s="445" t="s">
        <v>177</v>
      </c>
      <c r="D1019" s="543" t="s">
        <v>178</v>
      </c>
      <c r="E1019" s="444" t="s">
        <v>2475</v>
      </c>
      <c r="F1019" s="446">
        <f t="shared" si="108"/>
        <v>0</v>
      </c>
      <c r="G1019" s="447">
        <f t="shared" si="109"/>
        <v>5.42</v>
      </c>
      <c r="H1019" s="442">
        <f t="shared" si="110"/>
        <v>0</v>
      </c>
      <c r="I1019" s="447">
        <f t="shared" si="111"/>
        <v>0</v>
      </c>
      <c r="J1019" s="544"/>
      <c r="K1019" s="444" t="s">
        <v>2475</v>
      </c>
      <c r="L1019" s="449">
        <v>5.42</v>
      </c>
      <c r="M1019" s="289"/>
      <c r="N1019" s="245"/>
      <c r="O1019" s="450">
        <v>0</v>
      </c>
      <c r="P1019" s="451">
        <f t="shared" si="112"/>
        <v>0</v>
      </c>
      <c r="Q1019" s="289"/>
      <c r="R1019" s="245"/>
      <c r="S1019" s="289"/>
      <c r="T1019" s="245"/>
      <c r="U1019" s="289"/>
      <c r="V1019" s="245"/>
      <c r="W1019" s="289"/>
      <c r="X1019" s="245"/>
      <c r="Y1019" s="289"/>
      <c r="Z1019" s="245"/>
    </row>
    <row r="1020" spans="1:26" ht="15" customHeight="1">
      <c r="A1020" s="250"/>
      <c r="B1020" s="251"/>
      <c r="C1020" s="453"/>
      <c r="D1020" s="330"/>
      <c r="E1020" s="251"/>
      <c r="F1020" s="252"/>
      <c r="G1020" s="253"/>
      <c r="H1020" s="254"/>
      <c r="I1020" s="253"/>
      <c r="J1020" s="253"/>
      <c r="K1020" s="251"/>
      <c r="L1020" s="253"/>
      <c r="M1020" s="289"/>
      <c r="N1020" s="245"/>
      <c r="O1020" s="258"/>
      <c r="P1020" s="257"/>
      <c r="Q1020" s="289"/>
      <c r="R1020" s="245"/>
      <c r="S1020" s="289"/>
      <c r="T1020" s="245"/>
      <c r="U1020" s="289"/>
      <c r="V1020" s="245"/>
      <c r="W1020" s="289"/>
      <c r="X1020" s="245"/>
      <c r="Y1020" s="289"/>
      <c r="Z1020" s="245"/>
    </row>
    <row r="1021" spans="1:26" ht="15" customHeight="1">
      <c r="A1021" s="250"/>
      <c r="B1021" s="251"/>
      <c r="C1021" s="453" t="s">
        <v>179</v>
      </c>
      <c r="D1021" s="330" t="s">
        <v>180</v>
      </c>
      <c r="E1021" s="251"/>
      <c r="F1021" s="252"/>
      <c r="G1021" s="253"/>
      <c r="H1021" s="254"/>
      <c r="I1021" s="253"/>
      <c r="J1021" s="253"/>
      <c r="K1021" s="251"/>
      <c r="L1021" s="253"/>
      <c r="M1021" s="289"/>
      <c r="N1021" s="245"/>
      <c r="O1021" s="258"/>
      <c r="P1021" s="257"/>
      <c r="Q1021" s="289"/>
      <c r="R1021" s="245"/>
      <c r="S1021" s="289"/>
      <c r="T1021" s="245"/>
      <c r="U1021" s="289"/>
      <c r="V1021" s="245"/>
      <c r="W1021" s="289"/>
      <c r="X1021" s="245"/>
      <c r="Y1021" s="289"/>
      <c r="Z1021" s="245"/>
    </row>
    <row r="1022" spans="1:26" s="436" customFormat="1" ht="15">
      <c r="A1022" s="443"/>
      <c r="B1022" s="444"/>
      <c r="C1022" s="445" t="s">
        <v>181</v>
      </c>
      <c r="D1022" s="543" t="s">
        <v>182</v>
      </c>
      <c r="E1022" s="444" t="s">
        <v>1130</v>
      </c>
      <c r="F1022" s="446">
        <f>M1022+O1022+Q1022+S1022+U1022+W1022+Y1022</f>
        <v>0</v>
      </c>
      <c r="G1022" s="447">
        <f>L1022</f>
        <v>28</v>
      </c>
      <c r="H1022" s="442">
        <f>F1022*G1022</f>
        <v>0</v>
      </c>
      <c r="I1022" s="447">
        <f>N1022+P1022+R1022+T1022+V1022+X1022+Z1022</f>
        <v>0</v>
      </c>
      <c r="J1022" s="544"/>
      <c r="K1022" s="444" t="s">
        <v>1130</v>
      </c>
      <c r="L1022" s="449">
        <v>28</v>
      </c>
      <c r="M1022" s="289"/>
      <c r="N1022" s="245"/>
      <c r="O1022" s="450">
        <v>0</v>
      </c>
      <c r="P1022" s="451">
        <f>INT($L1022*O1022*100+0.5)/100</f>
        <v>0</v>
      </c>
      <c r="Q1022" s="289"/>
      <c r="R1022" s="245"/>
      <c r="S1022" s="289"/>
      <c r="T1022" s="245"/>
      <c r="U1022" s="289"/>
      <c r="V1022" s="245"/>
      <c r="W1022" s="289"/>
      <c r="X1022" s="245"/>
      <c r="Y1022" s="289"/>
      <c r="Z1022" s="245"/>
    </row>
    <row r="1023" spans="1:26" s="436" customFormat="1" ht="15">
      <c r="A1023" s="443"/>
      <c r="B1023" s="444"/>
      <c r="C1023" s="445" t="s">
        <v>183</v>
      </c>
      <c r="D1023" s="543" t="s">
        <v>184</v>
      </c>
      <c r="E1023" s="444" t="s">
        <v>1130</v>
      </c>
      <c r="F1023" s="446">
        <f>M1023+O1023+Q1023+S1023+U1023+W1023+Y1023</f>
        <v>0</v>
      </c>
      <c r="G1023" s="447">
        <f>L1023</f>
        <v>32</v>
      </c>
      <c r="H1023" s="442">
        <f>F1023*G1023</f>
        <v>0</v>
      </c>
      <c r="I1023" s="447">
        <f>N1023+P1023+R1023+T1023+V1023+X1023+Z1023</f>
        <v>0</v>
      </c>
      <c r="J1023" s="544"/>
      <c r="K1023" s="444" t="s">
        <v>1130</v>
      </c>
      <c r="L1023" s="449">
        <v>32</v>
      </c>
      <c r="M1023" s="289"/>
      <c r="N1023" s="245"/>
      <c r="O1023" s="450">
        <v>0</v>
      </c>
      <c r="P1023" s="451">
        <f>INT($L1023*O1023*100+0.5)/100</f>
        <v>0</v>
      </c>
      <c r="Q1023" s="289"/>
      <c r="R1023" s="245"/>
      <c r="S1023" s="289"/>
      <c r="T1023" s="245"/>
      <c r="U1023" s="289"/>
      <c r="V1023" s="245"/>
      <c r="W1023" s="289"/>
      <c r="X1023" s="245"/>
      <c r="Y1023" s="289"/>
      <c r="Z1023" s="245"/>
    </row>
    <row r="1024" spans="1:26" s="436" customFormat="1" ht="15">
      <c r="A1024" s="443"/>
      <c r="B1024" s="444"/>
      <c r="C1024" s="445" t="s">
        <v>185</v>
      </c>
      <c r="D1024" s="543" t="s">
        <v>186</v>
      </c>
      <c r="E1024" s="444" t="s">
        <v>1130</v>
      </c>
      <c r="F1024" s="446">
        <f>M1024+O1024+Q1024+S1024+U1024+W1024+Y1024</f>
        <v>0</v>
      </c>
      <c r="G1024" s="447">
        <f>L1024</f>
        <v>40</v>
      </c>
      <c r="H1024" s="442">
        <f>F1024*G1024</f>
        <v>0</v>
      </c>
      <c r="I1024" s="447">
        <f>N1024+P1024+R1024+T1024+V1024+X1024+Z1024</f>
        <v>0</v>
      </c>
      <c r="J1024" s="544"/>
      <c r="K1024" s="444" t="s">
        <v>1130</v>
      </c>
      <c r="L1024" s="449">
        <v>40</v>
      </c>
      <c r="M1024" s="289"/>
      <c r="N1024" s="245"/>
      <c r="O1024" s="450">
        <v>0</v>
      </c>
      <c r="P1024" s="451">
        <f>INT($L1024*O1024*100+0.5)/100</f>
        <v>0</v>
      </c>
      <c r="Q1024" s="289"/>
      <c r="R1024" s="245"/>
      <c r="S1024" s="289"/>
      <c r="T1024" s="245"/>
      <c r="U1024" s="289"/>
      <c r="V1024" s="245"/>
      <c r="W1024" s="289"/>
      <c r="X1024" s="245"/>
      <c r="Y1024" s="289"/>
      <c r="Z1024" s="245"/>
    </row>
    <row r="1025" spans="1:26" s="436" customFormat="1" ht="15">
      <c r="A1025" s="443"/>
      <c r="B1025" s="444"/>
      <c r="C1025" s="445" t="s">
        <v>187</v>
      </c>
      <c r="D1025" s="543" t="s">
        <v>188</v>
      </c>
      <c r="E1025" s="444" t="s">
        <v>1130</v>
      </c>
      <c r="F1025" s="446">
        <f>M1025+O1025+Q1025+S1025+U1025+W1025+Y1025</f>
        <v>0</v>
      </c>
      <c r="G1025" s="447">
        <f>L1025</f>
        <v>49</v>
      </c>
      <c r="H1025" s="442">
        <f>F1025*G1025</f>
        <v>0</v>
      </c>
      <c r="I1025" s="447">
        <f>N1025+P1025+R1025+T1025+V1025+X1025+Z1025</f>
        <v>0</v>
      </c>
      <c r="J1025" s="544"/>
      <c r="K1025" s="444" t="s">
        <v>1130</v>
      </c>
      <c r="L1025" s="449">
        <v>49</v>
      </c>
      <c r="M1025" s="289"/>
      <c r="N1025" s="245"/>
      <c r="O1025" s="450">
        <v>0</v>
      </c>
      <c r="P1025" s="451">
        <f>INT($L1025*O1025*100+0.5)/100</f>
        <v>0</v>
      </c>
      <c r="Q1025" s="289"/>
      <c r="R1025" s="245"/>
      <c r="S1025" s="289"/>
      <c r="T1025" s="245"/>
      <c r="U1025" s="289"/>
      <c r="V1025" s="245"/>
      <c r="W1025" s="289"/>
      <c r="X1025" s="245"/>
      <c r="Y1025" s="289"/>
      <c r="Z1025" s="245"/>
    </row>
    <row r="1026" spans="1:26" ht="15" customHeight="1">
      <c r="A1026" s="250"/>
      <c r="B1026" s="251"/>
      <c r="C1026" s="453"/>
      <c r="D1026" s="330"/>
      <c r="E1026" s="251"/>
      <c r="F1026" s="252"/>
      <c r="G1026" s="253"/>
      <c r="H1026" s="254"/>
      <c r="I1026" s="253"/>
      <c r="J1026" s="253"/>
      <c r="K1026" s="251"/>
      <c r="L1026" s="253"/>
      <c r="M1026" s="289"/>
      <c r="N1026" s="245"/>
      <c r="O1026" s="258"/>
      <c r="P1026" s="257"/>
      <c r="Q1026" s="289"/>
      <c r="R1026" s="245"/>
      <c r="S1026" s="289"/>
      <c r="T1026" s="245"/>
      <c r="U1026" s="289"/>
      <c r="V1026" s="245"/>
      <c r="W1026" s="289"/>
      <c r="X1026" s="245"/>
      <c r="Y1026" s="289"/>
      <c r="Z1026" s="245"/>
    </row>
    <row r="1027" spans="1:26" ht="15" customHeight="1">
      <c r="A1027" s="250"/>
      <c r="B1027" s="251"/>
      <c r="C1027" s="453" t="s">
        <v>189</v>
      </c>
      <c r="D1027" s="330" t="s">
        <v>190</v>
      </c>
      <c r="E1027" s="251"/>
      <c r="F1027" s="252"/>
      <c r="G1027" s="253"/>
      <c r="H1027" s="254"/>
      <c r="I1027" s="253"/>
      <c r="J1027" s="253"/>
      <c r="K1027" s="251"/>
      <c r="L1027" s="253"/>
      <c r="M1027" s="289"/>
      <c r="N1027" s="245"/>
      <c r="O1027" s="258"/>
      <c r="P1027" s="257"/>
      <c r="Q1027" s="289"/>
      <c r="R1027" s="245"/>
      <c r="S1027" s="289"/>
      <c r="T1027" s="245"/>
      <c r="U1027" s="289"/>
      <c r="V1027" s="245"/>
      <c r="W1027" s="289"/>
      <c r="X1027" s="245"/>
      <c r="Y1027" s="289"/>
      <c r="Z1027" s="245"/>
    </row>
    <row r="1028" spans="1:26" s="436" customFormat="1" ht="15">
      <c r="A1028" s="443"/>
      <c r="B1028" s="444"/>
      <c r="C1028" s="445" t="s">
        <v>191</v>
      </c>
      <c r="D1028" s="543" t="s">
        <v>192</v>
      </c>
      <c r="E1028" s="444" t="s">
        <v>2475</v>
      </c>
      <c r="F1028" s="446">
        <f>M1028+O1028+Q1028+S1028+U1028+W1028+Y1028</f>
        <v>0</v>
      </c>
      <c r="G1028" s="447">
        <f>L1028</f>
        <v>1</v>
      </c>
      <c r="H1028" s="442">
        <f>F1028*G1028</f>
        <v>0</v>
      </c>
      <c r="I1028" s="447">
        <f>N1028+P1028+R1028+T1028+V1028+X1028+Z1028</f>
        <v>0</v>
      </c>
      <c r="J1028" s="544"/>
      <c r="K1028" s="444" t="s">
        <v>2475</v>
      </c>
      <c r="L1028" s="449">
        <v>1</v>
      </c>
      <c r="M1028" s="289"/>
      <c r="N1028" s="245"/>
      <c r="O1028" s="450">
        <v>0</v>
      </c>
      <c r="P1028" s="451">
        <f>INT($L1028*O1028*100+0.5)/100</f>
        <v>0</v>
      </c>
      <c r="Q1028" s="289"/>
      <c r="R1028" s="245"/>
      <c r="S1028" s="289"/>
      <c r="T1028" s="245"/>
      <c r="U1028" s="289"/>
      <c r="V1028" s="245"/>
      <c r="W1028" s="289"/>
      <c r="X1028" s="245"/>
      <c r="Y1028" s="289"/>
      <c r="Z1028" s="245"/>
    </row>
    <row r="1029" spans="1:26" s="436" customFormat="1" ht="15">
      <c r="A1029" s="443"/>
      <c r="B1029" s="444"/>
      <c r="C1029" s="445" t="s">
        <v>1169</v>
      </c>
      <c r="D1029" s="543" t="s">
        <v>1170</v>
      </c>
      <c r="E1029" s="444" t="s">
        <v>2475</v>
      </c>
      <c r="F1029" s="446">
        <f>M1029+O1029+Q1029+S1029+U1029+W1029+Y1029</f>
        <v>0</v>
      </c>
      <c r="G1029" s="447">
        <f>L1029</f>
        <v>1.5</v>
      </c>
      <c r="H1029" s="442">
        <f>F1029*G1029</f>
        <v>0</v>
      </c>
      <c r="I1029" s="447">
        <f>N1029+P1029+R1029+T1029+V1029+X1029+Z1029</f>
        <v>0</v>
      </c>
      <c r="J1029" s="544"/>
      <c r="K1029" s="444" t="s">
        <v>2475</v>
      </c>
      <c r="L1029" s="449">
        <v>1.5</v>
      </c>
      <c r="M1029" s="289"/>
      <c r="N1029" s="245"/>
      <c r="O1029" s="450">
        <v>0</v>
      </c>
      <c r="P1029" s="451">
        <f>INT($L1029*O1029*100+0.5)/100</f>
        <v>0</v>
      </c>
      <c r="Q1029" s="289"/>
      <c r="R1029" s="245"/>
      <c r="S1029" s="289"/>
      <c r="T1029" s="245"/>
      <c r="U1029" s="289"/>
      <c r="V1029" s="245"/>
      <c r="W1029" s="289"/>
      <c r="X1029" s="245"/>
      <c r="Y1029" s="289"/>
      <c r="Z1029" s="245"/>
    </row>
    <row r="1030" spans="1:26" s="436" customFormat="1" ht="15">
      <c r="A1030" s="443"/>
      <c r="B1030" s="444"/>
      <c r="C1030" s="445" t="s">
        <v>1171</v>
      </c>
      <c r="D1030" s="543" t="s">
        <v>952</v>
      </c>
      <c r="E1030" s="444" t="s">
        <v>2475</v>
      </c>
      <c r="F1030" s="446">
        <f>M1030+O1030+Q1030+S1030+U1030+W1030+Y1030</f>
        <v>0</v>
      </c>
      <c r="G1030" s="447">
        <f>L1030</f>
        <v>2</v>
      </c>
      <c r="H1030" s="442">
        <f>F1030*G1030</f>
        <v>0</v>
      </c>
      <c r="I1030" s="447">
        <f>N1030+P1030+R1030+T1030+V1030+X1030+Z1030</f>
        <v>0</v>
      </c>
      <c r="J1030" s="544"/>
      <c r="K1030" s="444" t="s">
        <v>2475</v>
      </c>
      <c r="L1030" s="449">
        <v>2</v>
      </c>
      <c r="M1030" s="289"/>
      <c r="N1030" s="245"/>
      <c r="O1030" s="450">
        <v>0</v>
      </c>
      <c r="P1030" s="451">
        <f>INT($L1030*O1030*100+0.5)/100</f>
        <v>0</v>
      </c>
      <c r="Q1030" s="289"/>
      <c r="R1030" s="245"/>
      <c r="S1030" s="289"/>
      <c r="T1030" s="245"/>
      <c r="U1030" s="289"/>
      <c r="V1030" s="245"/>
      <c r="W1030" s="289"/>
      <c r="X1030" s="245"/>
      <c r="Y1030" s="289"/>
      <c r="Z1030" s="245"/>
    </row>
    <row r="1031" spans="1:26" s="436" customFormat="1" ht="15">
      <c r="A1031" s="443"/>
      <c r="B1031" s="444"/>
      <c r="C1031" s="445" t="s">
        <v>953</v>
      </c>
      <c r="D1031" s="543" t="s">
        <v>954</v>
      </c>
      <c r="E1031" s="444" t="s">
        <v>2475</v>
      </c>
      <c r="F1031" s="446">
        <f>M1031+O1031+Q1031+S1031+U1031+W1031+Y1031</f>
        <v>0</v>
      </c>
      <c r="G1031" s="447">
        <f>L1031</f>
        <v>2.5</v>
      </c>
      <c r="H1031" s="442">
        <f>F1031*G1031</f>
        <v>0</v>
      </c>
      <c r="I1031" s="447">
        <f>N1031+P1031+R1031+T1031+V1031+X1031+Z1031</f>
        <v>0</v>
      </c>
      <c r="J1031" s="544"/>
      <c r="K1031" s="444" t="s">
        <v>2475</v>
      </c>
      <c r="L1031" s="449">
        <v>2.5</v>
      </c>
      <c r="M1031" s="289"/>
      <c r="N1031" s="245"/>
      <c r="O1031" s="450">
        <v>0</v>
      </c>
      <c r="P1031" s="451">
        <f>INT($L1031*O1031*100+0.5)/100</f>
        <v>0</v>
      </c>
      <c r="Q1031" s="289"/>
      <c r="R1031" s="245"/>
      <c r="S1031" s="289"/>
      <c r="T1031" s="245"/>
      <c r="U1031" s="289"/>
      <c r="V1031" s="245"/>
      <c r="W1031" s="289"/>
      <c r="X1031" s="245"/>
      <c r="Y1031" s="289"/>
      <c r="Z1031" s="245"/>
    </row>
    <row r="1032" spans="1:26" ht="15" customHeight="1">
      <c r="A1032" s="250"/>
      <c r="B1032" s="251"/>
      <c r="C1032" s="453"/>
      <c r="D1032" s="330"/>
      <c r="E1032" s="251"/>
      <c r="F1032" s="252"/>
      <c r="G1032" s="253"/>
      <c r="H1032" s="254"/>
      <c r="I1032" s="253"/>
      <c r="J1032" s="253"/>
      <c r="K1032" s="251"/>
      <c r="L1032" s="253"/>
      <c r="M1032" s="289"/>
      <c r="N1032" s="245"/>
      <c r="O1032" s="258"/>
      <c r="P1032" s="257"/>
      <c r="Q1032" s="289"/>
      <c r="R1032" s="245"/>
      <c r="S1032" s="289"/>
      <c r="T1032" s="245"/>
      <c r="U1032" s="289"/>
      <c r="V1032" s="245"/>
      <c r="W1032" s="289"/>
      <c r="X1032" s="245"/>
      <c r="Y1032" s="289"/>
      <c r="Z1032" s="245"/>
    </row>
    <row r="1033" spans="1:26" ht="15" customHeight="1">
      <c r="A1033" s="250"/>
      <c r="B1033" s="251"/>
      <c r="C1033" s="453" t="s">
        <v>955</v>
      </c>
      <c r="D1033" s="330" t="s">
        <v>956</v>
      </c>
      <c r="E1033" s="251"/>
      <c r="F1033" s="252"/>
      <c r="G1033" s="253"/>
      <c r="H1033" s="254"/>
      <c r="I1033" s="253"/>
      <c r="J1033" s="253"/>
      <c r="K1033" s="251"/>
      <c r="L1033" s="253"/>
      <c r="M1033" s="289"/>
      <c r="N1033" s="245"/>
      <c r="O1033" s="258"/>
      <c r="P1033" s="257"/>
      <c r="Q1033" s="289"/>
      <c r="R1033" s="245"/>
      <c r="S1033" s="289"/>
      <c r="T1033" s="245"/>
      <c r="U1033" s="289"/>
      <c r="V1033" s="245"/>
      <c r="W1033" s="289"/>
      <c r="X1033" s="245"/>
      <c r="Y1033" s="289"/>
      <c r="Z1033" s="245"/>
    </row>
    <row r="1034" spans="1:26" s="454" customFormat="1" ht="43.5" customHeight="1">
      <c r="A1034" s="443"/>
      <c r="B1034" s="444"/>
      <c r="C1034" s="445"/>
      <c r="D1034" s="543" t="s">
        <v>957</v>
      </c>
      <c r="E1034" s="444"/>
      <c r="F1034" s="446"/>
      <c r="G1034" s="447"/>
      <c r="H1034" s="442"/>
      <c r="I1034" s="545"/>
      <c r="J1034" s="545"/>
      <c r="K1034" s="444"/>
      <c r="L1034" s="447"/>
      <c r="M1034" s="545"/>
      <c r="N1034" s="545"/>
      <c r="O1034" s="545"/>
      <c r="P1034" s="545"/>
      <c r="Q1034" s="545"/>
      <c r="R1034" s="545"/>
      <c r="S1034" s="545"/>
      <c r="T1034" s="545"/>
      <c r="U1034" s="545"/>
      <c r="V1034" s="545"/>
      <c r="W1034" s="545"/>
      <c r="X1034" s="545"/>
      <c r="Y1034" s="545"/>
      <c r="Z1034" s="547"/>
    </row>
    <row r="1035" spans="1:26" s="454" customFormat="1" ht="25.5">
      <c r="A1035" s="443"/>
      <c r="B1035" s="444"/>
      <c r="C1035" s="445" t="s">
        <v>958</v>
      </c>
      <c r="D1035" s="543" t="s">
        <v>959</v>
      </c>
      <c r="E1035" s="444" t="s">
        <v>1130</v>
      </c>
      <c r="F1035" s="446">
        <f t="shared" ref="F1035:F1040" si="113">M1035+O1035+Q1035+S1035+U1035+W1035+Y1035</f>
        <v>0</v>
      </c>
      <c r="G1035" s="447">
        <f t="shared" ref="G1035:G1040" si="114">L1035</f>
        <v>6000</v>
      </c>
      <c r="H1035" s="442">
        <f t="shared" ref="H1035:H1040" si="115">F1035*G1035</f>
        <v>0</v>
      </c>
      <c r="I1035" s="447">
        <f t="shared" ref="I1035:I1040" si="116">N1035+P1035+R1035+T1035+V1035+X1035+Z1035</f>
        <v>0</v>
      </c>
      <c r="J1035" s="545"/>
      <c r="K1035" s="444" t="s">
        <v>1130</v>
      </c>
      <c r="L1035" s="449">
        <v>6000</v>
      </c>
      <c r="M1035" s="289"/>
      <c r="N1035" s="245"/>
      <c r="O1035" s="450">
        <v>0</v>
      </c>
      <c r="P1035" s="451">
        <f t="shared" ref="P1035:P1040" si="117">INT($L1035*O1035*100+0.5)/100</f>
        <v>0</v>
      </c>
      <c r="Q1035" s="289"/>
      <c r="R1035" s="245"/>
      <c r="S1035" s="289"/>
      <c r="T1035" s="245"/>
      <c r="U1035" s="289"/>
      <c r="V1035" s="245"/>
      <c r="W1035" s="289"/>
      <c r="X1035" s="245"/>
      <c r="Y1035" s="289"/>
      <c r="Z1035" s="245"/>
    </row>
    <row r="1036" spans="1:26" s="454" customFormat="1" ht="25.5">
      <c r="A1036" s="443"/>
      <c r="B1036" s="444"/>
      <c r="C1036" s="445" t="s">
        <v>960</v>
      </c>
      <c r="D1036" s="543" t="s">
        <v>961</v>
      </c>
      <c r="E1036" s="444" t="s">
        <v>1130</v>
      </c>
      <c r="F1036" s="446">
        <f t="shared" si="113"/>
        <v>0</v>
      </c>
      <c r="G1036" s="447">
        <f t="shared" si="114"/>
        <v>4000</v>
      </c>
      <c r="H1036" s="442">
        <f t="shared" si="115"/>
        <v>0</v>
      </c>
      <c r="I1036" s="447">
        <f t="shared" si="116"/>
        <v>0</v>
      </c>
      <c r="J1036" s="545"/>
      <c r="K1036" s="444" t="s">
        <v>1130</v>
      </c>
      <c r="L1036" s="449">
        <v>4000</v>
      </c>
      <c r="M1036" s="289"/>
      <c r="N1036" s="245"/>
      <c r="O1036" s="450">
        <v>0</v>
      </c>
      <c r="P1036" s="451">
        <f t="shared" si="117"/>
        <v>0</v>
      </c>
      <c r="Q1036" s="289"/>
      <c r="R1036" s="245"/>
      <c r="S1036" s="289"/>
      <c r="T1036" s="245"/>
      <c r="U1036" s="289"/>
      <c r="V1036" s="245"/>
      <c r="W1036" s="289"/>
      <c r="X1036" s="245"/>
      <c r="Y1036" s="289"/>
      <c r="Z1036" s="245"/>
    </row>
    <row r="1037" spans="1:26" s="454" customFormat="1" ht="25.5">
      <c r="A1037" s="443"/>
      <c r="B1037" s="444"/>
      <c r="C1037" s="445" t="s">
        <v>962</v>
      </c>
      <c r="D1037" s="543" t="s">
        <v>963</v>
      </c>
      <c r="E1037" s="444" t="s">
        <v>1130</v>
      </c>
      <c r="F1037" s="446">
        <f t="shared" si="113"/>
        <v>0</v>
      </c>
      <c r="G1037" s="447">
        <f t="shared" si="114"/>
        <v>1200</v>
      </c>
      <c r="H1037" s="442">
        <f t="shared" si="115"/>
        <v>0</v>
      </c>
      <c r="I1037" s="447">
        <f t="shared" si="116"/>
        <v>0</v>
      </c>
      <c r="J1037" s="545"/>
      <c r="K1037" s="444" t="s">
        <v>1130</v>
      </c>
      <c r="L1037" s="449">
        <v>1200</v>
      </c>
      <c r="M1037" s="289"/>
      <c r="N1037" s="245"/>
      <c r="O1037" s="450">
        <v>0</v>
      </c>
      <c r="P1037" s="451">
        <f t="shared" si="117"/>
        <v>0</v>
      </c>
      <c r="Q1037" s="289"/>
      <c r="R1037" s="245"/>
      <c r="S1037" s="289"/>
      <c r="T1037" s="245"/>
      <c r="U1037" s="289"/>
      <c r="V1037" s="245"/>
      <c r="W1037" s="289"/>
      <c r="X1037" s="245"/>
      <c r="Y1037" s="289"/>
      <c r="Z1037" s="245"/>
    </row>
    <row r="1038" spans="1:26" s="454" customFormat="1" ht="38.25">
      <c r="A1038" s="443"/>
      <c r="B1038" s="444"/>
      <c r="C1038" s="445" t="s">
        <v>964</v>
      </c>
      <c r="D1038" s="543" t="s">
        <v>965</v>
      </c>
      <c r="E1038" s="444" t="s">
        <v>1130</v>
      </c>
      <c r="F1038" s="446">
        <f t="shared" si="113"/>
        <v>0</v>
      </c>
      <c r="G1038" s="447">
        <f t="shared" si="114"/>
        <v>250</v>
      </c>
      <c r="H1038" s="442">
        <f t="shared" si="115"/>
        <v>0</v>
      </c>
      <c r="I1038" s="447">
        <f t="shared" si="116"/>
        <v>0</v>
      </c>
      <c r="J1038" s="545"/>
      <c r="K1038" s="444" t="s">
        <v>1130</v>
      </c>
      <c r="L1038" s="449">
        <v>250</v>
      </c>
      <c r="M1038" s="289"/>
      <c r="N1038" s="245"/>
      <c r="O1038" s="450">
        <v>0</v>
      </c>
      <c r="P1038" s="451">
        <f t="shared" si="117"/>
        <v>0</v>
      </c>
      <c r="Q1038" s="289"/>
      <c r="R1038" s="245"/>
      <c r="S1038" s="289"/>
      <c r="T1038" s="245"/>
      <c r="U1038" s="289"/>
      <c r="V1038" s="245"/>
      <c r="W1038" s="289"/>
      <c r="X1038" s="245"/>
      <c r="Y1038" s="289"/>
      <c r="Z1038" s="245"/>
    </row>
    <row r="1039" spans="1:26" s="454" customFormat="1" ht="25.5">
      <c r="A1039" s="443"/>
      <c r="B1039" s="444"/>
      <c r="C1039" s="445" t="s">
        <v>966</v>
      </c>
      <c r="D1039" s="543" t="s">
        <v>967</v>
      </c>
      <c r="E1039" s="444" t="s">
        <v>2475</v>
      </c>
      <c r="F1039" s="446">
        <f t="shared" si="113"/>
        <v>0</v>
      </c>
      <c r="G1039" s="447">
        <f t="shared" si="114"/>
        <v>7</v>
      </c>
      <c r="H1039" s="442">
        <f t="shared" si="115"/>
        <v>0</v>
      </c>
      <c r="I1039" s="447">
        <f t="shared" si="116"/>
        <v>0</v>
      </c>
      <c r="J1039" s="545"/>
      <c r="K1039" s="444" t="s">
        <v>2475</v>
      </c>
      <c r="L1039" s="449">
        <v>7</v>
      </c>
      <c r="M1039" s="289"/>
      <c r="N1039" s="245"/>
      <c r="O1039" s="450">
        <v>0</v>
      </c>
      <c r="P1039" s="451">
        <f t="shared" si="117"/>
        <v>0</v>
      </c>
      <c r="Q1039" s="289"/>
      <c r="R1039" s="245"/>
      <c r="S1039" s="289"/>
      <c r="T1039" s="245"/>
      <c r="U1039" s="289"/>
      <c r="V1039" s="245"/>
      <c r="W1039" s="289"/>
      <c r="X1039" s="245"/>
      <c r="Y1039" s="289"/>
      <c r="Z1039" s="245"/>
    </row>
    <row r="1040" spans="1:26" s="454" customFormat="1" ht="38.25">
      <c r="A1040" s="443"/>
      <c r="B1040" s="444"/>
      <c r="C1040" s="445" t="s">
        <v>968</v>
      </c>
      <c r="D1040" s="543" t="s">
        <v>969</v>
      </c>
      <c r="E1040" s="444" t="s">
        <v>1130</v>
      </c>
      <c r="F1040" s="446">
        <f t="shared" si="113"/>
        <v>0</v>
      </c>
      <c r="G1040" s="447">
        <f t="shared" si="114"/>
        <v>4000</v>
      </c>
      <c r="H1040" s="442">
        <f t="shared" si="115"/>
        <v>0</v>
      </c>
      <c r="I1040" s="447">
        <f t="shared" si="116"/>
        <v>0</v>
      </c>
      <c r="J1040" s="545"/>
      <c r="K1040" s="444" t="s">
        <v>1130</v>
      </c>
      <c r="L1040" s="449">
        <v>4000</v>
      </c>
      <c r="M1040" s="289"/>
      <c r="N1040" s="245"/>
      <c r="O1040" s="450">
        <v>0</v>
      </c>
      <c r="P1040" s="451">
        <f t="shared" si="117"/>
        <v>0</v>
      </c>
      <c r="Q1040" s="289"/>
      <c r="R1040" s="245"/>
      <c r="S1040" s="289"/>
      <c r="T1040" s="245"/>
      <c r="U1040" s="289"/>
      <c r="V1040" s="245"/>
      <c r="W1040" s="289"/>
      <c r="X1040" s="245"/>
      <c r="Y1040" s="289"/>
      <c r="Z1040" s="245"/>
    </row>
    <row r="1041" spans="1:26" ht="15" customHeight="1">
      <c r="A1041" s="250"/>
      <c r="B1041" s="251"/>
      <c r="C1041" s="453"/>
      <c r="D1041" s="330"/>
      <c r="E1041" s="251"/>
      <c r="F1041" s="252"/>
      <c r="G1041" s="253"/>
      <c r="H1041" s="254"/>
      <c r="I1041" s="253"/>
      <c r="J1041" s="253"/>
      <c r="K1041" s="251"/>
      <c r="L1041" s="253"/>
      <c r="M1041" s="289"/>
      <c r="N1041" s="245"/>
      <c r="O1041" s="258"/>
      <c r="P1041" s="257"/>
      <c r="Q1041" s="289"/>
      <c r="R1041" s="245"/>
      <c r="S1041" s="289"/>
      <c r="T1041" s="245"/>
      <c r="U1041" s="289"/>
      <c r="V1041" s="245"/>
      <c r="W1041" s="289"/>
      <c r="X1041" s="245"/>
      <c r="Y1041" s="289"/>
      <c r="Z1041" s="245"/>
    </row>
    <row r="1042" spans="1:26" ht="15" customHeight="1">
      <c r="A1042" s="250"/>
      <c r="B1042" s="251"/>
      <c r="C1042" s="453" t="s">
        <v>970</v>
      </c>
      <c r="D1042" s="330" t="s">
        <v>971</v>
      </c>
      <c r="E1042" s="251"/>
      <c r="F1042" s="252"/>
      <c r="G1042" s="253"/>
      <c r="H1042" s="254"/>
      <c r="I1042" s="253"/>
      <c r="J1042" s="253"/>
      <c r="K1042" s="251"/>
      <c r="L1042" s="253"/>
      <c r="M1042" s="289"/>
      <c r="N1042" s="245"/>
      <c r="O1042" s="258"/>
      <c r="P1042" s="257"/>
      <c r="Q1042" s="289"/>
      <c r="R1042" s="245"/>
      <c r="S1042" s="289"/>
      <c r="T1042" s="245"/>
      <c r="U1042" s="289"/>
      <c r="V1042" s="245"/>
      <c r="W1042" s="289"/>
      <c r="X1042" s="245"/>
      <c r="Y1042" s="289"/>
      <c r="Z1042" s="245"/>
    </row>
    <row r="1043" spans="1:26" s="436" customFormat="1" ht="15">
      <c r="A1043" s="443"/>
      <c r="B1043" s="444"/>
      <c r="C1043" s="445" t="s">
        <v>970</v>
      </c>
      <c r="D1043" s="543" t="s">
        <v>224</v>
      </c>
      <c r="E1043" s="444" t="s">
        <v>1130</v>
      </c>
      <c r="F1043" s="446">
        <f t="shared" ref="F1043:F1048" si="118">M1043+O1043+Q1043+S1043+U1043+W1043+Y1043</f>
        <v>0</v>
      </c>
      <c r="G1043" s="447">
        <f t="shared" ref="G1043:G1048" si="119">L1043</f>
        <v>70</v>
      </c>
      <c r="H1043" s="442">
        <f t="shared" ref="H1043:H1048" si="120">F1043*G1043</f>
        <v>0</v>
      </c>
      <c r="I1043" s="447">
        <f t="shared" ref="I1043:I1048" si="121">N1043+P1043+R1043+T1043+V1043+X1043+Z1043</f>
        <v>0</v>
      </c>
      <c r="J1043" s="544"/>
      <c r="K1043" s="444" t="s">
        <v>1130</v>
      </c>
      <c r="L1043" s="449">
        <v>70</v>
      </c>
      <c r="M1043" s="289"/>
      <c r="N1043" s="245"/>
      <c r="O1043" s="450">
        <v>0</v>
      </c>
      <c r="P1043" s="451">
        <f t="shared" ref="P1043:P1048" si="122">INT($L1043*O1043*100+0.5)/100</f>
        <v>0</v>
      </c>
      <c r="Q1043" s="289"/>
      <c r="R1043" s="245"/>
      <c r="S1043" s="289"/>
      <c r="T1043" s="245"/>
      <c r="U1043" s="289"/>
      <c r="V1043" s="245"/>
      <c r="W1043" s="289"/>
      <c r="X1043" s="245"/>
      <c r="Y1043" s="289"/>
      <c r="Z1043" s="245"/>
    </row>
    <row r="1044" spans="1:26" s="436" customFormat="1" ht="15">
      <c r="A1044" s="443"/>
      <c r="B1044" s="444"/>
      <c r="C1044" s="445" t="s">
        <v>970</v>
      </c>
      <c r="D1044" s="543" t="s">
        <v>235</v>
      </c>
      <c r="E1044" s="444" t="s">
        <v>1130</v>
      </c>
      <c r="F1044" s="446">
        <f t="shared" si="118"/>
        <v>0</v>
      </c>
      <c r="G1044" s="447">
        <f t="shared" si="119"/>
        <v>70</v>
      </c>
      <c r="H1044" s="442">
        <f t="shared" si="120"/>
        <v>0</v>
      </c>
      <c r="I1044" s="447">
        <f t="shared" si="121"/>
        <v>0</v>
      </c>
      <c r="J1044" s="544"/>
      <c r="K1044" s="444" t="s">
        <v>1130</v>
      </c>
      <c r="L1044" s="449">
        <v>70</v>
      </c>
      <c r="M1044" s="289"/>
      <c r="N1044" s="245"/>
      <c r="O1044" s="450">
        <v>0</v>
      </c>
      <c r="P1044" s="451">
        <f t="shared" si="122"/>
        <v>0</v>
      </c>
      <c r="Q1044" s="289"/>
      <c r="R1044" s="245"/>
      <c r="S1044" s="289"/>
      <c r="T1044" s="245"/>
      <c r="U1044" s="289"/>
      <c r="V1044" s="245"/>
      <c r="W1044" s="289"/>
      <c r="X1044" s="245"/>
      <c r="Y1044" s="289"/>
      <c r="Z1044" s="245"/>
    </row>
    <row r="1045" spans="1:26" s="436" customFormat="1" ht="15">
      <c r="A1045" s="443"/>
      <c r="B1045" s="444"/>
      <c r="C1045" s="445" t="s">
        <v>970</v>
      </c>
      <c r="D1045" s="543" t="s">
        <v>236</v>
      </c>
      <c r="E1045" s="444" t="s">
        <v>1130</v>
      </c>
      <c r="F1045" s="446">
        <f t="shared" si="118"/>
        <v>0</v>
      </c>
      <c r="G1045" s="447">
        <f t="shared" si="119"/>
        <v>70</v>
      </c>
      <c r="H1045" s="442">
        <f t="shared" si="120"/>
        <v>0</v>
      </c>
      <c r="I1045" s="447">
        <f t="shared" si="121"/>
        <v>0</v>
      </c>
      <c r="J1045" s="544"/>
      <c r="K1045" s="444" t="s">
        <v>1130</v>
      </c>
      <c r="L1045" s="449">
        <v>70</v>
      </c>
      <c r="M1045" s="289"/>
      <c r="N1045" s="245"/>
      <c r="O1045" s="450">
        <v>0</v>
      </c>
      <c r="P1045" s="451">
        <f t="shared" si="122"/>
        <v>0</v>
      </c>
      <c r="Q1045" s="289"/>
      <c r="R1045" s="245"/>
      <c r="S1045" s="289"/>
      <c r="T1045" s="245"/>
      <c r="U1045" s="289"/>
      <c r="V1045" s="245"/>
      <c r="W1045" s="289"/>
      <c r="X1045" s="245"/>
      <c r="Y1045" s="289"/>
      <c r="Z1045" s="245"/>
    </row>
    <row r="1046" spans="1:26" s="436" customFormat="1" ht="15">
      <c r="A1046" s="443"/>
      <c r="B1046" s="444"/>
      <c r="C1046" s="445" t="s">
        <v>970</v>
      </c>
      <c r="D1046" s="543" t="s">
        <v>241</v>
      </c>
      <c r="E1046" s="444" t="s">
        <v>1130</v>
      </c>
      <c r="F1046" s="446">
        <f t="shared" si="118"/>
        <v>0</v>
      </c>
      <c r="G1046" s="447">
        <f t="shared" si="119"/>
        <v>80</v>
      </c>
      <c r="H1046" s="442">
        <f t="shared" si="120"/>
        <v>0</v>
      </c>
      <c r="I1046" s="447">
        <f t="shared" si="121"/>
        <v>0</v>
      </c>
      <c r="J1046" s="544"/>
      <c r="K1046" s="444" t="s">
        <v>1130</v>
      </c>
      <c r="L1046" s="449">
        <v>80</v>
      </c>
      <c r="M1046" s="289"/>
      <c r="N1046" s="245"/>
      <c r="O1046" s="450">
        <v>0</v>
      </c>
      <c r="P1046" s="451">
        <f t="shared" si="122"/>
        <v>0</v>
      </c>
      <c r="Q1046" s="289"/>
      <c r="R1046" s="245"/>
      <c r="S1046" s="289"/>
      <c r="T1046" s="245"/>
      <c r="U1046" s="289"/>
      <c r="V1046" s="245"/>
      <c r="W1046" s="289"/>
      <c r="X1046" s="245"/>
      <c r="Y1046" s="289"/>
      <c r="Z1046" s="245"/>
    </row>
    <row r="1047" spans="1:26" s="436" customFormat="1" ht="15">
      <c r="A1047" s="443"/>
      <c r="B1047" s="444"/>
      <c r="C1047" s="445" t="s">
        <v>970</v>
      </c>
      <c r="D1047" s="543" t="s">
        <v>972</v>
      </c>
      <c r="E1047" s="444" t="s">
        <v>1130</v>
      </c>
      <c r="F1047" s="446">
        <f t="shared" si="118"/>
        <v>0</v>
      </c>
      <c r="G1047" s="447">
        <f t="shared" si="119"/>
        <v>80</v>
      </c>
      <c r="H1047" s="442">
        <f t="shared" si="120"/>
        <v>0</v>
      </c>
      <c r="I1047" s="447">
        <f t="shared" si="121"/>
        <v>0</v>
      </c>
      <c r="J1047" s="544"/>
      <c r="K1047" s="444" t="s">
        <v>1130</v>
      </c>
      <c r="L1047" s="449">
        <v>80</v>
      </c>
      <c r="M1047" s="289"/>
      <c r="N1047" s="245"/>
      <c r="O1047" s="450">
        <v>0</v>
      </c>
      <c r="P1047" s="451">
        <f t="shared" si="122"/>
        <v>0</v>
      </c>
      <c r="Q1047" s="289"/>
      <c r="R1047" s="245"/>
      <c r="S1047" s="289"/>
      <c r="T1047" s="245"/>
      <c r="U1047" s="289"/>
      <c r="V1047" s="245"/>
      <c r="W1047" s="289"/>
      <c r="X1047" s="245"/>
      <c r="Y1047" s="289"/>
      <c r="Z1047" s="245"/>
    </row>
    <row r="1048" spans="1:26" s="436" customFormat="1" ht="15">
      <c r="A1048" s="443"/>
      <c r="B1048" s="444"/>
      <c r="C1048" s="445" t="s">
        <v>970</v>
      </c>
      <c r="D1048" s="543" t="s">
        <v>973</v>
      </c>
      <c r="E1048" s="444" t="s">
        <v>1130</v>
      </c>
      <c r="F1048" s="446">
        <f t="shared" si="118"/>
        <v>0</v>
      </c>
      <c r="G1048" s="447">
        <f t="shared" si="119"/>
        <v>80</v>
      </c>
      <c r="H1048" s="442">
        <f t="shared" si="120"/>
        <v>0</v>
      </c>
      <c r="I1048" s="447">
        <f t="shared" si="121"/>
        <v>0</v>
      </c>
      <c r="J1048" s="544"/>
      <c r="K1048" s="444" t="s">
        <v>1130</v>
      </c>
      <c r="L1048" s="449">
        <v>80</v>
      </c>
      <c r="M1048" s="289"/>
      <c r="N1048" s="245"/>
      <c r="O1048" s="450">
        <v>0</v>
      </c>
      <c r="P1048" s="451">
        <f t="shared" si="122"/>
        <v>0</v>
      </c>
      <c r="Q1048" s="289"/>
      <c r="R1048" s="245"/>
      <c r="S1048" s="289"/>
      <c r="T1048" s="245"/>
      <c r="U1048" s="289"/>
      <c r="V1048" s="245"/>
      <c r="W1048" s="289"/>
      <c r="X1048" s="245"/>
      <c r="Y1048" s="289"/>
      <c r="Z1048" s="245"/>
    </row>
    <row r="1049" spans="1:26" ht="15" customHeight="1">
      <c r="A1049" s="250"/>
      <c r="B1049" s="251"/>
      <c r="C1049" s="453"/>
      <c r="D1049" s="330"/>
      <c r="E1049" s="251"/>
      <c r="F1049" s="252"/>
      <c r="G1049" s="253"/>
      <c r="H1049" s="254"/>
      <c r="I1049" s="253"/>
      <c r="J1049" s="253"/>
      <c r="K1049" s="251"/>
      <c r="L1049" s="253"/>
      <c r="M1049" s="289"/>
      <c r="N1049" s="245"/>
      <c r="O1049" s="258"/>
      <c r="P1049" s="257"/>
      <c r="Q1049" s="289"/>
      <c r="R1049" s="245"/>
      <c r="S1049" s="289"/>
      <c r="T1049" s="245"/>
      <c r="U1049" s="289"/>
      <c r="V1049" s="245"/>
      <c r="W1049" s="289"/>
      <c r="X1049" s="245"/>
      <c r="Y1049" s="289"/>
      <c r="Z1049" s="245"/>
    </row>
    <row r="1050" spans="1:26" ht="15" customHeight="1">
      <c r="A1050" s="250"/>
      <c r="B1050" s="251"/>
      <c r="C1050" s="453" t="s">
        <v>974</v>
      </c>
      <c r="D1050" s="330" t="s">
        <v>975</v>
      </c>
      <c r="E1050" s="251"/>
      <c r="F1050" s="252"/>
      <c r="G1050" s="253"/>
      <c r="H1050" s="254"/>
      <c r="I1050" s="253"/>
      <c r="J1050" s="253"/>
      <c r="K1050" s="251"/>
      <c r="L1050" s="253"/>
      <c r="M1050" s="289"/>
      <c r="N1050" s="245"/>
      <c r="O1050" s="258"/>
      <c r="P1050" s="257"/>
      <c r="Q1050" s="289"/>
      <c r="R1050" s="245"/>
      <c r="S1050" s="289"/>
      <c r="T1050" s="245"/>
      <c r="U1050" s="289"/>
      <c r="V1050" s="245"/>
      <c r="W1050" s="289"/>
      <c r="X1050" s="245"/>
      <c r="Y1050" s="289"/>
      <c r="Z1050" s="245"/>
    </row>
    <row r="1051" spans="1:26" s="436" customFormat="1" ht="15">
      <c r="A1051" s="443"/>
      <c r="B1051" s="444"/>
      <c r="C1051" s="445" t="s">
        <v>976</v>
      </c>
      <c r="D1051" s="543" t="s">
        <v>977</v>
      </c>
      <c r="E1051" s="444" t="s">
        <v>1130</v>
      </c>
      <c r="F1051" s="446">
        <f t="shared" ref="F1051:F1059" si="123">M1051+O1051+Q1051+S1051+U1051+W1051+Y1051</f>
        <v>0</v>
      </c>
      <c r="G1051" s="447">
        <f t="shared" ref="G1051:G1059" si="124">L1051</f>
        <v>54</v>
      </c>
      <c r="H1051" s="442">
        <f t="shared" ref="H1051:H1059" si="125">F1051*G1051</f>
        <v>0</v>
      </c>
      <c r="I1051" s="447">
        <f t="shared" ref="I1051:I1059" si="126">N1051+P1051+R1051+T1051+V1051+X1051+Z1051</f>
        <v>0</v>
      </c>
      <c r="J1051" s="544"/>
      <c r="K1051" s="444" t="s">
        <v>1130</v>
      </c>
      <c r="L1051" s="449">
        <v>54</v>
      </c>
      <c r="M1051" s="289"/>
      <c r="N1051" s="245"/>
      <c r="O1051" s="450">
        <v>0</v>
      </c>
      <c r="P1051" s="451">
        <f t="shared" ref="P1051:P1059" si="127">INT($L1051*O1051*100+0.5)/100</f>
        <v>0</v>
      </c>
      <c r="Q1051" s="289"/>
      <c r="R1051" s="245"/>
      <c r="S1051" s="289"/>
      <c r="T1051" s="245"/>
      <c r="U1051" s="289"/>
      <c r="V1051" s="245"/>
      <c r="W1051" s="289"/>
      <c r="X1051" s="245"/>
      <c r="Y1051" s="289"/>
      <c r="Z1051" s="245"/>
    </row>
    <row r="1052" spans="1:26" s="436" customFormat="1" ht="15">
      <c r="A1052" s="443"/>
      <c r="B1052" s="444"/>
      <c r="C1052" s="445" t="s">
        <v>978</v>
      </c>
      <c r="D1052" s="543" t="s">
        <v>979</v>
      </c>
      <c r="E1052" s="444" t="s">
        <v>1130</v>
      </c>
      <c r="F1052" s="446">
        <f t="shared" si="123"/>
        <v>0</v>
      </c>
      <c r="G1052" s="447">
        <f t="shared" si="124"/>
        <v>85</v>
      </c>
      <c r="H1052" s="442">
        <f t="shared" si="125"/>
        <v>0</v>
      </c>
      <c r="I1052" s="447">
        <f t="shared" si="126"/>
        <v>0</v>
      </c>
      <c r="J1052" s="544"/>
      <c r="K1052" s="444" t="s">
        <v>1130</v>
      </c>
      <c r="L1052" s="449">
        <v>85</v>
      </c>
      <c r="M1052" s="289"/>
      <c r="N1052" s="245"/>
      <c r="O1052" s="450">
        <v>0</v>
      </c>
      <c r="P1052" s="451">
        <f t="shared" si="127"/>
        <v>0</v>
      </c>
      <c r="Q1052" s="289"/>
      <c r="R1052" s="245"/>
      <c r="S1052" s="289"/>
      <c r="T1052" s="245"/>
      <c r="U1052" s="289"/>
      <c r="V1052" s="245"/>
      <c r="W1052" s="289"/>
      <c r="X1052" s="245"/>
      <c r="Y1052" s="289"/>
      <c r="Z1052" s="245"/>
    </row>
    <row r="1053" spans="1:26" s="436" customFormat="1" ht="15">
      <c r="A1053" s="443"/>
      <c r="B1053" s="444"/>
      <c r="C1053" s="445" t="s">
        <v>980</v>
      </c>
      <c r="D1053" s="543" t="s">
        <v>981</v>
      </c>
      <c r="E1053" s="444" t="s">
        <v>1130</v>
      </c>
      <c r="F1053" s="446">
        <f t="shared" si="123"/>
        <v>0</v>
      </c>
      <c r="G1053" s="447">
        <f t="shared" si="124"/>
        <v>90</v>
      </c>
      <c r="H1053" s="442">
        <f t="shared" si="125"/>
        <v>0</v>
      </c>
      <c r="I1053" s="447">
        <f t="shared" si="126"/>
        <v>0</v>
      </c>
      <c r="J1053" s="544"/>
      <c r="K1053" s="444" t="s">
        <v>1130</v>
      </c>
      <c r="L1053" s="449">
        <v>90</v>
      </c>
      <c r="M1053" s="289"/>
      <c r="N1053" s="245"/>
      <c r="O1053" s="450">
        <v>0</v>
      </c>
      <c r="P1053" s="451">
        <f t="shared" si="127"/>
        <v>0</v>
      </c>
      <c r="Q1053" s="289"/>
      <c r="R1053" s="245"/>
      <c r="S1053" s="289"/>
      <c r="T1053" s="245"/>
      <c r="U1053" s="289"/>
      <c r="V1053" s="245"/>
      <c r="W1053" s="289"/>
      <c r="X1053" s="245"/>
      <c r="Y1053" s="289"/>
      <c r="Z1053" s="245"/>
    </row>
    <row r="1054" spans="1:26" s="436" customFormat="1" ht="15">
      <c r="A1054" s="443"/>
      <c r="B1054" s="444"/>
      <c r="C1054" s="445" t="s">
        <v>982</v>
      </c>
      <c r="D1054" s="543" t="s">
        <v>221</v>
      </c>
      <c r="E1054" s="444" t="s">
        <v>1130</v>
      </c>
      <c r="F1054" s="446">
        <f t="shared" si="123"/>
        <v>0</v>
      </c>
      <c r="G1054" s="447">
        <f t="shared" si="124"/>
        <v>112</v>
      </c>
      <c r="H1054" s="442">
        <f t="shared" si="125"/>
        <v>0</v>
      </c>
      <c r="I1054" s="447">
        <f t="shared" si="126"/>
        <v>0</v>
      </c>
      <c r="J1054" s="544"/>
      <c r="K1054" s="444" t="s">
        <v>1130</v>
      </c>
      <c r="L1054" s="449">
        <v>112</v>
      </c>
      <c r="M1054" s="289"/>
      <c r="N1054" s="245"/>
      <c r="O1054" s="450">
        <v>0</v>
      </c>
      <c r="P1054" s="451">
        <f t="shared" si="127"/>
        <v>0</v>
      </c>
      <c r="Q1054" s="289"/>
      <c r="R1054" s="245"/>
      <c r="S1054" s="289"/>
      <c r="T1054" s="245"/>
      <c r="U1054" s="289"/>
      <c r="V1054" s="245"/>
      <c r="W1054" s="289"/>
      <c r="X1054" s="245"/>
      <c r="Y1054" s="289"/>
      <c r="Z1054" s="245"/>
    </row>
    <row r="1055" spans="1:26" s="436" customFormat="1" ht="15">
      <c r="A1055" s="443"/>
      <c r="B1055" s="444"/>
      <c r="C1055" s="445" t="s">
        <v>983</v>
      </c>
      <c r="D1055" s="543" t="s">
        <v>222</v>
      </c>
      <c r="E1055" s="444" t="s">
        <v>1130</v>
      </c>
      <c r="F1055" s="446">
        <f t="shared" si="123"/>
        <v>0</v>
      </c>
      <c r="G1055" s="447">
        <f t="shared" si="124"/>
        <v>150</v>
      </c>
      <c r="H1055" s="442">
        <f t="shared" si="125"/>
        <v>0</v>
      </c>
      <c r="I1055" s="447">
        <f t="shared" si="126"/>
        <v>0</v>
      </c>
      <c r="J1055" s="544"/>
      <c r="K1055" s="444" t="s">
        <v>1130</v>
      </c>
      <c r="L1055" s="449">
        <v>150</v>
      </c>
      <c r="M1055" s="289"/>
      <c r="N1055" s="245"/>
      <c r="O1055" s="450">
        <v>0</v>
      </c>
      <c r="P1055" s="451">
        <f t="shared" si="127"/>
        <v>0</v>
      </c>
      <c r="Q1055" s="289"/>
      <c r="R1055" s="245"/>
      <c r="S1055" s="289"/>
      <c r="T1055" s="245"/>
      <c r="U1055" s="289"/>
      <c r="V1055" s="245"/>
      <c r="W1055" s="289"/>
      <c r="X1055" s="245"/>
      <c r="Y1055" s="289"/>
      <c r="Z1055" s="245"/>
    </row>
    <row r="1056" spans="1:26" s="436" customFormat="1" ht="15">
      <c r="A1056" s="443"/>
      <c r="B1056" s="444"/>
      <c r="C1056" s="445" t="s">
        <v>984</v>
      </c>
      <c r="D1056" s="543" t="s">
        <v>223</v>
      </c>
      <c r="E1056" s="444" t="s">
        <v>1130</v>
      </c>
      <c r="F1056" s="446">
        <f t="shared" si="123"/>
        <v>0</v>
      </c>
      <c r="G1056" s="447">
        <f t="shared" si="124"/>
        <v>186</v>
      </c>
      <c r="H1056" s="442">
        <f t="shared" si="125"/>
        <v>0</v>
      </c>
      <c r="I1056" s="447">
        <f t="shared" si="126"/>
        <v>0</v>
      </c>
      <c r="J1056" s="544"/>
      <c r="K1056" s="444" t="s">
        <v>1130</v>
      </c>
      <c r="L1056" s="449">
        <v>186</v>
      </c>
      <c r="M1056" s="289"/>
      <c r="N1056" s="245"/>
      <c r="O1056" s="450">
        <v>0</v>
      </c>
      <c r="P1056" s="451">
        <f t="shared" si="127"/>
        <v>0</v>
      </c>
      <c r="Q1056" s="289"/>
      <c r="R1056" s="245"/>
      <c r="S1056" s="289"/>
      <c r="T1056" s="245"/>
      <c r="U1056" s="289"/>
      <c r="V1056" s="245"/>
      <c r="W1056" s="289"/>
      <c r="X1056" s="245"/>
      <c r="Y1056" s="289"/>
      <c r="Z1056" s="245"/>
    </row>
    <row r="1057" spans="1:26" s="436" customFormat="1" ht="15">
      <c r="A1057" s="443"/>
      <c r="B1057" s="444"/>
      <c r="C1057" s="445" t="s">
        <v>985</v>
      </c>
      <c r="D1057" s="543" t="s">
        <v>224</v>
      </c>
      <c r="E1057" s="444" t="s">
        <v>1130</v>
      </c>
      <c r="F1057" s="446">
        <f t="shared" si="123"/>
        <v>0</v>
      </c>
      <c r="G1057" s="447">
        <f t="shared" si="124"/>
        <v>245</v>
      </c>
      <c r="H1057" s="442">
        <f t="shared" si="125"/>
        <v>0</v>
      </c>
      <c r="I1057" s="447">
        <f t="shared" si="126"/>
        <v>0</v>
      </c>
      <c r="J1057" s="544"/>
      <c r="K1057" s="444" t="s">
        <v>1130</v>
      </c>
      <c r="L1057" s="449">
        <v>245</v>
      </c>
      <c r="M1057" s="289"/>
      <c r="N1057" s="245"/>
      <c r="O1057" s="450">
        <v>0</v>
      </c>
      <c r="P1057" s="451">
        <f t="shared" si="127"/>
        <v>0</v>
      </c>
      <c r="Q1057" s="289"/>
      <c r="R1057" s="245"/>
      <c r="S1057" s="289"/>
      <c r="T1057" s="245"/>
      <c r="U1057" s="289"/>
      <c r="V1057" s="245"/>
      <c r="W1057" s="289"/>
      <c r="X1057" s="245"/>
      <c r="Y1057" s="289"/>
      <c r="Z1057" s="245"/>
    </row>
    <row r="1058" spans="1:26" s="436" customFormat="1" ht="15">
      <c r="A1058" s="443"/>
      <c r="B1058" s="444"/>
      <c r="C1058" s="445" t="s">
        <v>986</v>
      </c>
      <c r="D1058" s="543" t="s">
        <v>235</v>
      </c>
      <c r="E1058" s="444" t="s">
        <v>1130</v>
      </c>
      <c r="F1058" s="446">
        <f t="shared" si="123"/>
        <v>0</v>
      </c>
      <c r="G1058" s="447">
        <f t="shared" si="124"/>
        <v>415</v>
      </c>
      <c r="H1058" s="442">
        <f t="shared" si="125"/>
        <v>0</v>
      </c>
      <c r="I1058" s="447">
        <f t="shared" si="126"/>
        <v>0</v>
      </c>
      <c r="J1058" s="544"/>
      <c r="K1058" s="444" t="s">
        <v>1130</v>
      </c>
      <c r="L1058" s="449">
        <v>415</v>
      </c>
      <c r="M1058" s="289"/>
      <c r="N1058" s="245"/>
      <c r="O1058" s="450">
        <v>0</v>
      </c>
      <c r="P1058" s="451">
        <f t="shared" si="127"/>
        <v>0</v>
      </c>
      <c r="Q1058" s="289"/>
      <c r="R1058" s="245"/>
      <c r="S1058" s="289"/>
      <c r="T1058" s="245"/>
      <c r="U1058" s="289"/>
      <c r="V1058" s="245"/>
      <c r="W1058" s="289"/>
      <c r="X1058" s="245"/>
      <c r="Y1058" s="289"/>
      <c r="Z1058" s="245"/>
    </row>
    <row r="1059" spans="1:26" s="436" customFormat="1" ht="15">
      <c r="A1059" s="443"/>
      <c r="B1059" s="444"/>
      <c r="C1059" s="445" t="s">
        <v>987</v>
      </c>
      <c r="D1059" s="543" t="s">
        <v>236</v>
      </c>
      <c r="E1059" s="444" t="s">
        <v>1130</v>
      </c>
      <c r="F1059" s="446">
        <f t="shared" si="123"/>
        <v>0</v>
      </c>
      <c r="G1059" s="447">
        <f t="shared" si="124"/>
        <v>470</v>
      </c>
      <c r="H1059" s="442">
        <f t="shared" si="125"/>
        <v>0</v>
      </c>
      <c r="I1059" s="447">
        <f t="shared" si="126"/>
        <v>0</v>
      </c>
      <c r="J1059" s="544"/>
      <c r="K1059" s="444" t="s">
        <v>1130</v>
      </c>
      <c r="L1059" s="449">
        <v>470</v>
      </c>
      <c r="M1059" s="289"/>
      <c r="N1059" s="245"/>
      <c r="O1059" s="450">
        <v>0</v>
      </c>
      <c r="P1059" s="451">
        <f t="shared" si="127"/>
        <v>0</v>
      </c>
      <c r="Q1059" s="289"/>
      <c r="R1059" s="245"/>
      <c r="S1059" s="289"/>
      <c r="T1059" s="245"/>
      <c r="U1059" s="289"/>
      <c r="V1059" s="245"/>
      <c r="W1059" s="289"/>
      <c r="X1059" s="245"/>
      <c r="Y1059" s="289"/>
      <c r="Z1059" s="245"/>
    </row>
    <row r="1060" spans="1:26" s="454" customFormat="1" ht="15">
      <c r="A1060" s="284"/>
      <c r="B1060" s="237"/>
      <c r="C1060" s="460"/>
      <c r="D1060" s="238"/>
      <c r="E1060" s="237"/>
      <c r="F1060" s="304"/>
      <c r="G1060" s="240"/>
      <c r="H1060" s="459"/>
      <c r="I1060" s="240"/>
      <c r="J1060" s="545"/>
      <c r="K1060" s="237"/>
      <c r="L1060" s="306"/>
      <c r="M1060" s="289"/>
      <c r="N1060" s="245"/>
      <c r="O1060" s="289"/>
      <c r="P1060" s="245"/>
      <c r="Q1060" s="289"/>
      <c r="R1060" s="245"/>
      <c r="S1060" s="289"/>
      <c r="T1060" s="245"/>
      <c r="U1060" s="289"/>
      <c r="V1060" s="245"/>
      <c r="W1060" s="289"/>
      <c r="X1060" s="245"/>
      <c r="Y1060" s="289"/>
      <c r="Z1060" s="245"/>
    </row>
    <row r="1061" spans="1:26" s="436" customFormat="1" ht="15">
      <c r="A1061" s="443"/>
      <c r="B1061" s="444"/>
      <c r="C1061" s="445"/>
      <c r="D1061" s="543" t="s">
        <v>2020</v>
      </c>
      <c r="E1061" s="444"/>
      <c r="F1061" s="446"/>
      <c r="G1061" s="447"/>
      <c r="H1061" s="459"/>
      <c r="I1061" s="447">
        <f>P1061</f>
        <v>165888.28999999995</v>
      </c>
      <c r="J1061" s="544"/>
      <c r="K1061" s="444"/>
      <c r="L1061" s="449"/>
      <c r="M1061" s="289"/>
      <c r="N1061" s="245"/>
      <c r="O1061" s="450"/>
      <c r="P1061" s="451">
        <f>(250-100+250)*700*1.05-P1954-P1927</f>
        <v>165888.28999999995</v>
      </c>
      <c r="Q1061" s="289"/>
      <c r="R1061" s="245"/>
      <c r="S1061" s="289"/>
      <c r="T1061" s="245"/>
      <c r="U1061" s="289"/>
      <c r="V1061" s="245"/>
      <c r="W1061" s="289"/>
      <c r="X1061" s="245"/>
      <c r="Y1061" s="289"/>
      <c r="Z1061" s="245"/>
    </row>
    <row r="1062" spans="1:26" ht="15" customHeight="1">
      <c r="A1062" s="250"/>
      <c r="B1062" s="251"/>
      <c r="C1062" s="453"/>
      <c r="D1062" s="330"/>
      <c r="E1062" s="251"/>
      <c r="F1062" s="252"/>
      <c r="G1062" s="253"/>
      <c r="H1062" s="254"/>
      <c r="I1062" s="253"/>
      <c r="J1062" s="253"/>
      <c r="K1062" s="251"/>
      <c r="L1062" s="261"/>
      <c r="M1062" s="289"/>
      <c r="N1062" s="245"/>
      <c r="O1062" s="258"/>
      <c r="P1062" s="257"/>
      <c r="Q1062" s="258"/>
      <c r="R1062" s="257"/>
      <c r="S1062" s="258"/>
      <c r="T1062" s="257"/>
      <c r="U1062" s="258"/>
      <c r="V1062" s="257"/>
      <c r="W1062" s="258"/>
      <c r="X1062" s="257"/>
      <c r="Y1062" s="258"/>
      <c r="Z1062" s="257"/>
    </row>
    <row r="1063" spans="1:26" s="303" customFormat="1" ht="15" customHeight="1">
      <c r="A1063" s="298"/>
      <c r="B1063" s="299"/>
      <c r="C1063" s="267"/>
      <c r="D1063" s="333" t="s">
        <v>989</v>
      </c>
      <c r="E1063" s="299"/>
      <c r="F1063" s="301"/>
      <c r="G1063" s="263"/>
      <c r="H1063" s="272"/>
      <c r="I1063" s="272">
        <f>N1063+P1063+R1063+T1063+V1063+X1063+Z1063</f>
        <v>165888.28999999995</v>
      </c>
      <c r="J1063" s="269">
        <f>SUM(N1063:Z1063)</f>
        <v>165888.28999999995</v>
      </c>
      <c r="K1063" s="299"/>
      <c r="L1063" s="271"/>
      <c r="M1063" s="323"/>
      <c r="N1063" s="323">
        <f>SUM(N708:N1062)</f>
        <v>0</v>
      </c>
      <c r="O1063" s="273"/>
      <c r="P1063" s="323">
        <f>SUM(P708:P1062)</f>
        <v>165888.28999999995</v>
      </c>
      <c r="Q1063" s="273"/>
      <c r="R1063" s="323">
        <f>SUM(R708:R1062)</f>
        <v>0</v>
      </c>
      <c r="S1063" s="273"/>
      <c r="T1063" s="323">
        <f>SUM(T708:T1062)</f>
        <v>0</v>
      </c>
      <c r="U1063" s="273"/>
      <c r="V1063" s="323">
        <f>SUM(V708:V1062)</f>
        <v>0</v>
      </c>
      <c r="W1063" s="273"/>
      <c r="X1063" s="323">
        <f>SUM(X708:X1062)</f>
        <v>0</v>
      </c>
      <c r="Y1063" s="273"/>
      <c r="Z1063" s="323">
        <f>SUM(Z708:Z1062)</f>
        <v>0</v>
      </c>
    </row>
    <row r="1064" spans="1:26" ht="15" customHeight="1">
      <c r="A1064" s="250"/>
      <c r="B1064" s="251"/>
      <c r="C1064" s="453"/>
      <c r="D1064" s="330"/>
      <c r="E1064" s="251"/>
      <c r="F1064" s="252"/>
      <c r="G1064" s="253"/>
      <c r="H1064" s="254"/>
      <c r="I1064" s="253"/>
      <c r="J1064" s="253"/>
      <c r="K1064" s="251"/>
      <c r="L1064" s="261"/>
      <c r="M1064" s="289"/>
      <c r="N1064" s="494">
        <f>N1063/$N$1928</f>
        <v>0</v>
      </c>
      <c r="O1064" s="258"/>
      <c r="P1064" s="257"/>
      <c r="Q1064" s="258"/>
      <c r="R1064" s="257"/>
      <c r="S1064" s="258"/>
      <c r="T1064" s="257"/>
      <c r="U1064" s="258"/>
      <c r="V1064" s="257"/>
      <c r="W1064" s="258"/>
      <c r="X1064" s="257"/>
      <c r="Y1064" s="258"/>
      <c r="Z1064" s="257"/>
    </row>
    <row r="1065" spans="1:26" ht="25.5">
      <c r="A1065" s="250"/>
      <c r="B1065" s="251"/>
      <c r="C1065" s="453" t="s">
        <v>1572</v>
      </c>
      <c r="D1065" s="330" t="s">
        <v>1573</v>
      </c>
      <c r="E1065" s="251"/>
      <c r="F1065" s="252"/>
      <c r="G1065" s="253"/>
      <c r="H1065" s="254"/>
      <c r="I1065" s="253"/>
      <c r="J1065" s="253"/>
      <c r="K1065" s="251"/>
      <c r="L1065" s="261"/>
      <c r="M1065" s="289"/>
      <c r="N1065" s="245"/>
      <c r="O1065" s="258"/>
      <c r="P1065" s="257"/>
      <c r="Q1065" s="258"/>
      <c r="R1065" s="257"/>
      <c r="S1065" s="258"/>
      <c r="T1065" s="257"/>
      <c r="U1065" s="258"/>
      <c r="V1065" s="257"/>
      <c r="W1065" s="258"/>
      <c r="X1065" s="257"/>
      <c r="Y1065" s="258"/>
      <c r="Z1065" s="257"/>
    </row>
    <row r="1066" spans="1:26" ht="15">
      <c r="A1066" s="250">
        <f>A699+1</f>
        <v>193</v>
      </c>
      <c r="B1066" s="251"/>
      <c r="C1066" s="526" t="s">
        <v>837</v>
      </c>
      <c r="D1066" s="526" t="s">
        <v>919</v>
      </c>
      <c r="E1066" s="251"/>
      <c r="F1066" s="252"/>
      <c r="G1066" s="253"/>
      <c r="H1066" s="254"/>
      <c r="I1066" s="253"/>
      <c r="J1066" s="253"/>
      <c r="K1066" s="251"/>
      <c r="L1066" s="261"/>
      <c r="M1066" s="289"/>
      <c r="N1066" s="245"/>
      <c r="O1066" s="258"/>
      <c r="P1066" s="257"/>
      <c r="Q1066" s="258"/>
      <c r="R1066" s="257"/>
      <c r="S1066" s="258"/>
      <c r="T1066" s="257"/>
      <c r="U1066" s="258"/>
      <c r="V1066" s="257"/>
      <c r="W1066" s="258"/>
      <c r="X1066" s="257"/>
      <c r="Y1066" s="258"/>
      <c r="Z1066" s="257"/>
    </row>
    <row r="1067" spans="1:26" ht="25.5">
      <c r="A1067" s="250"/>
      <c r="B1067" s="251"/>
      <c r="C1067" s="526"/>
      <c r="D1067" s="526" t="s">
        <v>829</v>
      </c>
      <c r="E1067" s="251"/>
      <c r="F1067" s="252"/>
      <c r="G1067" s="253"/>
      <c r="H1067" s="254"/>
      <c r="I1067" s="253"/>
      <c r="J1067" s="253"/>
      <c r="K1067" s="251"/>
      <c r="L1067" s="261"/>
      <c r="M1067" s="289"/>
      <c r="N1067" s="245"/>
      <c r="O1067" s="258"/>
      <c r="P1067" s="257"/>
      <c r="Q1067" s="258"/>
      <c r="R1067" s="257"/>
      <c r="S1067" s="258"/>
      <c r="T1067" s="257"/>
      <c r="U1067" s="258"/>
      <c r="V1067" s="257"/>
      <c r="W1067" s="258"/>
      <c r="X1067" s="257"/>
      <c r="Y1067" s="258"/>
      <c r="Z1067" s="257"/>
    </row>
    <row r="1068" spans="1:26" ht="15" customHeight="1">
      <c r="A1068" s="250" t="s">
        <v>726</v>
      </c>
      <c r="B1068" s="251"/>
      <c r="C1068" s="647" t="s">
        <v>830</v>
      </c>
      <c r="D1068" s="526" t="s">
        <v>2176</v>
      </c>
      <c r="E1068" s="251" t="s">
        <v>2475</v>
      </c>
      <c r="F1068" s="304">
        <f t="shared" ref="F1068:F1075" si="128">M1068+O1068+Q1068+S1068+U1068+W1068+Y1068</f>
        <v>40</v>
      </c>
      <c r="G1068" s="253">
        <f t="shared" ref="G1068:G1075" si="129">L1068</f>
        <v>15.259999999999998</v>
      </c>
      <c r="H1068" s="254">
        <f>INT(F1068*G1068*100+0.5)/100</f>
        <v>610.4</v>
      </c>
      <c r="I1068" s="253">
        <f t="shared" ref="I1068:I1075" si="130">N1068+P1068+R1068+T1068+V1068+X1068+Z1068</f>
        <v>610.4</v>
      </c>
      <c r="J1068" s="253"/>
      <c r="K1068" s="251" t="s">
        <v>2475</v>
      </c>
      <c r="L1068" s="255">
        <f>(60.75-45.49)</f>
        <v>15.259999999999998</v>
      </c>
      <c r="M1068" s="289">
        <f>5*8</f>
        <v>40</v>
      </c>
      <c r="N1068" s="245">
        <f t="shared" ref="N1068:N1075" si="131">INT($L1068*M1068*100+0.5)/100</f>
        <v>610.4</v>
      </c>
      <c r="O1068" s="258">
        <v>0</v>
      </c>
      <c r="P1068" s="257">
        <f t="shared" ref="P1068:P1075" si="132">INT($L1068*O1068*100+0.5)/100</f>
        <v>0</v>
      </c>
      <c r="Q1068" s="258">
        <v>0</v>
      </c>
      <c r="R1068" s="257">
        <f t="shared" ref="R1068:R1075" si="133">INT($L1068*Q1068*100+0.5)/100</f>
        <v>0</v>
      </c>
      <c r="S1068" s="258">
        <v>0</v>
      </c>
      <c r="T1068" s="257">
        <f t="shared" ref="T1068:T1075" si="134">INT($L1068*S1068*100+0.5)/100</f>
        <v>0</v>
      </c>
      <c r="U1068" s="258">
        <v>0</v>
      </c>
      <c r="V1068" s="257">
        <f t="shared" ref="V1068:V1075" si="135">INT($L1068*U1068*100+0.5)/100</f>
        <v>0</v>
      </c>
      <c r="W1068" s="258">
        <v>0</v>
      </c>
      <c r="X1068" s="257">
        <f t="shared" ref="X1068:X1075" si="136">INT($L1068*W1068*100+0.5)/100</f>
        <v>0</v>
      </c>
      <c r="Y1068" s="258">
        <v>0</v>
      </c>
      <c r="Z1068" s="257">
        <f t="shared" ref="Z1068:Z1075" si="137">INT($L1068*Y1068*100+0.5)/100</f>
        <v>0</v>
      </c>
    </row>
    <row r="1069" spans="1:26" ht="15" customHeight="1">
      <c r="A1069" s="250" t="s">
        <v>727</v>
      </c>
      <c r="B1069" s="251"/>
      <c r="C1069" s="647" t="s">
        <v>831</v>
      </c>
      <c r="D1069" s="292" t="s">
        <v>2177</v>
      </c>
      <c r="E1069" s="251" t="s">
        <v>2475</v>
      </c>
      <c r="F1069" s="304">
        <f t="shared" si="128"/>
        <v>0</v>
      </c>
      <c r="G1069" s="253">
        <f t="shared" si="129"/>
        <v>18.32</v>
      </c>
      <c r="H1069" s="254">
        <f t="shared" ref="H1069:H1075" si="138">INT(F1069*G1069*100+0.5)/100</f>
        <v>0</v>
      </c>
      <c r="I1069" s="253">
        <f t="shared" si="130"/>
        <v>0</v>
      </c>
      <c r="J1069" s="253"/>
      <c r="K1069" s="251" t="s">
        <v>2475</v>
      </c>
      <c r="L1069" s="255">
        <f>(69.28-50.96)</f>
        <v>18.32</v>
      </c>
      <c r="M1069" s="289">
        <v>0</v>
      </c>
      <c r="N1069" s="245">
        <f t="shared" si="131"/>
        <v>0</v>
      </c>
      <c r="O1069" s="258">
        <v>0</v>
      </c>
      <c r="P1069" s="257">
        <f t="shared" si="132"/>
        <v>0</v>
      </c>
      <c r="Q1069" s="258">
        <v>0</v>
      </c>
      <c r="R1069" s="257">
        <f t="shared" si="133"/>
        <v>0</v>
      </c>
      <c r="S1069" s="258">
        <v>0</v>
      </c>
      <c r="T1069" s="257">
        <f t="shared" si="134"/>
        <v>0</v>
      </c>
      <c r="U1069" s="258">
        <v>0</v>
      </c>
      <c r="V1069" s="257">
        <f t="shared" si="135"/>
        <v>0</v>
      </c>
      <c r="W1069" s="258">
        <v>0</v>
      </c>
      <c r="X1069" s="257">
        <f t="shared" si="136"/>
        <v>0</v>
      </c>
      <c r="Y1069" s="258">
        <v>0</v>
      </c>
      <c r="Z1069" s="257">
        <f t="shared" si="137"/>
        <v>0</v>
      </c>
    </row>
    <row r="1070" spans="1:26" s="281" customFormat="1" ht="15" customHeight="1">
      <c r="A1070" s="463"/>
      <c r="B1070" s="277"/>
      <c r="C1070" s="647"/>
      <c r="D1070" s="335" t="s">
        <v>2068</v>
      </c>
      <c r="E1070" s="251" t="s">
        <v>2475</v>
      </c>
      <c r="F1070" s="304">
        <f t="shared" si="128"/>
        <v>20</v>
      </c>
      <c r="G1070" s="253">
        <f t="shared" si="129"/>
        <v>18.32</v>
      </c>
      <c r="H1070" s="254">
        <f>INT(F1070*G1070*100+0.5)/100</f>
        <v>366.4</v>
      </c>
      <c r="I1070" s="253">
        <f t="shared" si="130"/>
        <v>366.4</v>
      </c>
      <c r="J1070" s="456"/>
      <c r="K1070" s="251" t="s">
        <v>2475</v>
      </c>
      <c r="L1070" s="255">
        <f>(69.28-50.96)</f>
        <v>18.32</v>
      </c>
      <c r="M1070" s="464">
        <v>20</v>
      </c>
      <c r="N1070" s="347">
        <f t="shared" si="131"/>
        <v>366.4</v>
      </c>
      <c r="O1070" s="258">
        <v>0</v>
      </c>
      <c r="P1070" s="257">
        <f t="shared" si="132"/>
        <v>0</v>
      </c>
      <c r="Q1070" s="258">
        <v>0</v>
      </c>
      <c r="R1070" s="257">
        <f t="shared" si="133"/>
        <v>0</v>
      </c>
      <c r="S1070" s="258">
        <v>0</v>
      </c>
      <c r="T1070" s="257">
        <f t="shared" si="134"/>
        <v>0</v>
      </c>
      <c r="U1070" s="258">
        <v>0</v>
      </c>
      <c r="V1070" s="257">
        <f t="shared" si="135"/>
        <v>0</v>
      </c>
      <c r="W1070" s="258">
        <v>0</v>
      </c>
      <c r="X1070" s="257">
        <f t="shared" si="136"/>
        <v>0</v>
      </c>
      <c r="Y1070" s="258">
        <v>0</v>
      </c>
      <c r="Z1070" s="257">
        <f t="shared" si="137"/>
        <v>0</v>
      </c>
    </row>
    <row r="1071" spans="1:26" ht="15" customHeight="1">
      <c r="A1071" s="250" t="s">
        <v>728</v>
      </c>
      <c r="B1071" s="251"/>
      <c r="C1071" s="647" t="s">
        <v>832</v>
      </c>
      <c r="D1071" s="292" t="s">
        <v>2174</v>
      </c>
      <c r="E1071" s="251" t="s">
        <v>2475</v>
      </c>
      <c r="F1071" s="304">
        <f t="shared" si="128"/>
        <v>20</v>
      </c>
      <c r="G1071" s="253">
        <f t="shared" si="129"/>
        <v>25.270000000000003</v>
      </c>
      <c r="H1071" s="254">
        <f t="shared" si="138"/>
        <v>505.4</v>
      </c>
      <c r="I1071" s="253">
        <f t="shared" si="130"/>
        <v>505.4</v>
      </c>
      <c r="J1071" s="253"/>
      <c r="K1071" s="251" t="s">
        <v>2475</v>
      </c>
      <c r="L1071" s="255">
        <f>(85.92-60.65)</f>
        <v>25.270000000000003</v>
      </c>
      <c r="M1071" s="464">
        <v>20</v>
      </c>
      <c r="N1071" s="347">
        <f t="shared" si="131"/>
        <v>505.4</v>
      </c>
      <c r="O1071" s="258">
        <v>0</v>
      </c>
      <c r="P1071" s="257">
        <f t="shared" si="132"/>
        <v>0</v>
      </c>
      <c r="Q1071" s="258">
        <v>0</v>
      </c>
      <c r="R1071" s="257">
        <f t="shared" si="133"/>
        <v>0</v>
      </c>
      <c r="S1071" s="258">
        <v>0</v>
      </c>
      <c r="T1071" s="257">
        <f t="shared" si="134"/>
        <v>0</v>
      </c>
      <c r="U1071" s="258">
        <v>0</v>
      </c>
      <c r="V1071" s="257">
        <f t="shared" si="135"/>
        <v>0</v>
      </c>
      <c r="W1071" s="258">
        <v>0</v>
      </c>
      <c r="X1071" s="257">
        <f t="shared" si="136"/>
        <v>0</v>
      </c>
      <c r="Y1071" s="258">
        <v>0</v>
      </c>
      <c r="Z1071" s="257">
        <f t="shared" si="137"/>
        <v>0</v>
      </c>
    </row>
    <row r="1072" spans="1:26" ht="15" customHeight="1">
      <c r="A1072" s="250" t="s">
        <v>732</v>
      </c>
      <c r="B1072" s="251"/>
      <c r="C1072" s="647" t="s">
        <v>833</v>
      </c>
      <c r="D1072" s="292" t="s">
        <v>1774</v>
      </c>
      <c r="E1072" s="251" t="s">
        <v>2475</v>
      </c>
      <c r="F1072" s="304">
        <f t="shared" si="128"/>
        <v>710</v>
      </c>
      <c r="G1072" s="253">
        <f t="shared" si="129"/>
        <v>34.549999999999997</v>
      </c>
      <c r="H1072" s="254">
        <f t="shared" si="138"/>
        <v>24530.5</v>
      </c>
      <c r="I1072" s="253">
        <f t="shared" si="130"/>
        <v>24530.5</v>
      </c>
      <c r="J1072" s="253"/>
      <c r="K1072" s="251" t="s">
        <v>2475</v>
      </c>
      <c r="L1072" s="255">
        <f>(105.25-70.7)</f>
        <v>34.549999999999997</v>
      </c>
      <c r="M1072" s="289">
        <f>190+250+250+20</f>
        <v>710</v>
      </c>
      <c r="N1072" s="245">
        <f t="shared" si="131"/>
        <v>24530.5</v>
      </c>
      <c r="O1072" s="258">
        <v>0</v>
      </c>
      <c r="P1072" s="257">
        <f t="shared" si="132"/>
        <v>0</v>
      </c>
      <c r="Q1072" s="258">
        <v>0</v>
      </c>
      <c r="R1072" s="257">
        <f t="shared" si="133"/>
        <v>0</v>
      </c>
      <c r="S1072" s="258">
        <v>0</v>
      </c>
      <c r="T1072" s="257">
        <f t="shared" si="134"/>
        <v>0</v>
      </c>
      <c r="U1072" s="258">
        <v>0</v>
      </c>
      <c r="V1072" s="257">
        <f t="shared" si="135"/>
        <v>0</v>
      </c>
      <c r="W1072" s="258">
        <v>0</v>
      </c>
      <c r="X1072" s="257">
        <f t="shared" si="136"/>
        <v>0</v>
      </c>
      <c r="Y1072" s="258">
        <v>0</v>
      </c>
      <c r="Z1072" s="257">
        <f t="shared" si="137"/>
        <v>0</v>
      </c>
    </row>
    <row r="1073" spans="1:35" ht="15" customHeight="1">
      <c r="A1073" s="250" t="s">
        <v>733</v>
      </c>
      <c r="B1073" s="251"/>
      <c r="C1073" s="647" t="s">
        <v>834</v>
      </c>
      <c r="D1073" s="292" t="s">
        <v>2145</v>
      </c>
      <c r="E1073" s="251" t="s">
        <v>2475</v>
      </c>
      <c r="F1073" s="304">
        <f t="shared" si="128"/>
        <v>0</v>
      </c>
      <c r="G1073" s="253">
        <f t="shared" si="129"/>
        <v>34.000000000000014</v>
      </c>
      <c r="H1073" s="254">
        <f t="shared" si="138"/>
        <v>0</v>
      </c>
      <c r="I1073" s="253">
        <f t="shared" si="130"/>
        <v>0</v>
      </c>
      <c r="J1073" s="253"/>
      <c r="K1073" s="251" t="s">
        <v>2475</v>
      </c>
      <c r="L1073" s="255">
        <f>(131.55-97.55)</f>
        <v>34.000000000000014</v>
      </c>
      <c r="M1073" s="289">
        <v>0</v>
      </c>
      <c r="N1073" s="245">
        <f t="shared" si="131"/>
        <v>0</v>
      </c>
      <c r="O1073" s="258">
        <v>0</v>
      </c>
      <c r="P1073" s="257">
        <f t="shared" si="132"/>
        <v>0</v>
      </c>
      <c r="Q1073" s="258">
        <v>0</v>
      </c>
      <c r="R1073" s="257">
        <f t="shared" si="133"/>
        <v>0</v>
      </c>
      <c r="S1073" s="258">
        <v>0</v>
      </c>
      <c r="T1073" s="257">
        <f t="shared" si="134"/>
        <v>0</v>
      </c>
      <c r="U1073" s="258">
        <v>0</v>
      </c>
      <c r="V1073" s="257">
        <f t="shared" si="135"/>
        <v>0</v>
      </c>
      <c r="W1073" s="258">
        <v>0</v>
      </c>
      <c r="X1073" s="257">
        <f t="shared" si="136"/>
        <v>0</v>
      </c>
      <c r="Y1073" s="258">
        <v>0</v>
      </c>
      <c r="Z1073" s="257">
        <f t="shared" si="137"/>
        <v>0</v>
      </c>
    </row>
    <row r="1074" spans="1:35" ht="15" customHeight="1">
      <c r="A1074" s="250" t="s">
        <v>734</v>
      </c>
      <c r="B1074" s="251"/>
      <c r="C1074" s="647" t="s">
        <v>835</v>
      </c>
      <c r="D1074" s="292" t="s">
        <v>2146</v>
      </c>
      <c r="E1074" s="251" t="s">
        <v>2475</v>
      </c>
      <c r="F1074" s="304">
        <f t="shared" si="128"/>
        <v>0</v>
      </c>
      <c r="G1074" s="253">
        <f t="shared" si="129"/>
        <v>49.349999999999994</v>
      </c>
      <c r="H1074" s="254">
        <f t="shared" si="138"/>
        <v>0</v>
      </c>
      <c r="I1074" s="253">
        <f t="shared" si="130"/>
        <v>0</v>
      </c>
      <c r="J1074" s="253"/>
      <c r="K1074" s="251" t="s">
        <v>2475</v>
      </c>
      <c r="L1074" s="255">
        <f>(183.35-134)</f>
        <v>49.349999999999994</v>
      </c>
      <c r="M1074" s="289">
        <v>0</v>
      </c>
      <c r="N1074" s="245">
        <f t="shared" si="131"/>
        <v>0</v>
      </c>
      <c r="O1074" s="258">
        <v>0</v>
      </c>
      <c r="P1074" s="257">
        <f t="shared" si="132"/>
        <v>0</v>
      </c>
      <c r="Q1074" s="258">
        <v>0</v>
      </c>
      <c r="R1074" s="257">
        <f t="shared" si="133"/>
        <v>0</v>
      </c>
      <c r="S1074" s="258">
        <v>0</v>
      </c>
      <c r="T1074" s="257">
        <f t="shared" si="134"/>
        <v>0</v>
      </c>
      <c r="U1074" s="258">
        <v>0</v>
      </c>
      <c r="V1074" s="257">
        <f t="shared" si="135"/>
        <v>0</v>
      </c>
      <c r="W1074" s="258">
        <v>0</v>
      </c>
      <c r="X1074" s="257">
        <f t="shared" si="136"/>
        <v>0</v>
      </c>
      <c r="Y1074" s="258">
        <v>0</v>
      </c>
      <c r="Z1074" s="257">
        <f t="shared" si="137"/>
        <v>0</v>
      </c>
    </row>
    <row r="1075" spans="1:35" ht="15" customHeight="1">
      <c r="A1075" s="250" t="s">
        <v>735</v>
      </c>
      <c r="B1075" s="251"/>
      <c r="C1075" s="647" t="s">
        <v>836</v>
      </c>
      <c r="D1075" s="292" t="s">
        <v>920</v>
      </c>
      <c r="E1075" s="251" t="s">
        <v>2475</v>
      </c>
      <c r="F1075" s="304">
        <f t="shared" si="128"/>
        <v>0</v>
      </c>
      <c r="G1075" s="253">
        <f t="shared" si="129"/>
        <v>55.870000000000005</v>
      </c>
      <c r="H1075" s="254">
        <f t="shared" si="138"/>
        <v>0</v>
      </c>
      <c r="I1075" s="253">
        <f t="shared" si="130"/>
        <v>0</v>
      </c>
      <c r="J1075" s="253"/>
      <c r="K1075" s="251" t="s">
        <v>2475</v>
      </c>
      <c r="L1075" s="255">
        <f>(235.46-179.59)</f>
        <v>55.870000000000005</v>
      </c>
      <c r="M1075" s="289">
        <v>0</v>
      </c>
      <c r="N1075" s="245">
        <f t="shared" si="131"/>
        <v>0</v>
      </c>
      <c r="O1075" s="258">
        <v>0</v>
      </c>
      <c r="P1075" s="257">
        <f t="shared" si="132"/>
        <v>0</v>
      </c>
      <c r="Q1075" s="258">
        <v>0</v>
      </c>
      <c r="R1075" s="257">
        <f t="shared" si="133"/>
        <v>0</v>
      </c>
      <c r="S1075" s="258">
        <v>0</v>
      </c>
      <c r="T1075" s="257">
        <f t="shared" si="134"/>
        <v>0</v>
      </c>
      <c r="U1075" s="258">
        <v>0</v>
      </c>
      <c r="V1075" s="257">
        <f t="shared" si="135"/>
        <v>0</v>
      </c>
      <c r="W1075" s="258">
        <v>0</v>
      </c>
      <c r="X1075" s="257">
        <f t="shared" si="136"/>
        <v>0</v>
      </c>
      <c r="Y1075" s="258">
        <v>0</v>
      </c>
      <c r="Z1075" s="257">
        <f t="shared" si="137"/>
        <v>0</v>
      </c>
    </row>
    <row r="1076" spans="1:35" ht="15" customHeight="1">
      <c r="A1076" s="250"/>
      <c r="B1076" s="251"/>
      <c r="C1076" s="526"/>
      <c r="D1076" s="292"/>
      <c r="E1076" s="251"/>
      <c r="F1076" s="252"/>
      <c r="G1076" s="253"/>
      <c r="H1076" s="254"/>
      <c r="I1076" s="253"/>
      <c r="J1076" s="253"/>
      <c r="K1076" s="251"/>
      <c r="L1076" s="262"/>
      <c r="M1076" s="289"/>
      <c r="N1076" s="245"/>
      <c r="O1076" s="258"/>
      <c r="P1076" s="257"/>
      <c r="Q1076" s="258"/>
      <c r="R1076" s="257"/>
      <c r="S1076" s="258"/>
      <c r="T1076" s="257"/>
      <c r="U1076" s="258"/>
      <c r="V1076" s="257"/>
      <c r="W1076" s="258"/>
      <c r="X1076" s="257"/>
      <c r="Y1076" s="258"/>
      <c r="Z1076" s="257"/>
    </row>
    <row r="1077" spans="1:35" ht="25.5">
      <c r="A1077" s="250">
        <f>A1066+1</f>
        <v>194</v>
      </c>
      <c r="B1077" s="251"/>
      <c r="C1077" s="665" t="s">
        <v>2490</v>
      </c>
      <c r="D1077" s="526" t="s">
        <v>945</v>
      </c>
      <c r="E1077" s="251"/>
      <c r="F1077" s="252"/>
      <c r="G1077" s="253"/>
      <c r="H1077" s="254"/>
      <c r="I1077" s="253"/>
      <c r="J1077" s="253"/>
      <c r="K1077" s="251"/>
      <c r="L1077" s="262"/>
      <c r="M1077" s="289"/>
      <c r="N1077" s="245"/>
      <c r="O1077" s="258"/>
      <c r="P1077" s="257"/>
      <c r="Q1077" s="258"/>
      <c r="R1077" s="257"/>
      <c r="S1077" s="258"/>
      <c r="T1077" s="257"/>
      <c r="U1077" s="258"/>
      <c r="V1077" s="257"/>
      <c r="W1077" s="258"/>
      <c r="X1077" s="257"/>
      <c r="Y1077" s="258"/>
      <c r="Z1077" s="257"/>
    </row>
    <row r="1078" spans="1:35" ht="25.5">
      <c r="A1078" s="250"/>
      <c r="B1078" s="251"/>
      <c r="C1078" s="665"/>
      <c r="D1078" s="526" t="s">
        <v>839</v>
      </c>
      <c r="E1078" s="251"/>
      <c r="F1078" s="252"/>
      <c r="G1078" s="253"/>
      <c r="H1078" s="254"/>
      <c r="I1078" s="253"/>
      <c r="J1078" s="253"/>
      <c r="K1078" s="251"/>
      <c r="L1078" s="262"/>
      <c r="M1078" s="289"/>
      <c r="N1078" s="245"/>
      <c r="O1078" s="258"/>
      <c r="P1078" s="257"/>
      <c r="Q1078" s="258"/>
      <c r="R1078" s="257"/>
      <c r="S1078" s="258"/>
      <c r="T1078" s="257"/>
      <c r="U1078" s="258"/>
      <c r="V1078" s="257"/>
      <c r="W1078" s="258"/>
      <c r="X1078" s="257"/>
      <c r="Y1078" s="258"/>
      <c r="Z1078" s="257"/>
    </row>
    <row r="1079" spans="1:35" ht="15" customHeight="1">
      <c r="A1079" s="250" t="s">
        <v>726</v>
      </c>
      <c r="B1079" s="251"/>
      <c r="C1079" s="665" t="s">
        <v>740</v>
      </c>
      <c r="D1079" s="548" t="s">
        <v>223</v>
      </c>
      <c r="E1079" s="251" t="s">
        <v>1901</v>
      </c>
      <c r="F1079" s="304">
        <f>M1079+O1079+Q1079+S1079+U1079+W1079+Y1079</f>
        <v>0</v>
      </c>
      <c r="G1079" s="253">
        <f>L1079</f>
        <v>12.189999999999998</v>
      </c>
      <c r="H1079" s="254">
        <f>F1079*G1079</f>
        <v>0</v>
      </c>
      <c r="I1079" s="253">
        <f>N1079+P1079+R1079+T1079+V1079+X1079+Z1079</f>
        <v>0</v>
      </c>
      <c r="J1079" s="253"/>
      <c r="K1079" s="251" t="s">
        <v>1901</v>
      </c>
      <c r="L1079" s="255">
        <f>151.37-139.18</f>
        <v>12.189999999999998</v>
      </c>
      <c r="M1079" s="289">
        <v>0</v>
      </c>
      <c r="N1079" s="245">
        <f>INT($L1079*M1079*100+0.5)/100</f>
        <v>0</v>
      </c>
      <c r="O1079" s="258">
        <v>0</v>
      </c>
      <c r="P1079" s="257">
        <f>INT($L1079*O1079*100+0.5)/100</f>
        <v>0</v>
      </c>
      <c r="Q1079" s="258">
        <v>0</v>
      </c>
      <c r="R1079" s="257">
        <f>INT($L1079*Q1079*100+0.5)/100</f>
        <v>0</v>
      </c>
      <c r="S1079" s="258">
        <v>0</v>
      </c>
      <c r="T1079" s="257">
        <f>INT($L1079*S1079*100+0.5)/100</f>
        <v>0</v>
      </c>
      <c r="U1079" s="258">
        <v>0</v>
      </c>
      <c r="V1079" s="257">
        <f>INT($L1079*U1079*100+0.5)/100</f>
        <v>0</v>
      </c>
      <c r="W1079" s="258">
        <v>0</v>
      </c>
      <c r="X1079" s="257">
        <f>INT($L1079*W1079*100+0.5)/100</f>
        <v>0</v>
      </c>
      <c r="Y1079" s="258">
        <v>0</v>
      </c>
      <c r="Z1079" s="257">
        <f>INT($L1079*Y1079*100+0.5)/100</f>
        <v>0</v>
      </c>
    </row>
    <row r="1080" spans="1:35" ht="15" customHeight="1">
      <c r="A1080" s="250" t="s">
        <v>727</v>
      </c>
      <c r="B1080" s="251"/>
      <c r="C1080" s="665" t="s">
        <v>741</v>
      </c>
      <c r="D1080" s="548" t="s">
        <v>224</v>
      </c>
      <c r="E1080" s="251" t="s">
        <v>1901</v>
      </c>
      <c r="F1080" s="304">
        <f>M1080+O1080+Q1080+S1080+U1080+W1080+Y1080</f>
        <v>0</v>
      </c>
      <c r="G1080" s="253">
        <f>L1080</f>
        <v>12.199999999999989</v>
      </c>
      <c r="H1080" s="254">
        <f>F1080*G1080</f>
        <v>0</v>
      </c>
      <c r="I1080" s="253">
        <f>N1080+P1080+R1080+T1080+V1080+X1080+Z1080</f>
        <v>0</v>
      </c>
      <c r="J1080" s="253"/>
      <c r="K1080" s="251" t="s">
        <v>1901</v>
      </c>
      <c r="L1080" s="255">
        <f>171.25-159.05</f>
        <v>12.199999999999989</v>
      </c>
      <c r="M1080" s="289">
        <v>0</v>
      </c>
      <c r="N1080" s="245">
        <f>INT($L1080*M1080*100+0.5)/100</f>
        <v>0</v>
      </c>
      <c r="O1080" s="258">
        <v>0</v>
      </c>
      <c r="P1080" s="257">
        <f>INT($L1080*O1080*100+0.5)/100</f>
        <v>0</v>
      </c>
      <c r="Q1080" s="258">
        <v>0</v>
      </c>
      <c r="R1080" s="257">
        <f>INT($L1080*Q1080*100+0.5)/100</f>
        <v>0</v>
      </c>
      <c r="S1080" s="258">
        <v>0</v>
      </c>
      <c r="T1080" s="257">
        <f>INT($L1080*S1080*100+0.5)/100</f>
        <v>0</v>
      </c>
      <c r="U1080" s="258">
        <v>0</v>
      </c>
      <c r="V1080" s="257">
        <f>INT($L1080*U1080*100+0.5)/100</f>
        <v>0</v>
      </c>
      <c r="W1080" s="258">
        <v>0</v>
      </c>
      <c r="X1080" s="257">
        <f>INT($L1080*W1080*100+0.5)/100</f>
        <v>0</v>
      </c>
      <c r="Y1080" s="258">
        <v>0</v>
      </c>
      <c r="Z1080" s="257">
        <f>INT($L1080*Y1080*100+0.5)/100</f>
        <v>0</v>
      </c>
      <c r="AG1080" s="183" t="s">
        <v>1454</v>
      </c>
    </row>
    <row r="1081" spans="1:35" ht="15" customHeight="1">
      <c r="A1081" s="250" t="s">
        <v>728</v>
      </c>
      <c r="B1081" s="251"/>
      <c r="C1081" s="665" t="s">
        <v>742</v>
      </c>
      <c r="D1081" s="548" t="s">
        <v>235</v>
      </c>
      <c r="E1081" s="251" t="s">
        <v>1901</v>
      </c>
      <c r="F1081" s="304">
        <f>M1081+O1081+Q1081+S1081+U1081+W1081+Y1081</f>
        <v>0</v>
      </c>
      <c r="G1081" s="253">
        <f>L1081</f>
        <v>12.200000000000017</v>
      </c>
      <c r="H1081" s="254">
        <f>F1081*G1081</f>
        <v>0</v>
      </c>
      <c r="I1081" s="253">
        <f>N1081+P1081+R1081+T1081+V1081+X1081+Z1081</f>
        <v>0</v>
      </c>
      <c r="J1081" s="253"/>
      <c r="K1081" s="251" t="s">
        <v>1901</v>
      </c>
      <c r="L1081" s="255">
        <f>228.08-215.88</f>
        <v>12.200000000000017</v>
      </c>
      <c r="M1081" s="289">
        <v>0</v>
      </c>
      <c r="N1081" s="245">
        <f>INT($L1081*M1081*100+0.5)/100</f>
        <v>0</v>
      </c>
      <c r="O1081" s="258">
        <v>0</v>
      </c>
      <c r="P1081" s="257">
        <f>INT($L1081*O1081*100+0.5)/100</f>
        <v>0</v>
      </c>
      <c r="Q1081" s="258">
        <v>0</v>
      </c>
      <c r="R1081" s="257">
        <f>INT($L1081*Q1081*100+0.5)/100</f>
        <v>0</v>
      </c>
      <c r="S1081" s="258">
        <v>0</v>
      </c>
      <c r="T1081" s="257">
        <f>INT($L1081*S1081*100+0.5)/100</f>
        <v>0</v>
      </c>
      <c r="U1081" s="258">
        <v>0</v>
      </c>
      <c r="V1081" s="257">
        <f>INT($L1081*U1081*100+0.5)/100</f>
        <v>0</v>
      </c>
      <c r="W1081" s="258">
        <v>0</v>
      </c>
      <c r="X1081" s="257">
        <f>INT($L1081*W1081*100+0.5)/100</f>
        <v>0</v>
      </c>
      <c r="Y1081" s="258">
        <v>0</v>
      </c>
      <c r="Z1081" s="257">
        <f>INT($L1081*Y1081*100+0.5)/100</f>
        <v>0</v>
      </c>
    </row>
    <row r="1082" spans="1:35" ht="15" customHeight="1">
      <c r="A1082" s="250" t="s">
        <v>732</v>
      </c>
      <c r="B1082" s="251"/>
      <c r="C1082" s="665" t="s">
        <v>743</v>
      </c>
      <c r="D1082" s="548" t="s">
        <v>236</v>
      </c>
      <c r="E1082" s="251" t="s">
        <v>1901</v>
      </c>
      <c r="F1082" s="304">
        <f>M1082+O1082+Q1082+S1082+U1082+W1082+Y1082</f>
        <v>5</v>
      </c>
      <c r="G1082" s="253">
        <f>L1082</f>
        <v>12.200000000000017</v>
      </c>
      <c r="H1082" s="254">
        <f>F1082*G1082</f>
        <v>61.000000000000085</v>
      </c>
      <c r="I1082" s="253">
        <f>N1082+P1082+R1082+T1082+V1082+X1082+Z1082</f>
        <v>61</v>
      </c>
      <c r="J1082" s="253"/>
      <c r="K1082" s="251" t="s">
        <v>1901</v>
      </c>
      <c r="L1082" s="255">
        <f>262.72-250.52</f>
        <v>12.200000000000017</v>
      </c>
      <c r="M1082" s="289">
        <v>5</v>
      </c>
      <c r="N1082" s="245">
        <f>INT($L1082*M1082*100+0.5)/100</f>
        <v>61</v>
      </c>
      <c r="O1082" s="258">
        <v>0</v>
      </c>
      <c r="P1082" s="257">
        <f>INT($L1082*O1082*100+0.5)/100</f>
        <v>0</v>
      </c>
      <c r="Q1082" s="258">
        <v>0</v>
      </c>
      <c r="R1082" s="257">
        <f>INT($L1082*Q1082*100+0.5)/100</f>
        <v>0</v>
      </c>
      <c r="S1082" s="258">
        <v>0</v>
      </c>
      <c r="T1082" s="257">
        <f>INT($L1082*S1082*100+0.5)/100</f>
        <v>0</v>
      </c>
      <c r="U1082" s="258">
        <v>0</v>
      </c>
      <c r="V1082" s="257">
        <f>INT($L1082*U1082*100+0.5)/100</f>
        <v>0</v>
      </c>
      <c r="W1082" s="258">
        <v>0</v>
      </c>
      <c r="X1082" s="257">
        <f>INT($L1082*W1082*100+0.5)/100</f>
        <v>0</v>
      </c>
      <c r="Y1082" s="258">
        <v>0</v>
      </c>
      <c r="Z1082" s="257">
        <f>INT($L1082*Y1082*100+0.5)/100</f>
        <v>0</v>
      </c>
      <c r="AG1082" s="255">
        <v>147.72</v>
      </c>
      <c r="AH1082" s="289">
        <v>5</v>
      </c>
      <c r="AI1082" s="245">
        <f>AG1082*AH1082</f>
        <v>738.6</v>
      </c>
    </row>
    <row r="1083" spans="1:35" ht="15" customHeight="1">
      <c r="A1083" s="250"/>
      <c r="B1083" s="251"/>
      <c r="C1083" s="665"/>
      <c r="D1083" s="548"/>
      <c r="E1083" s="251"/>
      <c r="F1083" s="252"/>
      <c r="G1083" s="253"/>
      <c r="H1083" s="254"/>
      <c r="I1083" s="253"/>
      <c r="J1083" s="253"/>
      <c r="K1083" s="251"/>
      <c r="L1083" s="262"/>
      <c r="M1083" s="289"/>
      <c r="N1083" s="245"/>
      <c r="O1083" s="258"/>
      <c r="P1083" s="257"/>
      <c r="Q1083" s="258"/>
      <c r="R1083" s="257"/>
      <c r="S1083" s="258"/>
      <c r="T1083" s="257"/>
      <c r="U1083" s="258"/>
      <c r="V1083" s="257"/>
      <c r="W1083" s="258"/>
      <c r="X1083" s="257"/>
      <c r="Y1083" s="258"/>
      <c r="Z1083" s="257"/>
      <c r="AG1083" s="262"/>
      <c r="AH1083" s="289"/>
      <c r="AI1083" s="245"/>
    </row>
    <row r="1084" spans="1:35" ht="25.5">
      <c r="A1084" s="250">
        <f>A1077+1</f>
        <v>195</v>
      </c>
      <c r="B1084" s="251"/>
      <c r="C1084" s="665" t="s">
        <v>2491</v>
      </c>
      <c r="D1084" s="526" t="s">
        <v>946</v>
      </c>
      <c r="E1084" s="251"/>
      <c r="F1084" s="252"/>
      <c r="G1084" s="253"/>
      <c r="H1084" s="254"/>
      <c r="I1084" s="253"/>
      <c r="J1084" s="253"/>
      <c r="K1084" s="251"/>
      <c r="L1084" s="262"/>
      <c r="M1084" s="289"/>
      <c r="N1084" s="245"/>
      <c r="O1084" s="258"/>
      <c r="P1084" s="257"/>
      <c r="Q1084" s="258"/>
      <c r="R1084" s="257"/>
      <c r="S1084" s="258"/>
      <c r="T1084" s="257"/>
      <c r="U1084" s="258"/>
      <c r="V1084" s="257"/>
      <c r="W1084" s="258"/>
      <c r="X1084" s="257"/>
      <c r="Y1084" s="258"/>
      <c r="Z1084" s="257"/>
      <c r="AG1084" s="262"/>
      <c r="AH1084" s="289"/>
      <c r="AI1084" s="245"/>
    </row>
    <row r="1085" spans="1:35" ht="25.5">
      <c r="A1085" s="250"/>
      <c r="B1085" s="251"/>
      <c r="C1085" s="665"/>
      <c r="D1085" s="526" t="s">
        <v>2497</v>
      </c>
      <c r="E1085" s="251"/>
      <c r="F1085" s="252"/>
      <c r="G1085" s="253"/>
      <c r="H1085" s="254"/>
      <c r="I1085" s="253"/>
      <c r="J1085" s="253"/>
      <c r="K1085" s="251"/>
      <c r="L1085" s="262"/>
      <c r="M1085" s="289"/>
      <c r="N1085" s="245"/>
      <c r="O1085" s="258"/>
      <c r="P1085" s="257"/>
      <c r="Q1085" s="258"/>
      <c r="R1085" s="257"/>
      <c r="S1085" s="258"/>
      <c r="T1085" s="257"/>
      <c r="U1085" s="258"/>
      <c r="V1085" s="257"/>
      <c r="W1085" s="258"/>
      <c r="X1085" s="257"/>
      <c r="Y1085" s="258"/>
      <c r="Z1085" s="257"/>
      <c r="AG1085" s="262"/>
      <c r="AH1085" s="289"/>
      <c r="AI1085" s="245"/>
    </row>
    <row r="1086" spans="1:35" ht="15" customHeight="1">
      <c r="A1086" s="250" t="s">
        <v>726</v>
      </c>
      <c r="B1086" s="251"/>
      <c r="C1086" s="665" t="s">
        <v>744</v>
      </c>
      <c r="D1086" s="548" t="s">
        <v>223</v>
      </c>
      <c r="E1086" s="251" t="s">
        <v>1901</v>
      </c>
      <c r="F1086" s="304">
        <f>M1086+O1086+Q1086+S1086+U1086+W1086+Y1086</f>
        <v>0</v>
      </c>
      <c r="G1086" s="253">
        <f>L1086</f>
        <v>12.200000000000017</v>
      </c>
      <c r="H1086" s="254">
        <f>F1086*G1086</f>
        <v>0</v>
      </c>
      <c r="I1086" s="253">
        <f>N1086+P1086+R1086+T1086+V1086+X1086+Z1086</f>
        <v>0</v>
      </c>
      <c r="J1086" s="253"/>
      <c r="K1086" s="251" t="s">
        <v>1901</v>
      </c>
      <c r="L1086" s="255">
        <f>L1082</f>
        <v>12.200000000000017</v>
      </c>
      <c r="M1086" s="289">
        <v>0</v>
      </c>
      <c r="N1086" s="245">
        <f>INT($L1086*M1086*100+0.5)/100</f>
        <v>0</v>
      </c>
      <c r="O1086" s="258">
        <v>0</v>
      </c>
      <c r="P1086" s="257">
        <f>INT($L1086*O1086*100+0.5)/100</f>
        <v>0</v>
      </c>
      <c r="Q1086" s="258">
        <v>0</v>
      </c>
      <c r="R1086" s="257">
        <f>INT($L1086*Q1086*100+0.5)/100</f>
        <v>0</v>
      </c>
      <c r="S1086" s="258">
        <v>0</v>
      </c>
      <c r="T1086" s="257">
        <f>INT($L1086*S1086*100+0.5)/100</f>
        <v>0</v>
      </c>
      <c r="U1086" s="258">
        <v>0</v>
      </c>
      <c r="V1086" s="257">
        <f>INT($L1086*U1086*100+0.5)/100</f>
        <v>0</v>
      </c>
      <c r="W1086" s="258">
        <v>0</v>
      </c>
      <c r="X1086" s="257">
        <f>INT($L1086*W1086*100+0.5)/100</f>
        <v>0</v>
      </c>
      <c r="Y1086" s="258">
        <v>0</v>
      </c>
      <c r="Z1086" s="257">
        <f>INT($L1086*Y1086*100+0.5)/100</f>
        <v>0</v>
      </c>
      <c r="AG1086" s="255">
        <v>101.81</v>
      </c>
      <c r="AH1086" s="289">
        <v>0</v>
      </c>
      <c r="AI1086" s="245">
        <f>AG1086*AH1086</f>
        <v>0</v>
      </c>
    </row>
    <row r="1087" spans="1:35" ht="15" customHeight="1">
      <c r="A1087" s="250" t="s">
        <v>727</v>
      </c>
      <c r="B1087" s="251"/>
      <c r="C1087" s="665" t="s">
        <v>745</v>
      </c>
      <c r="D1087" s="548" t="s">
        <v>224</v>
      </c>
      <c r="E1087" s="251" t="s">
        <v>1901</v>
      </c>
      <c r="F1087" s="304">
        <f>M1087+O1087+Q1087+S1087+U1087+W1087+Y1087</f>
        <v>0</v>
      </c>
      <c r="G1087" s="253">
        <f>L1087</f>
        <v>12.200000000000017</v>
      </c>
      <c r="H1087" s="254">
        <f>F1087*G1087</f>
        <v>0</v>
      </c>
      <c r="I1087" s="253">
        <f>N1087+P1087+R1087+T1087+V1087+X1087+Z1087</f>
        <v>0</v>
      </c>
      <c r="J1087" s="253"/>
      <c r="K1087" s="251" t="s">
        <v>1901</v>
      </c>
      <c r="L1087" s="255">
        <f>L1086</f>
        <v>12.200000000000017</v>
      </c>
      <c r="M1087" s="289">
        <v>0</v>
      </c>
      <c r="N1087" s="245">
        <f>INT($L1087*M1087*100+0.5)/100</f>
        <v>0</v>
      </c>
      <c r="O1087" s="258">
        <v>0</v>
      </c>
      <c r="P1087" s="257">
        <f>INT($L1087*O1087*100+0.5)/100</f>
        <v>0</v>
      </c>
      <c r="Q1087" s="258">
        <v>0</v>
      </c>
      <c r="R1087" s="257">
        <f>INT($L1087*Q1087*100+0.5)/100</f>
        <v>0</v>
      </c>
      <c r="S1087" s="258">
        <v>0</v>
      </c>
      <c r="T1087" s="257">
        <f>INT($L1087*S1087*100+0.5)/100</f>
        <v>0</v>
      </c>
      <c r="U1087" s="258">
        <v>0</v>
      </c>
      <c r="V1087" s="257">
        <f>INT($L1087*U1087*100+0.5)/100</f>
        <v>0</v>
      </c>
      <c r="W1087" s="258">
        <v>0</v>
      </c>
      <c r="X1087" s="257">
        <f>INT($L1087*W1087*100+0.5)/100</f>
        <v>0</v>
      </c>
      <c r="Y1087" s="258">
        <v>0</v>
      </c>
      <c r="Z1087" s="257">
        <f>INT($L1087*Y1087*100+0.5)/100</f>
        <v>0</v>
      </c>
      <c r="AG1087" s="255">
        <v>114.24</v>
      </c>
      <c r="AH1087" s="289">
        <v>0</v>
      </c>
      <c r="AI1087" s="245">
        <f>AG1087*AH1087</f>
        <v>0</v>
      </c>
    </row>
    <row r="1088" spans="1:35" ht="15" customHeight="1">
      <c r="A1088" s="250" t="s">
        <v>728</v>
      </c>
      <c r="B1088" s="251"/>
      <c r="C1088" s="665" t="s">
        <v>746</v>
      </c>
      <c r="D1088" s="548" t="s">
        <v>235</v>
      </c>
      <c r="E1088" s="251" t="s">
        <v>1901</v>
      </c>
      <c r="F1088" s="304">
        <f>M1088+O1088+Q1088+S1088+U1088+W1088+Y1088</f>
        <v>0</v>
      </c>
      <c r="G1088" s="253">
        <f>L1088</f>
        <v>12.200000000000017</v>
      </c>
      <c r="H1088" s="254">
        <f>F1088*G1088</f>
        <v>0</v>
      </c>
      <c r="I1088" s="253">
        <f>N1088+P1088+R1088+T1088+V1088+X1088+Z1088</f>
        <v>0</v>
      </c>
      <c r="J1088" s="253"/>
      <c r="K1088" s="251" t="s">
        <v>1901</v>
      </c>
      <c r="L1088" s="255">
        <f>L1087</f>
        <v>12.200000000000017</v>
      </c>
      <c r="M1088" s="289">
        <v>0</v>
      </c>
      <c r="N1088" s="245">
        <f>INT($L1088*M1088*100+0.5)/100</f>
        <v>0</v>
      </c>
      <c r="O1088" s="258">
        <v>0</v>
      </c>
      <c r="P1088" s="257">
        <f>INT($L1088*O1088*100+0.5)/100</f>
        <v>0</v>
      </c>
      <c r="Q1088" s="258">
        <v>0</v>
      </c>
      <c r="R1088" s="257">
        <f>INT($L1088*Q1088*100+0.5)/100</f>
        <v>0</v>
      </c>
      <c r="S1088" s="258">
        <v>0</v>
      </c>
      <c r="T1088" s="257">
        <f>INT($L1088*S1088*100+0.5)/100</f>
        <v>0</v>
      </c>
      <c r="U1088" s="258">
        <v>0</v>
      </c>
      <c r="V1088" s="257">
        <f>INT($L1088*U1088*100+0.5)/100</f>
        <v>0</v>
      </c>
      <c r="W1088" s="258">
        <v>0</v>
      </c>
      <c r="X1088" s="257">
        <f>INT($L1088*W1088*100+0.5)/100</f>
        <v>0</v>
      </c>
      <c r="Y1088" s="258">
        <v>0</v>
      </c>
      <c r="Z1088" s="257">
        <f>INT($L1088*Y1088*100+0.5)/100</f>
        <v>0</v>
      </c>
      <c r="AG1088" s="255">
        <v>158.44999999999999</v>
      </c>
      <c r="AH1088" s="289">
        <v>0</v>
      </c>
      <c r="AI1088" s="245">
        <f>AG1088*AH1088</f>
        <v>0</v>
      </c>
    </row>
    <row r="1089" spans="1:35" ht="15" customHeight="1">
      <c r="A1089" s="250" t="s">
        <v>732</v>
      </c>
      <c r="B1089" s="251"/>
      <c r="C1089" s="665" t="s">
        <v>747</v>
      </c>
      <c r="D1089" s="548" t="s">
        <v>236</v>
      </c>
      <c r="E1089" s="251" t="s">
        <v>1901</v>
      </c>
      <c r="F1089" s="304">
        <f>M1089+O1089+Q1089+S1089+U1089+W1089+Y1089</f>
        <v>5</v>
      </c>
      <c r="G1089" s="253">
        <f>L1089</f>
        <v>12.200000000000017</v>
      </c>
      <c r="H1089" s="254">
        <f>F1089*G1089</f>
        <v>61.000000000000085</v>
      </c>
      <c r="I1089" s="253">
        <f>N1089+P1089+R1089+T1089+V1089+X1089+Z1089</f>
        <v>61</v>
      </c>
      <c r="J1089" s="253"/>
      <c r="K1089" s="251" t="s">
        <v>1901</v>
      </c>
      <c r="L1089" s="255">
        <f>L1088</f>
        <v>12.200000000000017</v>
      </c>
      <c r="M1089" s="289">
        <v>5</v>
      </c>
      <c r="N1089" s="245">
        <f>INT($L1089*M1089*100+0.5)/100</f>
        <v>61</v>
      </c>
      <c r="O1089" s="258">
        <v>0</v>
      </c>
      <c r="P1089" s="257">
        <f>INT($L1089*O1089*100+0.5)/100</f>
        <v>0</v>
      </c>
      <c r="Q1089" s="258">
        <v>0</v>
      </c>
      <c r="R1089" s="257">
        <f>INT($L1089*Q1089*100+0.5)/100</f>
        <v>0</v>
      </c>
      <c r="S1089" s="258">
        <v>0</v>
      </c>
      <c r="T1089" s="257">
        <f>INT($L1089*S1089*100+0.5)/100</f>
        <v>0</v>
      </c>
      <c r="U1089" s="258">
        <v>0</v>
      </c>
      <c r="V1089" s="257">
        <f>INT($L1089*U1089*100+0.5)/100</f>
        <v>0</v>
      </c>
      <c r="W1089" s="258">
        <v>0</v>
      </c>
      <c r="X1089" s="257">
        <f>INT($L1089*W1089*100+0.5)/100</f>
        <v>0</v>
      </c>
      <c r="Y1089" s="258">
        <v>0</v>
      </c>
      <c r="Z1089" s="257">
        <f>INT($L1089*Y1089*100+0.5)/100</f>
        <v>0</v>
      </c>
      <c r="AG1089" s="255">
        <v>200.39</v>
      </c>
      <c r="AH1089" s="289">
        <v>5</v>
      </c>
      <c r="AI1089" s="245">
        <f>AG1089*AH1089</f>
        <v>1001.9499999999999</v>
      </c>
    </row>
    <row r="1090" spans="1:35" ht="15" customHeight="1">
      <c r="A1090" s="250"/>
      <c r="B1090" s="251"/>
      <c r="C1090" s="665"/>
      <c r="D1090" s="548"/>
      <c r="E1090" s="251"/>
      <c r="F1090" s="252"/>
      <c r="G1090" s="253"/>
      <c r="H1090" s="254"/>
      <c r="I1090" s="253"/>
      <c r="J1090" s="253"/>
      <c r="K1090" s="251"/>
      <c r="L1090" s="262"/>
      <c r="M1090" s="289"/>
      <c r="N1090" s="245"/>
      <c r="O1090" s="258"/>
      <c r="P1090" s="257"/>
      <c r="Q1090" s="258"/>
      <c r="R1090" s="257"/>
      <c r="S1090" s="258"/>
      <c r="T1090" s="257"/>
      <c r="U1090" s="258"/>
      <c r="V1090" s="257"/>
      <c r="W1090" s="258"/>
      <c r="X1090" s="257"/>
      <c r="Y1090" s="258"/>
      <c r="Z1090" s="257"/>
      <c r="AG1090" s="262"/>
      <c r="AH1090" s="289"/>
      <c r="AI1090" s="245"/>
    </row>
    <row r="1091" spans="1:35" ht="25.5">
      <c r="A1091" s="250">
        <f>A1084+1</f>
        <v>196</v>
      </c>
      <c r="B1091" s="251"/>
      <c r="C1091" s="665" t="s">
        <v>2492</v>
      </c>
      <c r="D1091" s="526" t="s">
        <v>947</v>
      </c>
      <c r="E1091" s="251"/>
      <c r="F1091" s="252"/>
      <c r="G1091" s="253"/>
      <c r="H1091" s="254"/>
      <c r="I1091" s="253"/>
      <c r="J1091" s="253"/>
      <c r="K1091" s="251"/>
      <c r="L1091" s="262"/>
      <c r="M1091" s="289"/>
      <c r="N1091" s="245"/>
      <c r="O1091" s="258"/>
      <c r="P1091" s="257"/>
      <c r="Q1091" s="258"/>
      <c r="R1091" s="257"/>
      <c r="S1091" s="258"/>
      <c r="T1091" s="257"/>
      <c r="U1091" s="258"/>
      <c r="V1091" s="257"/>
      <c r="W1091" s="258"/>
      <c r="X1091" s="257"/>
      <c r="Y1091" s="258"/>
      <c r="Z1091" s="257"/>
      <c r="AG1091" s="262"/>
      <c r="AH1091" s="289"/>
      <c r="AI1091" s="245"/>
    </row>
    <row r="1092" spans="1:35" ht="25.5">
      <c r="A1092" s="250"/>
      <c r="B1092" s="251"/>
      <c r="C1092" s="665"/>
      <c r="D1092" s="526" t="s">
        <v>873</v>
      </c>
      <c r="E1092" s="251"/>
      <c r="F1092" s="252"/>
      <c r="G1092" s="253"/>
      <c r="H1092" s="254"/>
      <c r="I1092" s="253"/>
      <c r="J1092" s="253"/>
      <c r="K1092" s="251"/>
      <c r="L1092" s="262"/>
      <c r="M1092" s="289"/>
      <c r="N1092" s="245"/>
      <c r="O1092" s="258"/>
      <c r="P1092" s="257"/>
      <c r="Q1092" s="258"/>
      <c r="R1092" s="257"/>
      <c r="S1092" s="258"/>
      <c r="T1092" s="257"/>
      <c r="U1092" s="258"/>
      <c r="V1092" s="257"/>
      <c r="W1092" s="258"/>
      <c r="X1092" s="257"/>
      <c r="Y1092" s="258"/>
      <c r="Z1092" s="257"/>
      <c r="AG1092" s="262"/>
      <c r="AH1092" s="289"/>
      <c r="AI1092" s="245"/>
    </row>
    <row r="1093" spans="1:35" ht="15">
      <c r="A1093" s="250" t="s">
        <v>726</v>
      </c>
      <c r="B1093" s="251"/>
      <c r="C1093" s="665" t="s">
        <v>748</v>
      </c>
      <c r="D1093" s="548" t="s">
        <v>223</v>
      </c>
      <c r="E1093" s="251" t="s">
        <v>1901</v>
      </c>
      <c r="F1093" s="304">
        <f>M1093+O1093+Q1093+S1093+U1093+W1093+Y1093</f>
        <v>0</v>
      </c>
      <c r="G1093" s="253">
        <f>L1093</f>
        <v>12.200000000000017</v>
      </c>
      <c r="H1093" s="254">
        <f>F1093*G1093</f>
        <v>0</v>
      </c>
      <c r="I1093" s="253">
        <f>N1093+P1093+R1093+T1093+V1093+X1093+Z1093</f>
        <v>0</v>
      </c>
      <c r="J1093" s="253"/>
      <c r="K1093" s="251" t="s">
        <v>1901</v>
      </c>
      <c r="L1093" s="255">
        <f>L1082</f>
        <v>12.200000000000017</v>
      </c>
      <c r="M1093" s="289">
        <v>0</v>
      </c>
      <c r="N1093" s="245">
        <f>INT($L1093*M1093*100+0.5)/100</f>
        <v>0</v>
      </c>
      <c r="O1093" s="258">
        <v>0</v>
      </c>
      <c r="P1093" s="257">
        <f>INT($L1093*O1093*100+0.5)/100</f>
        <v>0</v>
      </c>
      <c r="Q1093" s="258">
        <v>0</v>
      </c>
      <c r="R1093" s="257">
        <f>INT($L1093*Q1093*100+0.5)/100</f>
        <v>0</v>
      </c>
      <c r="S1093" s="258">
        <v>0</v>
      </c>
      <c r="T1093" s="257">
        <f>INT($L1093*S1093*100+0.5)/100</f>
        <v>0</v>
      </c>
      <c r="U1093" s="258">
        <v>0</v>
      </c>
      <c r="V1093" s="257">
        <f>INT($L1093*U1093*100+0.5)/100</f>
        <v>0</v>
      </c>
      <c r="W1093" s="258">
        <v>0</v>
      </c>
      <c r="X1093" s="257">
        <f>INT($L1093*W1093*100+0.5)/100</f>
        <v>0</v>
      </c>
      <c r="Y1093" s="258">
        <v>0</v>
      </c>
      <c r="Z1093" s="257">
        <f>INT($L1093*Y1093*100+0.5)/100</f>
        <v>0</v>
      </c>
      <c r="AG1093" s="255">
        <v>81.27</v>
      </c>
      <c r="AH1093" s="289">
        <v>0</v>
      </c>
      <c r="AI1093" s="245">
        <f>AG1093*AH1093</f>
        <v>0</v>
      </c>
    </row>
    <row r="1094" spans="1:35" ht="15">
      <c r="A1094" s="250" t="s">
        <v>727</v>
      </c>
      <c r="B1094" s="251"/>
      <c r="C1094" s="665" t="s">
        <v>749</v>
      </c>
      <c r="D1094" s="548" t="s">
        <v>224</v>
      </c>
      <c r="E1094" s="251" t="s">
        <v>1901</v>
      </c>
      <c r="F1094" s="304">
        <f>M1094+O1094+Q1094+S1094+U1094+W1094+Y1094</f>
        <v>0</v>
      </c>
      <c r="G1094" s="253">
        <f>L1094</f>
        <v>12.200000000000017</v>
      </c>
      <c r="H1094" s="254">
        <f>F1094*G1094</f>
        <v>0</v>
      </c>
      <c r="I1094" s="253">
        <f>N1094+P1094+R1094+T1094+V1094+X1094+Z1094</f>
        <v>0</v>
      </c>
      <c r="J1094" s="253"/>
      <c r="K1094" s="251" t="s">
        <v>1901</v>
      </c>
      <c r="L1094" s="255">
        <f>L1093</f>
        <v>12.200000000000017</v>
      </c>
      <c r="M1094" s="289">
        <v>0</v>
      </c>
      <c r="N1094" s="245">
        <f>INT($L1094*M1094*100+0.5)/100</f>
        <v>0</v>
      </c>
      <c r="O1094" s="258">
        <v>0</v>
      </c>
      <c r="P1094" s="257">
        <f>INT($L1094*O1094*100+0.5)/100</f>
        <v>0</v>
      </c>
      <c r="Q1094" s="258">
        <v>0</v>
      </c>
      <c r="R1094" s="257">
        <f>INT($L1094*Q1094*100+0.5)/100</f>
        <v>0</v>
      </c>
      <c r="S1094" s="258">
        <v>0</v>
      </c>
      <c r="T1094" s="257">
        <f>INT($L1094*S1094*100+0.5)/100</f>
        <v>0</v>
      </c>
      <c r="U1094" s="258">
        <v>0</v>
      </c>
      <c r="V1094" s="257">
        <f>INT($L1094*U1094*100+0.5)/100</f>
        <v>0</v>
      </c>
      <c r="W1094" s="258">
        <v>0</v>
      </c>
      <c r="X1094" s="257">
        <f>INT($L1094*W1094*100+0.5)/100</f>
        <v>0</v>
      </c>
      <c r="Y1094" s="258">
        <v>0</v>
      </c>
      <c r="Z1094" s="257">
        <f>INT($L1094*Y1094*100+0.5)/100</f>
        <v>0</v>
      </c>
      <c r="AG1094" s="255">
        <v>95.52</v>
      </c>
      <c r="AH1094" s="289">
        <v>0</v>
      </c>
      <c r="AI1094" s="245">
        <f>AG1094*AH1094</f>
        <v>0</v>
      </c>
    </row>
    <row r="1095" spans="1:35" ht="15">
      <c r="A1095" s="250" t="s">
        <v>728</v>
      </c>
      <c r="B1095" s="251"/>
      <c r="C1095" s="665" t="s">
        <v>751</v>
      </c>
      <c r="D1095" s="548" t="s">
        <v>235</v>
      </c>
      <c r="E1095" s="251" t="s">
        <v>1901</v>
      </c>
      <c r="F1095" s="304">
        <f>M1095+O1095+Q1095+S1095+U1095+W1095+Y1095</f>
        <v>0</v>
      </c>
      <c r="G1095" s="253">
        <f>L1095</f>
        <v>12.200000000000017</v>
      </c>
      <c r="H1095" s="254">
        <f>F1095*G1095</f>
        <v>0</v>
      </c>
      <c r="I1095" s="253">
        <f>N1095+P1095+R1095+T1095+V1095+X1095+Z1095</f>
        <v>0</v>
      </c>
      <c r="J1095" s="253"/>
      <c r="K1095" s="251" t="s">
        <v>1901</v>
      </c>
      <c r="L1095" s="255">
        <f>L1094</f>
        <v>12.200000000000017</v>
      </c>
      <c r="M1095" s="289">
        <v>0</v>
      </c>
      <c r="N1095" s="245">
        <f>INT($L1095*M1095*100+0.5)/100</f>
        <v>0</v>
      </c>
      <c r="O1095" s="258">
        <v>0</v>
      </c>
      <c r="P1095" s="257">
        <f>INT($L1095*O1095*100+0.5)/100</f>
        <v>0</v>
      </c>
      <c r="Q1095" s="258">
        <v>0</v>
      </c>
      <c r="R1095" s="257">
        <f>INT($L1095*Q1095*100+0.5)/100</f>
        <v>0</v>
      </c>
      <c r="S1095" s="258">
        <v>0</v>
      </c>
      <c r="T1095" s="257">
        <f>INT($L1095*S1095*100+0.5)/100</f>
        <v>0</v>
      </c>
      <c r="U1095" s="258">
        <v>0</v>
      </c>
      <c r="V1095" s="257">
        <f>INT($L1095*U1095*100+0.5)/100</f>
        <v>0</v>
      </c>
      <c r="W1095" s="258">
        <v>0</v>
      </c>
      <c r="X1095" s="257">
        <f>INT($L1095*W1095*100+0.5)/100</f>
        <v>0</v>
      </c>
      <c r="Y1095" s="258">
        <v>0</v>
      </c>
      <c r="Z1095" s="257">
        <f>INT($L1095*Y1095*100+0.5)/100</f>
        <v>0</v>
      </c>
      <c r="AG1095" s="255">
        <v>125.79</v>
      </c>
      <c r="AH1095" s="289">
        <v>0</v>
      </c>
      <c r="AI1095" s="245">
        <f>AG1095*AH1095</f>
        <v>0</v>
      </c>
    </row>
    <row r="1096" spans="1:35" ht="15">
      <c r="A1096" s="250" t="s">
        <v>732</v>
      </c>
      <c r="B1096" s="251"/>
      <c r="C1096" s="665" t="s">
        <v>750</v>
      </c>
      <c r="D1096" s="548" t="s">
        <v>236</v>
      </c>
      <c r="E1096" s="251" t="s">
        <v>1901</v>
      </c>
      <c r="F1096" s="304">
        <f>M1096+O1096+Q1096+S1096+U1096+W1096+Y1096</f>
        <v>5</v>
      </c>
      <c r="G1096" s="253">
        <f>L1096</f>
        <v>12.200000000000017</v>
      </c>
      <c r="H1096" s="254">
        <f>F1096*G1096</f>
        <v>61.000000000000085</v>
      </c>
      <c r="I1096" s="253">
        <f>N1096+P1096+R1096+T1096+V1096+X1096+Z1096</f>
        <v>61</v>
      </c>
      <c r="J1096" s="253"/>
      <c r="K1096" s="251" t="s">
        <v>1901</v>
      </c>
      <c r="L1096" s="255">
        <f>L1095</f>
        <v>12.200000000000017</v>
      </c>
      <c r="M1096" s="289">
        <v>5</v>
      </c>
      <c r="N1096" s="245">
        <f>INT($L1096*M1096*100+0.5)/100</f>
        <v>61</v>
      </c>
      <c r="O1096" s="258">
        <v>0</v>
      </c>
      <c r="P1096" s="257">
        <f>INT($L1096*O1096*100+0.5)/100</f>
        <v>0</v>
      </c>
      <c r="Q1096" s="258">
        <v>0</v>
      </c>
      <c r="R1096" s="257">
        <f>INT($L1096*Q1096*100+0.5)/100</f>
        <v>0</v>
      </c>
      <c r="S1096" s="258">
        <v>0</v>
      </c>
      <c r="T1096" s="257">
        <f>INT($L1096*S1096*100+0.5)/100</f>
        <v>0</v>
      </c>
      <c r="U1096" s="258">
        <v>0</v>
      </c>
      <c r="V1096" s="257">
        <f>INT($L1096*U1096*100+0.5)/100</f>
        <v>0</v>
      </c>
      <c r="W1096" s="258">
        <v>0</v>
      </c>
      <c r="X1096" s="257">
        <f>INT($L1096*W1096*100+0.5)/100</f>
        <v>0</v>
      </c>
      <c r="Y1096" s="258">
        <v>0</v>
      </c>
      <c r="Z1096" s="257">
        <f>INT($L1096*Y1096*100+0.5)/100</f>
        <v>0</v>
      </c>
      <c r="AG1096" s="255">
        <v>170.99</v>
      </c>
      <c r="AH1096" s="289">
        <v>5</v>
      </c>
      <c r="AI1096" s="245">
        <f>AG1096*AH1096</f>
        <v>854.95</v>
      </c>
    </row>
    <row r="1097" spans="1:35" ht="15">
      <c r="A1097" s="250"/>
      <c r="B1097" s="251"/>
      <c r="C1097" s="665"/>
      <c r="D1097" s="548"/>
      <c r="E1097" s="251"/>
      <c r="F1097" s="252"/>
      <c r="G1097" s="253"/>
      <c r="H1097" s="254"/>
      <c r="I1097" s="253"/>
      <c r="J1097" s="253"/>
      <c r="K1097" s="251"/>
      <c r="L1097" s="262"/>
      <c r="M1097" s="289"/>
      <c r="N1097" s="245"/>
      <c r="O1097" s="258"/>
      <c r="P1097" s="257"/>
      <c r="Q1097" s="258"/>
      <c r="R1097" s="257"/>
      <c r="S1097" s="258"/>
      <c r="T1097" s="257"/>
      <c r="U1097" s="258"/>
      <c r="V1097" s="257"/>
      <c r="W1097" s="258"/>
      <c r="X1097" s="257"/>
      <c r="Y1097" s="258"/>
      <c r="Z1097" s="257"/>
      <c r="AG1097" s="262"/>
      <c r="AH1097" s="289"/>
      <c r="AI1097" s="245"/>
    </row>
    <row r="1098" spans="1:35" ht="25.5">
      <c r="A1098" s="250">
        <f>A1091+1</f>
        <v>197</v>
      </c>
      <c r="B1098" s="251"/>
      <c r="C1098" s="665" t="s">
        <v>2493</v>
      </c>
      <c r="D1098" s="526" t="s">
        <v>948</v>
      </c>
      <c r="E1098" s="251"/>
      <c r="F1098" s="252"/>
      <c r="G1098" s="253"/>
      <c r="H1098" s="254"/>
      <c r="I1098" s="253"/>
      <c r="J1098" s="253"/>
      <c r="K1098" s="251"/>
      <c r="L1098" s="262"/>
      <c r="M1098" s="289"/>
      <c r="N1098" s="245"/>
      <c r="O1098" s="258"/>
      <c r="P1098" s="257"/>
      <c r="Q1098" s="258"/>
      <c r="R1098" s="257"/>
      <c r="S1098" s="258"/>
      <c r="T1098" s="257"/>
      <c r="U1098" s="258"/>
      <c r="V1098" s="257"/>
      <c r="W1098" s="258"/>
      <c r="X1098" s="257"/>
      <c r="Y1098" s="258"/>
      <c r="Z1098" s="257"/>
      <c r="AG1098" s="262"/>
      <c r="AH1098" s="289"/>
      <c r="AI1098" s="245"/>
    </row>
    <row r="1099" spans="1:35" ht="25.5">
      <c r="A1099" s="250"/>
      <c r="B1099" s="251"/>
      <c r="C1099" s="665"/>
      <c r="D1099" s="526" t="s">
        <v>838</v>
      </c>
      <c r="E1099" s="251"/>
      <c r="F1099" s="252"/>
      <c r="G1099" s="253"/>
      <c r="H1099" s="254"/>
      <c r="I1099" s="253"/>
      <c r="J1099" s="253"/>
      <c r="K1099" s="251"/>
      <c r="L1099" s="262"/>
      <c r="M1099" s="289"/>
      <c r="N1099" s="245"/>
      <c r="O1099" s="258"/>
      <c r="P1099" s="257"/>
      <c r="Q1099" s="258"/>
      <c r="R1099" s="257"/>
      <c r="S1099" s="258"/>
      <c r="T1099" s="257"/>
      <c r="U1099" s="258"/>
      <c r="V1099" s="257"/>
      <c r="W1099" s="258"/>
      <c r="X1099" s="257"/>
      <c r="Y1099" s="258"/>
      <c r="Z1099" s="257"/>
      <c r="AG1099" s="262"/>
      <c r="AH1099" s="289"/>
      <c r="AI1099" s="245"/>
    </row>
    <row r="1100" spans="1:35" ht="15">
      <c r="A1100" s="250" t="s">
        <v>726</v>
      </c>
      <c r="B1100" s="251"/>
      <c r="C1100" s="665" t="s">
        <v>752</v>
      </c>
      <c r="D1100" s="548" t="s">
        <v>223</v>
      </c>
      <c r="E1100" s="251" t="s">
        <v>1901</v>
      </c>
      <c r="F1100" s="304">
        <f>M1100+O1100+Q1100+S1100+U1100+W1100+Y1100</f>
        <v>0</v>
      </c>
      <c r="G1100" s="253">
        <f>L1100</f>
        <v>12.199999999999989</v>
      </c>
      <c r="H1100" s="254">
        <f>F1100*G1100</f>
        <v>0</v>
      </c>
      <c r="I1100" s="253">
        <f>N1100+P1100+R1100+T1100+V1100+X1100+Z1100</f>
        <v>0</v>
      </c>
      <c r="J1100" s="253"/>
      <c r="K1100" s="251" t="s">
        <v>1901</v>
      </c>
      <c r="L1100" s="255">
        <f>168.38-156.18</f>
        <v>12.199999999999989</v>
      </c>
      <c r="M1100" s="289">
        <v>0</v>
      </c>
      <c r="N1100" s="245">
        <f>INT($L1100*M1100*100+0.5)/100</f>
        <v>0</v>
      </c>
      <c r="O1100" s="258">
        <v>0</v>
      </c>
      <c r="P1100" s="257">
        <f>INT($L1100*O1100*100+0.5)/100</f>
        <v>0</v>
      </c>
      <c r="Q1100" s="258">
        <v>0</v>
      </c>
      <c r="R1100" s="257">
        <f>INT($L1100*Q1100*100+0.5)/100</f>
        <v>0</v>
      </c>
      <c r="S1100" s="258">
        <v>0</v>
      </c>
      <c r="T1100" s="257">
        <f>INT($L1100*S1100*100+0.5)/100</f>
        <v>0</v>
      </c>
      <c r="U1100" s="258">
        <v>0</v>
      </c>
      <c r="V1100" s="257">
        <f>INT($L1100*U1100*100+0.5)/100</f>
        <v>0</v>
      </c>
      <c r="W1100" s="258">
        <v>0</v>
      </c>
      <c r="X1100" s="257">
        <f>INT($L1100*W1100*100+0.5)/100</f>
        <v>0</v>
      </c>
      <c r="Y1100" s="258">
        <v>0</v>
      </c>
      <c r="Z1100" s="257">
        <f>INT($L1100*Y1100*100+0.5)/100</f>
        <v>0</v>
      </c>
      <c r="AG1100" s="255">
        <v>83.98</v>
      </c>
      <c r="AH1100" s="289">
        <v>0</v>
      </c>
      <c r="AI1100" s="245">
        <f>AG1100*AH1100</f>
        <v>0</v>
      </c>
    </row>
    <row r="1101" spans="1:35" ht="15">
      <c r="A1101" s="250" t="s">
        <v>727</v>
      </c>
      <c r="B1101" s="251"/>
      <c r="C1101" s="665" t="s">
        <v>753</v>
      </c>
      <c r="D1101" s="548" t="s">
        <v>224</v>
      </c>
      <c r="E1101" s="251" t="s">
        <v>1901</v>
      </c>
      <c r="F1101" s="304">
        <f>M1101+O1101+Q1101+S1101+U1101+W1101+Y1101</f>
        <v>0</v>
      </c>
      <c r="G1101" s="253">
        <f>L1101</f>
        <v>12.199999999999989</v>
      </c>
      <c r="H1101" s="254">
        <f>F1101*G1101</f>
        <v>0</v>
      </c>
      <c r="I1101" s="253">
        <f>N1101+P1101+R1101+T1101+V1101+X1101+Z1101</f>
        <v>0</v>
      </c>
      <c r="J1101" s="253"/>
      <c r="K1101" s="251" t="s">
        <v>1901</v>
      </c>
      <c r="L1101" s="255">
        <f>190.69-178.49</f>
        <v>12.199999999999989</v>
      </c>
      <c r="M1101" s="289">
        <v>0</v>
      </c>
      <c r="N1101" s="245">
        <f>INT($L1101*M1101*100+0.5)/100</f>
        <v>0</v>
      </c>
      <c r="O1101" s="258">
        <v>0</v>
      </c>
      <c r="P1101" s="257">
        <f>INT($L1101*O1101*100+0.5)/100</f>
        <v>0</v>
      </c>
      <c r="Q1101" s="258">
        <v>0</v>
      </c>
      <c r="R1101" s="257">
        <f>INT($L1101*Q1101*100+0.5)/100</f>
        <v>0</v>
      </c>
      <c r="S1101" s="258">
        <v>0</v>
      </c>
      <c r="T1101" s="257">
        <f>INT($L1101*S1101*100+0.5)/100</f>
        <v>0</v>
      </c>
      <c r="U1101" s="258">
        <v>0</v>
      </c>
      <c r="V1101" s="257">
        <f>INT($L1101*U1101*100+0.5)/100</f>
        <v>0</v>
      </c>
      <c r="W1101" s="258">
        <v>0</v>
      </c>
      <c r="X1101" s="257">
        <f>INT($L1101*W1101*100+0.5)/100</f>
        <v>0</v>
      </c>
      <c r="Y1101" s="258">
        <v>0</v>
      </c>
      <c r="Z1101" s="257">
        <f>INT($L1101*Y1101*100+0.5)/100</f>
        <v>0</v>
      </c>
      <c r="AG1101" s="255">
        <v>96.97</v>
      </c>
      <c r="AH1101" s="289">
        <v>0</v>
      </c>
      <c r="AI1101" s="245">
        <f>AG1101*AH1101</f>
        <v>0</v>
      </c>
    </row>
    <row r="1102" spans="1:35" ht="15">
      <c r="A1102" s="250" t="s">
        <v>728</v>
      </c>
      <c r="B1102" s="251"/>
      <c r="C1102" s="665" t="s">
        <v>754</v>
      </c>
      <c r="D1102" s="548" t="s">
        <v>235</v>
      </c>
      <c r="E1102" s="251" t="s">
        <v>1901</v>
      </c>
      <c r="F1102" s="304">
        <f>M1102+O1102+Q1102+S1102+U1102+W1102+Y1102</f>
        <v>0</v>
      </c>
      <c r="G1102" s="253">
        <f>L1102</f>
        <v>12.199999999999989</v>
      </c>
      <c r="H1102" s="254">
        <f>F1102*G1102</f>
        <v>0</v>
      </c>
      <c r="I1102" s="253">
        <f>N1102+P1102+R1102+T1102+V1102+X1102+Z1102</f>
        <v>0</v>
      </c>
      <c r="J1102" s="253"/>
      <c r="K1102" s="251" t="s">
        <v>1901</v>
      </c>
      <c r="L1102" s="255">
        <f>257.4-245.2</f>
        <v>12.199999999999989</v>
      </c>
      <c r="M1102" s="289">
        <v>0</v>
      </c>
      <c r="N1102" s="245">
        <f>INT($L1102*M1102*100+0.5)/100</f>
        <v>0</v>
      </c>
      <c r="O1102" s="258">
        <v>0</v>
      </c>
      <c r="P1102" s="257">
        <f>INT($L1102*O1102*100+0.5)/100</f>
        <v>0</v>
      </c>
      <c r="Q1102" s="258">
        <v>0</v>
      </c>
      <c r="R1102" s="257">
        <f>INT($L1102*Q1102*100+0.5)/100</f>
        <v>0</v>
      </c>
      <c r="S1102" s="258">
        <v>0</v>
      </c>
      <c r="T1102" s="257">
        <f>INT($L1102*S1102*100+0.5)/100</f>
        <v>0</v>
      </c>
      <c r="U1102" s="258">
        <v>0</v>
      </c>
      <c r="V1102" s="257">
        <f>INT($L1102*U1102*100+0.5)/100</f>
        <v>0</v>
      </c>
      <c r="W1102" s="258">
        <v>0</v>
      </c>
      <c r="X1102" s="257">
        <f>INT($L1102*W1102*100+0.5)/100</f>
        <v>0</v>
      </c>
      <c r="Y1102" s="258">
        <v>0</v>
      </c>
      <c r="Z1102" s="257">
        <f>INT($L1102*Y1102*100+0.5)/100</f>
        <v>0</v>
      </c>
      <c r="AG1102" s="255">
        <v>133</v>
      </c>
      <c r="AH1102" s="289">
        <v>0</v>
      </c>
      <c r="AI1102" s="245">
        <f>AG1102*AH1102</f>
        <v>0</v>
      </c>
    </row>
    <row r="1103" spans="1:35" ht="15">
      <c r="A1103" s="250" t="s">
        <v>732</v>
      </c>
      <c r="B1103" s="251"/>
      <c r="C1103" s="665" t="s">
        <v>755</v>
      </c>
      <c r="D1103" s="548" t="s">
        <v>236</v>
      </c>
      <c r="E1103" s="251" t="s">
        <v>1901</v>
      </c>
      <c r="F1103" s="304">
        <f>M1103+O1103+Q1103+S1103+U1103+W1103+Y1103</f>
        <v>5</v>
      </c>
      <c r="G1103" s="253">
        <f>L1103</f>
        <v>12.200000000000045</v>
      </c>
      <c r="H1103" s="254">
        <f>F1103*G1103</f>
        <v>61.000000000000227</v>
      </c>
      <c r="I1103" s="253">
        <f>N1103+P1103+R1103+T1103+V1103+X1103+Z1103</f>
        <v>61</v>
      </c>
      <c r="J1103" s="253"/>
      <c r="K1103" s="251" t="s">
        <v>1901</v>
      </c>
      <c r="L1103" s="255">
        <f>311.66-299.46</f>
        <v>12.200000000000045</v>
      </c>
      <c r="M1103" s="289">
        <v>5</v>
      </c>
      <c r="N1103" s="245">
        <f>INT($L1103*M1103*100+0.5)/100</f>
        <v>61</v>
      </c>
      <c r="O1103" s="258">
        <v>0</v>
      </c>
      <c r="P1103" s="257">
        <f>INT($L1103*O1103*100+0.5)/100</f>
        <v>0</v>
      </c>
      <c r="Q1103" s="258">
        <v>0</v>
      </c>
      <c r="R1103" s="257">
        <f>INT($L1103*Q1103*100+0.5)/100</f>
        <v>0</v>
      </c>
      <c r="S1103" s="258">
        <v>0</v>
      </c>
      <c r="T1103" s="257">
        <f>INT($L1103*S1103*100+0.5)/100</f>
        <v>0</v>
      </c>
      <c r="U1103" s="258">
        <v>0</v>
      </c>
      <c r="V1103" s="257">
        <f>INT($L1103*U1103*100+0.5)/100</f>
        <v>0</v>
      </c>
      <c r="W1103" s="258">
        <v>0</v>
      </c>
      <c r="X1103" s="257">
        <f>INT($L1103*W1103*100+0.5)/100</f>
        <v>0</v>
      </c>
      <c r="Y1103" s="258">
        <v>0</v>
      </c>
      <c r="Z1103" s="257">
        <f>INT($L1103*Y1103*100+0.5)/100</f>
        <v>0</v>
      </c>
      <c r="AG1103" s="255">
        <v>176.22</v>
      </c>
      <c r="AH1103" s="289">
        <v>5</v>
      </c>
      <c r="AI1103" s="245">
        <f>AG1103*AH1103</f>
        <v>881.1</v>
      </c>
    </row>
    <row r="1104" spans="1:35" ht="15">
      <c r="A1104" s="250"/>
      <c r="B1104" s="251"/>
      <c r="C1104" s="665"/>
      <c r="D1104" s="548"/>
      <c r="E1104" s="251"/>
      <c r="F1104" s="252"/>
      <c r="G1104" s="253"/>
      <c r="H1104" s="254"/>
      <c r="I1104" s="253"/>
      <c r="J1104" s="253"/>
      <c r="K1104" s="251"/>
      <c r="L1104" s="262"/>
      <c r="M1104" s="289"/>
      <c r="N1104" s="245"/>
      <c r="O1104" s="258"/>
      <c r="P1104" s="257"/>
      <c r="Q1104" s="258"/>
      <c r="R1104" s="257"/>
      <c r="S1104" s="258"/>
      <c r="T1104" s="257"/>
      <c r="U1104" s="258"/>
      <c r="V1104" s="257"/>
      <c r="W1104" s="258"/>
      <c r="X1104" s="257"/>
      <c r="Y1104" s="258"/>
      <c r="Z1104" s="257"/>
      <c r="AG1104" s="262"/>
      <c r="AH1104" s="289"/>
      <c r="AI1104" s="245"/>
    </row>
    <row r="1105" spans="1:35" ht="25.5">
      <c r="A1105" s="250">
        <f>A1098+1</f>
        <v>198</v>
      </c>
      <c r="B1105" s="251"/>
      <c r="C1105" s="665" t="s">
        <v>2494</v>
      </c>
      <c r="D1105" s="526" t="s">
        <v>949</v>
      </c>
      <c r="E1105" s="251"/>
      <c r="F1105" s="252"/>
      <c r="G1105" s="253"/>
      <c r="H1105" s="254"/>
      <c r="I1105" s="253"/>
      <c r="J1105" s="253"/>
      <c r="K1105" s="251"/>
      <c r="L1105" s="262"/>
      <c r="M1105" s="289"/>
      <c r="N1105" s="245"/>
      <c r="O1105" s="258"/>
      <c r="P1105" s="257"/>
      <c r="Q1105" s="258"/>
      <c r="R1105" s="257"/>
      <c r="S1105" s="258"/>
      <c r="T1105" s="257"/>
      <c r="U1105" s="258"/>
      <c r="V1105" s="257"/>
      <c r="W1105" s="258"/>
      <c r="X1105" s="257"/>
      <c r="Y1105" s="258"/>
      <c r="Z1105" s="257"/>
      <c r="AG1105" s="262"/>
      <c r="AH1105" s="289"/>
      <c r="AI1105" s="245"/>
    </row>
    <row r="1106" spans="1:35" ht="25.5">
      <c r="A1106" s="250"/>
      <c r="B1106" s="251"/>
      <c r="C1106" s="665"/>
      <c r="D1106" s="526" t="s">
        <v>944</v>
      </c>
      <c r="E1106" s="251"/>
      <c r="F1106" s="252"/>
      <c r="G1106" s="253"/>
      <c r="H1106" s="254"/>
      <c r="I1106" s="253"/>
      <c r="J1106" s="253"/>
      <c r="K1106" s="251"/>
      <c r="L1106" s="262"/>
      <c r="M1106" s="289"/>
      <c r="N1106" s="245"/>
      <c r="O1106" s="258"/>
      <c r="P1106" s="257"/>
      <c r="Q1106" s="258"/>
      <c r="R1106" s="257"/>
      <c r="S1106" s="258"/>
      <c r="T1106" s="257"/>
      <c r="U1106" s="258"/>
      <c r="V1106" s="257"/>
      <c r="W1106" s="258"/>
      <c r="X1106" s="257"/>
      <c r="Y1106" s="258"/>
      <c r="Z1106" s="257"/>
      <c r="AG1106" s="262"/>
      <c r="AH1106" s="289"/>
      <c r="AI1106" s="245"/>
    </row>
    <row r="1107" spans="1:35" ht="15">
      <c r="A1107" s="250" t="s">
        <v>726</v>
      </c>
      <c r="B1107" s="251"/>
      <c r="C1107" s="665" t="s">
        <v>756</v>
      </c>
      <c r="D1107" s="548" t="s">
        <v>223</v>
      </c>
      <c r="E1107" s="251" t="s">
        <v>1901</v>
      </c>
      <c r="F1107" s="304">
        <f>M1107+O1107+Q1107+S1107+U1107+W1107+Y1107</f>
        <v>0</v>
      </c>
      <c r="G1107" s="253">
        <f>L1107</f>
        <v>12.200000000000017</v>
      </c>
      <c r="H1107" s="254">
        <f>F1107*G1107</f>
        <v>0</v>
      </c>
      <c r="I1107" s="253">
        <f>N1107+P1107+R1107+T1107+V1107+X1107+Z1107</f>
        <v>0</v>
      </c>
      <c r="J1107" s="253"/>
      <c r="K1107" s="251" t="s">
        <v>1901</v>
      </c>
      <c r="L1107" s="255">
        <f>L1082</f>
        <v>12.200000000000017</v>
      </c>
      <c r="M1107" s="289">
        <v>0</v>
      </c>
      <c r="N1107" s="245">
        <f>INT($L1107*M1107*100+0.5)/100</f>
        <v>0</v>
      </c>
      <c r="O1107" s="258">
        <v>0</v>
      </c>
      <c r="P1107" s="257">
        <f>INT($L1107*O1107*100+0.5)/100</f>
        <v>0</v>
      </c>
      <c r="Q1107" s="258">
        <v>0</v>
      </c>
      <c r="R1107" s="257">
        <f>INT($L1107*Q1107*100+0.5)/100</f>
        <v>0</v>
      </c>
      <c r="S1107" s="258">
        <v>0</v>
      </c>
      <c r="T1107" s="257">
        <f>INT($L1107*S1107*100+0.5)/100</f>
        <v>0</v>
      </c>
      <c r="U1107" s="258">
        <v>0</v>
      </c>
      <c r="V1107" s="257">
        <f>INT($L1107*U1107*100+0.5)/100</f>
        <v>0</v>
      </c>
      <c r="W1107" s="258">
        <v>0</v>
      </c>
      <c r="X1107" s="257">
        <f>INT($L1107*W1107*100+0.5)/100</f>
        <v>0</v>
      </c>
      <c r="Y1107" s="258">
        <v>0</v>
      </c>
      <c r="Z1107" s="257">
        <f>INT($L1107*Y1107*100+0.5)/100</f>
        <v>0</v>
      </c>
      <c r="AG1107" s="255">
        <v>86.7</v>
      </c>
      <c r="AH1107" s="289">
        <v>0</v>
      </c>
      <c r="AI1107" s="245">
        <f>AG1107*AH1107</f>
        <v>0</v>
      </c>
    </row>
    <row r="1108" spans="1:35" ht="15">
      <c r="A1108" s="250" t="s">
        <v>727</v>
      </c>
      <c r="B1108" s="251"/>
      <c r="C1108" s="665" t="s">
        <v>757</v>
      </c>
      <c r="D1108" s="548" t="s">
        <v>224</v>
      </c>
      <c r="E1108" s="251" t="s">
        <v>1901</v>
      </c>
      <c r="F1108" s="304">
        <f>M1108+O1108+Q1108+S1108+U1108+W1108+Y1108</f>
        <v>0</v>
      </c>
      <c r="G1108" s="253">
        <f>L1108</f>
        <v>12.199999999999989</v>
      </c>
      <c r="H1108" s="254">
        <f>F1108*G1108</f>
        <v>0</v>
      </c>
      <c r="I1108" s="253">
        <f>N1108+P1108+R1108+T1108+V1108+X1108+Z1108</f>
        <v>0</v>
      </c>
      <c r="J1108" s="253"/>
      <c r="K1108" s="251" t="s">
        <v>1901</v>
      </c>
      <c r="L1108" s="255">
        <f>190.69-178.49</f>
        <v>12.199999999999989</v>
      </c>
      <c r="M1108" s="289">
        <v>0</v>
      </c>
      <c r="N1108" s="245">
        <f>INT($L1108*M1108*100+0.5)/100</f>
        <v>0</v>
      </c>
      <c r="O1108" s="258">
        <v>0</v>
      </c>
      <c r="P1108" s="257">
        <f>INT($L1108*O1108*100+0.5)/100</f>
        <v>0</v>
      </c>
      <c r="Q1108" s="258">
        <v>0</v>
      </c>
      <c r="R1108" s="257">
        <f>INT($L1108*Q1108*100+0.5)/100</f>
        <v>0</v>
      </c>
      <c r="S1108" s="258">
        <v>0</v>
      </c>
      <c r="T1108" s="257">
        <f>INT($L1108*S1108*100+0.5)/100</f>
        <v>0</v>
      </c>
      <c r="U1108" s="258">
        <v>0</v>
      </c>
      <c r="V1108" s="257">
        <f>INT($L1108*U1108*100+0.5)/100</f>
        <v>0</v>
      </c>
      <c r="W1108" s="258">
        <v>0</v>
      </c>
      <c r="X1108" s="257">
        <f>INT($L1108*W1108*100+0.5)/100</f>
        <v>0</v>
      </c>
      <c r="Y1108" s="258">
        <v>0</v>
      </c>
      <c r="Z1108" s="257">
        <f>INT($L1108*Y1108*100+0.5)/100</f>
        <v>0</v>
      </c>
      <c r="AG1108" s="255">
        <v>104.3</v>
      </c>
      <c r="AH1108" s="289">
        <v>0</v>
      </c>
      <c r="AI1108" s="245">
        <f>AG1108*AH1108</f>
        <v>0</v>
      </c>
    </row>
    <row r="1109" spans="1:35" ht="15">
      <c r="A1109" s="250" t="s">
        <v>728</v>
      </c>
      <c r="B1109" s="251"/>
      <c r="C1109" s="665" t="s">
        <v>758</v>
      </c>
      <c r="D1109" s="548" t="s">
        <v>235</v>
      </c>
      <c r="E1109" s="251" t="s">
        <v>1901</v>
      </c>
      <c r="F1109" s="304">
        <f>M1109+O1109+Q1109+S1109+U1109+W1109+Y1109</f>
        <v>0</v>
      </c>
      <c r="G1109" s="253">
        <f>L1109</f>
        <v>12.199999999999989</v>
      </c>
      <c r="H1109" s="254">
        <f>F1109*G1109</f>
        <v>0</v>
      </c>
      <c r="I1109" s="253">
        <f>N1109+P1109+R1109+T1109+V1109+X1109+Z1109</f>
        <v>0</v>
      </c>
      <c r="J1109" s="253"/>
      <c r="K1109" s="251" t="s">
        <v>1901</v>
      </c>
      <c r="L1109" s="255">
        <f>257.4-245.2</f>
        <v>12.199999999999989</v>
      </c>
      <c r="M1109" s="289">
        <v>0</v>
      </c>
      <c r="N1109" s="245">
        <f>INT($L1109*M1109*100+0.5)/100</f>
        <v>0</v>
      </c>
      <c r="O1109" s="258">
        <v>0</v>
      </c>
      <c r="P1109" s="257">
        <f>INT($L1109*O1109*100+0.5)/100</f>
        <v>0</v>
      </c>
      <c r="Q1109" s="258">
        <v>0</v>
      </c>
      <c r="R1109" s="257">
        <f>INT($L1109*Q1109*100+0.5)/100</f>
        <v>0</v>
      </c>
      <c r="S1109" s="258">
        <v>0</v>
      </c>
      <c r="T1109" s="257">
        <f>INT($L1109*S1109*100+0.5)/100</f>
        <v>0</v>
      </c>
      <c r="U1109" s="258">
        <v>0</v>
      </c>
      <c r="V1109" s="257">
        <f>INT($L1109*U1109*100+0.5)/100</f>
        <v>0</v>
      </c>
      <c r="W1109" s="258">
        <v>0</v>
      </c>
      <c r="X1109" s="257">
        <f>INT($L1109*W1109*100+0.5)/100</f>
        <v>0</v>
      </c>
      <c r="Y1109" s="258">
        <v>0</v>
      </c>
      <c r="Z1109" s="257">
        <f>INT($L1109*Y1109*100+0.5)/100</f>
        <v>0</v>
      </c>
      <c r="AG1109" s="255">
        <v>132.82</v>
      </c>
      <c r="AH1109" s="289">
        <v>0</v>
      </c>
      <c r="AI1109" s="245">
        <f>AG1109*AH1109</f>
        <v>0</v>
      </c>
    </row>
    <row r="1110" spans="1:35" ht="15">
      <c r="A1110" s="250" t="s">
        <v>732</v>
      </c>
      <c r="B1110" s="251"/>
      <c r="C1110" s="665" t="s">
        <v>759</v>
      </c>
      <c r="D1110" s="548" t="s">
        <v>236</v>
      </c>
      <c r="E1110" s="251" t="s">
        <v>1901</v>
      </c>
      <c r="F1110" s="304">
        <f>M1110+O1110+Q1110+S1110+U1110+W1110+Y1110</f>
        <v>3</v>
      </c>
      <c r="G1110" s="253">
        <f>L1110</f>
        <v>12.200000000000045</v>
      </c>
      <c r="H1110" s="254">
        <f>F1110*G1110</f>
        <v>36.600000000000136</v>
      </c>
      <c r="I1110" s="253">
        <f>N1110+P1110+R1110+T1110+V1110+X1110+Z1110</f>
        <v>36.6</v>
      </c>
      <c r="J1110" s="253"/>
      <c r="K1110" s="251" t="s">
        <v>1901</v>
      </c>
      <c r="L1110" s="255">
        <f>311.66-299.46</f>
        <v>12.200000000000045</v>
      </c>
      <c r="M1110" s="289">
        <v>3</v>
      </c>
      <c r="N1110" s="245">
        <f>INT($L1110*M1110*100+0.5)/100</f>
        <v>36.6</v>
      </c>
      <c r="O1110" s="258">
        <v>0</v>
      </c>
      <c r="P1110" s="257">
        <f>INT($L1110*O1110*100+0.5)/100</f>
        <v>0</v>
      </c>
      <c r="Q1110" s="258">
        <v>0</v>
      </c>
      <c r="R1110" s="257">
        <f>INT($L1110*Q1110*100+0.5)/100</f>
        <v>0</v>
      </c>
      <c r="S1110" s="258">
        <v>0</v>
      </c>
      <c r="T1110" s="257">
        <f>INT($L1110*S1110*100+0.5)/100</f>
        <v>0</v>
      </c>
      <c r="U1110" s="258">
        <v>0</v>
      </c>
      <c r="V1110" s="257">
        <f>INT($L1110*U1110*100+0.5)/100</f>
        <v>0</v>
      </c>
      <c r="W1110" s="258">
        <v>0</v>
      </c>
      <c r="X1110" s="257">
        <f>INT($L1110*W1110*100+0.5)/100</f>
        <v>0</v>
      </c>
      <c r="Y1110" s="258">
        <v>0</v>
      </c>
      <c r="Z1110" s="257">
        <f>INT($L1110*Y1110*100+0.5)/100</f>
        <v>0</v>
      </c>
      <c r="AG1110" s="255">
        <v>169.03</v>
      </c>
      <c r="AH1110" s="289">
        <v>3</v>
      </c>
      <c r="AI1110" s="245">
        <f>AG1110*AH1110</f>
        <v>507.09000000000003</v>
      </c>
    </row>
    <row r="1111" spans="1:35" ht="15">
      <c r="A1111" s="250"/>
      <c r="B1111" s="251"/>
      <c r="C1111" s="665"/>
      <c r="D1111" s="548"/>
      <c r="E1111" s="251"/>
      <c r="F1111" s="252"/>
      <c r="G1111" s="253"/>
      <c r="H1111" s="254"/>
      <c r="I1111" s="253"/>
      <c r="J1111" s="253"/>
      <c r="K1111" s="251"/>
      <c r="L1111" s="262"/>
      <c r="M1111" s="289"/>
      <c r="N1111" s="245"/>
      <c r="O1111" s="258"/>
      <c r="P1111" s="257"/>
      <c r="Q1111" s="258"/>
      <c r="R1111" s="257"/>
      <c r="S1111" s="258"/>
      <c r="T1111" s="257"/>
      <c r="U1111" s="258"/>
      <c r="V1111" s="257"/>
      <c r="W1111" s="258"/>
      <c r="X1111" s="257"/>
      <c r="Y1111" s="258"/>
      <c r="Z1111" s="257"/>
      <c r="AG1111" s="262"/>
      <c r="AH1111" s="289"/>
      <c r="AI1111" s="245"/>
    </row>
    <row r="1112" spans="1:35" ht="25.5">
      <c r="A1112" s="250">
        <f>A1105+1</f>
        <v>199</v>
      </c>
      <c r="B1112" s="251"/>
      <c r="C1112" s="665" t="s">
        <v>2495</v>
      </c>
      <c r="D1112" s="526" t="s">
        <v>950</v>
      </c>
      <c r="E1112" s="251"/>
      <c r="F1112" s="252"/>
      <c r="G1112" s="253"/>
      <c r="H1112" s="254"/>
      <c r="I1112" s="253"/>
      <c r="J1112" s="253"/>
      <c r="K1112" s="251"/>
      <c r="L1112" s="262"/>
      <c r="M1112" s="289"/>
      <c r="N1112" s="245"/>
      <c r="O1112" s="258"/>
      <c r="P1112" s="257"/>
      <c r="Q1112" s="258"/>
      <c r="R1112" s="257"/>
      <c r="S1112" s="258"/>
      <c r="T1112" s="257"/>
      <c r="U1112" s="258"/>
      <c r="V1112" s="257"/>
      <c r="W1112" s="258"/>
      <c r="X1112" s="257"/>
      <c r="Y1112" s="258"/>
      <c r="Z1112" s="257"/>
      <c r="AG1112" s="262"/>
      <c r="AH1112" s="289"/>
      <c r="AI1112" s="245"/>
    </row>
    <row r="1113" spans="1:35" ht="31.5" customHeight="1">
      <c r="A1113" s="250"/>
      <c r="B1113" s="251"/>
      <c r="C1113" s="665"/>
      <c r="D1113" s="526" t="s">
        <v>840</v>
      </c>
      <c r="E1113" s="251"/>
      <c r="F1113" s="252"/>
      <c r="G1113" s="253"/>
      <c r="H1113" s="254"/>
      <c r="I1113" s="253"/>
      <c r="J1113" s="253"/>
      <c r="K1113" s="251"/>
      <c r="L1113" s="262"/>
      <c r="M1113" s="289"/>
      <c r="N1113" s="245"/>
      <c r="O1113" s="258"/>
      <c r="P1113" s="257"/>
      <c r="Q1113" s="258"/>
      <c r="R1113" s="257"/>
      <c r="S1113" s="258"/>
      <c r="T1113" s="257"/>
      <c r="U1113" s="258"/>
      <c r="V1113" s="257"/>
      <c r="W1113" s="258"/>
      <c r="X1113" s="257"/>
      <c r="Y1113" s="258"/>
      <c r="Z1113" s="257"/>
      <c r="AG1113" s="262"/>
      <c r="AH1113" s="289"/>
      <c r="AI1113" s="245"/>
    </row>
    <row r="1114" spans="1:35" ht="15" customHeight="1">
      <c r="A1114" s="250" t="s">
        <v>726</v>
      </c>
      <c r="B1114" s="251"/>
      <c r="C1114" s="665" t="s">
        <v>760</v>
      </c>
      <c r="D1114" s="548" t="s">
        <v>223</v>
      </c>
      <c r="E1114" s="251" t="s">
        <v>1901</v>
      </c>
      <c r="F1114" s="304">
        <f>M1114+O1114+Q1114+S1114+U1114+W1114+Y1114</f>
        <v>0</v>
      </c>
      <c r="G1114" s="253">
        <f>L1114</f>
        <v>12.200000000000017</v>
      </c>
      <c r="H1114" s="254">
        <f>F1114*G1114</f>
        <v>0</v>
      </c>
      <c r="I1114" s="253">
        <f>N1114+P1114+R1114+T1114+V1114+X1114+Z1114</f>
        <v>0</v>
      </c>
      <c r="J1114" s="253"/>
      <c r="K1114" s="251" t="s">
        <v>1901</v>
      </c>
      <c r="L1114" s="255">
        <f>169.09-156.89</f>
        <v>12.200000000000017</v>
      </c>
      <c r="M1114" s="289">
        <v>0</v>
      </c>
      <c r="N1114" s="245">
        <f>INT($L1114*M1114*100+0.5)/100</f>
        <v>0</v>
      </c>
      <c r="O1114" s="258">
        <v>0</v>
      </c>
      <c r="P1114" s="257">
        <f>INT($L1114*O1114*100+0.5)/100</f>
        <v>0</v>
      </c>
      <c r="Q1114" s="258">
        <v>0</v>
      </c>
      <c r="R1114" s="257">
        <f>INT($L1114*Q1114*100+0.5)/100</f>
        <v>0</v>
      </c>
      <c r="S1114" s="258">
        <v>0</v>
      </c>
      <c r="T1114" s="257">
        <f>INT($L1114*S1114*100+0.5)/100</f>
        <v>0</v>
      </c>
      <c r="U1114" s="258">
        <v>0</v>
      </c>
      <c r="V1114" s="257">
        <f>INT($L1114*U1114*100+0.5)/100</f>
        <v>0</v>
      </c>
      <c r="W1114" s="258">
        <v>0</v>
      </c>
      <c r="X1114" s="257">
        <f>INT($L1114*W1114*100+0.5)/100</f>
        <v>0</v>
      </c>
      <c r="Y1114" s="258">
        <v>0</v>
      </c>
      <c r="Z1114" s="257">
        <f>INT($L1114*Y1114*100+0.5)/100</f>
        <v>0</v>
      </c>
      <c r="AG1114" s="255">
        <v>76.63</v>
      </c>
      <c r="AH1114" s="289">
        <v>0</v>
      </c>
      <c r="AI1114" s="245">
        <f>AG1114*AH1114</f>
        <v>0</v>
      </c>
    </row>
    <row r="1115" spans="1:35" ht="15" customHeight="1">
      <c r="A1115" s="250" t="s">
        <v>727</v>
      </c>
      <c r="B1115" s="251"/>
      <c r="C1115" s="665" t="s">
        <v>761</v>
      </c>
      <c r="D1115" s="548" t="s">
        <v>224</v>
      </c>
      <c r="E1115" s="251" t="s">
        <v>1901</v>
      </c>
      <c r="F1115" s="304">
        <f>M1115+O1115+Q1115+S1115+U1115+W1115+Y1115</f>
        <v>0</v>
      </c>
      <c r="G1115" s="253">
        <f>L1115</f>
        <v>12.200000000000017</v>
      </c>
      <c r="H1115" s="254">
        <f>F1115*G1115</f>
        <v>0</v>
      </c>
      <c r="I1115" s="253">
        <f>N1115+P1115+R1115+T1115+V1115+X1115+Z1115</f>
        <v>0</v>
      </c>
      <c r="J1115" s="253"/>
      <c r="K1115" s="251" t="s">
        <v>1901</v>
      </c>
      <c r="L1115" s="255">
        <f>L1114</f>
        <v>12.200000000000017</v>
      </c>
      <c r="M1115" s="289">
        <v>0</v>
      </c>
      <c r="N1115" s="245">
        <f>INT($L1115*M1115*100+0.5)/100</f>
        <v>0</v>
      </c>
      <c r="O1115" s="258">
        <v>0</v>
      </c>
      <c r="P1115" s="257">
        <f>INT($L1115*O1115*100+0.5)/100</f>
        <v>0</v>
      </c>
      <c r="Q1115" s="258">
        <v>0</v>
      </c>
      <c r="R1115" s="257">
        <f>INT($L1115*Q1115*100+0.5)/100</f>
        <v>0</v>
      </c>
      <c r="S1115" s="258">
        <v>0</v>
      </c>
      <c r="T1115" s="257">
        <f>INT($L1115*S1115*100+0.5)/100</f>
        <v>0</v>
      </c>
      <c r="U1115" s="258">
        <v>0</v>
      </c>
      <c r="V1115" s="257">
        <f>INT($L1115*U1115*100+0.5)/100</f>
        <v>0</v>
      </c>
      <c r="W1115" s="258">
        <v>0</v>
      </c>
      <c r="X1115" s="257">
        <f>INT($L1115*W1115*100+0.5)/100</f>
        <v>0</v>
      </c>
      <c r="Y1115" s="258">
        <v>0</v>
      </c>
      <c r="Z1115" s="257">
        <f>INT($L1115*Y1115*100+0.5)/100</f>
        <v>0</v>
      </c>
      <c r="AG1115" s="255">
        <v>136.83000000000001</v>
      </c>
      <c r="AH1115" s="289">
        <v>0</v>
      </c>
      <c r="AI1115" s="245">
        <f>AG1115*AH1115</f>
        <v>0</v>
      </c>
    </row>
    <row r="1116" spans="1:35" ht="15" customHeight="1">
      <c r="A1116" s="250" t="s">
        <v>728</v>
      </c>
      <c r="B1116" s="251"/>
      <c r="C1116" s="665" t="s">
        <v>762</v>
      </c>
      <c r="D1116" s="548" t="s">
        <v>235</v>
      </c>
      <c r="E1116" s="251" t="s">
        <v>1901</v>
      </c>
      <c r="F1116" s="304">
        <f>M1116+O1116+Q1116+S1116+U1116+W1116+Y1116</f>
        <v>0</v>
      </c>
      <c r="G1116" s="253">
        <f>L1116</f>
        <v>12.200000000000017</v>
      </c>
      <c r="H1116" s="254">
        <f>F1116*G1116</f>
        <v>0</v>
      </c>
      <c r="I1116" s="253">
        <f>N1116+P1116+R1116+T1116+V1116+X1116+Z1116</f>
        <v>0</v>
      </c>
      <c r="J1116" s="253"/>
      <c r="K1116" s="251" t="s">
        <v>1901</v>
      </c>
      <c r="L1116" s="255">
        <f>L1114</f>
        <v>12.200000000000017</v>
      </c>
      <c r="M1116" s="289">
        <v>0</v>
      </c>
      <c r="N1116" s="245">
        <f>INT($L1116*M1116*100+0.5)/100</f>
        <v>0</v>
      </c>
      <c r="O1116" s="258">
        <v>0</v>
      </c>
      <c r="P1116" s="257">
        <f>INT($L1116*O1116*100+0.5)/100</f>
        <v>0</v>
      </c>
      <c r="Q1116" s="258">
        <v>0</v>
      </c>
      <c r="R1116" s="257">
        <f>INT($L1116*Q1116*100+0.5)/100</f>
        <v>0</v>
      </c>
      <c r="S1116" s="258">
        <v>0</v>
      </c>
      <c r="T1116" s="257">
        <f>INT($L1116*S1116*100+0.5)/100</f>
        <v>0</v>
      </c>
      <c r="U1116" s="258">
        <v>0</v>
      </c>
      <c r="V1116" s="257">
        <f>INT($L1116*U1116*100+0.5)/100</f>
        <v>0</v>
      </c>
      <c r="W1116" s="258">
        <v>0</v>
      </c>
      <c r="X1116" s="257">
        <f>INT($L1116*W1116*100+0.5)/100</f>
        <v>0</v>
      </c>
      <c r="Y1116" s="258">
        <v>0</v>
      </c>
      <c r="Z1116" s="257">
        <f>INT($L1116*Y1116*100+0.5)/100</f>
        <v>0</v>
      </c>
      <c r="AG1116" s="255">
        <v>161.18</v>
      </c>
      <c r="AH1116" s="289">
        <v>0</v>
      </c>
      <c r="AI1116" s="245">
        <f>AG1116*AH1116</f>
        <v>0</v>
      </c>
    </row>
    <row r="1117" spans="1:35" ht="15" customHeight="1">
      <c r="A1117" s="250" t="s">
        <v>732</v>
      </c>
      <c r="B1117" s="251"/>
      <c r="C1117" s="665" t="s">
        <v>763</v>
      </c>
      <c r="D1117" s="548" t="s">
        <v>236</v>
      </c>
      <c r="E1117" s="251" t="s">
        <v>1901</v>
      </c>
      <c r="F1117" s="304">
        <f>M1117+O1117+Q1117+S1117+U1117+W1117+Y1117</f>
        <v>23</v>
      </c>
      <c r="G1117" s="253">
        <f>L1117</f>
        <v>12.200000000000017</v>
      </c>
      <c r="H1117" s="254">
        <f>F1117*G1117</f>
        <v>280.60000000000036</v>
      </c>
      <c r="I1117" s="253">
        <f>N1117+P1117+R1117+T1117+V1117+X1117+Z1117</f>
        <v>280.60000000000002</v>
      </c>
      <c r="J1117" s="253"/>
      <c r="K1117" s="251" t="s">
        <v>1901</v>
      </c>
      <c r="L1117" s="255">
        <f>L1114</f>
        <v>12.200000000000017</v>
      </c>
      <c r="M1117" s="289">
        <f>3+3+3+3+3+3+3+2</f>
        <v>23</v>
      </c>
      <c r="N1117" s="245">
        <f>INT($L1117*M1117*100+0.5)/100</f>
        <v>280.60000000000002</v>
      </c>
      <c r="O1117" s="258">
        <v>0</v>
      </c>
      <c r="P1117" s="257">
        <f>INT($L1117*O1117*100+0.5)/100</f>
        <v>0</v>
      </c>
      <c r="Q1117" s="258">
        <v>0</v>
      </c>
      <c r="R1117" s="257">
        <f>INT($L1117*Q1117*100+0.5)/100</f>
        <v>0</v>
      </c>
      <c r="S1117" s="258">
        <v>0</v>
      </c>
      <c r="T1117" s="257">
        <f>INT($L1117*S1117*100+0.5)/100</f>
        <v>0</v>
      </c>
      <c r="U1117" s="258">
        <v>0</v>
      </c>
      <c r="V1117" s="257">
        <f>INT($L1117*U1117*100+0.5)/100</f>
        <v>0</v>
      </c>
      <c r="W1117" s="258">
        <v>0</v>
      </c>
      <c r="X1117" s="257">
        <f>INT($L1117*W1117*100+0.5)/100</f>
        <v>0</v>
      </c>
      <c r="Y1117" s="258">
        <v>0</v>
      </c>
      <c r="Z1117" s="257">
        <f>INT($L1117*Y1117*100+0.5)/100</f>
        <v>0</v>
      </c>
      <c r="AG1117" s="255">
        <v>207.37</v>
      </c>
      <c r="AH1117" s="289">
        <f>3+3+3+3+3+3+3+2</f>
        <v>23</v>
      </c>
      <c r="AI1117" s="245">
        <f>AG1117*AH1117</f>
        <v>4769.51</v>
      </c>
    </row>
    <row r="1118" spans="1:35" ht="15" customHeight="1">
      <c r="A1118" s="250"/>
      <c r="B1118" s="251"/>
      <c r="C1118" s="665"/>
      <c r="D1118" s="548"/>
      <c r="E1118" s="251"/>
      <c r="F1118" s="252"/>
      <c r="G1118" s="253"/>
      <c r="H1118" s="254"/>
      <c r="I1118" s="253"/>
      <c r="J1118" s="253"/>
      <c r="K1118" s="251"/>
      <c r="L1118" s="262"/>
      <c r="M1118" s="289"/>
      <c r="N1118" s="245"/>
      <c r="O1118" s="258"/>
      <c r="P1118" s="257"/>
      <c r="Q1118" s="258"/>
      <c r="R1118" s="257"/>
      <c r="S1118" s="258"/>
      <c r="T1118" s="257"/>
      <c r="U1118" s="258"/>
      <c r="V1118" s="257"/>
      <c r="W1118" s="258"/>
      <c r="X1118" s="257"/>
      <c r="Y1118" s="258"/>
      <c r="Z1118" s="257"/>
      <c r="AG1118" s="262"/>
      <c r="AH1118" s="289"/>
      <c r="AI1118" s="245"/>
    </row>
    <row r="1119" spans="1:35" ht="15" customHeight="1">
      <c r="A1119" s="250">
        <f>A1112+1</f>
        <v>200</v>
      </c>
      <c r="B1119" s="251"/>
      <c r="C1119" s="665" t="s">
        <v>2496</v>
      </c>
      <c r="D1119" s="548" t="s">
        <v>951</v>
      </c>
      <c r="E1119" s="251"/>
      <c r="F1119" s="252"/>
      <c r="G1119" s="253"/>
      <c r="H1119" s="254"/>
      <c r="I1119" s="253"/>
      <c r="J1119" s="253"/>
      <c r="K1119" s="251"/>
      <c r="L1119" s="262"/>
      <c r="M1119" s="289"/>
      <c r="N1119" s="245"/>
      <c r="O1119" s="258"/>
      <c r="P1119" s="257"/>
      <c r="Q1119" s="258"/>
      <c r="R1119" s="257"/>
      <c r="S1119" s="258"/>
      <c r="T1119" s="257"/>
      <c r="U1119" s="258"/>
      <c r="V1119" s="257"/>
      <c r="W1119" s="258"/>
      <c r="X1119" s="257"/>
      <c r="Y1119" s="258"/>
      <c r="Z1119" s="257"/>
      <c r="AG1119" s="262"/>
      <c r="AH1119" s="289"/>
      <c r="AI1119" s="245"/>
    </row>
    <row r="1120" spans="1:35" ht="15" customHeight="1">
      <c r="A1120" s="250"/>
      <c r="B1120" s="251"/>
      <c r="C1120" s="665"/>
      <c r="D1120" s="549" t="s">
        <v>841</v>
      </c>
      <c r="E1120" s="251"/>
      <c r="F1120" s="252"/>
      <c r="G1120" s="253"/>
      <c r="H1120" s="254"/>
      <c r="I1120" s="253"/>
      <c r="J1120" s="253"/>
      <c r="K1120" s="251"/>
      <c r="L1120" s="262"/>
      <c r="M1120" s="289"/>
      <c r="N1120" s="245"/>
      <c r="O1120" s="258"/>
      <c r="P1120" s="257"/>
      <c r="Q1120" s="258"/>
      <c r="R1120" s="257"/>
      <c r="S1120" s="258"/>
      <c r="T1120" s="257"/>
      <c r="U1120" s="258"/>
      <c r="V1120" s="257"/>
      <c r="W1120" s="258"/>
      <c r="X1120" s="257"/>
      <c r="Y1120" s="258"/>
      <c r="Z1120" s="257"/>
      <c r="AG1120" s="262"/>
      <c r="AH1120" s="289"/>
      <c r="AI1120" s="245"/>
    </row>
    <row r="1121" spans="1:35" ht="15" customHeight="1">
      <c r="A1121" s="250" t="s">
        <v>726</v>
      </c>
      <c r="B1121" s="251"/>
      <c r="C1121" s="665" t="s">
        <v>764</v>
      </c>
      <c r="D1121" s="548" t="s">
        <v>223</v>
      </c>
      <c r="E1121" s="251" t="s">
        <v>1901</v>
      </c>
      <c r="F1121" s="304">
        <f>M1121+O1121+Q1121+S1121+U1121+W1121+Y1121</f>
        <v>0</v>
      </c>
      <c r="G1121" s="253">
        <f>L1121</f>
        <v>12.200000000000017</v>
      </c>
      <c r="H1121" s="254">
        <f>F1121*G1121</f>
        <v>0</v>
      </c>
      <c r="I1121" s="253">
        <f>N1121+P1121+R1121+T1121+V1121+X1121+Z1121</f>
        <v>0</v>
      </c>
      <c r="J1121" s="253"/>
      <c r="K1121" s="251" t="s">
        <v>1901</v>
      </c>
      <c r="L1121" s="255">
        <f>L1117</f>
        <v>12.200000000000017</v>
      </c>
      <c r="M1121" s="289">
        <v>0</v>
      </c>
      <c r="N1121" s="245">
        <f>INT($L1121*M1121*100+0.5)/100</f>
        <v>0</v>
      </c>
      <c r="O1121" s="258">
        <v>0</v>
      </c>
      <c r="P1121" s="257">
        <f>INT($L1121*O1121*100+0.5)/100</f>
        <v>0</v>
      </c>
      <c r="Q1121" s="258">
        <v>0</v>
      </c>
      <c r="R1121" s="257">
        <f>INT($L1121*Q1121*100+0.5)/100</f>
        <v>0</v>
      </c>
      <c r="S1121" s="258">
        <v>0</v>
      </c>
      <c r="T1121" s="257">
        <f>INT($L1121*S1121*100+0.5)/100</f>
        <v>0</v>
      </c>
      <c r="U1121" s="258">
        <v>0</v>
      </c>
      <c r="V1121" s="257">
        <f>INT($L1121*U1121*100+0.5)/100</f>
        <v>0</v>
      </c>
      <c r="W1121" s="258">
        <v>0</v>
      </c>
      <c r="X1121" s="257">
        <f>INT($L1121*W1121*100+0.5)/100</f>
        <v>0</v>
      </c>
      <c r="Y1121" s="258">
        <v>0</v>
      </c>
      <c r="Z1121" s="257">
        <f>INT($L1121*Y1121*100+0.5)/100</f>
        <v>0</v>
      </c>
      <c r="AG1121" s="255">
        <v>92.05</v>
      </c>
      <c r="AH1121" s="289">
        <v>0</v>
      </c>
      <c r="AI1121" s="245">
        <f>AG1121*AH1121</f>
        <v>0</v>
      </c>
    </row>
    <row r="1122" spans="1:35" ht="15" customHeight="1">
      <c r="A1122" s="250" t="s">
        <v>727</v>
      </c>
      <c r="B1122" s="251"/>
      <c r="C1122" s="665" t="s">
        <v>765</v>
      </c>
      <c r="D1122" s="548" t="s">
        <v>224</v>
      </c>
      <c r="E1122" s="251" t="s">
        <v>1901</v>
      </c>
      <c r="F1122" s="304">
        <f>M1122+O1122+Q1122+S1122+U1122+W1122+Y1122</f>
        <v>0</v>
      </c>
      <c r="G1122" s="253">
        <f>L1122</f>
        <v>12.200000000000017</v>
      </c>
      <c r="H1122" s="254">
        <f>F1122*G1122</f>
        <v>0</v>
      </c>
      <c r="I1122" s="253">
        <f>N1122+P1122+R1122+T1122+V1122+X1122+Z1122</f>
        <v>0</v>
      </c>
      <c r="J1122" s="253"/>
      <c r="K1122" s="251" t="s">
        <v>1901</v>
      </c>
      <c r="L1122" s="255">
        <f>L1121</f>
        <v>12.200000000000017</v>
      </c>
      <c r="M1122" s="289">
        <v>0</v>
      </c>
      <c r="N1122" s="245">
        <f>INT($L1122*M1122*100+0.5)/100</f>
        <v>0</v>
      </c>
      <c r="O1122" s="258">
        <v>0</v>
      </c>
      <c r="P1122" s="257">
        <f>INT($L1122*O1122*100+0.5)/100</f>
        <v>0</v>
      </c>
      <c r="Q1122" s="258">
        <v>0</v>
      </c>
      <c r="R1122" s="257">
        <f>INT($L1122*Q1122*100+0.5)/100</f>
        <v>0</v>
      </c>
      <c r="S1122" s="258">
        <v>0</v>
      </c>
      <c r="T1122" s="257">
        <f>INT($L1122*S1122*100+0.5)/100</f>
        <v>0</v>
      </c>
      <c r="U1122" s="258">
        <v>0</v>
      </c>
      <c r="V1122" s="257">
        <f>INT($L1122*U1122*100+0.5)/100</f>
        <v>0</v>
      </c>
      <c r="W1122" s="258">
        <v>0</v>
      </c>
      <c r="X1122" s="257">
        <f>INT($L1122*W1122*100+0.5)/100</f>
        <v>0</v>
      </c>
      <c r="Y1122" s="258">
        <v>0</v>
      </c>
      <c r="Z1122" s="257">
        <f>INT($L1122*Y1122*100+0.5)/100</f>
        <v>0</v>
      </c>
      <c r="AG1122" s="255">
        <v>122.72</v>
      </c>
      <c r="AH1122" s="289">
        <v>0</v>
      </c>
      <c r="AI1122" s="245">
        <f>AG1122*AH1122</f>
        <v>0</v>
      </c>
    </row>
    <row r="1123" spans="1:35" ht="15" customHeight="1">
      <c r="A1123" s="250" t="s">
        <v>728</v>
      </c>
      <c r="B1123" s="251"/>
      <c r="C1123" s="665" t="s">
        <v>766</v>
      </c>
      <c r="D1123" s="548" t="s">
        <v>235</v>
      </c>
      <c r="E1123" s="251" t="s">
        <v>1901</v>
      </c>
      <c r="F1123" s="304">
        <f>M1123+O1123+Q1123+S1123+U1123+W1123+Y1123</f>
        <v>0</v>
      </c>
      <c r="G1123" s="253">
        <f>L1123</f>
        <v>12.200000000000017</v>
      </c>
      <c r="H1123" s="254">
        <f>F1123*G1123</f>
        <v>0</v>
      </c>
      <c r="I1123" s="253">
        <f>N1123+P1123+R1123+T1123+V1123+X1123+Z1123</f>
        <v>0</v>
      </c>
      <c r="J1123" s="253"/>
      <c r="K1123" s="251" t="s">
        <v>1901</v>
      </c>
      <c r="L1123" s="255">
        <f>L1122</f>
        <v>12.200000000000017</v>
      </c>
      <c r="M1123" s="289">
        <v>0</v>
      </c>
      <c r="N1123" s="245">
        <f>INT($L1123*M1123*100+0.5)/100</f>
        <v>0</v>
      </c>
      <c r="O1123" s="258">
        <v>0</v>
      </c>
      <c r="P1123" s="257">
        <f>INT($L1123*O1123*100+0.5)/100</f>
        <v>0</v>
      </c>
      <c r="Q1123" s="258">
        <v>0</v>
      </c>
      <c r="R1123" s="257">
        <f>INT($L1123*Q1123*100+0.5)/100</f>
        <v>0</v>
      </c>
      <c r="S1123" s="258">
        <v>0</v>
      </c>
      <c r="T1123" s="257">
        <f>INT($L1123*S1123*100+0.5)/100</f>
        <v>0</v>
      </c>
      <c r="U1123" s="258">
        <v>0</v>
      </c>
      <c r="V1123" s="257">
        <f>INT($L1123*U1123*100+0.5)/100</f>
        <v>0</v>
      </c>
      <c r="W1123" s="258">
        <v>0</v>
      </c>
      <c r="X1123" s="257">
        <f>INT($L1123*W1123*100+0.5)/100</f>
        <v>0</v>
      </c>
      <c r="Y1123" s="258">
        <v>0</v>
      </c>
      <c r="Z1123" s="257">
        <f>INT($L1123*Y1123*100+0.5)/100</f>
        <v>0</v>
      </c>
      <c r="AG1123" s="255">
        <v>175.14</v>
      </c>
      <c r="AH1123" s="289">
        <v>0</v>
      </c>
      <c r="AI1123" s="245">
        <f>AG1123*AH1123</f>
        <v>0</v>
      </c>
    </row>
    <row r="1124" spans="1:35" ht="15" customHeight="1">
      <c r="A1124" s="250" t="s">
        <v>732</v>
      </c>
      <c r="B1124" s="251"/>
      <c r="C1124" s="665" t="s">
        <v>767</v>
      </c>
      <c r="D1124" s="548" t="s">
        <v>236</v>
      </c>
      <c r="E1124" s="251" t="s">
        <v>1901</v>
      </c>
      <c r="F1124" s="304">
        <f>M1124+O1124+Q1124+S1124+U1124+W1124+Y1124</f>
        <v>5</v>
      </c>
      <c r="G1124" s="253">
        <f>L1124</f>
        <v>12.200000000000017</v>
      </c>
      <c r="H1124" s="254">
        <f>F1124*G1124</f>
        <v>61.000000000000085</v>
      </c>
      <c r="I1124" s="253">
        <f>N1124+P1124+R1124+T1124+V1124+X1124+Z1124</f>
        <v>61</v>
      </c>
      <c r="J1124" s="253"/>
      <c r="K1124" s="251" t="s">
        <v>1901</v>
      </c>
      <c r="L1124" s="255">
        <f>L1123</f>
        <v>12.200000000000017</v>
      </c>
      <c r="M1124" s="289">
        <v>5</v>
      </c>
      <c r="N1124" s="245">
        <f>INT($L1124*M1124*100+0.5)/100</f>
        <v>61</v>
      </c>
      <c r="O1124" s="258">
        <v>0</v>
      </c>
      <c r="P1124" s="257">
        <f>INT($L1124*O1124*100+0.5)/100</f>
        <v>0</v>
      </c>
      <c r="Q1124" s="258">
        <v>0</v>
      </c>
      <c r="R1124" s="257">
        <f>INT($L1124*Q1124*100+0.5)/100</f>
        <v>0</v>
      </c>
      <c r="S1124" s="258">
        <v>0</v>
      </c>
      <c r="T1124" s="257">
        <f>INT($L1124*S1124*100+0.5)/100</f>
        <v>0</v>
      </c>
      <c r="U1124" s="258">
        <v>0</v>
      </c>
      <c r="V1124" s="257">
        <f>INT($L1124*U1124*100+0.5)/100</f>
        <v>0</v>
      </c>
      <c r="W1124" s="258">
        <v>0</v>
      </c>
      <c r="X1124" s="257">
        <f>INT($L1124*W1124*100+0.5)/100</f>
        <v>0</v>
      </c>
      <c r="Y1124" s="258">
        <v>0</v>
      </c>
      <c r="Z1124" s="257">
        <f>INT($L1124*Y1124*100+0.5)/100</f>
        <v>0</v>
      </c>
      <c r="AG1124" s="255">
        <v>215.39</v>
      </c>
      <c r="AH1124" s="289">
        <v>5</v>
      </c>
      <c r="AI1124" s="245">
        <f>AG1124*AH1124</f>
        <v>1076.9499999999998</v>
      </c>
    </row>
    <row r="1125" spans="1:35" ht="15" customHeight="1">
      <c r="A1125" s="250"/>
      <c r="B1125" s="251"/>
      <c r="C1125" s="526"/>
      <c r="D1125" s="292"/>
      <c r="E1125" s="251"/>
      <c r="F1125" s="252"/>
      <c r="G1125" s="253"/>
      <c r="H1125" s="254"/>
      <c r="I1125" s="253"/>
      <c r="J1125" s="253"/>
      <c r="K1125" s="251"/>
      <c r="L1125" s="487"/>
      <c r="M1125" s="289"/>
      <c r="N1125" s="245"/>
      <c r="O1125" s="258"/>
      <c r="P1125" s="257"/>
      <c r="Q1125" s="258"/>
      <c r="R1125" s="257"/>
      <c r="S1125" s="258"/>
      <c r="T1125" s="257"/>
      <c r="U1125" s="258"/>
      <c r="V1125" s="257"/>
      <c r="W1125" s="258"/>
      <c r="X1125" s="257"/>
      <c r="Y1125" s="258"/>
      <c r="Z1125" s="257"/>
    </row>
    <row r="1126" spans="1:35" ht="15" customHeight="1">
      <c r="A1126" s="250">
        <f>A1119+1</f>
        <v>201</v>
      </c>
      <c r="B1126" s="251"/>
      <c r="C1126" s="526" t="s">
        <v>1784</v>
      </c>
      <c r="D1126" s="526" t="s">
        <v>370</v>
      </c>
      <c r="E1126" s="251"/>
      <c r="F1126" s="252"/>
      <c r="G1126" s="253"/>
      <c r="H1126" s="290"/>
      <c r="I1126" s="253"/>
      <c r="J1126" s="253"/>
      <c r="K1126" s="251"/>
      <c r="L1126" s="261"/>
      <c r="M1126" s="289"/>
      <c r="N1126" s="242"/>
      <c r="O1126" s="258"/>
      <c r="P1126" s="257"/>
      <c r="Q1126" s="258"/>
      <c r="R1126" s="257"/>
      <c r="S1126" s="258"/>
      <c r="T1126" s="257"/>
      <c r="U1126" s="258"/>
      <c r="V1126" s="257"/>
      <c r="W1126" s="258"/>
      <c r="X1126" s="257"/>
      <c r="Y1126" s="258"/>
      <c r="Z1126" s="257"/>
      <c r="AI1126" s="218">
        <f>SUM(AI1082:AI1125)</f>
        <v>9830.1500000000015</v>
      </c>
    </row>
    <row r="1127" spans="1:35" ht="15" customHeight="1">
      <c r="A1127" s="250"/>
      <c r="B1127" s="251"/>
      <c r="C1127" s="526"/>
      <c r="D1127" s="526" t="s">
        <v>541</v>
      </c>
      <c r="E1127" s="251"/>
      <c r="F1127" s="252"/>
      <c r="G1127" s="253"/>
      <c r="H1127" s="290"/>
      <c r="I1127" s="253"/>
      <c r="J1127" s="253"/>
      <c r="K1127" s="251"/>
      <c r="L1127" s="261"/>
      <c r="M1127" s="289"/>
      <c r="N1127" s="242"/>
      <c r="O1127" s="258"/>
      <c r="P1127" s="257"/>
      <c r="Q1127" s="258"/>
      <c r="R1127" s="257"/>
      <c r="S1127" s="258"/>
      <c r="T1127" s="257"/>
      <c r="U1127" s="258"/>
      <c r="V1127" s="257"/>
      <c r="W1127" s="258"/>
      <c r="X1127" s="257"/>
      <c r="Y1127" s="258"/>
      <c r="Z1127" s="257"/>
    </row>
    <row r="1128" spans="1:35" ht="15" customHeight="1">
      <c r="A1128" s="250" t="s">
        <v>726</v>
      </c>
      <c r="B1128" s="251"/>
      <c r="C1128" s="526" t="s">
        <v>768</v>
      </c>
      <c r="D1128" s="292" t="s">
        <v>371</v>
      </c>
      <c r="E1128" s="251" t="s">
        <v>2475</v>
      </c>
      <c r="F1128" s="304">
        <f t="shared" ref="F1128:F1139" si="139">M1128+O1128+Q1128+S1128+U1128+W1128+Y1128</f>
        <v>0</v>
      </c>
      <c r="G1128" s="253">
        <f t="shared" ref="G1128:G1139" si="140">L1128</f>
        <v>6.09</v>
      </c>
      <c r="H1128" s="254">
        <f>F1128*G1128</f>
        <v>0</v>
      </c>
      <c r="I1128" s="253">
        <f t="shared" ref="I1128:I1139" si="141">N1128+P1128+R1128+T1128+V1128+X1128+Z1128</f>
        <v>0</v>
      </c>
      <c r="J1128" s="253"/>
      <c r="K1128" s="251" t="s">
        <v>2475</v>
      </c>
      <c r="L1128" s="663">
        <v>6.09</v>
      </c>
      <c r="M1128" s="289">
        <v>0</v>
      </c>
      <c r="N1128" s="245">
        <f t="shared" ref="N1128:N1139" si="142">INT($L1128*M1128*100+0.5)/100</f>
        <v>0</v>
      </c>
      <c r="O1128" s="258">
        <v>0</v>
      </c>
      <c r="P1128" s="257">
        <f t="shared" ref="P1128:P1139" si="143">INT($L1128*O1128*100+0.5)/100</f>
        <v>0</v>
      </c>
      <c r="Q1128" s="258">
        <v>0</v>
      </c>
      <c r="R1128" s="257">
        <f t="shared" ref="R1128:R1139" si="144">INT($L1128*Q1128*100+0.5)/100</f>
        <v>0</v>
      </c>
      <c r="S1128" s="258">
        <v>0</v>
      </c>
      <c r="T1128" s="257">
        <f t="shared" ref="T1128:T1139" si="145">INT($L1128*S1128*100+0.5)/100</f>
        <v>0</v>
      </c>
      <c r="U1128" s="258">
        <v>0</v>
      </c>
      <c r="V1128" s="257">
        <f t="shared" ref="V1128:V1139" si="146">INT($L1128*U1128*100+0.5)/100</f>
        <v>0</v>
      </c>
      <c r="W1128" s="258">
        <v>0</v>
      </c>
      <c r="X1128" s="257">
        <f t="shared" ref="X1128:X1139" si="147">INT($L1128*W1128*100+0.5)/100</f>
        <v>0</v>
      </c>
      <c r="Y1128" s="258">
        <v>0</v>
      </c>
      <c r="Z1128" s="257">
        <f t="shared" ref="Z1128:Z1139" si="148">INT($L1128*Y1128*100+0.5)/100</f>
        <v>0</v>
      </c>
    </row>
    <row r="1129" spans="1:35" ht="15" customHeight="1">
      <c r="A1129" s="250" t="s">
        <v>727</v>
      </c>
      <c r="B1129" s="251"/>
      <c r="C1129" s="526" t="s">
        <v>769</v>
      </c>
      <c r="D1129" s="292" t="s">
        <v>546</v>
      </c>
      <c r="E1129" s="251" t="s">
        <v>2475</v>
      </c>
      <c r="F1129" s="304">
        <f t="shared" si="139"/>
        <v>0</v>
      </c>
      <c r="G1129" s="253">
        <f t="shared" si="140"/>
        <v>6.74</v>
      </c>
      <c r="H1129" s="254">
        <f t="shared" ref="H1129:H1137" si="149">F1129*G1129</f>
        <v>0</v>
      </c>
      <c r="I1129" s="253">
        <f t="shared" si="141"/>
        <v>0</v>
      </c>
      <c r="J1129" s="253"/>
      <c r="K1129" s="251" t="s">
        <v>2475</v>
      </c>
      <c r="L1129" s="663">
        <v>6.74</v>
      </c>
      <c r="M1129" s="289">
        <v>0</v>
      </c>
      <c r="N1129" s="245">
        <f t="shared" si="142"/>
        <v>0</v>
      </c>
      <c r="O1129" s="258">
        <v>0</v>
      </c>
      <c r="P1129" s="257">
        <f t="shared" si="143"/>
        <v>0</v>
      </c>
      <c r="Q1129" s="258">
        <v>0</v>
      </c>
      <c r="R1129" s="257">
        <f t="shared" si="144"/>
        <v>0</v>
      </c>
      <c r="S1129" s="258">
        <v>0</v>
      </c>
      <c r="T1129" s="257">
        <f t="shared" si="145"/>
        <v>0</v>
      </c>
      <c r="U1129" s="258">
        <v>0</v>
      </c>
      <c r="V1129" s="257">
        <f t="shared" si="146"/>
        <v>0</v>
      </c>
      <c r="W1129" s="258">
        <v>0</v>
      </c>
      <c r="X1129" s="257">
        <f t="shared" si="147"/>
        <v>0</v>
      </c>
      <c r="Y1129" s="258">
        <v>0</v>
      </c>
      <c r="Z1129" s="257">
        <f t="shared" si="148"/>
        <v>0</v>
      </c>
    </row>
    <row r="1130" spans="1:35" ht="15" customHeight="1">
      <c r="A1130" s="250" t="s">
        <v>728</v>
      </c>
      <c r="B1130" s="251"/>
      <c r="C1130" s="526" t="s">
        <v>770</v>
      </c>
      <c r="D1130" s="292" t="s">
        <v>547</v>
      </c>
      <c r="E1130" s="251" t="s">
        <v>2475</v>
      </c>
      <c r="F1130" s="304">
        <f t="shared" si="139"/>
        <v>0</v>
      </c>
      <c r="G1130" s="253">
        <f t="shared" si="140"/>
        <v>6.98</v>
      </c>
      <c r="H1130" s="254">
        <f t="shared" si="149"/>
        <v>0</v>
      </c>
      <c r="I1130" s="253">
        <f t="shared" si="141"/>
        <v>0</v>
      </c>
      <c r="J1130" s="253"/>
      <c r="K1130" s="251" t="s">
        <v>2475</v>
      </c>
      <c r="L1130" s="663">
        <v>6.98</v>
      </c>
      <c r="M1130" s="289">
        <v>0</v>
      </c>
      <c r="N1130" s="245">
        <f t="shared" si="142"/>
        <v>0</v>
      </c>
      <c r="O1130" s="258">
        <v>0</v>
      </c>
      <c r="P1130" s="257">
        <f t="shared" si="143"/>
        <v>0</v>
      </c>
      <c r="Q1130" s="258">
        <v>0</v>
      </c>
      <c r="R1130" s="257">
        <f t="shared" si="144"/>
        <v>0</v>
      </c>
      <c r="S1130" s="258">
        <v>0</v>
      </c>
      <c r="T1130" s="257">
        <f t="shared" si="145"/>
        <v>0</v>
      </c>
      <c r="U1130" s="258">
        <v>0</v>
      </c>
      <c r="V1130" s="257">
        <f t="shared" si="146"/>
        <v>0</v>
      </c>
      <c r="W1130" s="258">
        <v>0</v>
      </c>
      <c r="X1130" s="257">
        <f t="shared" si="147"/>
        <v>0</v>
      </c>
      <c r="Y1130" s="258">
        <v>0</v>
      </c>
      <c r="Z1130" s="257">
        <f t="shared" si="148"/>
        <v>0</v>
      </c>
    </row>
    <row r="1131" spans="1:35" ht="15" customHeight="1">
      <c r="A1131" s="250" t="s">
        <v>732</v>
      </c>
      <c r="B1131" s="251"/>
      <c r="C1131" s="526" t="s">
        <v>771</v>
      </c>
      <c r="D1131" s="292" t="s">
        <v>548</v>
      </c>
      <c r="E1131" s="251" t="s">
        <v>2475</v>
      </c>
      <c r="F1131" s="304">
        <f t="shared" si="139"/>
        <v>0</v>
      </c>
      <c r="G1131" s="253">
        <f t="shared" si="140"/>
        <v>7.53</v>
      </c>
      <c r="H1131" s="254">
        <f t="shared" si="149"/>
        <v>0</v>
      </c>
      <c r="I1131" s="253">
        <f t="shared" si="141"/>
        <v>0</v>
      </c>
      <c r="J1131" s="253"/>
      <c r="K1131" s="251" t="s">
        <v>2475</v>
      </c>
      <c r="L1131" s="663">
        <v>7.53</v>
      </c>
      <c r="M1131" s="289">
        <v>0</v>
      </c>
      <c r="N1131" s="245">
        <f t="shared" si="142"/>
        <v>0</v>
      </c>
      <c r="O1131" s="258">
        <v>0</v>
      </c>
      <c r="P1131" s="257">
        <f t="shared" si="143"/>
        <v>0</v>
      </c>
      <c r="Q1131" s="258">
        <v>0</v>
      </c>
      <c r="R1131" s="257">
        <f t="shared" si="144"/>
        <v>0</v>
      </c>
      <c r="S1131" s="258">
        <v>0</v>
      </c>
      <c r="T1131" s="257">
        <f t="shared" si="145"/>
        <v>0</v>
      </c>
      <c r="U1131" s="258">
        <v>0</v>
      </c>
      <c r="V1131" s="257">
        <f t="shared" si="146"/>
        <v>0</v>
      </c>
      <c r="W1131" s="258">
        <v>0</v>
      </c>
      <c r="X1131" s="257">
        <f t="shared" si="147"/>
        <v>0</v>
      </c>
      <c r="Y1131" s="258">
        <v>0</v>
      </c>
      <c r="Z1131" s="257">
        <f t="shared" si="148"/>
        <v>0</v>
      </c>
    </row>
    <row r="1132" spans="1:35" ht="15" customHeight="1">
      <c r="A1132" s="250" t="s">
        <v>733</v>
      </c>
      <c r="B1132" s="251"/>
      <c r="C1132" s="526" t="s">
        <v>772</v>
      </c>
      <c r="D1132" s="292" t="s">
        <v>549</v>
      </c>
      <c r="E1132" s="251" t="s">
        <v>2475</v>
      </c>
      <c r="F1132" s="304">
        <f t="shared" si="139"/>
        <v>0</v>
      </c>
      <c r="G1132" s="253">
        <f t="shared" si="140"/>
        <v>9.81</v>
      </c>
      <c r="H1132" s="254">
        <f t="shared" si="149"/>
        <v>0</v>
      </c>
      <c r="I1132" s="253">
        <f t="shared" si="141"/>
        <v>0</v>
      </c>
      <c r="J1132" s="253"/>
      <c r="K1132" s="251" t="s">
        <v>2475</v>
      </c>
      <c r="L1132" s="663">
        <v>9.81</v>
      </c>
      <c r="M1132" s="289">
        <v>0</v>
      </c>
      <c r="N1132" s="245">
        <f t="shared" si="142"/>
        <v>0</v>
      </c>
      <c r="O1132" s="258">
        <v>0</v>
      </c>
      <c r="P1132" s="257">
        <f t="shared" si="143"/>
        <v>0</v>
      </c>
      <c r="Q1132" s="258">
        <v>0</v>
      </c>
      <c r="R1132" s="257">
        <f t="shared" si="144"/>
        <v>0</v>
      </c>
      <c r="S1132" s="258">
        <v>0</v>
      </c>
      <c r="T1132" s="257">
        <f t="shared" si="145"/>
        <v>0</v>
      </c>
      <c r="U1132" s="258">
        <v>0</v>
      </c>
      <c r="V1132" s="257">
        <f t="shared" si="146"/>
        <v>0</v>
      </c>
      <c r="W1132" s="258">
        <v>0</v>
      </c>
      <c r="X1132" s="257">
        <f t="shared" si="147"/>
        <v>0</v>
      </c>
      <c r="Y1132" s="258">
        <v>0</v>
      </c>
      <c r="Z1132" s="257">
        <f t="shared" si="148"/>
        <v>0</v>
      </c>
    </row>
    <row r="1133" spans="1:35" ht="15" customHeight="1">
      <c r="A1133" s="250" t="s">
        <v>734</v>
      </c>
      <c r="B1133" s="251"/>
      <c r="C1133" s="526" t="s">
        <v>773</v>
      </c>
      <c r="D1133" s="292" t="s">
        <v>550</v>
      </c>
      <c r="E1133" s="251" t="s">
        <v>2475</v>
      </c>
      <c r="F1133" s="304">
        <f t="shared" si="139"/>
        <v>0</v>
      </c>
      <c r="G1133" s="253">
        <f t="shared" si="140"/>
        <v>12.5</v>
      </c>
      <c r="H1133" s="254">
        <f t="shared" si="149"/>
        <v>0</v>
      </c>
      <c r="I1133" s="253">
        <f t="shared" si="141"/>
        <v>0</v>
      </c>
      <c r="J1133" s="253"/>
      <c r="K1133" s="251" t="s">
        <v>2475</v>
      </c>
      <c r="L1133" s="663">
        <v>12.5</v>
      </c>
      <c r="M1133" s="289">
        <v>0</v>
      </c>
      <c r="N1133" s="245">
        <f t="shared" si="142"/>
        <v>0</v>
      </c>
      <c r="O1133" s="258">
        <v>0</v>
      </c>
      <c r="P1133" s="257">
        <f t="shared" si="143"/>
        <v>0</v>
      </c>
      <c r="Q1133" s="258">
        <v>0</v>
      </c>
      <c r="R1133" s="257">
        <f t="shared" si="144"/>
        <v>0</v>
      </c>
      <c r="S1133" s="258">
        <v>0</v>
      </c>
      <c r="T1133" s="257">
        <f t="shared" si="145"/>
        <v>0</v>
      </c>
      <c r="U1133" s="258">
        <v>0</v>
      </c>
      <c r="V1133" s="257">
        <f t="shared" si="146"/>
        <v>0</v>
      </c>
      <c r="W1133" s="258">
        <v>0</v>
      </c>
      <c r="X1133" s="257">
        <f t="shared" si="147"/>
        <v>0</v>
      </c>
      <c r="Y1133" s="258">
        <v>0</v>
      </c>
      <c r="Z1133" s="257">
        <f t="shared" si="148"/>
        <v>0</v>
      </c>
    </row>
    <row r="1134" spans="1:35" ht="15" customHeight="1">
      <c r="A1134" s="250" t="s">
        <v>735</v>
      </c>
      <c r="B1134" s="251"/>
      <c r="C1134" s="526" t="s">
        <v>774</v>
      </c>
      <c r="D1134" s="292" t="s">
        <v>551</v>
      </c>
      <c r="E1134" s="251" t="s">
        <v>2475</v>
      </c>
      <c r="F1134" s="304">
        <f t="shared" si="139"/>
        <v>0</v>
      </c>
      <c r="G1134" s="253">
        <f t="shared" si="140"/>
        <v>15.29</v>
      </c>
      <c r="H1134" s="254">
        <f t="shared" si="149"/>
        <v>0</v>
      </c>
      <c r="I1134" s="253">
        <f t="shared" si="141"/>
        <v>0</v>
      </c>
      <c r="J1134" s="253"/>
      <c r="K1134" s="251" t="s">
        <v>2475</v>
      </c>
      <c r="L1134" s="663">
        <v>15.29</v>
      </c>
      <c r="M1134" s="289">
        <v>0</v>
      </c>
      <c r="N1134" s="245">
        <f t="shared" si="142"/>
        <v>0</v>
      </c>
      <c r="O1134" s="258">
        <v>0</v>
      </c>
      <c r="P1134" s="257">
        <f t="shared" si="143"/>
        <v>0</v>
      </c>
      <c r="Q1134" s="258">
        <v>0</v>
      </c>
      <c r="R1134" s="257">
        <f t="shared" si="144"/>
        <v>0</v>
      </c>
      <c r="S1134" s="258">
        <v>0</v>
      </c>
      <c r="T1134" s="257">
        <f t="shared" si="145"/>
        <v>0</v>
      </c>
      <c r="U1134" s="258">
        <v>0</v>
      </c>
      <c r="V1134" s="257">
        <f t="shared" si="146"/>
        <v>0</v>
      </c>
      <c r="W1134" s="258">
        <v>0</v>
      </c>
      <c r="X1134" s="257">
        <f t="shared" si="147"/>
        <v>0</v>
      </c>
      <c r="Y1134" s="258">
        <v>0</v>
      </c>
      <c r="Z1134" s="257">
        <f t="shared" si="148"/>
        <v>0</v>
      </c>
    </row>
    <row r="1135" spans="1:35" ht="15" customHeight="1">
      <c r="A1135" s="250" t="s">
        <v>736</v>
      </c>
      <c r="B1135" s="251"/>
      <c r="C1135" s="526" t="s">
        <v>775</v>
      </c>
      <c r="D1135" s="292" t="s">
        <v>2161</v>
      </c>
      <c r="E1135" s="251" t="s">
        <v>2475</v>
      </c>
      <c r="F1135" s="304">
        <f t="shared" si="139"/>
        <v>0</v>
      </c>
      <c r="G1135" s="253">
        <f t="shared" si="140"/>
        <v>20.69</v>
      </c>
      <c r="H1135" s="254">
        <f t="shared" si="149"/>
        <v>0</v>
      </c>
      <c r="I1135" s="253">
        <f t="shared" si="141"/>
        <v>0</v>
      </c>
      <c r="J1135" s="253"/>
      <c r="K1135" s="251" t="s">
        <v>2475</v>
      </c>
      <c r="L1135" s="663">
        <v>20.69</v>
      </c>
      <c r="M1135" s="289">
        <v>0</v>
      </c>
      <c r="N1135" s="245">
        <f t="shared" si="142"/>
        <v>0</v>
      </c>
      <c r="O1135" s="258">
        <v>0</v>
      </c>
      <c r="P1135" s="257">
        <f t="shared" si="143"/>
        <v>0</v>
      </c>
      <c r="Q1135" s="258">
        <v>0</v>
      </c>
      <c r="R1135" s="257">
        <f t="shared" si="144"/>
        <v>0</v>
      </c>
      <c r="S1135" s="258">
        <v>0</v>
      </c>
      <c r="T1135" s="257">
        <f t="shared" si="145"/>
        <v>0</v>
      </c>
      <c r="U1135" s="258">
        <v>0</v>
      </c>
      <c r="V1135" s="257">
        <f t="shared" si="146"/>
        <v>0</v>
      </c>
      <c r="W1135" s="258">
        <v>0</v>
      </c>
      <c r="X1135" s="257">
        <f t="shared" si="147"/>
        <v>0</v>
      </c>
      <c r="Y1135" s="258">
        <v>0</v>
      </c>
      <c r="Z1135" s="257">
        <f t="shared" si="148"/>
        <v>0</v>
      </c>
    </row>
    <row r="1136" spans="1:35" ht="15" customHeight="1">
      <c r="A1136" s="250" t="s">
        <v>654</v>
      </c>
      <c r="B1136" s="251"/>
      <c r="C1136" s="526" t="s">
        <v>776</v>
      </c>
      <c r="D1136" s="292" t="s">
        <v>2162</v>
      </c>
      <c r="E1136" s="251" t="s">
        <v>2475</v>
      </c>
      <c r="F1136" s="304">
        <f t="shared" si="139"/>
        <v>0</v>
      </c>
      <c r="G1136" s="253">
        <f t="shared" si="140"/>
        <v>24.95</v>
      </c>
      <c r="H1136" s="254">
        <f t="shared" si="149"/>
        <v>0</v>
      </c>
      <c r="I1136" s="253">
        <f t="shared" si="141"/>
        <v>0</v>
      </c>
      <c r="J1136" s="253"/>
      <c r="K1136" s="251" t="s">
        <v>2475</v>
      </c>
      <c r="L1136" s="663">
        <v>24.95</v>
      </c>
      <c r="M1136" s="289">
        <v>0</v>
      </c>
      <c r="N1136" s="245">
        <f t="shared" si="142"/>
        <v>0</v>
      </c>
      <c r="O1136" s="258">
        <v>0</v>
      </c>
      <c r="P1136" s="257">
        <f t="shared" si="143"/>
        <v>0</v>
      </c>
      <c r="Q1136" s="258">
        <v>0</v>
      </c>
      <c r="R1136" s="257">
        <f t="shared" si="144"/>
        <v>0</v>
      </c>
      <c r="S1136" s="258">
        <v>0</v>
      </c>
      <c r="T1136" s="257">
        <f t="shared" si="145"/>
        <v>0</v>
      </c>
      <c r="U1136" s="258">
        <v>0</v>
      </c>
      <c r="V1136" s="257">
        <f t="shared" si="146"/>
        <v>0</v>
      </c>
      <c r="W1136" s="258">
        <v>0</v>
      </c>
      <c r="X1136" s="257">
        <f t="shared" si="147"/>
        <v>0</v>
      </c>
      <c r="Y1136" s="258">
        <v>0</v>
      </c>
      <c r="Z1136" s="257">
        <f t="shared" si="148"/>
        <v>0</v>
      </c>
    </row>
    <row r="1137" spans="1:26" ht="15" customHeight="1">
      <c r="A1137" s="250" t="s">
        <v>737</v>
      </c>
      <c r="B1137" s="251"/>
      <c r="C1137" s="534" t="s">
        <v>777</v>
      </c>
      <c r="D1137" s="292" t="s">
        <v>2107</v>
      </c>
      <c r="E1137" s="251" t="s">
        <v>2475</v>
      </c>
      <c r="F1137" s="304">
        <f t="shared" si="139"/>
        <v>0</v>
      </c>
      <c r="G1137" s="253">
        <f t="shared" si="140"/>
        <v>30.82</v>
      </c>
      <c r="H1137" s="254">
        <f t="shared" si="149"/>
        <v>0</v>
      </c>
      <c r="I1137" s="253">
        <f t="shared" si="141"/>
        <v>0</v>
      </c>
      <c r="J1137" s="253"/>
      <c r="K1137" s="251" t="s">
        <v>2475</v>
      </c>
      <c r="L1137" s="663">
        <f>(L1136+L1138)/2</f>
        <v>30.82</v>
      </c>
      <c r="M1137" s="289">
        <v>0</v>
      </c>
      <c r="N1137" s="245">
        <f t="shared" si="142"/>
        <v>0</v>
      </c>
      <c r="O1137" s="258">
        <v>0</v>
      </c>
      <c r="P1137" s="257">
        <f t="shared" si="143"/>
        <v>0</v>
      </c>
      <c r="Q1137" s="258">
        <v>0</v>
      </c>
      <c r="R1137" s="257">
        <f t="shared" si="144"/>
        <v>0</v>
      </c>
      <c r="S1137" s="258">
        <v>0</v>
      </c>
      <c r="T1137" s="257">
        <f t="shared" si="145"/>
        <v>0</v>
      </c>
      <c r="U1137" s="258">
        <v>0</v>
      </c>
      <c r="V1137" s="257">
        <f t="shared" si="146"/>
        <v>0</v>
      </c>
      <c r="W1137" s="258">
        <v>0</v>
      </c>
      <c r="X1137" s="257">
        <f t="shared" si="147"/>
        <v>0</v>
      </c>
      <c r="Y1137" s="258">
        <v>0</v>
      </c>
      <c r="Z1137" s="257">
        <f t="shared" si="148"/>
        <v>0</v>
      </c>
    </row>
    <row r="1138" spans="1:26" ht="15" customHeight="1">
      <c r="A1138" s="250" t="s">
        <v>738</v>
      </c>
      <c r="B1138" s="251"/>
      <c r="C1138" s="526" t="s">
        <v>778</v>
      </c>
      <c r="D1138" s="292" t="s">
        <v>2108</v>
      </c>
      <c r="E1138" s="251" t="s">
        <v>2475</v>
      </c>
      <c r="F1138" s="304">
        <f t="shared" si="139"/>
        <v>0</v>
      </c>
      <c r="G1138" s="253">
        <f t="shared" si="140"/>
        <v>36.69</v>
      </c>
      <c r="H1138" s="254">
        <f>F1138*G1138</f>
        <v>0</v>
      </c>
      <c r="I1138" s="253">
        <f t="shared" si="141"/>
        <v>0</v>
      </c>
      <c r="J1138" s="253"/>
      <c r="K1138" s="251" t="s">
        <v>2475</v>
      </c>
      <c r="L1138" s="663">
        <v>36.69</v>
      </c>
      <c r="M1138" s="289">
        <v>0</v>
      </c>
      <c r="N1138" s="245">
        <f t="shared" si="142"/>
        <v>0</v>
      </c>
      <c r="O1138" s="258">
        <v>0</v>
      </c>
      <c r="P1138" s="257">
        <f t="shared" si="143"/>
        <v>0</v>
      </c>
      <c r="Q1138" s="258">
        <v>0</v>
      </c>
      <c r="R1138" s="257">
        <f t="shared" si="144"/>
        <v>0</v>
      </c>
      <c r="S1138" s="258">
        <v>0</v>
      </c>
      <c r="T1138" s="257">
        <f t="shared" si="145"/>
        <v>0</v>
      </c>
      <c r="U1138" s="258">
        <v>0</v>
      </c>
      <c r="V1138" s="257">
        <f t="shared" si="146"/>
        <v>0</v>
      </c>
      <c r="W1138" s="258">
        <v>0</v>
      </c>
      <c r="X1138" s="257">
        <f t="shared" si="147"/>
        <v>0</v>
      </c>
      <c r="Y1138" s="258">
        <v>0</v>
      </c>
      <c r="Z1138" s="257">
        <f t="shared" si="148"/>
        <v>0</v>
      </c>
    </row>
    <row r="1139" spans="1:26" ht="15" customHeight="1">
      <c r="A1139" s="250" t="s">
        <v>739</v>
      </c>
      <c r="B1139" s="251"/>
      <c r="C1139" s="526" t="s">
        <v>779</v>
      </c>
      <c r="D1139" s="292" t="s">
        <v>2109</v>
      </c>
      <c r="E1139" s="251" t="s">
        <v>2475</v>
      </c>
      <c r="F1139" s="304">
        <f t="shared" si="139"/>
        <v>0</v>
      </c>
      <c r="G1139" s="253">
        <f t="shared" si="140"/>
        <v>54.42</v>
      </c>
      <c r="H1139" s="254">
        <f>F1139*G1139</f>
        <v>0</v>
      </c>
      <c r="I1139" s="253">
        <f t="shared" si="141"/>
        <v>0</v>
      </c>
      <c r="J1139" s="253"/>
      <c r="K1139" s="251" t="s">
        <v>2475</v>
      </c>
      <c r="L1139" s="663">
        <v>54.42</v>
      </c>
      <c r="M1139" s="289">
        <v>0</v>
      </c>
      <c r="N1139" s="245">
        <f t="shared" si="142"/>
        <v>0</v>
      </c>
      <c r="O1139" s="258">
        <v>0</v>
      </c>
      <c r="P1139" s="257">
        <f t="shared" si="143"/>
        <v>0</v>
      </c>
      <c r="Q1139" s="258">
        <v>0</v>
      </c>
      <c r="R1139" s="257">
        <f t="shared" si="144"/>
        <v>0</v>
      </c>
      <c r="S1139" s="258">
        <v>0</v>
      </c>
      <c r="T1139" s="257">
        <f t="shared" si="145"/>
        <v>0</v>
      </c>
      <c r="U1139" s="258">
        <v>0</v>
      </c>
      <c r="V1139" s="257">
        <f t="shared" si="146"/>
        <v>0</v>
      </c>
      <c r="W1139" s="258">
        <v>0</v>
      </c>
      <c r="X1139" s="257">
        <f t="shared" si="147"/>
        <v>0</v>
      </c>
      <c r="Y1139" s="258">
        <v>0</v>
      </c>
      <c r="Z1139" s="257">
        <f t="shared" si="148"/>
        <v>0</v>
      </c>
    </row>
    <row r="1140" spans="1:26" ht="15" customHeight="1">
      <c r="A1140" s="250"/>
      <c r="B1140" s="251"/>
      <c r="C1140" s="526"/>
      <c r="D1140" s="292"/>
      <c r="E1140" s="251"/>
      <c r="F1140" s="252"/>
      <c r="G1140" s="253"/>
      <c r="H1140" s="290"/>
      <c r="I1140" s="253"/>
      <c r="J1140" s="253"/>
      <c r="K1140" s="251"/>
      <c r="L1140" s="255"/>
      <c r="M1140" s="289"/>
      <c r="N1140" s="242"/>
      <c r="O1140" s="258"/>
      <c r="P1140" s="257"/>
      <c r="Q1140" s="258"/>
      <c r="R1140" s="257"/>
      <c r="S1140" s="258"/>
      <c r="T1140" s="257"/>
      <c r="U1140" s="258"/>
      <c r="V1140" s="257"/>
      <c r="W1140" s="258"/>
      <c r="X1140" s="257"/>
      <c r="Y1140" s="258"/>
      <c r="Z1140" s="257"/>
    </row>
    <row r="1141" spans="1:26" ht="15" customHeight="1">
      <c r="A1141" s="250">
        <f>A1126+1</f>
        <v>202</v>
      </c>
      <c r="B1141" s="251"/>
      <c r="C1141" s="526" t="s">
        <v>1783</v>
      </c>
      <c r="D1141" s="526" t="s">
        <v>370</v>
      </c>
      <c r="E1141" s="251"/>
      <c r="F1141" s="252"/>
      <c r="G1141" s="253"/>
      <c r="H1141" s="290"/>
      <c r="I1141" s="253"/>
      <c r="J1141" s="253"/>
      <c r="K1141" s="251"/>
      <c r="L1141" s="255"/>
      <c r="M1141" s="289"/>
      <c r="N1141" s="242"/>
      <c r="O1141" s="258"/>
      <c r="P1141" s="257"/>
      <c r="Q1141" s="258"/>
      <c r="R1141" s="257"/>
      <c r="S1141" s="258"/>
      <c r="T1141" s="257"/>
      <c r="U1141" s="258"/>
      <c r="V1141" s="257"/>
      <c r="W1141" s="258"/>
      <c r="X1141" s="257"/>
      <c r="Y1141" s="258"/>
      <c r="Z1141" s="257"/>
    </row>
    <row r="1142" spans="1:26" ht="15" customHeight="1">
      <c r="A1142" s="250"/>
      <c r="B1142" s="251"/>
      <c r="C1142" s="526"/>
      <c r="D1142" s="526" t="s">
        <v>541</v>
      </c>
      <c r="E1142" s="251"/>
      <c r="F1142" s="252"/>
      <c r="G1142" s="253"/>
      <c r="H1142" s="290"/>
      <c r="I1142" s="253"/>
      <c r="J1142" s="253"/>
      <c r="K1142" s="251"/>
      <c r="L1142" s="255"/>
      <c r="M1142" s="289"/>
      <c r="N1142" s="242"/>
      <c r="O1142" s="258"/>
      <c r="P1142" s="257"/>
      <c r="Q1142" s="258"/>
      <c r="R1142" s="257"/>
      <c r="S1142" s="258"/>
      <c r="T1142" s="257"/>
      <c r="U1142" s="258"/>
      <c r="V1142" s="257"/>
      <c r="W1142" s="258"/>
      <c r="X1142" s="257"/>
      <c r="Y1142" s="258"/>
      <c r="Z1142" s="257"/>
    </row>
    <row r="1143" spans="1:26" ht="15" customHeight="1">
      <c r="A1143" s="250" t="s">
        <v>726</v>
      </c>
      <c r="B1143" s="251"/>
      <c r="C1143" s="526" t="s">
        <v>780</v>
      </c>
      <c r="D1143" s="292" t="s">
        <v>372</v>
      </c>
      <c r="E1143" s="251" t="s">
        <v>2475</v>
      </c>
      <c r="F1143" s="304">
        <f t="shared" ref="F1143:F1154" si="150">M1143+O1143+Q1143+S1143+U1143+W1143+Y1143</f>
        <v>0</v>
      </c>
      <c r="G1143" s="253">
        <f t="shared" ref="G1143:G1154" si="151">L1143</f>
        <v>6.74</v>
      </c>
      <c r="H1143" s="254">
        <f t="shared" ref="H1143:H1151" si="152">F1143*G1143</f>
        <v>0</v>
      </c>
      <c r="I1143" s="253">
        <f t="shared" ref="I1143:I1154" si="153">N1143+P1143+R1143+T1143+V1143+X1143+Z1143</f>
        <v>0</v>
      </c>
      <c r="J1143" s="253"/>
      <c r="K1143" s="251" t="s">
        <v>2475</v>
      </c>
      <c r="L1143" s="663">
        <v>6.74</v>
      </c>
      <c r="M1143" s="289"/>
      <c r="N1143" s="242"/>
      <c r="O1143" s="258"/>
      <c r="P1143" s="257"/>
      <c r="Q1143" s="258"/>
      <c r="R1143" s="257"/>
      <c r="S1143" s="258"/>
      <c r="T1143" s="257"/>
      <c r="U1143" s="258"/>
      <c r="V1143" s="257"/>
      <c r="W1143" s="258"/>
      <c r="X1143" s="257"/>
      <c r="Y1143" s="258"/>
      <c r="Z1143" s="257"/>
    </row>
    <row r="1144" spans="1:26" ht="15" customHeight="1">
      <c r="A1144" s="250" t="s">
        <v>727</v>
      </c>
      <c r="B1144" s="251"/>
      <c r="C1144" s="526" t="s">
        <v>781</v>
      </c>
      <c r="D1144" s="292" t="s">
        <v>2163</v>
      </c>
      <c r="E1144" s="251" t="s">
        <v>2475</v>
      </c>
      <c r="F1144" s="304">
        <f t="shared" si="150"/>
        <v>0</v>
      </c>
      <c r="G1144" s="253">
        <f t="shared" si="151"/>
        <v>7.17</v>
      </c>
      <c r="H1144" s="254">
        <f t="shared" si="152"/>
        <v>0</v>
      </c>
      <c r="I1144" s="253">
        <f t="shared" si="153"/>
        <v>0</v>
      </c>
      <c r="J1144" s="253"/>
      <c r="K1144" s="251" t="s">
        <v>2475</v>
      </c>
      <c r="L1144" s="663">
        <v>7.17</v>
      </c>
      <c r="M1144" s="289">
        <v>0</v>
      </c>
      <c r="N1144" s="245">
        <f t="shared" ref="N1144:N1154" si="154">INT($L1144*M1144*100+0.5)/100</f>
        <v>0</v>
      </c>
      <c r="O1144" s="258">
        <v>0</v>
      </c>
      <c r="P1144" s="257">
        <f t="shared" ref="P1144:P1154" si="155">INT($L1144*O1144*100+0.5)/100</f>
        <v>0</v>
      </c>
      <c r="Q1144" s="258">
        <v>0</v>
      </c>
      <c r="R1144" s="257">
        <f t="shared" ref="R1144:R1154" si="156">INT($L1144*Q1144*100+0.5)/100</f>
        <v>0</v>
      </c>
      <c r="S1144" s="258">
        <v>0</v>
      </c>
      <c r="T1144" s="257">
        <f t="shared" ref="T1144:T1154" si="157">INT($L1144*S1144*100+0.5)/100</f>
        <v>0</v>
      </c>
      <c r="U1144" s="258">
        <v>0</v>
      </c>
      <c r="V1144" s="257">
        <f t="shared" ref="V1144:V1154" si="158">INT($L1144*U1144*100+0.5)/100</f>
        <v>0</v>
      </c>
      <c r="W1144" s="258">
        <v>0</v>
      </c>
      <c r="X1144" s="257">
        <f t="shared" ref="X1144:X1154" si="159">INT($L1144*W1144*100+0.5)/100</f>
        <v>0</v>
      </c>
      <c r="Y1144" s="258">
        <v>0</v>
      </c>
      <c r="Z1144" s="257">
        <f t="shared" ref="Z1144:Z1154" si="160">INT($L1144*Y1144*100+0.5)/100</f>
        <v>0</v>
      </c>
    </row>
    <row r="1145" spans="1:26" ht="15" customHeight="1">
      <c r="A1145" s="250" t="s">
        <v>728</v>
      </c>
      <c r="B1145" s="251"/>
      <c r="C1145" s="526" t="s">
        <v>782</v>
      </c>
      <c r="D1145" s="292" t="s">
        <v>2164</v>
      </c>
      <c r="E1145" s="251" t="s">
        <v>2475</v>
      </c>
      <c r="F1145" s="304">
        <f t="shared" si="150"/>
        <v>0</v>
      </c>
      <c r="G1145" s="253">
        <f t="shared" si="151"/>
        <v>7.82</v>
      </c>
      <c r="H1145" s="254">
        <f>F1145*G1145</f>
        <v>0</v>
      </c>
      <c r="I1145" s="253">
        <f t="shared" si="153"/>
        <v>0</v>
      </c>
      <c r="J1145" s="253"/>
      <c r="K1145" s="251" t="s">
        <v>2475</v>
      </c>
      <c r="L1145" s="663">
        <v>7.82</v>
      </c>
      <c r="M1145" s="289">
        <v>0</v>
      </c>
      <c r="N1145" s="245">
        <f t="shared" si="154"/>
        <v>0</v>
      </c>
      <c r="O1145" s="258">
        <v>0</v>
      </c>
      <c r="P1145" s="257">
        <f t="shared" si="155"/>
        <v>0</v>
      </c>
      <c r="Q1145" s="258">
        <v>0</v>
      </c>
      <c r="R1145" s="257">
        <f t="shared" si="156"/>
        <v>0</v>
      </c>
      <c r="S1145" s="258">
        <v>0</v>
      </c>
      <c r="T1145" s="257">
        <f t="shared" si="157"/>
        <v>0</v>
      </c>
      <c r="U1145" s="258">
        <v>0</v>
      </c>
      <c r="V1145" s="257">
        <f t="shared" si="158"/>
        <v>0</v>
      </c>
      <c r="W1145" s="258">
        <v>0</v>
      </c>
      <c r="X1145" s="257">
        <f t="shared" si="159"/>
        <v>0</v>
      </c>
      <c r="Y1145" s="258">
        <v>0</v>
      </c>
      <c r="Z1145" s="257">
        <f t="shared" si="160"/>
        <v>0</v>
      </c>
    </row>
    <row r="1146" spans="1:26" ht="15" customHeight="1">
      <c r="A1146" s="250" t="s">
        <v>732</v>
      </c>
      <c r="B1146" s="251"/>
      <c r="C1146" s="526" t="s">
        <v>783</v>
      </c>
      <c r="D1146" s="292" t="s">
        <v>2165</v>
      </c>
      <c r="E1146" s="251" t="s">
        <v>2475</v>
      </c>
      <c r="F1146" s="304">
        <f t="shared" si="150"/>
        <v>0</v>
      </c>
      <c r="G1146" s="253">
        <f t="shared" si="151"/>
        <v>9.39</v>
      </c>
      <c r="H1146" s="254">
        <f t="shared" si="152"/>
        <v>0</v>
      </c>
      <c r="I1146" s="253">
        <f t="shared" si="153"/>
        <v>0</v>
      </c>
      <c r="J1146" s="253"/>
      <c r="K1146" s="251" t="s">
        <v>2475</v>
      </c>
      <c r="L1146" s="663">
        <v>9.39</v>
      </c>
      <c r="M1146" s="289">
        <v>0</v>
      </c>
      <c r="N1146" s="245">
        <f t="shared" si="154"/>
        <v>0</v>
      </c>
      <c r="O1146" s="258">
        <v>0</v>
      </c>
      <c r="P1146" s="257">
        <f t="shared" si="155"/>
        <v>0</v>
      </c>
      <c r="Q1146" s="258">
        <v>0</v>
      </c>
      <c r="R1146" s="257">
        <f t="shared" si="156"/>
        <v>0</v>
      </c>
      <c r="S1146" s="258">
        <v>0</v>
      </c>
      <c r="T1146" s="257">
        <f t="shared" si="157"/>
        <v>0</v>
      </c>
      <c r="U1146" s="258">
        <v>0</v>
      </c>
      <c r="V1146" s="257">
        <f t="shared" si="158"/>
        <v>0</v>
      </c>
      <c r="W1146" s="258">
        <v>0</v>
      </c>
      <c r="X1146" s="257">
        <f t="shared" si="159"/>
        <v>0</v>
      </c>
      <c r="Y1146" s="258">
        <v>0</v>
      </c>
      <c r="Z1146" s="257">
        <f t="shared" si="160"/>
        <v>0</v>
      </c>
    </row>
    <row r="1147" spans="1:26" ht="15" customHeight="1">
      <c r="A1147" s="250" t="s">
        <v>733</v>
      </c>
      <c r="B1147" s="251"/>
      <c r="C1147" s="526" t="s">
        <v>784</v>
      </c>
      <c r="D1147" s="292" t="s">
        <v>2166</v>
      </c>
      <c r="E1147" s="251" t="s">
        <v>2475</v>
      </c>
      <c r="F1147" s="304">
        <f t="shared" si="150"/>
        <v>0</v>
      </c>
      <c r="G1147" s="253">
        <f t="shared" si="151"/>
        <v>12.93</v>
      </c>
      <c r="H1147" s="254">
        <f t="shared" si="152"/>
        <v>0</v>
      </c>
      <c r="I1147" s="253">
        <f t="shared" si="153"/>
        <v>0</v>
      </c>
      <c r="J1147" s="253"/>
      <c r="K1147" s="251" t="s">
        <v>2475</v>
      </c>
      <c r="L1147" s="663">
        <v>12.93</v>
      </c>
      <c r="M1147" s="289">
        <v>0</v>
      </c>
      <c r="N1147" s="245">
        <f t="shared" si="154"/>
        <v>0</v>
      </c>
      <c r="O1147" s="258">
        <v>0</v>
      </c>
      <c r="P1147" s="257">
        <f t="shared" si="155"/>
        <v>0</v>
      </c>
      <c r="Q1147" s="258">
        <v>0</v>
      </c>
      <c r="R1147" s="257">
        <f t="shared" si="156"/>
        <v>0</v>
      </c>
      <c r="S1147" s="258">
        <v>0</v>
      </c>
      <c r="T1147" s="257">
        <f t="shared" si="157"/>
        <v>0</v>
      </c>
      <c r="U1147" s="258">
        <v>0</v>
      </c>
      <c r="V1147" s="257">
        <f t="shared" si="158"/>
        <v>0</v>
      </c>
      <c r="W1147" s="258">
        <v>0</v>
      </c>
      <c r="X1147" s="257">
        <f t="shared" si="159"/>
        <v>0</v>
      </c>
      <c r="Y1147" s="258">
        <v>0</v>
      </c>
      <c r="Z1147" s="257">
        <f t="shared" si="160"/>
        <v>0</v>
      </c>
    </row>
    <row r="1148" spans="1:26" ht="15" customHeight="1">
      <c r="A1148" s="250" t="s">
        <v>734</v>
      </c>
      <c r="B1148" s="251"/>
      <c r="C1148" s="526" t="s">
        <v>785</v>
      </c>
      <c r="D1148" s="292" t="s">
        <v>2167</v>
      </c>
      <c r="E1148" s="251" t="s">
        <v>2475</v>
      </c>
      <c r="F1148" s="304">
        <f t="shared" si="150"/>
        <v>0</v>
      </c>
      <c r="G1148" s="253">
        <f t="shared" si="151"/>
        <v>15.7</v>
      </c>
      <c r="H1148" s="254">
        <f t="shared" si="152"/>
        <v>0</v>
      </c>
      <c r="I1148" s="253">
        <f t="shared" si="153"/>
        <v>0</v>
      </c>
      <c r="J1148" s="253"/>
      <c r="K1148" s="251" t="s">
        <v>2475</v>
      </c>
      <c r="L1148" s="663">
        <v>15.7</v>
      </c>
      <c r="M1148" s="289">
        <v>0</v>
      </c>
      <c r="N1148" s="245">
        <f t="shared" si="154"/>
        <v>0</v>
      </c>
      <c r="O1148" s="258">
        <v>0</v>
      </c>
      <c r="P1148" s="257">
        <f t="shared" si="155"/>
        <v>0</v>
      </c>
      <c r="Q1148" s="258">
        <v>0</v>
      </c>
      <c r="R1148" s="257">
        <f t="shared" si="156"/>
        <v>0</v>
      </c>
      <c r="S1148" s="258">
        <v>0</v>
      </c>
      <c r="T1148" s="257">
        <f t="shared" si="157"/>
        <v>0</v>
      </c>
      <c r="U1148" s="258">
        <v>0</v>
      </c>
      <c r="V1148" s="257">
        <f t="shared" si="158"/>
        <v>0</v>
      </c>
      <c r="W1148" s="258">
        <v>0</v>
      </c>
      <c r="X1148" s="257">
        <f t="shared" si="159"/>
        <v>0</v>
      </c>
      <c r="Y1148" s="258">
        <v>0</v>
      </c>
      <c r="Z1148" s="257">
        <f t="shared" si="160"/>
        <v>0</v>
      </c>
    </row>
    <row r="1149" spans="1:26" ht="15" customHeight="1">
      <c r="A1149" s="250" t="s">
        <v>735</v>
      </c>
      <c r="B1149" s="251"/>
      <c r="C1149" s="526" t="s">
        <v>786</v>
      </c>
      <c r="D1149" s="292" t="s">
        <v>2168</v>
      </c>
      <c r="E1149" s="251" t="s">
        <v>2475</v>
      </c>
      <c r="F1149" s="304">
        <f t="shared" si="150"/>
        <v>0</v>
      </c>
      <c r="G1149" s="253">
        <f t="shared" si="151"/>
        <v>20.34</v>
      </c>
      <c r="H1149" s="254">
        <f>F1149*G1149</f>
        <v>0</v>
      </c>
      <c r="I1149" s="253">
        <f t="shared" si="153"/>
        <v>0</v>
      </c>
      <c r="J1149" s="253"/>
      <c r="K1149" s="251" t="s">
        <v>2475</v>
      </c>
      <c r="L1149" s="663">
        <v>20.34</v>
      </c>
      <c r="M1149" s="289">
        <v>0</v>
      </c>
      <c r="N1149" s="245">
        <f t="shared" si="154"/>
        <v>0</v>
      </c>
      <c r="O1149" s="258">
        <v>0</v>
      </c>
      <c r="P1149" s="257">
        <f t="shared" si="155"/>
        <v>0</v>
      </c>
      <c r="Q1149" s="258">
        <v>0</v>
      </c>
      <c r="R1149" s="257">
        <f t="shared" si="156"/>
        <v>0</v>
      </c>
      <c r="S1149" s="258">
        <v>0</v>
      </c>
      <c r="T1149" s="257">
        <f t="shared" si="157"/>
        <v>0</v>
      </c>
      <c r="U1149" s="258">
        <v>0</v>
      </c>
      <c r="V1149" s="257">
        <f t="shared" si="158"/>
        <v>0</v>
      </c>
      <c r="W1149" s="258">
        <v>0</v>
      </c>
      <c r="X1149" s="257">
        <f t="shared" si="159"/>
        <v>0</v>
      </c>
      <c r="Y1149" s="258">
        <v>0</v>
      </c>
      <c r="Z1149" s="257">
        <f t="shared" si="160"/>
        <v>0</v>
      </c>
    </row>
    <row r="1150" spans="1:26" ht="15" customHeight="1">
      <c r="A1150" s="250" t="s">
        <v>736</v>
      </c>
      <c r="B1150" s="251"/>
      <c r="C1150" s="526" t="s">
        <v>787</v>
      </c>
      <c r="D1150" s="292" t="s">
        <v>2169</v>
      </c>
      <c r="E1150" s="251" t="s">
        <v>2475</v>
      </c>
      <c r="F1150" s="304">
        <f t="shared" si="150"/>
        <v>0</v>
      </c>
      <c r="G1150" s="253">
        <f t="shared" si="151"/>
        <v>27.5</v>
      </c>
      <c r="H1150" s="254">
        <f t="shared" si="152"/>
        <v>0</v>
      </c>
      <c r="I1150" s="253">
        <f t="shared" si="153"/>
        <v>0</v>
      </c>
      <c r="J1150" s="253"/>
      <c r="K1150" s="251" t="s">
        <v>2475</v>
      </c>
      <c r="L1150" s="663">
        <v>27.5</v>
      </c>
      <c r="M1150" s="289">
        <v>0</v>
      </c>
      <c r="N1150" s="245">
        <f t="shared" si="154"/>
        <v>0</v>
      </c>
      <c r="O1150" s="258">
        <v>0</v>
      </c>
      <c r="P1150" s="257">
        <f t="shared" si="155"/>
        <v>0</v>
      </c>
      <c r="Q1150" s="258">
        <v>0</v>
      </c>
      <c r="R1150" s="257">
        <f t="shared" si="156"/>
        <v>0</v>
      </c>
      <c r="S1150" s="258">
        <v>0</v>
      </c>
      <c r="T1150" s="257">
        <f t="shared" si="157"/>
        <v>0</v>
      </c>
      <c r="U1150" s="258">
        <v>0</v>
      </c>
      <c r="V1150" s="257">
        <f t="shared" si="158"/>
        <v>0</v>
      </c>
      <c r="W1150" s="258">
        <v>0</v>
      </c>
      <c r="X1150" s="257">
        <f t="shared" si="159"/>
        <v>0</v>
      </c>
      <c r="Y1150" s="258">
        <v>0</v>
      </c>
      <c r="Z1150" s="257">
        <f t="shared" si="160"/>
        <v>0</v>
      </c>
    </row>
    <row r="1151" spans="1:26" ht="15" customHeight="1">
      <c r="A1151" s="250" t="s">
        <v>654</v>
      </c>
      <c r="B1151" s="251"/>
      <c r="C1151" s="526" t="s">
        <v>788</v>
      </c>
      <c r="D1151" s="292" t="s">
        <v>2170</v>
      </c>
      <c r="E1151" s="251" t="s">
        <v>2475</v>
      </c>
      <c r="F1151" s="304">
        <f t="shared" si="150"/>
        <v>0</v>
      </c>
      <c r="G1151" s="253">
        <f t="shared" si="151"/>
        <v>33.380000000000003</v>
      </c>
      <c r="H1151" s="254">
        <f t="shared" si="152"/>
        <v>0</v>
      </c>
      <c r="I1151" s="253">
        <f t="shared" si="153"/>
        <v>0</v>
      </c>
      <c r="J1151" s="253"/>
      <c r="K1151" s="251" t="s">
        <v>2475</v>
      </c>
      <c r="L1151" s="663">
        <v>33.380000000000003</v>
      </c>
      <c r="M1151" s="289">
        <v>0</v>
      </c>
      <c r="N1151" s="245">
        <f t="shared" si="154"/>
        <v>0</v>
      </c>
      <c r="O1151" s="258">
        <v>0</v>
      </c>
      <c r="P1151" s="257">
        <f t="shared" si="155"/>
        <v>0</v>
      </c>
      <c r="Q1151" s="258">
        <v>0</v>
      </c>
      <c r="R1151" s="257">
        <f t="shared" si="156"/>
        <v>0</v>
      </c>
      <c r="S1151" s="258">
        <v>0</v>
      </c>
      <c r="T1151" s="257">
        <f t="shared" si="157"/>
        <v>0</v>
      </c>
      <c r="U1151" s="258">
        <v>0</v>
      </c>
      <c r="V1151" s="257">
        <f t="shared" si="158"/>
        <v>0</v>
      </c>
      <c r="W1151" s="258">
        <v>0</v>
      </c>
      <c r="X1151" s="257">
        <f t="shared" si="159"/>
        <v>0</v>
      </c>
      <c r="Y1151" s="258">
        <v>0</v>
      </c>
      <c r="Z1151" s="257">
        <f t="shared" si="160"/>
        <v>0</v>
      </c>
    </row>
    <row r="1152" spans="1:26" ht="15" customHeight="1">
      <c r="A1152" s="250" t="s">
        <v>737</v>
      </c>
      <c r="B1152" s="251"/>
      <c r="C1152" s="534" t="s">
        <v>789</v>
      </c>
      <c r="D1152" s="292" t="s">
        <v>2110</v>
      </c>
      <c r="E1152" s="251" t="s">
        <v>2475</v>
      </c>
      <c r="F1152" s="304">
        <f t="shared" si="150"/>
        <v>0</v>
      </c>
      <c r="G1152" s="253">
        <f t="shared" si="151"/>
        <v>46.010000000000005</v>
      </c>
      <c r="H1152" s="254">
        <f>F1152*G1152</f>
        <v>0</v>
      </c>
      <c r="I1152" s="253">
        <f t="shared" si="153"/>
        <v>0</v>
      </c>
      <c r="J1152" s="253"/>
      <c r="K1152" s="251" t="s">
        <v>2475</v>
      </c>
      <c r="L1152" s="663">
        <f>(L1137+L1167)/2</f>
        <v>46.010000000000005</v>
      </c>
      <c r="M1152" s="289">
        <v>0</v>
      </c>
      <c r="N1152" s="245">
        <f t="shared" si="154"/>
        <v>0</v>
      </c>
      <c r="O1152" s="258">
        <v>0</v>
      </c>
      <c r="P1152" s="257">
        <f t="shared" si="155"/>
        <v>0</v>
      </c>
      <c r="Q1152" s="258">
        <v>0</v>
      </c>
      <c r="R1152" s="257">
        <f t="shared" si="156"/>
        <v>0</v>
      </c>
      <c r="S1152" s="258">
        <v>0</v>
      </c>
      <c r="T1152" s="257">
        <f t="shared" si="157"/>
        <v>0</v>
      </c>
      <c r="U1152" s="258">
        <v>0</v>
      </c>
      <c r="V1152" s="257">
        <f t="shared" si="158"/>
        <v>0</v>
      </c>
      <c r="W1152" s="258">
        <v>0</v>
      </c>
      <c r="X1152" s="257">
        <f t="shared" si="159"/>
        <v>0</v>
      </c>
      <c r="Y1152" s="258">
        <v>0</v>
      </c>
      <c r="Z1152" s="257">
        <f t="shared" si="160"/>
        <v>0</v>
      </c>
    </row>
    <row r="1153" spans="1:26" ht="15" customHeight="1">
      <c r="A1153" s="250" t="s">
        <v>738</v>
      </c>
      <c r="B1153" s="251"/>
      <c r="C1153" s="534" t="s">
        <v>790</v>
      </c>
      <c r="D1153" s="292" t="s">
        <v>2111</v>
      </c>
      <c r="E1153" s="251" t="s">
        <v>2475</v>
      </c>
      <c r="F1153" s="304">
        <f t="shared" si="150"/>
        <v>0</v>
      </c>
      <c r="G1153" s="253">
        <f t="shared" si="151"/>
        <v>55.244999999999997</v>
      </c>
      <c r="H1153" s="254">
        <f>F1153*G1153</f>
        <v>0</v>
      </c>
      <c r="I1153" s="253">
        <f t="shared" si="153"/>
        <v>0</v>
      </c>
      <c r="J1153" s="253"/>
      <c r="K1153" s="251" t="s">
        <v>2475</v>
      </c>
      <c r="L1153" s="663">
        <f>(L1138+L1168)/2</f>
        <v>55.244999999999997</v>
      </c>
      <c r="M1153" s="289">
        <v>0</v>
      </c>
      <c r="N1153" s="245">
        <f t="shared" si="154"/>
        <v>0</v>
      </c>
      <c r="O1153" s="258">
        <v>0</v>
      </c>
      <c r="P1153" s="257">
        <f t="shared" si="155"/>
        <v>0</v>
      </c>
      <c r="Q1153" s="258">
        <v>0</v>
      </c>
      <c r="R1153" s="257">
        <f t="shared" si="156"/>
        <v>0</v>
      </c>
      <c r="S1153" s="258">
        <v>0</v>
      </c>
      <c r="T1153" s="257">
        <f t="shared" si="157"/>
        <v>0</v>
      </c>
      <c r="U1153" s="258">
        <v>0</v>
      </c>
      <c r="V1153" s="257">
        <f t="shared" si="158"/>
        <v>0</v>
      </c>
      <c r="W1153" s="258">
        <v>0</v>
      </c>
      <c r="X1153" s="257">
        <f t="shared" si="159"/>
        <v>0</v>
      </c>
      <c r="Y1153" s="258">
        <v>0</v>
      </c>
      <c r="Z1153" s="257">
        <f t="shared" si="160"/>
        <v>0</v>
      </c>
    </row>
    <row r="1154" spans="1:26" ht="15" customHeight="1">
      <c r="A1154" s="250" t="s">
        <v>739</v>
      </c>
      <c r="B1154" s="251"/>
      <c r="C1154" s="534" t="s">
        <v>791</v>
      </c>
      <c r="D1154" s="292" t="s">
        <v>2112</v>
      </c>
      <c r="E1154" s="251" t="s">
        <v>2475</v>
      </c>
      <c r="F1154" s="304">
        <f t="shared" si="150"/>
        <v>0</v>
      </c>
      <c r="G1154" s="253">
        <f t="shared" si="151"/>
        <v>83.594999999999999</v>
      </c>
      <c r="H1154" s="254">
        <f>F1154*G1154</f>
        <v>0</v>
      </c>
      <c r="I1154" s="253">
        <f t="shared" si="153"/>
        <v>0</v>
      </c>
      <c r="J1154" s="253"/>
      <c r="K1154" s="251" t="s">
        <v>2475</v>
      </c>
      <c r="L1154" s="663">
        <f>(L1139+L1169)/2</f>
        <v>83.594999999999999</v>
      </c>
      <c r="M1154" s="289">
        <v>0</v>
      </c>
      <c r="N1154" s="245">
        <f t="shared" si="154"/>
        <v>0</v>
      </c>
      <c r="O1154" s="258">
        <v>0</v>
      </c>
      <c r="P1154" s="257">
        <f t="shared" si="155"/>
        <v>0</v>
      </c>
      <c r="Q1154" s="258">
        <v>0</v>
      </c>
      <c r="R1154" s="257">
        <f t="shared" si="156"/>
        <v>0</v>
      </c>
      <c r="S1154" s="258">
        <v>0</v>
      </c>
      <c r="T1154" s="257">
        <f t="shared" si="157"/>
        <v>0</v>
      </c>
      <c r="U1154" s="258">
        <v>0</v>
      </c>
      <c r="V1154" s="257">
        <f t="shared" si="158"/>
        <v>0</v>
      </c>
      <c r="W1154" s="258">
        <v>0</v>
      </c>
      <c r="X1154" s="257">
        <f t="shared" si="159"/>
        <v>0</v>
      </c>
      <c r="Y1154" s="258">
        <v>0</v>
      </c>
      <c r="Z1154" s="257">
        <f t="shared" si="160"/>
        <v>0</v>
      </c>
    </row>
    <row r="1155" spans="1:26" ht="15" customHeight="1">
      <c r="A1155" s="250"/>
      <c r="B1155" s="251"/>
      <c r="C1155" s="526"/>
      <c r="D1155" s="292"/>
      <c r="E1155" s="251"/>
      <c r="F1155" s="252"/>
      <c r="G1155" s="253"/>
      <c r="H1155" s="290"/>
      <c r="I1155" s="253"/>
      <c r="J1155" s="253"/>
      <c r="K1155" s="251"/>
      <c r="L1155" s="255"/>
      <c r="M1155" s="289"/>
      <c r="N1155" s="242"/>
      <c r="O1155" s="258"/>
      <c r="P1155" s="257"/>
      <c r="Q1155" s="258"/>
      <c r="R1155" s="257"/>
      <c r="S1155" s="258"/>
      <c r="T1155" s="257"/>
      <c r="U1155" s="258"/>
      <c r="V1155" s="257"/>
      <c r="W1155" s="258"/>
      <c r="X1155" s="257"/>
      <c r="Y1155" s="258"/>
      <c r="Z1155" s="257"/>
    </row>
    <row r="1156" spans="1:26" ht="15" customHeight="1">
      <c r="A1156" s="250">
        <f>A1141+1</f>
        <v>203</v>
      </c>
      <c r="B1156" s="251"/>
      <c r="C1156" s="526" t="s">
        <v>2465</v>
      </c>
      <c r="D1156" s="526" t="s">
        <v>373</v>
      </c>
      <c r="E1156" s="251"/>
      <c r="F1156" s="252"/>
      <c r="G1156" s="253"/>
      <c r="H1156" s="290"/>
      <c r="I1156" s="253"/>
      <c r="J1156" s="253"/>
      <c r="K1156" s="251"/>
      <c r="L1156" s="255"/>
      <c r="M1156" s="289"/>
      <c r="N1156" s="242"/>
      <c r="O1156" s="258"/>
      <c r="P1156" s="257"/>
      <c r="Q1156" s="258"/>
      <c r="R1156" s="257"/>
      <c r="S1156" s="258"/>
      <c r="T1156" s="257"/>
      <c r="U1156" s="258"/>
      <c r="V1156" s="257"/>
      <c r="W1156" s="258"/>
      <c r="X1156" s="257"/>
      <c r="Y1156" s="258"/>
      <c r="Z1156" s="257"/>
    </row>
    <row r="1157" spans="1:26" ht="15" customHeight="1">
      <c r="A1157" s="250"/>
      <c r="B1157" s="251"/>
      <c r="C1157" s="526"/>
      <c r="D1157" s="526" t="s">
        <v>541</v>
      </c>
      <c r="E1157" s="251"/>
      <c r="F1157" s="252"/>
      <c r="G1157" s="253"/>
      <c r="H1157" s="290"/>
      <c r="I1157" s="253"/>
      <c r="J1157" s="253"/>
      <c r="K1157" s="251"/>
      <c r="L1157" s="255"/>
      <c r="M1157" s="289"/>
      <c r="N1157" s="242"/>
      <c r="O1157" s="258"/>
      <c r="P1157" s="257"/>
      <c r="Q1157" s="258"/>
      <c r="R1157" s="257"/>
      <c r="S1157" s="258"/>
      <c r="T1157" s="257"/>
      <c r="U1157" s="258"/>
      <c r="V1157" s="257"/>
      <c r="W1157" s="258"/>
      <c r="X1157" s="257"/>
      <c r="Y1157" s="258"/>
      <c r="Z1157" s="257"/>
    </row>
    <row r="1158" spans="1:26" ht="15" customHeight="1">
      <c r="A1158" s="250" t="s">
        <v>726</v>
      </c>
      <c r="B1158" s="251"/>
      <c r="C1158" s="526" t="s">
        <v>792</v>
      </c>
      <c r="D1158" s="292" t="s">
        <v>1972</v>
      </c>
      <c r="E1158" s="251" t="s">
        <v>2475</v>
      </c>
      <c r="F1158" s="304">
        <f t="shared" ref="F1158:F1169" si="161">M1158+O1158+Q1158+S1158+U1158+W1158+Y1158</f>
        <v>0</v>
      </c>
      <c r="G1158" s="253">
        <f t="shared" ref="G1158:G1221" si="162">L1158</f>
        <v>8.9</v>
      </c>
      <c r="H1158" s="254">
        <f>F1158*G1158</f>
        <v>0</v>
      </c>
      <c r="I1158" s="253">
        <f t="shared" ref="I1158:I1169" si="163">N1158+P1158+R1158+T1158+V1158+X1158+Z1158</f>
        <v>0</v>
      </c>
      <c r="J1158" s="253"/>
      <c r="K1158" s="251" t="s">
        <v>2475</v>
      </c>
      <c r="L1158" s="663">
        <v>8.9</v>
      </c>
      <c r="M1158" s="289"/>
      <c r="N1158" s="242"/>
      <c r="O1158" s="258"/>
      <c r="P1158" s="257"/>
      <c r="Q1158" s="258"/>
      <c r="R1158" s="257"/>
      <c r="S1158" s="258"/>
      <c r="T1158" s="257"/>
      <c r="U1158" s="258"/>
      <c r="V1158" s="257"/>
      <c r="W1158" s="258"/>
      <c r="X1158" s="257"/>
      <c r="Y1158" s="258"/>
      <c r="Z1158" s="257"/>
    </row>
    <row r="1159" spans="1:26" ht="15" customHeight="1">
      <c r="A1159" s="250" t="s">
        <v>727</v>
      </c>
      <c r="B1159" s="251"/>
      <c r="C1159" s="526" t="s">
        <v>793</v>
      </c>
      <c r="D1159" s="292" t="s">
        <v>1405</v>
      </c>
      <c r="E1159" s="251" t="s">
        <v>2475</v>
      </c>
      <c r="F1159" s="304">
        <f t="shared" si="161"/>
        <v>0</v>
      </c>
      <c r="G1159" s="253">
        <f t="shared" si="162"/>
        <v>9.08</v>
      </c>
      <c r="H1159" s="254">
        <f t="shared" ref="H1159:H1169" si="164">F1159*G1159</f>
        <v>0</v>
      </c>
      <c r="I1159" s="253">
        <f t="shared" si="163"/>
        <v>0</v>
      </c>
      <c r="J1159" s="253"/>
      <c r="K1159" s="251" t="s">
        <v>2475</v>
      </c>
      <c r="L1159" s="663">
        <v>9.08</v>
      </c>
      <c r="M1159" s="289">
        <v>0</v>
      </c>
      <c r="N1159" s="245">
        <f t="shared" ref="N1159:N1169" si="165">INT($L1159*M1159*100+0.5)/100</f>
        <v>0</v>
      </c>
      <c r="O1159" s="258">
        <v>0</v>
      </c>
      <c r="P1159" s="257">
        <f t="shared" ref="P1159:P1169" si="166">INT($L1159*O1159*100+0.5)/100</f>
        <v>0</v>
      </c>
      <c r="Q1159" s="258">
        <v>0</v>
      </c>
      <c r="R1159" s="257">
        <f t="shared" ref="R1159:R1169" si="167">INT($L1159*Q1159*100+0.5)/100</f>
        <v>0</v>
      </c>
      <c r="S1159" s="258">
        <v>0</v>
      </c>
      <c r="T1159" s="257">
        <f t="shared" ref="T1159:T1169" si="168">INT($L1159*S1159*100+0.5)/100</f>
        <v>0</v>
      </c>
      <c r="U1159" s="258">
        <v>0</v>
      </c>
      <c r="V1159" s="257">
        <f t="shared" ref="V1159:V1169" si="169">INT($L1159*U1159*100+0.5)/100</f>
        <v>0</v>
      </c>
      <c r="W1159" s="258">
        <v>0</v>
      </c>
      <c r="X1159" s="257">
        <f t="shared" ref="X1159:X1169" si="170">INT($L1159*W1159*100+0.5)/100</f>
        <v>0</v>
      </c>
      <c r="Y1159" s="258">
        <v>0</v>
      </c>
      <c r="Z1159" s="257">
        <f t="shared" ref="Z1159:Z1169" si="171">INT($L1159*Y1159*100+0.5)/100</f>
        <v>0</v>
      </c>
    </row>
    <row r="1160" spans="1:26" ht="15" customHeight="1">
      <c r="A1160" s="250" t="s">
        <v>728</v>
      </c>
      <c r="B1160" s="251"/>
      <c r="C1160" s="526" t="s">
        <v>794</v>
      </c>
      <c r="D1160" s="292" t="s">
        <v>1406</v>
      </c>
      <c r="E1160" s="251" t="s">
        <v>2475</v>
      </c>
      <c r="F1160" s="304">
        <f t="shared" si="161"/>
        <v>0</v>
      </c>
      <c r="G1160" s="253">
        <f t="shared" si="162"/>
        <v>9.75</v>
      </c>
      <c r="H1160" s="254">
        <f t="shared" si="164"/>
        <v>0</v>
      </c>
      <c r="I1160" s="253">
        <f t="shared" si="163"/>
        <v>0</v>
      </c>
      <c r="J1160" s="253"/>
      <c r="K1160" s="251" t="s">
        <v>2475</v>
      </c>
      <c r="L1160" s="663">
        <v>9.75</v>
      </c>
      <c r="M1160" s="289">
        <v>0</v>
      </c>
      <c r="N1160" s="245">
        <f t="shared" si="165"/>
        <v>0</v>
      </c>
      <c r="O1160" s="258">
        <v>0</v>
      </c>
      <c r="P1160" s="257">
        <f t="shared" si="166"/>
        <v>0</v>
      </c>
      <c r="Q1160" s="258">
        <v>0</v>
      </c>
      <c r="R1160" s="257">
        <f t="shared" si="167"/>
        <v>0</v>
      </c>
      <c r="S1160" s="258">
        <v>0</v>
      </c>
      <c r="T1160" s="257">
        <f t="shared" si="168"/>
        <v>0</v>
      </c>
      <c r="U1160" s="258">
        <v>0</v>
      </c>
      <c r="V1160" s="257">
        <f t="shared" si="169"/>
        <v>0</v>
      </c>
      <c r="W1160" s="258">
        <v>0</v>
      </c>
      <c r="X1160" s="257">
        <f t="shared" si="170"/>
        <v>0</v>
      </c>
      <c r="Y1160" s="258">
        <v>0</v>
      </c>
      <c r="Z1160" s="257">
        <f t="shared" si="171"/>
        <v>0</v>
      </c>
    </row>
    <row r="1161" spans="1:26" ht="15" customHeight="1">
      <c r="A1161" s="250" t="s">
        <v>732</v>
      </c>
      <c r="B1161" s="251"/>
      <c r="C1161" s="526" t="s">
        <v>795</v>
      </c>
      <c r="D1161" s="292" t="s">
        <v>1407</v>
      </c>
      <c r="E1161" s="251" t="s">
        <v>2475</v>
      </c>
      <c r="F1161" s="304">
        <f t="shared" si="161"/>
        <v>0</v>
      </c>
      <c r="G1161" s="253">
        <f t="shared" si="162"/>
        <v>11.34</v>
      </c>
      <c r="H1161" s="254">
        <f t="shared" si="164"/>
        <v>0</v>
      </c>
      <c r="I1161" s="253">
        <f t="shared" si="163"/>
        <v>0</v>
      </c>
      <c r="J1161" s="253"/>
      <c r="K1161" s="251" t="s">
        <v>2475</v>
      </c>
      <c r="L1161" s="663">
        <v>11.34</v>
      </c>
      <c r="M1161" s="289">
        <v>0</v>
      </c>
      <c r="N1161" s="245">
        <f t="shared" si="165"/>
        <v>0</v>
      </c>
      <c r="O1161" s="258">
        <v>0</v>
      </c>
      <c r="P1161" s="257">
        <f t="shared" si="166"/>
        <v>0</v>
      </c>
      <c r="Q1161" s="258">
        <v>0</v>
      </c>
      <c r="R1161" s="257">
        <f t="shared" si="167"/>
        <v>0</v>
      </c>
      <c r="S1161" s="258">
        <v>0</v>
      </c>
      <c r="T1161" s="257">
        <f t="shared" si="168"/>
        <v>0</v>
      </c>
      <c r="U1161" s="258">
        <v>0</v>
      </c>
      <c r="V1161" s="257">
        <f t="shared" si="169"/>
        <v>0</v>
      </c>
      <c r="W1161" s="258">
        <v>0</v>
      </c>
      <c r="X1161" s="257">
        <f t="shared" si="170"/>
        <v>0</v>
      </c>
      <c r="Y1161" s="258">
        <v>0</v>
      </c>
      <c r="Z1161" s="257">
        <f t="shared" si="171"/>
        <v>0</v>
      </c>
    </row>
    <row r="1162" spans="1:26" ht="15" customHeight="1">
      <c r="A1162" s="250" t="s">
        <v>733</v>
      </c>
      <c r="B1162" s="251"/>
      <c r="C1162" s="526" t="s">
        <v>796</v>
      </c>
      <c r="D1162" s="292" t="s">
        <v>1408</v>
      </c>
      <c r="E1162" s="251" t="s">
        <v>2475</v>
      </c>
      <c r="F1162" s="304">
        <f t="shared" si="161"/>
        <v>0</v>
      </c>
      <c r="G1162" s="253">
        <f t="shared" si="162"/>
        <v>16.23</v>
      </c>
      <c r="H1162" s="254">
        <f t="shared" si="164"/>
        <v>0</v>
      </c>
      <c r="I1162" s="253">
        <f t="shared" si="163"/>
        <v>0</v>
      </c>
      <c r="J1162" s="253"/>
      <c r="K1162" s="251" t="s">
        <v>2475</v>
      </c>
      <c r="L1162" s="663">
        <v>16.23</v>
      </c>
      <c r="M1162" s="289">
        <v>0</v>
      </c>
      <c r="N1162" s="245">
        <f t="shared" si="165"/>
        <v>0</v>
      </c>
      <c r="O1162" s="258">
        <v>0</v>
      </c>
      <c r="P1162" s="257">
        <f t="shared" si="166"/>
        <v>0</v>
      </c>
      <c r="Q1162" s="258">
        <v>0</v>
      </c>
      <c r="R1162" s="257">
        <f t="shared" si="167"/>
        <v>0</v>
      </c>
      <c r="S1162" s="258">
        <v>0</v>
      </c>
      <c r="T1162" s="257">
        <f t="shared" si="168"/>
        <v>0</v>
      </c>
      <c r="U1162" s="258">
        <v>0</v>
      </c>
      <c r="V1162" s="257">
        <f t="shared" si="169"/>
        <v>0</v>
      </c>
      <c r="W1162" s="258">
        <v>0</v>
      </c>
      <c r="X1162" s="257">
        <f t="shared" si="170"/>
        <v>0</v>
      </c>
      <c r="Y1162" s="258">
        <v>0</v>
      </c>
      <c r="Z1162" s="257">
        <f t="shared" si="171"/>
        <v>0</v>
      </c>
    </row>
    <row r="1163" spans="1:26" ht="15" customHeight="1">
      <c r="A1163" s="250" t="s">
        <v>734</v>
      </c>
      <c r="B1163" s="251"/>
      <c r="C1163" s="526" t="s">
        <v>797</v>
      </c>
      <c r="D1163" s="292" t="s">
        <v>1409</v>
      </c>
      <c r="E1163" s="251" t="s">
        <v>2475</v>
      </c>
      <c r="F1163" s="304">
        <f t="shared" si="161"/>
        <v>0</v>
      </c>
      <c r="G1163" s="253">
        <f t="shared" si="162"/>
        <v>21.18</v>
      </c>
      <c r="H1163" s="254">
        <f t="shared" si="164"/>
        <v>0</v>
      </c>
      <c r="I1163" s="253">
        <f t="shared" si="163"/>
        <v>0</v>
      </c>
      <c r="J1163" s="253"/>
      <c r="K1163" s="251" t="s">
        <v>2475</v>
      </c>
      <c r="L1163" s="663">
        <v>21.18</v>
      </c>
      <c r="M1163" s="289">
        <v>0</v>
      </c>
      <c r="N1163" s="245">
        <f t="shared" si="165"/>
        <v>0</v>
      </c>
      <c r="O1163" s="258">
        <v>0</v>
      </c>
      <c r="P1163" s="257">
        <f t="shared" si="166"/>
        <v>0</v>
      </c>
      <c r="Q1163" s="258">
        <v>0</v>
      </c>
      <c r="R1163" s="257">
        <f t="shared" si="167"/>
        <v>0</v>
      </c>
      <c r="S1163" s="258">
        <v>0</v>
      </c>
      <c r="T1163" s="257">
        <f t="shared" si="168"/>
        <v>0</v>
      </c>
      <c r="U1163" s="258">
        <v>0</v>
      </c>
      <c r="V1163" s="257">
        <f t="shared" si="169"/>
        <v>0</v>
      </c>
      <c r="W1163" s="258">
        <v>0</v>
      </c>
      <c r="X1163" s="257">
        <f t="shared" si="170"/>
        <v>0</v>
      </c>
      <c r="Y1163" s="258">
        <v>0</v>
      </c>
      <c r="Z1163" s="257">
        <f t="shared" si="171"/>
        <v>0</v>
      </c>
    </row>
    <row r="1164" spans="1:26" ht="15" customHeight="1">
      <c r="A1164" s="250" t="s">
        <v>735</v>
      </c>
      <c r="B1164" s="251"/>
      <c r="C1164" s="526" t="s">
        <v>798</v>
      </c>
      <c r="D1164" s="292" t="s">
        <v>1410</v>
      </c>
      <c r="E1164" s="251" t="s">
        <v>2475</v>
      </c>
      <c r="F1164" s="304">
        <f t="shared" si="161"/>
        <v>0</v>
      </c>
      <c r="G1164" s="253">
        <f t="shared" si="162"/>
        <v>26.4</v>
      </c>
      <c r="H1164" s="254">
        <f t="shared" si="164"/>
        <v>0</v>
      </c>
      <c r="I1164" s="253">
        <f t="shared" si="163"/>
        <v>0</v>
      </c>
      <c r="J1164" s="253"/>
      <c r="K1164" s="251" t="s">
        <v>2475</v>
      </c>
      <c r="L1164" s="663">
        <v>26.4</v>
      </c>
      <c r="M1164" s="289">
        <v>0</v>
      </c>
      <c r="N1164" s="245">
        <f t="shared" si="165"/>
        <v>0</v>
      </c>
      <c r="O1164" s="258">
        <v>0</v>
      </c>
      <c r="P1164" s="257">
        <f t="shared" si="166"/>
        <v>0</v>
      </c>
      <c r="Q1164" s="258">
        <v>0</v>
      </c>
      <c r="R1164" s="257">
        <f t="shared" si="167"/>
        <v>0</v>
      </c>
      <c r="S1164" s="258">
        <v>0</v>
      </c>
      <c r="T1164" s="257">
        <f t="shared" si="168"/>
        <v>0</v>
      </c>
      <c r="U1164" s="258">
        <v>0</v>
      </c>
      <c r="V1164" s="257">
        <f t="shared" si="169"/>
        <v>0</v>
      </c>
      <c r="W1164" s="258">
        <v>0</v>
      </c>
      <c r="X1164" s="257">
        <f t="shared" si="170"/>
        <v>0</v>
      </c>
      <c r="Y1164" s="258">
        <v>0</v>
      </c>
      <c r="Z1164" s="257">
        <f t="shared" si="171"/>
        <v>0</v>
      </c>
    </row>
    <row r="1165" spans="1:26" ht="15" customHeight="1">
      <c r="A1165" s="250" t="s">
        <v>736</v>
      </c>
      <c r="B1165" s="251"/>
      <c r="C1165" s="526" t="s">
        <v>799</v>
      </c>
      <c r="D1165" s="292" t="s">
        <v>1411</v>
      </c>
      <c r="E1165" s="251" t="s">
        <v>2475</v>
      </c>
      <c r="F1165" s="304">
        <f t="shared" si="161"/>
        <v>0</v>
      </c>
      <c r="G1165" s="253">
        <f t="shared" si="162"/>
        <v>39.21</v>
      </c>
      <c r="H1165" s="254">
        <f t="shared" si="164"/>
        <v>0</v>
      </c>
      <c r="I1165" s="253">
        <f t="shared" si="163"/>
        <v>0</v>
      </c>
      <c r="J1165" s="253"/>
      <c r="K1165" s="251" t="s">
        <v>2475</v>
      </c>
      <c r="L1165" s="663">
        <v>39.21</v>
      </c>
      <c r="M1165" s="289">
        <v>0</v>
      </c>
      <c r="N1165" s="245">
        <f t="shared" si="165"/>
        <v>0</v>
      </c>
      <c r="O1165" s="258">
        <v>0</v>
      </c>
      <c r="P1165" s="257">
        <f t="shared" si="166"/>
        <v>0</v>
      </c>
      <c r="Q1165" s="258">
        <v>0</v>
      </c>
      <c r="R1165" s="257">
        <f t="shared" si="167"/>
        <v>0</v>
      </c>
      <c r="S1165" s="258">
        <v>0</v>
      </c>
      <c r="T1165" s="257">
        <f t="shared" si="168"/>
        <v>0</v>
      </c>
      <c r="U1165" s="258">
        <v>0</v>
      </c>
      <c r="V1165" s="257">
        <f t="shared" si="169"/>
        <v>0</v>
      </c>
      <c r="W1165" s="258">
        <v>0</v>
      </c>
      <c r="X1165" s="257">
        <f t="shared" si="170"/>
        <v>0</v>
      </c>
      <c r="Y1165" s="258">
        <v>0</v>
      </c>
      <c r="Z1165" s="257">
        <f t="shared" si="171"/>
        <v>0</v>
      </c>
    </row>
    <row r="1166" spans="1:26" ht="15" customHeight="1">
      <c r="A1166" s="250" t="s">
        <v>654</v>
      </c>
      <c r="B1166" s="251"/>
      <c r="C1166" s="526" t="s">
        <v>800</v>
      </c>
      <c r="D1166" s="292" t="s">
        <v>1412</v>
      </c>
      <c r="E1166" s="251" t="s">
        <v>2475</v>
      </c>
      <c r="F1166" s="304">
        <f t="shared" si="161"/>
        <v>0</v>
      </c>
      <c r="G1166" s="253">
        <f t="shared" si="162"/>
        <v>48.6</v>
      </c>
      <c r="H1166" s="254">
        <f t="shared" si="164"/>
        <v>0</v>
      </c>
      <c r="I1166" s="253">
        <f t="shared" si="163"/>
        <v>0</v>
      </c>
      <c r="J1166" s="253"/>
      <c r="K1166" s="251" t="s">
        <v>2475</v>
      </c>
      <c r="L1166" s="663">
        <v>48.6</v>
      </c>
      <c r="M1166" s="289">
        <v>0</v>
      </c>
      <c r="N1166" s="245">
        <f t="shared" si="165"/>
        <v>0</v>
      </c>
      <c r="O1166" s="258">
        <v>0</v>
      </c>
      <c r="P1166" s="257">
        <f t="shared" si="166"/>
        <v>0</v>
      </c>
      <c r="Q1166" s="258">
        <v>0</v>
      </c>
      <c r="R1166" s="257">
        <f t="shared" si="167"/>
        <v>0</v>
      </c>
      <c r="S1166" s="258">
        <v>0</v>
      </c>
      <c r="T1166" s="257">
        <f t="shared" si="168"/>
        <v>0</v>
      </c>
      <c r="U1166" s="258">
        <v>0</v>
      </c>
      <c r="V1166" s="257">
        <f t="shared" si="169"/>
        <v>0</v>
      </c>
      <c r="W1166" s="258">
        <v>0</v>
      </c>
      <c r="X1166" s="257">
        <f t="shared" si="170"/>
        <v>0</v>
      </c>
      <c r="Y1166" s="258">
        <v>0</v>
      </c>
      <c r="Z1166" s="257">
        <f t="shared" si="171"/>
        <v>0</v>
      </c>
    </row>
    <row r="1167" spans="1:26" ht="15" customHeight="1">
      <c r="A1167" s="250" t="s">
        <v>737</v>
      </c>
      <c r="B1167" s="251"/>
      <c r="C1167" s="532" t="s">
        <v>801</v>
      </c>
      <c r="D1167" s="292" t="s">
        <v>1413</v>
      </c>
      <c r="E1167" s="251" t="s">
        <v>2475</v>
      </c>
      <c r="F1167" s="304">
        <f t="shared" si="161"/>
        <v>0</v>
      </c>
      <c r="G1167" s="253">
        <f t="shared" si="162"/>
        <v>61.2</v>
      </c>
      <c r="H1167" s="254">
        <f t="shared" si="164"/>
        <v>0</v>
      </c>
      <c r="I1167" s="253">
        <f t="shared" si="163"/>
        <v>0</v>
      </c>
      <c r="J1167" s="253"/>
      <c r="K1167" s="251" t="s">
        <v>2475</v>
      </c>
      <c r="L1167" s="663">
        <f>(L1166+L1168)/2</f>
        <v>61.2</v>
      </c>
      <c r="M1167" s="289">
        <v>0</v>
      </c>
      <c r="N1167" s="245">
        <f t="shared" si="165"/>
        <v>0</v>
      </c>
      <c r="O1167" s="258">
        <v>0</v>
      </c>
      <c r="P1167" s="257">
        <f t="shared" si="166"/>
        <v>0</v>
      </c>
      <c r="Q1167" s="258">
        <v>0</v>
      </c>
      <c r="R1167" s="257">
        <f t="shared" si="167"/>
        <v>0</v>
      </c>
      <c r="S1167" s="258">
        <v>0</v>
      </c>
      <c r="T1167" s="257">
        <f t="shared" si="168"/>
        <v>0</v>
      </c>
      <c r="U1167" s="258">
        <v>0</v>
      </c>
      <c r="V1167" s="257">
        <f t="shared" si="169"/>
        <v>0</v>
      </c>
      <c r="W1167" s="258">
        <v>0</v>
      </c>
      <c r="X1167" s="257">
        <f t="shared" si="170"/>
        <v>0</v>
      </c>
      <c r="Y1167" s="258">
        <v>0</v>
      </c>
      <c r="Z1167" s="257">
        <f t="shared" si="171"/>
        <v>0</v>
      </c>
    </row>
    <row r="1168" spans="1:26" ht="15" customHeight="1">
      <c r="A1168" s="250" t="s">
        <v>738</v>
      </c>
      <c r="B1168" s="251"/>
      <c r="C1168" s="534" t="s">
        <v>802</v>
      </c>
      <c r="D1168" s="292" t="s">
        <v>1414</v>
      </c>
      <c r="E1168" s="251" t="s">
        <v>2475</v>
      </c>
      <c r="F1168" s="304">
        <f t="shared" si="161"/>
        <v>0</v>
      </c>
      <c r="G1168" s="253">
        <f t="shared" si="162"/>
        <v>73.8</v>
      </c>
      <c r="H1168" s="254">
        <f t="shared" si="164"/>
        <v>0</v>
      </c>
      <c r="I1168" s="253">
        <f t="shared" si="163"/>
        <v>0</v>
      </c>
      <c r="J1168" s="253"/>
      <c r="K1168" s="251" t="s">
        <v>2475</v>
      </c>
      <c r="L1168" s="663">
        <v>73.8</v>
      </c>
      <c r="M1168" s="289">
        <v>0</v>
      </c>
      <c r="N1168" s="245">
        <f t="shared" si="165"/>
        <v>0</v>
      </c>
      <c r="O1168" s="258">
        <v>0</v>
      </c>
      <c r="P1168" s="257">
        <f t="shared" si="166"/>
        <v>0</v>
      </c>
      <c r="Q1168" s="258">
        <v>0</v>
      </c>
      <c r="R1168" s="257">
        <f t="shared" si="167"/>
        <v>0</v>
      </c>
      <c r="S1168" s="258">
        <v>0</v>
      </c>
      <c r="T1168" s="257">
        <f t="shared" si="168"/>
        <v>0</v>
      </c>
      <c r="U1168" s="258">
        <v>0</v>
      </c>
      <c r="V1168" s="257">
        <f t="shared" si="169"/>
        <v>0</v>
      </c>
      <c r="W1168" s="258">
        <v>0</v>
      </c>
      <c r="X1168" s="257">
        <f t="shared" si="170"/>
        <v>0</v>
      </c>
      <c r="Y1168" s="258">
        <v>0</v>
      </c>
      <c r="Z1168" s="257">
        <f t="shared" si="171"/>
        <v>0</v>
      </c>
    </row>
    <row r="1169" spans="1:26" ht="15" customHeight="1">
      <c r="A1169" s="250" t="s">
        <v>739</v>
      </c>
      <c r="B1169" s="251"/>
      <c r="C1169" s="532" t="s">
        <v>803</v>
      </c>
      <c r="D1169" s="292" t="s">
        <v>1415</v>
      </c>
      <c r="E1169" s="251" t="s">
        <v>2475</v>
      </c>
      <c r="F1169" s="304">
        <f t="shared" si="161"/>
        <v>0</v>
      </c>
      <c r="G1169" s="253">
        <f t="shared" si="162"/>
        <v>112.77</v>
      </c>
      <c r="H1169" s="254">
        <f t="shared" si="164"/>
        <v>0</v>
      </c>
      <c r="I1169" s="253">
        <f t="shared" si="163"/>
        <v>0</v>
      </c>
      <c r="J1169" s="253"/>
      <c r="K1169" s="251" t="s">
        <v>2475</v>
      </c>
      <c r="L1169" s="663">
        <v>112.77</v>
      </c>
      <c r="M1169" s="289">
        <v>0</v>
      </c>
      <c r="N1169" s="245">
        <f t="shared" si="165"/>
        <v>0</v>
      </c>
      <c r="O1169" s="258">
        <v>0</v>
      </c>
      <c r="P1169" s="257">
        <f t="shared" si="166"/>
        <v>0</v>
      </c>
      <c r="Q1169" s="258">
        <v>0</v>
      </c>
      <c r="R1169" s="257">
        <f t="shared" si="167"/>
        <v>0</v>
      </c>
      <c r="S1169" s="258">
        <v>0</v>
      </c>
      <c r="T1169" s="257">
        <f t="shared" si="168"/>
        <v>0</v>
      </c>
      <c r="U1169" s="258">
        <v>0</v>
      </c>
      <c r="V1169" s="257">
        <f t="shared" si="169"/>
        <v>0</v>
      </c>
      <c r="W1169" s="258">
        <v>0</v>
      </c>
      <c r="X1169" s="257">
        <f t="shared" si="170"/>
        <v>0</v>
      </c>
      <c r="Y1169" s="258">
        <v>0</v>
      </c>
      <c r="Z1169" s="257">
        <f t="shared" si="171"/>
        <v>0</v>
      </c>
    </row>
    <row r="1170" spans="1:26" ht="15" customHeight="1">
      <c r="A1170" s="250"/>
      <c r="B1170" s="251"/>
      <c r="C1170" s="526"/>
      <c r="D1170" s="292"/>
      <c r="E1170" s="251"/>
      <c r="F1170" s="252"/>
      <c r="G1170" s="253"/>
      <c r="H1170" s="254"/>
      <c r="I1170" s="253"/>
      <c r="J1170" s="253"/>
      <c r="K1170" s="251"/>
      <c r="L1170" s="261"/>
      <c r="M1170" s="289"/>
      <c r="N1170" s="245"/>
      <c r="O1170" s="258"/>
      <c r="P1170" s="257"/>
      <c r="Q1170" s="258"/>
      <c r="R1170" s="257"/>
      <c r="S1170" s="258"/>
      <c r="T1170" s="257"/>
      <c r="U1170" s="258"/>
      <c r="V1170" s="257"/>
      <c r="W1170" s="258"/>
      <c r="X1170" s="257"/>
      <c r="Y1170" s="258"/>
      <c r="Z1170" s="257"/>
    </row>
    <row r="1171" spans="1:26" ht="15" customHeight="1">
      <c r="A1171" s="250">
        <f>A1156+1</f>
        <v>204</v>
      </c>
      <c r="B1171" s="251"/>
      <c r="C1171" s="647" t="s">
        <v>36</v>
      </c>
      <c r="D1171" s="526" t="s">
        <v>2149</v>
      </c>
      <c r="E1171" s="251"/>
      <c r="F1171" s="252"/>
      <c r="G1171" s="253"/>
      <c r="H1171" s="254"/>
      <c r="I1171" s="253"/>
      <c r="J1171" s="253"/>
      <c r="K1171" s="251"/>
      <c r="L1171" s="261"/>
      <c r="M1171" s="289"/>
      <c r="N1171" s="245"/>
      <c r="O1171" s="258"/>
      <c r="P1171" s="257"/>
      <c r="Q1171" s="258"/>
      <c r="R1171" s="257"/>
      <c r="S1171" s="258"/>
      <c r="T1171" s="257"/>
      <c r="U1171" s="258"/>
      <c r="V1171" s="257"/>
      <c r="W1171" s="258"/>
      <c r="X1171" s="257"/>
      <c r="Y1171" s="258"/>
      <c r="Z1171" s="257"/>
    </row>
    <row r="1172" spans="1:26" ht="15" customHeight="1">
      <c r="A1172" s="250"/>
      <c r="B1172" s="251"/>
      <c r="C1172" s="326"/>
      <c r="D1172" s="526" t="s">
        <v>2148</v>
      </c>
      <c r="E1172" s="251"/>
      <c r="F1172" s="252"/>
      <c r="G1172" s="253"/>
      <c r="H1172" s="254"/>
      <c r="I1172" s="253"/>
      <c r="J1172" s="253"/>
      <c r="K1172" s="251"/>
      <c r="L1172" s="261"/>
      <c r="M1172" s="289"/>
      <c r="N1172" s="245"/>
      <c r="O1172" s="258"/>
      <c r="P1172" s="257"/>
      <c r="Q1172" s="258"/>
      <c r="R1172" s="257"/>
      <c r="S1172" s="258"/>
      <c r="T1172" s="257"/>
      <c r="U1172" s="258"/>
      <c r="V1172" s="257"/>
      <c r="W1172" s="258"/>
      <c r="X1172" s="257"/>
      <c r="Y1172" s="258"/>
      <c r="Z1172" s="257"/>
    </row>
    <row r="1173" spans="1:26" ht="15" customHeight="1">
      <c r="A1173" s="250" t="s">
        <v>726</v>
      </c>
      <c r="B1173" s="251"/>
      <c r="C1173" s="661" t="s">
        <v>804</v>
      </c>
      <c r="D1173" s="292" t="s">
        <v>2150</v>
      </c>
      <c r="E1173" s="251" t="s">
        <v>2475</v>
      </c>
      <c r="F1173" s="304">
        <f t="shared" ref="F1173:F1178" si="172">M1173+O1173+Q1173+S1173+U1173+W1173+Y1173</f>
        <v>0</v>
      </c>
      <c r="G1173" s="253">
        <f t="shared" si="162"/>
        <v>7.16</v>
      </c>
      <c r="H1173" s="254">
        <f t="shared" ref="H1173:H1178" si="173">F1173*G1173</f>
        <v>0</v>
      </c>
      <c r="I1173" s="253">
        <f t="shared" ref="I1173:I1178" si="174">N1173+P1173+R1173+T1173+V1173+X1173+Z1173</f>
        <v>0</v>
      </c>
      <c r="J1173" s="253"/>
      <c r="K1173" s="251" t="s">
        <v>2475</v>
      </c>
      <c r="L1173" s="255">
        <v>7.16</v>
      </c>
      <c r="M1173" s="289">
        <v>0</v>
      </c>
      <c r="N1173" s="245">
        <f t="shared" ref="N1173:N1178" si="175">INT($L1173*M1173*100+0.5)/100</f>
        <v>0</v>
      </c>
      <c r="O1173" s="258">
        <v>0</v>
      </c>
      <c r="P1173" s="257">
        <f t="shared" ref="P1173:P1178" si="176">INT($L1173*O1173*100+0.5)/100</f>
        <v>0</v>
      </c>
      <c r="Q1173" s="258">
        <v>0</v>
      </c>
      <c r="R1173" s="257">
        <f t="shared" ref="R1173:R1178" si="177">INT($L1173*Q1173*100+0.5)/100</f>
        <v>0</v>
      </c>
      <c r="S1173" s="258">
        <v>0</v>
      </c>
      <c r="T1173" s="257">
        <f t="shared" ref="T1173:T1178" si="178">INT($L1173*S1173*100+0.5)/100</f>
        <v>0</v>
      </c>
      <c r="U1173" s="258">
        <v>0</v>
      </c>
      <c r="V1173" s="257">
        <f t="shared" ref="V1173:V1178" si="179">INT($L1173*U1173*100+0.5)/100</f>
        <v>0</v>
      </c>
      <c r="W1173" s="258">
        <v>0</v>
      </c>
      <c r="X1173" s="257">
        <f t="shared" ref="X1173:X1178" si="180">INT($L1173*W1173*100+0.5)/100</f>
        <v>0</v>
      </c>
      <c r="Y1173" s="258">
        <v>0</v>
      </c>
      <c r="Z1173" s="257">
        <f t="shared" ref="Z1173:Z1178" si="181">INT($L1173*Y1173*100+0.5)/100</f>
        <v>0</v>
      </c>
    </row>
    <row r="1174" spans="1:26" ht="15" customHeight="1">
      <c r="A1174" s="250" t="s">
        <v>727</v>
      </c>
      <c r="B1174" s="251"/>
      <c r="C1174" s="661" t="s">
        <v>805</v>
      </c>
      <c r="D1174" s="292" t="s">
        <v>2173</v>
      </c>
      <c r="E1174" s="251" t="s">
        <v>2475</v>
      </c>
      <c r="F1174" s="304">
        <f t="shared" si="172"/>
        <v>130</v>
      </c>
      <c r="G1174" s="253">
        <f t="shared" si="162"/>
        <v>7.78</v>
      </c>
      <c r="H1174" s="254">
        <f t="shared" si="173"/>
        <v>1011.4</v>
      </c>
      <c r="I1174" s="253">
        <f t="shared" si="174"/>
        <v>1011.4</v>
      </c>
      <c r="J1174" s="253"/>
      <c r="K1174" s="251" t="s">
        <v>2475</v>
      </c>
      <c r="L1174" s="255">
        <v>7.78</v>
      </c>
      <c r="M1174" s="289">
        <v>0</v>
      </c>
      <c r="N1174" s="245">
        <f t="shared" si="175"/>
        <v>0</v>
      </c>
      <c r="O1174" s="258">
        <v>0</v>
      </c>
      <c r="P1174" s="257">
        <f t="shared" si="176"/>
        <v>0</v>
      </c>
      <c r="Q1174" s="258">
        <v>0</v>
      </c>
      <c r="R1174" s="257">
        <f t="shared" si="177"/>
        <v>0</v>
      </c>
      <c r="S1174" s="258">
        <f>10*(3.5+6+3.5)</f>
        <v>130</v>
      </c>
      <c r="T1174" s="257">
        <f t="shared" si="178"/>
        <v>1011.4</v>
      </c>
      <c r="U1174" s="258">
        <v>0</v>
      </c>
      <c r="V1174" s="257">
        <f t="shared" si="179"/>
        <v>0</v>
      </c>
      <c r="W1174" s="258">
        <v>0</v>
      </c>
      <c r="X1174" s="257">
        <f t="shared" si="180"/>
        <v>0</v>
      </c>
      <c r="Y1174" s="258">
        <v>0</v>
      </c>
      <c r="Z1174" s="257">
        <f t="shared" si="181"/>
        <v>0</v>
      </c>
    </row>
    <row r="1175" spans="1:26" ht="15" customHeight="1">
      <c r="A1175" s="250" t="s">
        <v>728</v>
      </c>
      <c r="B1175" s="251"/>
      <c r="C1175" s="661" t="s">
        <v>806</v>
      </c>
      <c r="D1175" s="292" t="s">
        <v>540</v>
      </c>
      <c r="E1175" s="251" t="s">
        <v>2475</v>
      </c>
      <c r="F1175" s="304">
        <f t="shared" si="172"/>
        <v>0</v>
      </c>
      <c r="G1175" s="253">
        <f t="shared" si="162"/>
        <v>8.31</v>
      </c>
      <c r="H1175" s="254">
        <f t="shared" si="173"/>
        <v>0</v>
      </c>
      <c r="I1175" s="253">
        <f t="shared" si="174"/>
        <v>0</v>
      </c>
      <c r="J1175" s="253"/>
      <c r="K1175" s="251" t="s">
        <v>2475</v>
      </c>
      <c r="L1175" s="255">
        <v>8.31</v>
      </c>
      <c r="M1175" s="289">
        <v>0</v>
      </c>
      <c r="N1175" s="245">
        <f t="shared" si="175"/>
        <v>0</v>
      </c>
      <c r="O1175" s="258">
        <v>0</v>
      </c>
      <c r="P1175" s="257">
        <f t="shared" si="176"/>
        <v>0</v>
      </c>
      <c r="Q1175" s="258">
        <v>0</v>
      </c>
      <c r="R1175" s="257">
        <f t="shared" si="177"/>
        <v>0</v>
      </c>
      <c r="S1175" s="258">
        <v>0</v>
      </c>
      <c r="T1175" s="257">
        <f t="shared" si="178"/>
        <v>0</v>
      </c>
      <c r="U1175" s="258">
        <v>0</v>
      </c>
      <c r="V1175" s="257">
        <f t="shared" si="179"/>
        <v>0</v>
      </c>
      <c r="W1175" s="258">
        <v>0</v>
      </c>
      <c r="X1175" s="257">
        <f t="shared" si="180"/>
        <v>0</v>
      </c>
      <c r="Y1175" s="258">
        <v>0</v>
      </c>
      <c r="Z1175" s="257">
        <f t="shared" si="181"/>
        <v>0</v>
      </c>
    </row>
    <row r="1176" spans="1:26" ht="15" customHeight="1">
      <c r="A1176" s="250" t="s">
        <v>732</v>
      </c>
      <c r="B1176" s="251"/>
      <c r="C1176" s="661" t="s">
        <v>807</v>
      </c>
      <c r="D1176" s="292" t="s">
        <v>2174</v>
      </c>
      <c r="E1176" s="251" t="s">
        <v>2475</v>
      </c>
      <c r="F1176" s="304">
        <f t="shared" si="172"/>
        <v>0</v>
      </c>
      <c r="G1176" s="253">
        <f t="shared" si="162"/>
        <v>9.24</v>
      </c>
      <c r="H1176" s="254">
        <f t="shared" si="173"/>
        <v>0</v>
      </c>
      <c r="I1176" s="253">
        <f t="shared" si="174"/>
        <v>0</v>
      </c>
      <c r="J1176" s="253"/>
      <c r="K1176" s="251" t="s">
        <v>2475</v>
      </c>
      <c r="L1176" s="255">
        <v>9.24</v>
      </c>
      <c r="M1176" s="289">
        <v>0</v>
      </c>
      <c r="N1176" s="245">
        <f t="shared" si="175"/>
        <v>0</v>
      </c>
      <c r="O1176" s="258">
        <v>0</v>
      </c>
      <c r="P1176" s="257">
        <f t="shared" si="176"/>
        <v>0</v>
      </c>
      <c r="Q1176" s="258">
        <v>0</v>
      </c>
      <c r="R1176" s="257">
        <f t="shared" si="177"/>
        <v>0</v>
      </c>
      <c r="S1176" s="258">
        <v>0</v>
      </c>
      <c r="T1176" s="257">
        <f t="shared" si="178"/>
        <v>0</v>
      </c>
      <c r="U1176" s="258">
        <v>0</v>
      </c>
      <c r="V1176" s="257">
        <f t="shared" si="179"/>
        <v>0</v>
      </c>
      <c r="W1176" s="258">
        <v>0</v>
      </c>
      <c r="X1176" s="257">
        <f t="shared" si="180"/>
        <v>0</v>
      </c>
      <c r="Y1176" s="258">
        <v>0</v>
      </c>
      <c r="Z1176" s="257">
        <f t="shared" si="181"/>
        <v>0</v>
      </c>
    </row>
    <row r="1177" spans="1:26" ht="15" customHeight="1">
      <c r="A1177" s="250" t="s">
        <v>733</v>
      </c>
      <c r="B1177" s="251"/>
      <c r="C1177" s="661" t="s">
        <v>808</v>
      </c>
      <c r="D1177" s="292" t="s">
        <v>1973</v>
      </c>
      <c r="E1177" s="251" t="s">
        <v>2475</v>
      </c>
      <c r="F1177" s="304">
        <f t="shared" si="172"/>
        <v>0</v>
      </c>
      <c r="G1177" s="253">
        <f t="shared" si="162"/>
        <v>10.6</v>
      </c>
      <c r="H1177" s="254">
        <f t="shared" si="173"/>
        <v>0</v>
      </c>
      <c r="I1177" s="253">
        <f t="shared" si="174"/>
        <v>0</v>
      </c>
      <c r="J1177" s="253"/>
      <c r="K1177" s="251" t="s">
        <v>2475</v>
      </c>
      <c r="L1177" s="255">
        <v>10.6</v>
      </c>
      <c r="M1177" s="289">
        <v>0</v>
      </c>
      <c r="N1177" s="245">
        <f t="shared" si="175"/>
        <v>0</v>
      </c>
      <c r="O1177" s="258">
        <v>0</v>
      </c>
      <c r="P1177" s="257">
        <f t="shared" si="176"/>
        <v>0</v>
      </c>
      <c r="Q1177" s="258">
        <v>0</v>
      </c>
      <c r="R1177" s="257">
        <f t="shared" si="177"/>
        <v>0</v>
      </c>
      <c r="S1177" s="258">
        <v>0</v>
      </c>
      <c r="T1177" s="257">
        <f t="shared" si="178"/>
        <v>0</v>
      </c>
      <c r="U1177" s="258">
        <v>0</v>
      </c>
      <c r="V1177" s="257">
        <f t="shared" si="179"/>
        <v>0</v>
      </c>
      <c r="W1177" s="258">
        <v>0</v>
      </c>
      <c r="X1177" s="257">
        <f t="shared" si="180"/>
        <v>0</v>
      </c>
      <c r="Y1177" s="258">
        <v>0</v>
      </c>
      <c r="Z1177" s="257">
        <f t="shared" si="181"/>
        <v>0</v>
      </c>
    </row>
    <row r="1178" spans="1:26" ht="15" customHeight="1">
      <c r="A1178" s="250" t="s">
        <v>734</v>
      </c>
      <c r="B1178" s="251"/>
      <c r="C1178" s="661" t="s">
        <v>809</v>
      </c>
      <c r="D1178" s="292" t="s">
        <v>2175</v>
      </c>
      <c r="E1178" s="251" t="s">
        <v>2475</v>
      </c>
      <c r="F1178" s="304">
        <f t="shared" si="172"/>
        <v>0</v>
      </c>
      <c r="G1178" s="253">
        <f t="shared" si="162"/>
        <v>13.23</v>
      </c>
      <c r="H1178" s="254">
        <f t="shared" si="173"/>
        <v>0</v>
      </c>
      <c r="I1178" s="253">
        <f t="shared" si="174"/>
        <v>0</v>
      </c>
      <c r="J1178" s="253"/>
      <c r="K1178" s="251" t="s">
        <v>2475</v>
      </c>
      <c r="L1178" s="255">
        <v>13.23</v>
      </c>
      <c r="M1178" s="289">
        <v>0</v>
      </c>
      <c r="N1178" s="245">
        <f t="shared" si="175"/>
        <v>0</v>
      </c>
      <c r="O1178" s="258">
        <v>0</v>
      </c>
      <c r="P1178" s="257">
        <f t="shared" si="176"/>
        <v>0</v>
      </c>
      <c r="Q1178" s="258">
        <v>0</v>
      </c>
      <c r="R1178" s="257">
        <f t="shared" si="177"/>
        <v>0</v>
      </c>
      <c r="S1178" s="258">
        <v>0</v>
      </c>
      <c r="T1178" s="257">
        <f t="shared" si="178"/>
        <v>0</v>
      </c>
      <c r="U1178" s="258">
        <v>0</v>
      </c>
      <c r="V1178" s="257">
        <f t="shared" si="179"/>
        <v>0</v>
      </c>
      <c r="W1178" s="258">
        <v>0</v>
      </c>
      <c r="X1178" s="257">
        <f t="shared" si="180"/>
        <v>0</v>
      </c>
      <c r="Y1178" s="258">
        <v>0</v>
      </c>
      <c r="Z1178" s="257">
        <f t="shared" si="181"/>
        <v>0</v>
      </c>
    </row>
    <row r="1179" spans="1:26" ht="15" customHeight="1">
      <c r="A1179" s="250"/>
      <c r="B1179" s="251"/>
      <c r="C1179" s="661"/>
      <c r="D1179" s="292"/>
      <c r="E1179" s="251"/>
      <c r="F1179" s="252"/>
      <c r="G1179" s="253"/>
      <c r="H1179" s="254"/>
      <c r="I1179" s="253"/>
      <c r="J1179" s="253"/>
      <c r="K1179" s="251"/>
      <c r="L1179" s="261"/>
      <c r="M1179" s="289"/>
      <c r="N1179" s="245"/>
      <c r="O1179" s="258"/>
      <c r="P1179" s="257"/>
      <c r="Q1179" s="258"/>
      <c r="R1179" s="257"/>
      <c r="S1179" s="258"/>
      <c r="T1179" s="257"/>
      <c r="U1179" s="258"/>
      <c r="V1179" s="257"/>
      <c r="W1179" s="258"/>
      <c r="X1179" s="257"/>
      <c r="Y1179" s="258"/>
      <c r="Z1179" s="257"/>
    </row>
    <row r="1180" spans="1:26" ht="15" customHeight="1">
      <c r="A1180" s="250">
        <f>A1171+1</f>
        <v>205</v>
      </c>
      <c r="B1180" s="251"/>
      <c r="C1180" s="654" t="s">
        <v>1974</v>
      </c>
      <c r="D1180" s="532" t="s">
        <v>921</v>
      </c>
      <c r="E1180" s="251" t="s">
        <v>2475</v>
      </c>
      <c r="F1180" s="252"/>
      <c r="G1180" s="253"/>
      <c r="H1180" s="254"/>
      <c r="I1180" s="253"/>
      <c r="J1180" s="253"/>
      <c r="K1180" s="251" t="s">
        <v>2475</v>
      </c>
      <c r="L1180" s="255"/>
      <c r="M1180" s="289"/>
      <c r="N1180" s="245"/>
      <c r="O1180" s="258"/>
      <c r="P1180" s="257"/>
      <c r="Q1180" s="258"/>
      <c r="R1180" s="257"/>
      <c r="S1180" s="258"/>
      <c r="T1180" s="257"/>
      <c r="U1180" s="258"/>
      <c r="V1180" s="257"/>
      <c r="W1180" s="258"/>
      <c r="X1180" s="257"/>
      <c r="Y1180" s="258"/>
      <c r="Z1180" s="257"/>
    </row>
    <row r="1181" spans="1:26" ht="15" customHeight="1">
      <c r="A1181" s="250"/>
      <c r="B1181" s="251"/>
      <c r="C1181" s="526"/>
      <c r="D1181" s="532" t="s">
        <v>922</v>
      </c>
      <c r="E1181" s="251"/>
      <c r="F1181" s="252"/>
      <c r="G1181" s="253"/>
      <c r="H1181" s="254"/>
      <c r="I1181" s="253"/>
      <c r="J1181" s="253"/>
      <c r="K1181" s="251"/>
      <c r="L1181" s="261"/>
      <c r="M1181" s="289"/>
      <c r="N1181" s="245"/>
      <c r="O1181" s="258"/>
      <c r="P1181" s="257"/>
      <c r="Q1181" s="258"/>
      <c r="R1181" s="257"/>
      <c r="S1181" s="258"/>
      <c r="T1181" s="257"/>
      <c r="U1181" s="258"/>
      <c r="V1181" s="257"/>
      <c r="W1181" s="258"/>
      <c r="X1181" s="257"/>
      <c r="Y1181" s="258"/>
      <c r="Z1181" s="257"/>
    </row>
    <row r="1182" spans="1:26" ht="15" customHeight="1">
      <c r="A1182" s="250"/>
      <c r="B1182" s="251"/>
      <c r="C1182" s="532"/>
      <c r="D1182" s="532"/>
      <c r="E1182" s="251"/>
      <c r="F1182" s="304">
        <f>M1182+O1182+Q1182+S1182+U1182+W1182+Y1182</f>
        <v>710</v>
      </c>
      <c r="G1182" s="253">
        <f t="shared" si="162"/>
        <v>21.73</v>
      </c>
      <c r="H1182" s="254">
        <f>F1182*G1182</f>
        <v>15428.300000000001</v>
      </c>
      <c r="I1182" s="253">
        <f>N1182+P1182+R1182+T1182+V1182+X1182+Z1182</f>
        <v>15428.3</v>
      </c>
      <c r="J1182" s="253"/>
      <c r="K1182" s="251"/>
      <c r="L1182" s="664">
        <v>21.73</v>
      </c>
      <c r="M1182" s="289">
        <f>190+250+250+20</f>
        <v>710</v>
      </c>
      <c r="N1182" s="245">
        <f>INT($L1182*M1182*100+0.5)/100</f>
        <v>15428.3</v>
      </c>
      <c r="O1182" s="258">
        <v>0</v>
      </c>
      <c r="P1182" s="257">
        <f>INT($L1182*O1182*100+0.5)/100</f>
        <v>0</v>
      </c>
      <c r="Q1182" s="258">
        <v>0</v>
      </c>
      <c r="R1182" s="257">
        <f>INT($L1182*Q1182*100+0.5)/100</f>
        <v>0</v>
      </c>
      <c r="S1182" s="258">
        <v>0</v>
      </c>
      <c r="T1182" s="257">
        <f>INT($L1182*S1182*100+0.5)/100</f>
        <v>0</v>
      </c>
      <c r="U1182" s="258">
        <v>0</v>
      </c>
      <c r="V1182" s="257">
        <f>INT($L1182*U1182*100+0.5)/100</f>
        <v>0</v>
      </c>
      <c r="W1182" s="258">
        <v>0</v>
      </c>
      <c r="X1182" s="257">
        <f>INT($L1182*W1182*100+0.5)/100</f>
        <v>0</v>
      </c>
      <c r="Y1182" s="258">
        <v>0</v>
      </c>
      <c r="Z1182" s="257">
        <f>INT($L1182*Y1182*100+0.5)/100</f>
        <v>0</v>
      </c>
    </row>
    <row r="1183" spans="1:26" ht="15" customHeight="1">
      <c r="A1183" s="250"/>
      <c r="B1183" s="251"/>
      <c r="C1183" s="532"/>
      <c r="D1183" s="532"/>
      <c r="E1183" s="251"/>
      <c r="F1183" s="252"/>
      <c r="G1183" s="253"/>
      <c r="H1183" s="254"/>
      <c r="I1183" s="253"/>
      <c r="J1183" s="253"/>
      <c r="K1183" s="251"/>
      <c r="L1183" s="255"/>
      <c r="M1183" s="289"/>
      <c r="N1183" s="245"/>
      <c r="O1183" s="258"/>
      <c r="P1183" s="257"/>
      <c r="Q1183" s="258"/>
      <c r="R1183" s="257"/>
      <c r="S1183" s="258"/>
      <c r="T1183" s="257"/>
      <c r="U1183" s="258"/>
      <c r="V1183" s="257"/>
      <c r="W1183" s="258"/>
      <c r="X1183" s="257"/>
      <c r="Y1183" s="258"/>
      <c r="Z1183" s="257"/>
    </row>
    <row r="1184" spans="1:26" ht="15" customHeight="1">
      <c r="A1184" s="250">
        <f>A1180+1</f>
        <v>206</v>
      </c>
      <c r="B1184" s="251"/>
      <c r="C1184" s="526" t="s">
        <v>1785</v>
      </c>
      <c r="D1184" s="526" t="s">
        <v>2144</v>
      </c>
      <c r="E1184" s="251"/>
      <c r="F1184" s="252"/>
      <c r="G1184" s="253"/>
      <c r="H1184" s="254"/>
      <c r="I1184" s="253"/>
      <c r="J1184" s="253"/>
      <c r="K1184" s="251"/>
      <c r="L1184" s="261"/>
      <c r="M1184" s="289"/>
      <c r="N1184" s="245"/>
      <c r="O1184" s="258"/>
      <c r="P1184" s="257"/>
      <c r="Q1184" s="258"/>
      <c r="R1184" s="257"/>
      <c r="S1184" s="258"/>
      <c r="T1184" s="257"/>
      <c r="U1184" s="258"/>
      <c r="V1184" s="257"/>
      <c r="W1184" s="258"/>
      <c r="X1184" s="257"/>
      <c r="Y1184" s="258"/>
      <c r="Z1184" s="257"/>
    </row>
    <row r="1185" spans="1:26" ht="15" customHeight="1">
      <c r="A1185" s="250"/>
      <c r="B1185" s="251"/>
      <c r="C1185" s="526"/>
      <c r="D1185" s="526" t="s">
        <v>2143</v>
      </c>
      <c r="E1185" s="251"/>
      <c r="F1185" s="252"/>
      <c r="G1185" s="253"/>
      <c r="H1185" s="254"/>
      <c r="I1185" s="253"/>
      <c r="J1185" s="253"/>
      <c r="K1185" s="251"/>
      <c r="L1185" s="261"/>
      <c r="M1185" s="289"/>
      <c r="N1185" s="245"/>
      <c r="O1185" s="258"/>
      <c r="P1185" s="257"/>
      <c r="Q1185" s="258"/>
      <c r="R1185" s="257"/>
      <c r="S1185" s="258"/>
      <c r="T1185" s="257"/>
      <c r="U1185" s="258"/>
      <c r="V1185" s="257"/>
      <c r="W1185" s="258"/>
      <c r="X1185" s="257"/>
      <c r="Y1185" s="258"/>
      <c r="Z1185" s="257"/>
    </row>
    <row r="1186" spans="1:26" ht="15" customHeight="1">
      <c r="A1186" s="250" t="s">
        <v>726</v>
      </c>
      <c r="B1186" s="251"/>
      <c r="C1186" s="526" t="s">
        <v>810</v>
      </c>
      <c r="D1186" s="292" t="s">
        <v>540</v>
      </c>
      <c r="E1186" s="251" t="s">
        <v>2475</v>
      </c>
      <c r="F1186" s="304">
        <f t="shared" ref="F1186:F1191" si="182">M1186+O1186+Q1186+S1186+U1186+W1186+Y1186</f>
        <v>0</v>
      </c>
      <c r="G1186" s="253">
        <f t="shared" si="162"/>
        <v>14.68</v>
      </c>
      <c r="H1186" s="254">
        <f t="shared" ref="H1186:H1191" si="183">INT(F1186*G1186*100+0.5)/100</f>
        <v>0</v>
      </c>
      <c r="I1186" s="253">
        <f t="shared" ref="I1186:I1191" si="184">N1186+P1186+R1186+T1186+V1186+X1186+Z1186</f>
        <v>0</v>
      </c>
      <c r="J1186" s="253"/>
      <c r="K1186" s="251" t="s">
        <v>2475</v>
      </c>
      <c r="L1186" s="663">
        <v>14.68</v>
      </c>
      <c r="M1186" s="289">
        <v>0</v>
      </c>
      <c r="N1186" s="245">
        <f t="shared" ref="N1186:N1191" si="185">INT($L1186*M1186*100+0.5)/100</f>
        <v>0</v>
      </c>
      <c r="O1186" s="258">
        <v>0</v>
      </c>
      <c r="P1186" s="257">
        <f t="shared" ref="P1186:P1191" si="186">INT($L1186*O1186*100+0.5)/100</f>
        <v>0</v>
      </c>
      <c r="Q1186" s="258">
        <v>0</v>
      </c>
      <c r="R1186" s="257">
        <f t="shared" ref="R1186:R1191" si="187">INT($L1186*Q1186*100+0.5)/100</f>
        <v>0</v>
      </c>
      <c r="S1186" s="258">
        <v>0</v>
      </c>
      <c r="T1186" s="257">
        <f t="shared" ref="T1186:T1191" si="188">INT($L1186*S1186*100+0.5)/100</f>
        <v>0</v>
      </c>
      <c r="U1186" s="258">
        <v>0</v>
      </c>
      <c r="V1186" s="257">
        <f t="shared" ref="V1186:V1191" si="189">INT($L1186*U1186*100+0.5)/100</f>
        <v>0</v>
      </c>
      <c r="W1186" s="258">
        <v>0</v>
      </c>
      <c r="X1186" s="257">
        <f t="shared" ref="X1186:X1191" si="190">INT($L1186*W1186*100+0.5)/100</f>
        <v>0</v>
      </c>
      <c r="Y1186" s="258">
        <v>0</v>
      </c>
      <c r="Z1186" s="257">
        <f t="shared" ref="Z1186:Z1191" si="191">INT($L1186*Y1186*100+0.5)/100</f>
        <v>0</v>
      </c>
    </row>
    <row r="1187" spans="1:26" ht="15" customHeight="1">
      <c r="A1187" s="250" t="s">
        <v>727</v>
      </c>
      <c r="B1187" s="251"/>
      <c r="C1187" s="526" t="s">
        <v>811</v>
      </c>
      <c r="D1187" s="292" t="s">
        <v>2174</v>
      </c>
      <c r="E1187" s="251" t="s">
        <v>2475</v>
      </c>
      <c r="F1187" s="304">
        <f t="shared" si="182"/>
        <v>0</v>
      </c>
      <c r="G1187" s="253">
        <f t="shared" si="162"/>
        <v>16.899999999999999</v>
      </c>
      <c r="H1187" s="254">
        <f t="shared" si="183"/>
        <v>0</v>
      </c>
      <c r="I1187" s="253">
        <f t="shared" si="184"/>
        <v>0</v>
      </c>
      <c r="J1187" s="253"/>
      <c r="K1187" s="251" t="s">
        <v>2475</v>
      </c>
      <c r="L1187" s="663">
        <v>16.899999999999999</v>
      </c>
      <c r="M1187" s="289">
        <v>0</v>
      </c>
      <c r="N1187" s="245">
        <f t="shared" si="185"/>
        <v>0</v>
      </c>
      <c r="O1187" s="258">
        <v>0</v>
      </c>
      <c r="P1187" s="257">
        <f t="shared" si="186"/>
        <v>0</v>
      </c>
      <c r="Q1187" s="258">
        <v>0</v>
      </c>
      <c r="R1187" s="257">
        <f t="shared" si="187"/>
        <v>0</v>
      </c>
      <c r="S1187" s="258">
        <v>0</v>
      </c>
      <c r="T1187" s="257">
        <f t="shared" si="188"/>
        <v>0</v>
      </c>
      <c r="U1187" s="258">
        <v>0</v>
      </c>
      <c r="V1187" s="257">
        <f t="shared" si="189"/>
        <v>0</v>
      </c>
      <c r="W1187" s="258">
        <v>0</v>
      </c>
      <c r="X1187" s="257">
        <f t="shared" si="190"/>
        <v>0</v>
      </c>
      <c r="Y1187" s="258">
        <v>0</v>
      </c>
      <c r="Z1187" s="257">
        <f t="shared" si="191"/>
        <v>0</v>
      </c>
    </row>
    <row r="1188" spans="1:26" ht="15" customHeight="1">
      <c r="A1188" s="250" t="s">
        <v>728</v>
      </c>
      <c r="B1188" s="251"/>
      <c r="C1188" s="526" t="s">
        <v>812</v>
      </c>
      <c r="D1188" s="292" t="s">
        <v>2175</v>
      </c>
      <c r="E1188" s="251" t="s">
        <v>2475</v>
      </c>
      <c r="F1188" s="304">
        <f t="shared" si="182"/>
        <v>0</v>
      </c>
      <c r="G1188" s="253">
        <f t="shared" si="162"/>
        <v>26.03</v>
      </c>
      <c r="H1188" s="254">
        <f t="shared" si="183"/>
        <v>0</v>
      </c>
      <c r="I1188" s="253">
        <f t="shared" si="184"/>
        <v>0</v>
      </c>
      <c r="J1188" s="253"/>
      <c r="K1188" s="251" t="s">
        <v>2475</v>
      </c>
      <c r="L1188" s="663">
        <v>26.03</v>
      </c>
      <c r="M1188" s="289">
        <v>0</v>
      </c>
      <c r="N1188" s="245">
        <f t="shared" si="185"/>
        <v>0</v>
      </c>
      <c r="O1188" s="258">
        <v>0</v>
      </c>
      <c r="P1188" s="257">
        <f t="shared" si="186"/>
        <v>0</v>
      </c>
      <c r="Q1188" s="258">
        <v>0</v>
      </c>
      <c r="R1188" s="257">
        <f t="shared" si="187"/>
        <v>0</v>
      </c>
      <c r="S1188" s="258">
        <v>0</v>
      </c>
      <c r="T1188" s="257">
        <f t="shared" si="188"/>
        <v>0</v>
      </c>
      <c r="U1188" s="258">
        <v>0</v>
      </c>
      <c r="V1188" s="257">
        <f t="shared" si="189"/>
        <v>0</v>
      </c>
      <c r="W1188" s="258">
        <v>0</v>
      </c>
      <c r="X1188" s="257">
        <f t="shared" si="190"/>
        <v>0</v>
      </c>
      <c r="Y1188" s="258">
        <v>0</v>
      </c>
      <c r="Z1188" s="257">
        <f t="shared" si="191"/>
        <v>0</v>
      </c>
    </row>
    <row r="1189" spans="1:26" ht="15" customHeight="1">
      <c r="A1189" s="250" t="s">
        <v>732</v>
      </c>
      <c r="B1189" s="251"/>
      <c r="C1189" s="526" t="s">
        <v>813</v>
      </c>
      <c r="D1189" s="292" t="s">
        <v>2145</v>
      </c>
      <c r="E1189" s="251" t="s">
        <v>2475</v>
      </c>
      <c r="F1189" s="304">
        <f t="shared" si="182"/>
        <v>0</v>
      </c>
      <c r="G1189" s="253">
        <f t="shared" si="162"/>
        <v>34.880000000000003</v>
      </c>
      <c r="H1189" s="254">
        <f t="shared" si="183"/>
        <v>0</v>
      </c>
      <c r="I1189" s="253">
        <f t="shared" si="184"/>
        <v>0</v>
      </c>
      <c r="J1189" s="253"/>
      <c r="K1189" s="251" t="s">
        <v>2475</v>
      </c>
      <c r="L1189" s="663">
        <v>34.880000000000003</v>
      </c>
      <c r="M1189" s="289">
        <v>0</v>
      </c>
      <c r="N1189" s="245">
        <f t="shared" si="185"/>
        <v>0</v>
      </c>
      <c r="O1189" s="258">
        <v>0</v>
      </c>
      <c r="P1189" s="257">
        <f t="shared" si="186"/>
        <v>0</v>
      </c>
      <c r="Q1189" s="258">
        <v>0</v>
      </c>
      <c r="R1189" s="257">
        <f t="shared" si="187"/>
        <v>0</v>
      </c>
      <c r="S1189" s="258">
        <v>0</v>
      </c>
      <c r="T1189" s="257">
        <f t="shared" si="188"/>
        <v>0</v>
      </c>
      <c r="U1189" s="258">
        <v>0</v>
      </c>
      <c r="V1189" s="257">
        <f t="shared" si="189"/>
        <v>0</v>
      </c>
      <c r="W1189" s="258">
        <v>0</v>
      </c>
      <c r="X1189" s="257">
        <f t="shared" si="190"/>
        <v>0</v>
      </c>
      <c r="Y1189" s="258">
        <v>0</v>
      </c>
      <c r="Z1189" s="257">
        <f t="shared" si="191"/>
        <v>0</v>
      </c>
    </row>
    <row r="1190" spans="1:26" ht="15" customHeight="1">
      <c r="A1190" s="250" t="s">
        <v>733</v>
      </c>
      <c r="B1190" s="251"/>
      <c r="C1190" s="526" t="s">
        <v>814</v>
      </c>
      <c r="D1190" s="292" t="s">
        <v>2146</v>
      </c>
      <c r="E1190" s="251" t="s">
        <v>2475</v>
      </c>
      <c r="F1190" s="304">
        <f t="shared" si="182"/>
        <v>0</v>
      </c>
      <c r="G1190" s="253">
        <f t="shared" si="162"/>
        <v>43.59</v>
      </c>
      <c r="H1190" s="254">
        <f t="shared" si="183"/>
        <v>0</v>
      </c>
      <c r="I1190" s="253">
        <f t="shared" si="184"/>
        <v>0</v>
      </c>
      <c r="J1190" s="253"/>
      <c r="K1190" s="251" t="s">
        <v>2475</v>
      </c>
      <c r="L1190" s="663">
        <v>43.59</v>
      </c>
      <c r="M1190" s="289">
        <v>0</v>
      </c>
      <c r="N1190" s="245">
        <f t="shared" si="185"/>
        <v>0</v>
      </c>
      <c r="O1190" s="258">
        <v>0</v>
      </c>
      <c r="P1190" s="257">
        <f t="shared" si="186"/>
        <v>0</v>
      </c>
      <c r="Q1190" s="258">
        <v>0</v>
      </c>
      <c r="R1190" s="257">
        <f t="shared" si="187"/>
        <v>0</v>
      </c>
      <c r="S1190" s="258">
        <v>0</v>
      </c>
      <c r="T1190" s="257">
        <f t="shared" si="188"/>
        <v>0</v>
      </c>
      <c r="U1190" s="258">
        <v>0</v>
      </c>
      <c r="V1190" s="257">
        <f t="shared" si="189"/>
        <v>0</v>
      </c>
      <c r="W1190" s="258">
        <v>0</v>
      </c>
      <c r="X1190" s="257">
        <f t="shared" si="190"/>
        <v>0</v>
      </c>
      <c r="Y1190" s="258">
        <v>0</v>
      </c>
      <c r="Z1190" s="257">
        <f t="shared" si="191"/>
        <v>0</v>
      </c>
    </row>
    <row r="1191" spans="1:26" ht="15" customHeight="1">
      <c r="A1191" s="250" t="s">
        <v>734</v>
      </c>
      <c r="B1191" s="251"/>
      <c r="C1191" s="526" t="s">
        <v>815</v>
      </c>
      <c r="D1191" s="292" t="s">
        <v>2147</v>
      </c>
      <c r="E1191" s="251" t="s">
        <v>2475</v>
      </c>
      <c r="F1191" s="304">
        <f t="shared" si="182"/>
        <v>0</v>
      </c>
      <c r="G1191" s="253">
        <f t="shared" si="162"/>
        <v>64.959999999999994</v>
      </c>
      <c r="H1191" s="254">
        <f t="shared" si="183"/>
        <v>0</v>
      </c>
      <c r="I1191" s="253">
        <f t="shared" si="184"/>
        <v>0</v>
      </c>
      <c r="J1191" s="253"/>
      <c r="K1191" s="251" t="s">
        <v>2475</v>
      </c>
      <c r="L1191" s="663">
        <v>64.959999999999994</v>
      </c>
      <c r="M1191" s="289">
        <v>0</v>
      </c>
      <c r="N1191" s="245">
        <f t="shared" si="185"/>
        <v>0</v>
      </c>
      <c r="O1191" s="258">
        <v>0</v>
      </c>
      <c r="P1191" s="257">
        <f t="shared" si="186"/>
        <v>0</v>
      </c>
      <c r="Q1191" s="258">
        <v>0</v>
      </c>
      <c r="R1191" s="257">
        <f t="shared" si="187"/>
        <v>0</v>
      </c>
      <c r="S1191" s="258">
        <v>0</v>
      </c>
      <c r="T1191" s="257">
        <f t="shared" si="188"/>
        <v>0</v>
      </c>
      <c r="U1191" s="258">
        <v>0</v>
      </c>
      <c r="V1191" s="257">
        <f t="shared" si="189"/>
        <v>0</v>
      </c>
      <c r="W1191" s="258">
        <v>0</v>
      </c>
      <c r="X1191" s="257">
        <f t="shared" si="190"/>
        <v>0</v>
      </c>
      <c r="Y1191" s="258">
        <v>0</v>
      </c>
      <c r="Z1191" s="257">
        <f t="shared" si="191"/>
        <v>0</v>
      </c>
    </row>
    <row r="1192" spans="1:26" ht="15" customHeight="1">
      <c r="A1192" s="250"/>
      <c r="B1192" s="251"/>
      <c r="C1192" s="526"/>
      <c r="D1192" s="292"/>
      <c r="E1192" s="251"/>
      <c r="F1192" s="252"/>
      <c r="G1192" s="253"/>
      <c r="H1192" s="254"/>
      <c r="I1192" s="253"/>
      <c r="J1192" s="253"/>
      <c r="K1192" s="251"/>
      <c r="L1192" s="261"/>
      <c r="M1192" s="289"/>
      <c r="N1192" s="245"/>
      <c r="O1192" s="258"/>
      <c r="P1192" s="257"/>
      <c r="Q1192" s="258"/>
      <c r="R1192" s="257"/>
      <c r="S1192" s="258"/>
      <c r="T1192" s="257"/>
      <c r="U1192" s="258"/>
      <c r="V1192" s="257"/>
      <c r="W1192" s="258"/>
      <c r="X1192" s="257"/>
      <c r="Y1192" s="258"/>
      <c r="Z1192" s="257"/>
    </row>
    <row r="1193" spans="1:26" ht="15" customHeight="1">
      <c r="A1193" s="250">
        <f>A1184+1</f>
        <v>207</v>
      </c>
      <c r="B1193" s="251"/>
      <c r="C1193" s="526" t="s">
        <v>1576</v>
      </c>
      <c r="D1193" s="526" t="s">
        <v>1577</v>
      </c>
      <c r="E1193" s="251"/>
      <c r="F1193" s="252"/>
      <c r="G1193" s="253"/>
      <c r="H1193" s="254"/>
      <c r="I1193" s="253"/>
      <c r="J1193" s="253"/>
      <c r="K1193" s="251"/>
      <c r="L1193" s="261"/>
      <c r="M1193" s="289"/>
      <c r="N1193" s="245"/>
      <c r="O1193" s="258"/>
      <c r="P1193" s="257"/>
      <c r="Q1193" s="258"/>
      <c r="R1193" s="257"/>
      <c r="S1193" s="258"/>
      <c r="T1193" s="257"/>
      <c r="U1193" s="258"/>
      <c r="V1193" s="257"/>
      <c r="W1193" s="258"/>
      <c r="X1193" s="257"/>
      <c r="Y1193" s="258"/>
      <c r="Z1193" s="257"/>
    </row>
    <row r="1194" spans="1:26" ht="15" customHeight="1">
      <c r="A1194" s="250"/>
      <c r="B1194" s="251"/>
      <c r="C1194" s="526"/>
      <c r="D1194" s="526" t="s">
        <v>1578</v>
      </c>
      <c r="E1194" s="251"/>
      <c r="F1194" s="252"/>
      <c r="G1194" s="253"/>
      <c r="H1194" s="254"/>
      <c r="I1194" s="253"/>
      <c r="J1194" s="253"/>
      <c r="K1194" s="251"/>
      <c r="L1194" s="261"/>
      <c r="M1194" s="289"/>
      <c r="N1194" s="245"/>
      <c r="O1194" s="258"/>
      <c r="P1194" s="257"/>
      <c r="Q1194" s="258"/>
      <c r="R1194" s="257"/>
      <c r="S1194" s="258"/>
      <c r="T1194" s="257"/>
      <c r="U1194" s="258"/>
      <c r="V1194" s="257"/>
      <c r="W1194" s="258"/>
      <c r="X1194" s="257"/>
      <c r="Y1194" s="258"/>
      <c r="Z1194" s="257"/>
    </row>
    <row r="1195" spans="1:26" ht="15" customHeight="1">
      <c r="A1195" s="250" t="s">
        <v>726</v>
      </c>
      <c r="B1195" s="251"/>
      <c r="C1195" s="526" t="s">
        <v>816</v>
      </c>
      <c r="D1195" s="292" t="s">
        <v>2176</v>
      </c>
      <c r="E1195" s="251" t="s">
        <v>2475</v>
      </c>
      <c r="F1195" s="304">
        <f>M1195+O1195+Q1195+S1195+U1195+W1195+Y1195</f>
        <v>0</v>
      </c>
      <c r="G1195" s="253">
        <f t="shared" si="162"/>
        <v>6.87</v>
      </c>
      <c r="H1195" s="254">
        <f>INT(F1195*G1195*100+0.5)/100</f>
        <v>0</v>
      </c>
      <c r="I1195" s="253">
        <f>N1195+P1195+R1195+T1195+V1195+X1195+Z1195</f>
        <v>0</v>
      </c>
      <c r="J1195" s="253"/>
      <c r="K1195" s="251" t="s">
        <v>2475</v>
      </c>
      <c r="L1195" s="663">
        <v>6.87</v>
      </c>
      <c r="M1195" s="289">
        <v>0</v>
      </c>
      <c r="N1195" s="245">
        <f>INT($L1195*M1195*100+0.5)/100</f>
        <v>0</v>
      </c>
      <c r="O1195" s="258">
        <v>0</v>
      </c>
      <c r="P1195" s="257">
        <f>INT($L1195*O1195*100+0.5)/100</f>
        <v>0</v>
      </c>
      <c r="Q1195" s="258">
        <v>0</v>
      </c>
      <c r="R1195" s="257">
        <f>INT($L1195*Q1195*100+0.5)/100</f>
        <v>0</v>
      </c>
      <c r="S1195" s="258">
        <v>0</v>
      </c>
      <c r="T1195" s="257">
        <f>INT($L1195*S1195*100+0.5)/100</f>
        <v>0</v>
      </c>
      <c r="U1195" s="258">
        <v>0</v>
      </c>
      <c r="V1195" s="257">
        <f>INT($L1195*U1195*100+0.5)/100</f>
        <v>0</v>
      </c>
      <c r="W1195" s="258">
        <v>0</v>
      </c>
      <c r="X1195" s="257">
        <f>INT($L1195*W1195*100+0.5)/100</f>
        <v>0</v>
      </c>
      <c r="Y1195" s="258">
        <v>0</v>
      </c>
      <c r="Z1195" s="257">
        <f>INT($L1195*Y1195*100+0.5)/100</f>
        <v>0</v>
      </c>
    </row>
    <row r="1196" spans="1:26" ht="15" customHeight="1">
      <c r="A1196" s="250" t="s">
        <v>727</v>
      </c>
      <c r="B1196" s="251"/>
      <c r="C1196" s="526" t="s">
        <v>817</v>
      </c>
      <c r="D1196" s="292" t="s">
        <v>2177</v>
      </c>
      <c r="E1196" s="251" t="s">
        <v>2475</v>
      </c>
      <c r="F1196" s="304">
        <f>M1196+O1196+Q1196+S1196+U1196+W1196+Y1196</f>
        <v>0</v>
      </c>
      <c r="G1196" s="253">
        <f t="shared" si="162"/>
        <v>7.76</v>
      </c>
      <c r="H1196" s="254">
        <f>INT(F1196*G1196*100+0.5)/100</f>
        <v>0</v>
      </c>
      <c r="I1196" s="253">
        <f>N1196+P1196+R1196+T1196+V1196+X1196+Z1196</f>
        <v>0</v>
      </c>
      <c r="J1196" s="253"/>
      <c r="K1196" s="251" t="s">
        <v>2475</v>
      </c>
      <c r="L1196" s="663">
        <v>7.76</v>
      </c>
      <c r="M1196" s="289">
        <v>0</v>
      </c>
      <c r="N1196" s="245">
        <f>INT($L1196*M1196*100+0.5)/100</f>
        <v>0</v>
      </c>
      <c r="O1196" s="258">
        <v>0</v>
      </c>
      <c r="P1196" s="257">
        <f>INT($L1196*O1196*100+0.5)/100</f>
        <v>0</v>
      </c>
      <c r="Q1196" s="258">
        <v>0</v>
      </c>
      <c r="R1196" s="257">
        <f>INT($L1196*Q1196*100+0.5)/100</f>
        <v>0</v>
      </c>
      <c r="S1196" s="258">
        <v>0</v>
      </c>
      <c r="T1196" s="257">
        <f>INT($L1196*S1196*100+0.5)/100</f>
        <v>0</v>
      </c>
      <c r="U1196" s="258">
        <v>0</v>
      </c>
      <c r="V1196" s="257">
        <f>INT($L1196*U1196*100+0.5)/100</f>
        <v>0</v>
      </c>
      <c r="W1196" s="258">
        <v>0</v>
      </c>
      <c r="X1196" s="257">
        <f>INT($L1196*W1196*100+0.5)/100</f>
        <v>0</v>
      </c>
      <c r="Y1196" s="258">
        <v>0</v>
      </c>
      <c r="Z1196" s="257">
        <f>INT($L1196*Y1196*100+0.5)/100</f>
        <v>0</v>
      </c>
    </row>
    <row r="1197" spans="1:26" ht="15" customHeight="1">
      <c r="A1197" s="250" t="s">
        <v>728</v>
      </c>
      <c r="B1197" s="251"/>
      <c r="C1197" s="526" t="s">
        <v>818</v>
      </c>
      <c r="D1197" s="292" t="s">
        <v>1774</v>
      </c>
      <c r="E1197" s="251" t="s">
        <v>2475</v>
      </c>
      <c r="F1197" s="304">
        <f>M1197+O1197+Q1197+S1197+U1197+W1197+Y1197</f>
        <v>0</v>
      </c>
      <c r="G1197" s="253">
        <f t="shared" si="162"/>
        <v>10.64</v>
      </c>
      <c r="H1197" s="254">
        <f>INT(F1197*G1197*100+0.5)/100</f>
        <v>0</v>
      </c>
      <c r="I1197" s="253">
        <f>N1197+P1197+R1197+T1197+V1197+X1197+Z1197</f>
        <v>0</v>
      </c>
      <c r="J1197" s="253"/>
      <c r="K1197" s="251" t="s">
        <v>2475</v>
      </c>
      <c r="L1197" s="663">
        <v>10.64</v>
      </c>
      <c r="M1197" s="289">
        <v>0</v>
      </c>
      <c r="N1197" s="245">
        <f>INT($L1197*M1197*100+0.5)/100</f>
        <v>0</v>
      </c>
      <c r="O1197" s="258">
        <v>0</v>
      </c>
      <c r="P1197" s="257">
        <f>INT($L1197*O1197*100+0.5)/100</f>
        <v>0</v>
      </c>
      <c r="Q1197" s="258">
        <v>0</v>
      </c>
      <c r="R1197" s="257">
        <f>INT($L1197*Q1197*100+0.5)/100</f>
        <v>0</v>
      </c>
      <c r="S1197" s="258">
        <v>0</v>
      </c>
      <c r="T1197" s="257">
        <f>INT($L1197*S1197*100+0.5)/100</f>
        <v>0</v>
      </c>
      <c r="U1197" s="258">
        <v>0</v>
      </c>
      <c r="V1197" s="257">
        <f>INT($L1197*U1197*100+0.5)/100</f>
        <v>0</v>
      </c>
      <c r="W1197" s="258">
        <v>0</v>
      </c>
      <c r="X1197" s="257">
        <f>INT($L1197*W1197*100+0.5)/100</f>
        <v>0</v>
      </c>
      <c r="Y1197" s="258">
        <v>0</v>
      </c>
      <c r="Z1197" s="257">
        <f>INT($L1197*Y1197*100+0.5)/100</f>
        <v>0</v>
      </c>
    </row>
    <row r="1198" spans="1:26" s="247" customFormat="1" ht="15" customHeight="1">
      <c r="A1198" s="250"/>
      <c r="B1198" s="237"/>
      <c r="C1198" s="532"/>
      <c r="D1198" s="238"/>
      <c r="E1198" s="237"/>
      <c r="F1198" s="304"/>
      <c r="G1198" s="253"/>
      <c r="H1198" s="244"/>
      <c r="I1198" s="240"/>
      <c r="J1198" s="240"/>
      <c r="K1198" s="237"/>
      <c r="L1198" s="306"/>
      <c r="M1198" s="289"/>
      <c r="N1198" s="245"/>
      <c r="O1198" s="289"/>
      <c r="P1198" s="245"/>
      <c r="Q1198" s="289"/>
      <c r="R1198" s="245"/>
      <c r="S1198" s="289"/>
      <c r="T1198" s="245"/>
      <c r="U1198" s="289"/>
      <c r="V1198" s="245"/>
      <c r="W1198" s="289"/>
      <c r="X1198" s="245"/>
      <c r="Y1198" s="289"/>
      <c r="Z1198" s="245"/>
    </row>
    <row r="1199" spans="1:26" ht="15" customHeight="1">
      <c r="A1199" s="250">
        <f>A1193+1</f>
        <v>208</v>
      </c>
      <c r="B1199" s="251"/>
      <c r="C1199" s="526" t="s">
        <v>1975</v>
      </c>
      <c r="D1199" s="526" t="s">
        <v>1976</v>
      </c>
      <c r="E1199" s="251"/>
      <c r="F1199" s="252"/>
      <c r="G1199" s="253"/>
      <c r="H1199" s="254"/>
      <c r="I1199" s="253"/>
      <c r="J1199" s="253"/>
      <c r="K1199" s="251"/>
      <c r="L1199" s="261"/>
      <c r="M1199" s="289"/>
      <c r="N1199" s="245"/>
      <c r="O1199" s="258"/>
      <c r="P1199" s="257"/>
      <c r="Q1199" s="258"/>
      <c r="R1199" s="257"/>
      <c r="S1199" s="258"/>
      <c r="T1199" s="257"/>
      <c r="U1199" s="258"/>
      <c r="V1199" s="257"/>
      <c r="W1199" s="258"/>
      <c r="X1199" s="257"/>
      <c r="Y1199" s="258"/>
      <c r="Z1199" s="257"/>
    </row>
    <row r="1200" spans="1:26" ht="15" customHeight="1">
      <c r="A1200" s="250"/>
      <c r="B1200" s="251"/>
      <c r="C1200" s="526"/>
      <c r="D1200" s="526" t="s">
        <v>1977</v>
      </c>
      <c r="E1200" s="251"/>
      <c r="F1200" s="252"/>
      <c r="G1200" s="253"/>
      <c r="H1200" s="254"/>
      <c r="I1200" s="253"/>
      <c r="J1200" s="253"/>
      <c r="K1200" s="251"/>
      <c r="L1200" s="261"/>
      <c r="M1200" s="289"/>
      <c r="N1200" s="245"/>
      <c r="O1200" s="258"/>
      <c r="P1200" s="257"/>
      <c r="Q1200" s="258"/>
      <c r="R1200" s="257"/>
      <c r="S1200" s="258"/>
      <c r="T1200" s="257"/>
      <c r="U1200" s="258"/>
      <c r="V1200" s="257"/>
      <c r="W1200" s="258"/>
      <c r="X1200" s="257"/>
      <c r="Y1200" s="258"/>
      <c r="Z1200" s="257"/>
    </row>
    <row r="1201" spans="1:26" ht="15" customHeight="1">
      <c r="A1201" s="250" t="s">
        <v>726</v>
      </c>
      <c r="B1201" s="251"/>
      <c r="C1201" s="647" t="s">
        <v>819</v>
      </c>
      <c r="D1201" s="292" t="s">
        <v>540</v>
      </c>
      <c r="E1201" s="251" t="s">
        <v>2475</v>
      </c>
      <c r="F1201" s="304">
        <f t="shared" ref="F1201:F1208" si="192">M1201+O1201+Q1201+S1201+U1201+W1201+Y1201</f>
        <v>0</v>
      </c>
      <c r="G1201" s="253">
        <f t="shared" si="162"/>
        <v>25.55</v>
      </c>
      <c r="H1201" s="254"/>
      <c r="I1201" s="253">
        <f t="shared" ref="I1201:I1208" si="193">N1201+P1201+R1201+T1201+V1201+X1201+Z1201</f>
        <v>0</v>
      </c>
      <c r="J1201" s="253"/>
      <c r="K1201" s="251" t="s">
        <v>2475</v>
      </c>
      <c r="L1201" s="255">
        <v>25.55</v>
      </c>
      <c r="M1201" s="289">
        <v>0</v>
      </c>
      <c r="N1201" s="245">
        <f t="shared" ref="N1201:N1208" si="194">INT($L1201*M1201*100+0.5)/100</f>
        <v>0</v>
      </c>
      <c r="O1201" s="258">
        <v>0</v>
      </c>
      <c r="P1201" s="257">
        <f t="shared" ref="P1201:P1208" si="195">INT($L1201*O1201*100+0.5)/100</f>
        <v>0</v>
      </c>
      <c r="Q1201" s="258">
        <v>0</v>
      </c>
      <c r="R1201" s="257">
        <f t="shared" ref="R1201:R1208" si="196">INT($L1201*Q1201*100+0.5)/100</f>
        <v>0</v>
      </c>
      <c r="S1201" s="258">
        <v>0</v>
      </c>
      <c r="T1201" s="257">
        <f t="shared" ref="T1201:T1208" si="197">INT($L1201*S1201*100+0.5)/100</f>
        <v>0</v>
      </c>
      <c r="U1201" s="258">
        <v>0</v>
      </c>
      <c r="V1201" s="257">
        <f t="shared" ref="V1201:V1208" si="198">INT($L1201*U1201*100+0.5)/100</f>
        <v>0</v>
      </c>
      <c r="W1201" s="258">
        <v>0</v>
      </c>
      <c r="X1201" s="257">
        <f t="shared" ref="X1201:X1208" si="199">INT($L1201*W1201*100+0.5)/100</f>
        <v>0</v>
      </c>
      <c r="Y1201" s="258">
        <v>0</v>
      </c>
      <c r="Z1201" s="257">
        <f t="shared" ref="Z1201:Z1208" si="200">INT($L1201*Y1201*100+0.5)/100</f>
        <v>0</v>
      </c>
    </row>
    <row r="1202" spans="1:26" ht="15" customHeight="1">
      <c r="A1202" s="250" t="s">
        <v>727</v>
      </c>
      <c r="B1202" s="251"/>
      <c r="C1202" s="647" t="s">
        <v>400</v>
      </c>
      <c r="D1202" s="292" t="s">
        <v>2174</v>
      </c>
      <c r="E1202" s="251" t="s">
        <v>2475</v>
      </c>
      <c r="F1202" s="304">
        <f t="shared" si="192"/>
        <v>0</v>
      </c>
      <c r="G1202" s="253">
        <f t="shared" si="162"/>
        <v>27.94</v>
      </c>
      <c r="H1202" s="254"/>
      <c r="I1202" s="253">
        <f t="shared" si="193"/>
        <v>0</v>
      </c>
      <c r="J1202" s="253"/>
      <c r="K1202" s="251" t="s">
        <v>2475</v>
      </c>
      <c r="L1202" s="255">
        <v>27.94</v>
      </c>
      <c r="M1202" s="289">
        <v>0</v>
      </c>
      <c r="N1202" s="245">
        <f t="shared" si="194"/>
        <v>0</v>
      </c>
      <c r="O1202" s="258">
        <v>0</v>
      </c>
      <c r="P1202" s="257">
        <f t="shared" si="195"/>
        <v>0</v>
      </c>
      <c r="Q1202" s="258">
        <v>0</v>
      </c>
      <c r="R1202" s="257">
        <f t="shared" si="196"/>
        <v>0</v>
      </c>
      <c r="S1202" s="258">
        <v>0</v>
      </c>
      <c r="T1202" s="257">
        <f t="shared" si="197"/>
        <v>0</v>
      </c>
      <c r="U1202" s="258">
        <v>0</v>
      </c>
      <c r="V1202" s="257">
        <f t="shared" si="198"/>
        <v>0</v>
      </c>
      <c r="W1202" s="258">
        <v>0</v>
      </c>
      <c r="X1202" s="257">
        <f t="shared" si="199"/>
        <v>0</v>
      </c>
      <c r="Y1202" s="258">
        <v>0</v>
      </c>
      <c r="Z1202" s="257">
        <f t="shared" si="200"/>
        <v>0</v>
      </c>
    </row>
    <row r="1203" spans="1:26" ht="15" customHeight="1">
      <c r="A1203" s="250" t="s">
        <v>728</v>
      </c>
      <c r="B1203" s="251"/>
      <c r="C1203" s="647" t="s">
        <v>820</v>
      </c>
      <c r="D1203" s="292" t="s">
        <v>2175</v>
      </c>
      <c r="E1203" s="251" t="s">
        <v>2475</v>
      </c>
      <c r="F1203" s="304">
        <f t="shared" si="192"/>
        <v>925</v>
      </c>
      <c r="G1203" s="253">
        <f>L1203</f>
        <v>34.08</v>
      </c>
      <c r="H1203" s="254">
        <f>INT(F1203*G1203*100+0.5)/100</f>
        <v>31524</v>
      </c>
      <c r="I1203" s="253">
        <f t="shared" si="193"/>
        <v>31524</v>
      </c>
      <c r="J1203" s="253"/>
      <c r="K1203" s="251" t="s">
        <v>2475</v>
      </c>
      <c r="L1203" s="255">
        <v>34.08</v>
      </c>
      <c r="M1203" s="289">
        <v>0</v>
      </c>
      <c r="N1203" s="245">
        <f t="shared" si="194"/>
        <v>0</v>
      </c>
      <c r="O1203" s="258">
        <v>0</v>
      </c>
      <c r="P1203" s="257">
        <f t="shared" si="195"/>
        <v>0</v>
      </c>
      <c r="Q1203" s="258">
        <f>INT((711/20+1))*((4.5+1.5+1.5+3)+(1+1.5+1.5+3))*1.4+43</f>
        <v>925</v>
      </c>
      <c r="R1203" s="257">
        <f t="shared" si="196"/>
        <v>31524</v>
      </c>
      <c r="S1203" s="258">
        <v>0</v>
      </c>
      <c r="T1203" s="257">
        <f t="shared" si="197"/>
        <v>0</v>
      </c>
      <c r="U1203" s="258">
        <v>0</v>
      </c>
      <c r="V1203" s="257">
        <f t="shared" si="198"/>
        <v>0</v>
      </c>
      <c r="W1203" s="258">
        <v>0</v>
      </c>
      <c r="X1203" s="257">
        <f t="shared" si="199"/>
        <v>0</v>
      </c>
      <c r="Y1203" s="258">
        <v>0</v>
      </c>
      <c r="Z1203" s="257">
        <f t="shared" si="200"/>
        <v>0</v>
      </c>
    </row>
    <row r="1204" spans="1:26" ht="15" customHeight="1">
      <c r="A1204" s="250" t="s">
        <v>733</v>
      </c>
      <c r="B1204" s="251"/>
      <c r="C1204" s="647" t="s">
        <v>844</v>
      </c>
      <c r="D1204" s="292" t="s">
        <v>2145</v>
      </c>
      <c r="E1204" s="251" t="s">
        <v>2475</v>
      </c>
      <c r="F1204" s="304">
        <f t="shared" si="192"/>
        <v>0</v>
      </c>
      <c r="G1204" s="253">
        <f t="shared" si="162"/>
        <v>44.34</v>
      </c>
      <c r="H1204" s="254"/>
      <c r="I1204" s="253">
        <f t="shared" si="193"/>
        <v>0</v>
      </c>
      <c r="J1204" s="253"/>
      <c r="K1204" s="251" t="s">
        <v>2475</v>
      </c>
      <c r="L1204" s="255">
        <v>44.34</v>
      </c>
      <c r="M1204" s="289">
        <v>0</v>
      </c>
      <c r="N1204" s="245">
        <f t="shared" si="194"/>
        <v>0</v>
      </c>
      <c r="O1204" s="258">
        <v>0</v>
      </c>
      <c r="P1204" s="257">
        <f t="shared" si="195"/>
        <v>0</v>
      </c>
      <c r="Q1204" s="258">
        <v>0</v>
      </c>
      <c r="R1204" s="257">
        <f t="shared" si="196"/>
        <v>0</v>
      </c>
      <c r="S1204" s="258">
        <v>0</v>
      </c>
      <c r="T1204" s="257">
        <f t="shared" si="197"/>
        <v>0</v>
      </c>
      <c r="U1204" s="258">
        <v>0</v>
      </c>
      <c r="V1204" s="257">
        <f t="shared" si="198"/>
        <v>0</v>
      </c>
      <c r="W1204" s="258">
        <v>0</v>
      </c>
      <c r="X1204" s="257">
        <f t="shared" si="199"/>
        <v>0</v>
      </c>
      <c r="Y1204" s="258">
        <v>0</v>
      </c>
      <c r="Z1204" s="257">
        <f t="shared" si="200"/>
        <v>0</v>
      </c>
    </row>
    <row r="1205" spans="1:26" ht="15" customHeight="1">
      <c r="A1205" s="250" t="s">
        <v>734</v>
      </c>
      <c r="B1205" s="251"/>
      <c r="C1205" s="647" t="s">
        <v>845</v>
      </c>
      <c r="D1205" s="292" t="s">
        <v>2146</v>
      </c>
      <c r="E1205" s="251" t="s">
        <v>2475</v>
      </c>
      <c r="F1205" s="304">
        <f t="shared" si="192"/>
        <v>0</v>
      </c>
      <c r="G1205" s="253">
        <f t="shared" si="162"/>
        <v>62.2</v>
      </c>
      <c r="H1205" s="254"/>
      <c r="I1205" s="253">
        <f t="shared" si="193"/>
        <v>0</v>
      </c>
      <c r="J1205" s="253"/>
      <c r="K1205" s="251" t="s">
        <v>2475</v>
      </c>
      <c r="L1205" s="255">
        <v>62.2</v>
      </c>
      <c r="M1205" s="289">
        <v>0</v>
      </c>
      <c r="N1205" s="245">
        <f t="shared" si="194"/>
        <v>0</v>
      </c>
      <c r="O1205" s="258">
        <v>0</v>
      </c>
      <c r="P1205" s="257">
        <f t="shared" si="195"/>
        <v>0</v>
      </c>
      <c r="Q1205" s="258">
        <v>0</v>
      </c>
      <c r="R1205" s="257">
        <f t="shared" si="196"/>
        <v>0</v>
      </c>
      <c r="S1205" s="258">
        <v>0</v>
      </c>
      <c r="T1205" s="257">
        <f t="shared" si="197"/>
        <v>0</v>
      </c>
      <c r="U1205" s="258">
        <v>0</v>
      </c>
      <c r="V1205" s="257">
        <f t="shared" si="198"/>
        <v>0</v>
      </c>
      <c r="W1205" s="258">
        <v>0</v>
      </c>
      <c r="X1205" s="257">
        <f t="shared" si="199"/>
        <v>0</v>
      </c>
      <c r="Y1205" s="258">
        <v>0</v>
      </c>
      <c r="Z1205" s="257">
        <f t="shared" si="200"/>
        <v>0</v>
      </c>
    </row>
    <row r="1206" spans="1:26" ht="15" customHeight="1">
      <c r="A1206" s="250" t="s">
        <v>735</v>
      </c>
      <c r="B1206" s="251"/>
      <c r="C1206" s="647" t="s">
        <v>821</v>
      </c>
      <c r="D1206" s="292" t="s">
        <v>2147</v>
      </c>
      <c r="E1206" s="251" t="s">
        <v>2475</v>
      </c>
      <c r="F1206" s="304">
        <f t="shared" si="192"/>
        <v>90</v>
      </c>
      <c r="G1206" s="253">
        <f t="shared" si="162"/>
        <v>83.75</v>
      </c>
      <c r="H1206" s="254">
        <f>INT(F1206*G1206*100+0.5)/100</f>
        <v>7537.5</v>
      </c>
      <c r="I1206" s="253">
        <f t="shared" si="193"/>
        <v>7537.5</v>
      </c>
      <c r="J1206" s="253"/>
      <c r="K1206" s="251" t="s">
        <v>2475</v>
      </c>
      <c r="L1206" s="255">
        <v>83.75</v>
      </c>
      <c r="M1206" s="289">
        <v>0</v>
      </c>
      <c r="N1206" s="245">
        <f t="shared" si="194"/>
        <v>0</v>
      </c>
      <c r="O1206" s="258">
        <v>0</v>
      </c>
      <c r="P1206" s="257">
        <f t="shared" si="195"/>
        <v>0</v>
      </c>
      <c r="Q1206" s="258">
        <f>90</f>
        <v>90</v>
      </c>
      <c r="R1206" s="257">
        <f t="shared" si="196"/>
        <v>7537.5</v>
      </c>
      <c r="S1206" s="258">
        <v>0</v>
      </c>
      <c r="T1206" s="257">
        <f t="shared" si="197"/>
        <v>0</v>
      </c>
      <c r="U1206" s="258">
        <v>0</v>
      </c>
      <c r="V1206" s="257">
        <f t="shared" si="198"/>
        <v>0</v>
      </c>
      <c r="W1206" s="258">
        <v>0</v>
      </c>
      <c r="X1206" s="257">
        <f t="shared" si="199"/>
        <v>0</v>
      </c>
      <c r="Y1206" s="258">
        <v>0</v>
      </c>
      <c r="Z1206" s="257">
        <f t="shared" si="200"/>
        <v>0</v>
      </c>
    </row>
    <row r="1207" spans="1:26" ht="15" customHeight="1">
      <c r="A1207" s="250" t="s">
        <v>736</v>
      </c>
      <c r="B1207" s="251"/>
      <c r="C1207" s="647" t="s">
        <v>822</v>
      </c>
      <c r="D1207" s="292" t="s">
        <v>937</v>
      </c>
      <c r="E1207" s="251" t="s">
        <v>2475</v>
      </c>
      <c r="F1207" s="304">
        <f t="shared" si="192"/>
        <v>200</v>
      </c>
      <c r="G1207" s="253">
        <f>L1207</f>
        <v>131.97999999999999</v>
      </c>
      <c r="H1207" s="254">
        <f>INT(F1207*G1207*100+0.5)/100</f>
        <v>26396</v>
      </c>
      <c r="I1207" s="253">
        <f t="shared" si="193"/>
        <v>26396</v>
      </c>
      <c r="J1207" s="253"/>
      <c r="K1207" s="251" t="s">
        <v>2475</v>
      </c>
      <c r="L1207" s="255">
        <v>131.97999999999999</v>
      </c>
      <c r="M1207" s="289">
        <v>0</v>
      </c>
      <c r="N1207" s="245">
        <f t="shared" si="194"/>
        <v>0</v>
      </c>
      <c r="O1207" s="258">
        <v>0</v>
      </c>
      <c r="P1207" s="257">
        <f t="shared" si="195"/>
        <v>0</v>
      </c>
      <c r="Q1207" s="258">
        <f>190+10</f>
        <v>200</v>
      </c>
      <c r="R1207" s="257">
        <f t="shared" si="196"/>
        <v>26396</v>
      </c>
      <c r="S1207" s="258">
        <v>0</v>
      </c>
      <c r="T1207" s="257">
        <f t="shared" si="197"/>
        <v>0</v>
      </c>
      <c r="U1207" s="258">
        <v>0</v>
      </c>
      <c r="V1207" s="257">
        <f t="shared" si="198"/>
        <v>0</v>
      </c>
      <c r="W1207" s="258">
        <v>0</v>
      </c>
      <c r="X1207" s="257">
        <f t="shared" si="199"/>
        <v>0</v>
      </c>
      <c r="Y1207" s="258">
        <v>0</v>
      </c>
      <c r="Z1207" s="257">
        <f t="shared" si="200"/>
        <v>0</v>
      </c>
    </row>
    <row r="1208" spans="1:26" ht="15" customHeight="1">
      <c r="A1208" s="250" t="s">
        <v>654</v>
      </c>
      <c r="B1208" s="251"/>
      <c r="C1208" s="647" t="s">
        <v>823</v>
      </c>
      <c r="D1208" s="292" t="s">
        <v>938</v>
      </c>
      <c r="E1208" s="251" t="s">
        <v>2475</v>
      </c>
      <c r="F1208" s="304">
        <f t="shared" si="192"/>
        <v>510</v>
      </c>
      <c r="G1208" s="253">
        <f>L1208</f>
        <v>193.02</v>
      </c>
      <c r="H1208" s="254">
        <f>INT(F1208*G1208*100+0.5)/100</f>
        <v>98440.2</v>
      </c>
      <c r="I1208" s="253">
        <f t="shared" si="193"/>
        <v>98440.2</v>
      </c>
      <c r="J1208" s="253"/>
      <c r="K1208" s="251" t="s">
        <v>2475</v>
      </c>
      <c r="L1208" s="255">
        <v>193.02</v>
      </c>
      <c r="M1208" s="289">
        <v>0</v>
      </c>
      <c r="N1208" s="245">
        <f t="shared" si="194"/>
        <v>0</v>
      </c>
      <c r="O1208" s="258">
        <v>0</v>
      </c>
      <c r="P1208" s="257">
        <f t="shared" si="195"/>
        <v>0</v>
      </c>
      <c r="Q1208" s="258">
        <f>250+250+10</f>
        <v>510</v>
      </c>
      <c r="R1208" s="257">
        <f t="shared" si="196"/>
        <v>98440.2</v>
      </c>
      <c r="S1208" s="258">
        <v>0</v>
      </c>
      <c r="T1208" s="257">
        <f t="shared" si="197"/>
        <v>0</v>
      </c>
      <c r="U1208" s="258">
        <v>0</v>
      </c>
      <c r="V1208" s="257">
        <f t="shared" si="198"/>
        <v>0</v>
      </c>
      <c r="W1208" s="258">
        <v>0</v>
      </c>
      <c r="X1208" s="257">
        <f t="shared" si="199"/>
        <v>0</v>
      </c>
      <c r="Y1208" s="258">
        <v>0</v>
      </c>
      <c r="Z1208" s="257">
        <f t="shared" si="200"/>
        <v>0</v>
      </c>
    </row>
    <row r="1209" spans="1:26" ht="15" customHeight="1">
      <c r="A1209" s="250"/>
      <c r="B1209" s="251"/>
      <c r="C1209" s="526"/>
      <c r="D1209" s="292"/>
      <c r="E1209" s="251"/>
      <c r="F1209" s="252"/>
      <c r="G1209" s="253"/>
      <c r="H1209" s="254"/>
      <c r="I1209" s="253"/>
      <c r="J1209" s="253"/>
      <c r="K1209" s="251"/>
      <c r="L1209" s="261"/>
      <c r="M1209" s="289"/>
      <c r="N1209" s="245"/>
      <c r="O1209" s="258"/>
      <c r="P1209" s="257"/>
      <c r="Q1209" s="258"/>
      <c r="R1209" s="257"/>
      <c r="S1209" s="258"/>
      <c r="T1209" s="257"/>
      <c r="U1209" s="258"/>
      <c r="V1209" s="257"/>
      <c r="W1209" s="258"/>
      <c r="X1209" s="257"/>
      <c r="Y1209" s="258"/>
      <c r="Z1209" s="257"/>
    </row>
    <row r="1210" spans="1:26" ht="15" customHeight="1">
      <c r="A1210" s="250">
        <f>A1199+1</f>
        <v>209</v>
      </c>
      <c r="B1210" s="251"/>
      <c r="C1210" s="526" t="s">
        <v>403</v>
      </c>
      <c r="D1210" s="526" t="s">
        <v>401</v>
      </c>
      <c r="E1210" s="251"/>
      <c r="F1210" s="252"/>
      <c r="G1210" s="253"/>
      <c r="H1210" s="254"/>
      <c r="I1210" s="253"/>
      <c r="J1210" s="253"/>
      <c r="K1210" s="251"/>
      <c r="L1210" s="261"/>
      <c r="M1210" s="289"/>
      <c r="N1210" s="245"/>
      <c r="O1210" s="258"/>
      <c r="P1210" s="257"/>
      <c r="Q1210" s="258"/>
      <c r="R1210" s="257"/>
      <c r="S1210" s="258"/>
      <c r="T1210" s="257"/>
      <c r="U1210" s="258"/>
      <c r="V1210" s="257"/>
      <c r="W1210" s="258"/>
      <c r="X1210" s="257"/>
      <c r="Y1210" s="258"/>
      <c r="Z1210" s="257"/>
    </row>
    <row r="1211" spans="1:26" ht="15" customHeight="1">
      <c r="A1211" s="250"/>
      <c r="B1211" s="251"/>
      <c r="C1211" s="526"/>
      <c r="D1211" s="526" t="s">
        <v>402</v>
      </c>
      <c r="E1211" s="251"/>
      <c r="F1211" s="252"/>
      <c r="G1211" s="253"/>
      <c r="H1211" s="254"/>
      <c r="I1211" s="253"/>
      <c r="J1211" s="253"/>
      <c r="K1211" s="251"/>
      <c r="L1211" s="261"/>
      <c r="M1211" s="289"/>
      <c r="N1211" s="245"/>
      <c r="O1211" s="258"/>
      <c r="P1211" s="257"/>
      <c r="Q1211" s="258"/>
      <c r="R1211" s="257"/>
      <c r="S1211" s="258"/>
      <c r="T1211" s="257"/>
      <c r="U1211" s="258"/>
      <c r="V1211" s="257"/>
      <c r="W1211" s="258"/>
      <c r="X1211" s="257"/>
      <c r="Y1211" s="258"/>
      <c r="Z1211" s="257"/>
    </row>
    <row r="1212" spans="1:26" ht="15" customHeight="1">
      <c r="A1212" s="250" t="s">
        <v>726</v>
      </c>
      <c r="B1212" s="251"/>
      <c r="C1212" s="526" t="s">
        <v>404</v>
      </c>
      <c r="D1212" s="292" t="s">
        <v>2175</v>
      </c>
      <c r="E1212" s="251" t="s">
        <v>2475</v>
      </c>
      <c r="F1212" s="304">
        <f>M1212+O1212+Q1212+S1212+U1212+W1212+Y1212</f>
        <v>0</v>
      </c>
      <c r="G1212" s="253">
        <f t="shared" si="162"/>
        <v>33.78</v>
      </c>
      <c r="H1212" s="254">
        <f>INT(F1212*G1212*100+0.5)/100</f>
        <v>0</v>
      </c>
      <c r="I1212" s="253">
        <f>N1212+P1212+R1212+T1212+V1212+X1212+Z1212</f>
        <v>0</v>
      </c>
      <c r="J1212" s="253"/>
      <c r="K1212" s="251" t="s">
        <v>2475</v>
      </c>
      <c r="L1212" s="663">
        <v>33.78</v>
      </c>
      <c r="M1212" s="289">
        <v>0</v>
      </c>
      <c r="N1212" s="245">
        <f>INT($L1212*M1212*100+0.5)/100</f>
        <v>0</v>
      </c>
      <c r="O1212" s="258">
        <v>0</v>
      </c>
      <c r="P1212" s="257">
        <f>INT($L1212*O1212*100+0.5)/100</f>
        <v>0</v>
      </c>
      <c r="Q1212" s="258">
        <v>0</v>
      </c>
      <c r="R1212" s="257">
        <f>INT($L1212*Q1212*100+0.5)/100</f>
        <v>0</v>
      </c>
      <c r="S1212" s="258">
        <v>0</v>
      </c>
      <c r="T1212" s="257">
        <f>INT($L1212*S1212*100+0.5)/100</f>
        <v>0</v>
      </c>
      <c r="U1212" s="258">
        <v>0</v>
      </c>
      <c r="V1212" s="257">
        <f>INT($L1212*U1212*100+0.5)/100</f>
        <v>0</v>
      </c>
      <c r="W1212" s="258">
        <v>0</v>
      </c>
      <c r="X1212" s="257">
        <f>INT($L1212*W1212*100+0.5)/100</f>
        <v>0</v>
      </c>
      <c r="Y1212" s="258">
        <v>0</v>
      </c>
      <c r="Z1212" s="257">
        <f>INT($L1212*Y1212*100+0.5)/100</f>
        <v>0</v>
      </c>
    </row>
    <row r="1213" spans="1:26" ht="15" customHeight="1">
      <c r="A1213" s="250" t="s">
        <v>727</v>
      </c>
      <c r="B1213" s="251"/>
      <c r="C1213" s="526" t="s">
        <v>405</v>
      </c>
      <c r="D1213" s="292" t="s">
        <v>2145</v>
      </c>
      <c r="E1213" s="251" t="s">
        <v>2475</v>
      </c>
      <c r="F1213" s="304">
        <f>M1213+O1213+Q1213+S1213+U1213+W1213+Y1213</f>
        <v>0</v>
      </c>
      <c r="G1213" s="253">
        <f t="shared" si="162"/>
        <v>56.16</v>
      </c>
      <c r="H1213" s="254">
        <f>INT(F1213*G1213*100+0.5)/100</f>
        <v>0</v>
      </c>
      <c r="I1213" s="253">
        <f>N1213+P1213+R1213+T1213+V1213+X1213+Z1213</f>
        <v>0</v>
      </c>
      <c r="J1213" s="253"/>
      <c r="K1213" s="251" t="s">
        <v>2475</v>
      </c>
      <c r="L1213" s="663">
        <v>56.16</v>
      </c>
      <c r="M1213" s="289">
        <v>0</v>
      </c>
      <c r="N1213" s="245">
        <f>INT($L1213*M1213*100+0.5)/100</f>
        <v>0</v>
      </c>
      <c r="O1213" s="258">
        <v>0</v>
      </c>
      <c r="P1213" s="257">
        <f>INT($L1213*O1213*100+0.5)/100</f>
        <v>0</v>
      </c>
      <c r="Q1213" s="258">
        <v>0</v>
      </c>
      <c r="R1213" s="257">
        <f>INT($L1213*Q1213*100+0.5)/100</f>
        <v>0</v>
      </c>
      <c r="S1213" s="258">
        <v>0</v>
      </c>
      <c r="T1213" s="257">
        <f>INT($L1213*S1213*100+0.5)/100</f>
        <v>0</v>
      </c>
      <c r="U1213" s="258">
        <v>0</v>
      </c>
      <c r="V1213" s="257">
        <f>INT($L1213*U1213*100+0.5)/100</f>
        <v>0</v>
      </c>
      <c r="W1213" s="258">
        <v>0</v>
      </c>
      <c r="X1213" s="257">
        <f>INT($L1213*W1213*100+0.5)/100</f>
        <v>0</v>
      </c>
      <c r="Y1213" s="258">
        <v>0</v>
      </c>
      <c r="Z1213" s="257">
        <f>INT($L1213*Y1213*100+0.5)/100</f>
        <v>0</v>
      </c>
    </row>
    <row r="1214" spans="1:26" ht="15" customHeight="1">
      <c r="A1214" s="250" t="s">
        <v>728</v>
      </c>
      <c r="B1214" s="251"/>
      <c r="C1214" s="526" t="s">
        <v>406</v>
      </c>
      <c r="D1214" s="292" t="s">
        <v>2146</v>
      </c>
      <c r="E1214" s="251" t="s">
        <v>2475</v>
      </c>
      <c r="F1214" s="304">
        <f>M1214+O1214+Q1214+S1214+U1214+W1214+Y1214</f>
        <v>0</v>
      </c>
      <c r="G1214" s="253">
        <f t="shared" si="162"/>
        <v>70.48</v>
      </c>
      <c r="H1214" s="254">
        <f>INT(F1214*G1214*100+0.5)/100</f>
        <v>0</v>
      </c>
      <c r="I1214" s="253">
        <f>N1214+P1214+R1214+T1214+V1214+X1214+Z1214</f>
        <v>0</v>
      </c>
      <c r="J1214" s="253"/>
      <c r="K1214" s="251" t="s">
        <v>2475</v>
      </c>
      <c r="L1214" s="663">
        <v>70.48</v>
      </c>
      <c r="M1214" s="289">
        <v>0</v>
      </c>
      <c r="N1214" s="245">
        <f>INT($L1214*M1214*100+0.5)/100</f>
        <v>0</v>
      </c>
      <c r="O1214" s="258">
        <v>0</v>
      </c>
      <c r="P1214" s="257">
        <f>INT($L1214*O1214*100+0.5)/100</f>
        <v>0</v>
      </c>
      <c r="Q1214" s="258">
        <v>0</v>
      </c>
      <c r="R1214" s="257">
        <f>INT($L1214*Q1214*100+0.5)/100</f>
        <v>0</v>
      </c>
      <c r="S1214" s="258">
        <v>0</v>
      </c>
      <c r="T1214" s="257">
        <f>INT($L1214*S1214*100+0.5)/100</f>
        <v>0</v>
      </c>
      <c r="U1214" s="258">
        <v>0</v>
      </c>
      <c r="V1214" s="257">
        <f>INT($L1214*U1214*100+0.5)/100</f>
        <v>0</v>
      </c>
      <c r="W1214" s="258">
        <v>0</v>
      </c>
      <c r="X1214" s="257">
        <f>INT($L1214*W1214*100+0.5)/100</f>
        <v>0</v>
      </c>
      <c r="Y1214" s="258">
        <v>0</v>
      </c>
      <c r="Z1214" s="257">
        <f>INT($L1214*Y1214*100+0.5)/100</f>
        <v>0</v>
      </c>
    </row>
    <row r="1215" spans="1:26" ht="15" customHeight="1">
      <c r="A1215" s="250" t="s">
        <v>732</v>
      </c>
      <c r="B1215" s="251"/>
      <c r="C1215" s="526" t="s">
        <v>407</v>
      </c>
      <c r="D1215" s="292" t="s">
        <v>2147</v>
      </c>
      <c r="E1215" s="251" t="s">
        <v>2475</v>
      </c>
      <c r="F1215" s="304">
        <f>M1215+O1215+Q1215+S1215+U1215+W1215+Y1215</f>
        <v>0</v>
      </c>
      <c r="G1215" s="253">
        <f t="shared" si="162"/>
        <v>96.22</v>
      </c>
      <c r="H1215" s="254">
        <f>INT(F1215*G1215*100+0.5)/100</f>
        <v>0</v>
      </c>
      <c r="I1215" s="253">
        <f>N1215+P1215+R1215+T1215+V1215+X1215+Z1215</f>
        <v>0</v>
      </c>
      <c r="J1215" s="253"/>
      <c r="K1215" s="251" t="s">
        <v>2475</v>
      </c>
      <c r="L1215" s="663">
        <v>96.22</v>
      </c>
      <c r="M1215" s="289">
        <v>0</v>
      </c>
      <c r="N1215" s="245">
        <f>INT($L1215*M1215*100+0.5)/100</f>
        <v>0</v>
      </c>
      <c r="O1215" s="258">
        <v>0</v>
      </c>
      <c r="P1215" s="257">
        <f>INT($L1215*O1215*100+0.5)/100</f>
        <v>0</v>
      </c>
      <c r="Q1215" s="258">
        <v>0</v>
      </c>
      <c r="R1215" s="257">
        <f>INT($L1215*Q1215*100+0.5)/100</f>
        <v>0</v>
      </c>
      <c r="S1215" s="258">
        <v>0</v>
      </c>
      <c r="T1215" s="257">
        <f>INT($L1215*S1215*100+0.5)/100</f>
        <v>0</v>
      </c>
      <c r="U1215" s="258">
        <v>0</v>
      </c>
      <c r="V1215" s="257">
        <f>INT($L1215*U1215*100+0.5)/100</f>
        <v>0</v>
      </c>
      <c r="W1215" s="258">
        <v>0</v>
      </c>
      <c r="X1215" s="257">
        <f>INT($L1215*W1215*100+0.5)/100</f>
        <v>0</v>
      </c>
      <c r="Y1215" s="258">
        <v>0</v>
      </c>
      <c r="Z1215" s="257">
        <f>INT($L1215*Y1215*100+0.5)/100</f>
        <v>0</v>
      </c>
    </row>
    <row r="1216" spans="1:26" ht="15" customHeight="1">
      <c r="A1216" s="250"/>
      <c r="B1216" s="251"/>
      <c r="C1216" s="526"/>
      <c r="D1216" s="292"/>
      <c r="E1216" s="251"/>
      <c r="F1216" s="252"/>
      <c r="G1216" s="253"/>
      <c r="H1216" s="254"/>
      <c r="I1216" s="253"/>
      <c r="J1216" s="253"/>
      <c r="K1216" s="251"/>
      <c r="L1216" s="261"/>
      <c r="M1216" s="289"/>
      <c r="N1216" s="245"/>
      <c r="O1216" s="258"/>
      <c r="P1216" s="257"/>
      <c r="Q1216" s="258"/>
      <c r="R1216" s="257"/>
      <c r="S1216" s="258"/>
      <c r="T1216" s="257"/>
      <c r="U1216" s="258"/>
      <c r="V1216" s="257"/>
      <c r="W1216" s="258"/>
      <c r="X1216" s="257"/>
      <c r="Y1216" s="258"/>
      <c r="Z1216" s="257"/>
    </row>
    <row r="1217" spans="1:26" ht="15" customHeight="1">
      <c r="A1217" s="250">
        <f>A1210+1</f>
        <v>210</v>
      </c>
      <c r="B1217" s="251"/>
      <c r="C1217" s="526" t="s">
        <v>409</v>
      </c>
      <c r="D1217" s="526" t="s">
        <v>410</v>
      </c>
      <c r="E1217" s="251"/>
      <c r="F1217" s="252"/>
      <c r="G1217" s="253"/>
      <c r="H1217" s="254"/>
      <c r="I1217" s="253"/>
      <c r="J1217" s="253"/>
      <c r="K1217" s="251"/>
      <c r="L1217" s="261"/>
      <c r="M1217" s="289"/>
      <c r="N1217" s="245"/>
      <c r="O1217" s="258"/>
      <c r="P1217" s="257"/>
      <c r="Q1217" s="258"/>
      <c r="R1217" s="257"/>
      <c r="S1217" s="258"/>
      <c r="T1217" s="257"/>
      <c r="U1217" s="258"/>
      <c r="V1217" s="257"/>
      <c r="W1217" s="258"/>
      <c r="X1217" s="257"/>
      <c r="Y1217" s="258"/>
      <c r="Z1217" s="257"/>
    </row>
    <row r="1218" spans="1:26" ht="15" customHeight="1">
      <c r="A1218" s="250"/>
      <c r="B1218" s="251"/>
      <c r="C1218" s="526"/>
      <c r="D1218" s="526" t="s">
        <v>411</v>
      </c>
      <c r="E1218" s="251"/>
      <c r="F1218" s="252"/>
      <c r="G1218" s="253"/>
      <c r="H1218" s="254"/>
      <c r="I1218" s="253"/>
      <c r="J1218" s="253"/>
      <c r="K1218" s="251"/>
      <c r="L1218" s="261"/>
      <c r="M1218" s="289"/>
      <c r="N1218" s="245"/>
      <c r="O1218" s="258"/>
      <c r="P1218" s="257"/>
      <c r="Q1218" s="258"/>
      <c r="R1218" s="327"/>
      <c r="S1218" s="258"/>
      <c r="T1218" s="257"/>
      <c r="U1218" s="258"/>
      <c r="V1218" s="257"/>
      <c r="W1218" s="258"/>
      <c r="X1218" s="257"/>
      <c r="Y1218" s="258"/>
      <c r="Z1218" s="257"/>
    </row>
    <row r="1219" spans="1:26" ht="15" customHeight="1">
      <c r="A1219" s="250" t="s">
        <v>726</v>
      </c>
      <c r="B1219" s="251"/>
      <c r="C1219" s="526" t="s">
        <v>412</v>
      </c>
      <c r="D1219" s="292" t="s">
        <v>418</v>
      </c>
      <c r="E1219" s="251" t="s">
        <v>2475</v>
      </c>
      <c r="F1219" s="304">
        <f t="shared" ref="F1219:F1224" si="201">M1219+O1219+Q1219+S1219+U1219+W1219+Y1219</f>
        <v>0</v>
      </c>
      <c r="G1219" s="253">
        <f t="shared" si="162"/>
        <v>61.96</v>
      </c>
      <c r="H1219" s="254">
        <f t="shared" ref="H1219:H1224" si="202">INT(F1219*G1219*100+0.5)/100</f>
        <v>0</v>
      </c>
      <c r="I1219" s="253">
        <f t="shared" ref="I1219:I1224" si="203">N1219+P1219+R1219+T1219+V1219+X1219+Z1219</f>
        <v>0</v>
      </c>
      <c r="J1219" s="253"/>
      <c r="K1219" s="251" t="s">
        <v>2475</v>
      </c>
      <c r="L1219" s="663">
        <v>61.96</v>
      </c>
      <c r="M1219" s="289">
        <v>0</v>
      </c>
      <c r="N1219" s="245">
        <f t="shared" ref="N1219:N1224" si="204">INT($L1219*M1219*100+0.5)/100</f>
        <v>0</v>
      </c>
      <c r="O1219" s="258">
        <v>0</v>
      </c>
      <c r="P1219" s="257">
        <f t="shared" ref="P1219:P1224" si="205">INT($L1219*O1219*100+0.5)/100</f>
        <v>0</v>
      </c>
      <c r="Q1219" s="258">
        <v>0</v>
      </c>
      <c r="R1219" s="257">
        <f t="shared" ref="R1219:R1224" si="206">INT($L1219*Q1219*100+0.5)/100</f>
        <v>0</v>
      </c>
      <c r="S1219" s="258">
        <v>0</v>
      </c>
      <c r="T1219" s="257">
        <f t="shared" ref="T1219:T1224" si="207">INT($L1219*S1219*100+0.5)/100</f>
        <v>0</v>
      </c>
      <c r="U1219" s="258">
        <v>0</v>
      </c>
      <c r="V1219" s="257">
        <f t="shared" ref="V1219:V1224" si="208">INT($L1219*U1219*100+0.5)/100</f>
        <v>0</v>
      </c>
      <c r="W1219" s="258">
        <v>0</v>
      </c>
      <c r="X1219" s="257">
        <f t="shared" ref="X1219:X1224" si="209">INT($L1219*W1219*100+0.5)/100</f>
        <v>0</v>
      </c>
      <c r="Y1219" s="258">
        <v>0</v>
      </c>
      <c r="Z1219" s="257">
        <f t="shared" ref="Z1219:Z1224" si="210">INT($L1219*Y1219*100+0.5)/100</f>
        <v>0</v>
      </c>
    </row>
    <row r="1220" spans="1:26" ht="15" customHeight="1">
      <c r="A1220" s="250" t="s">
        <v>727</v>
      </c>
      <c r="B1220" s="251"/>
      <c r="C1220" s="526" t="s">
        <v>413</v>
      </c>
      <c r="D1220" s="292" t="s">
        <v>419</v>
      </c>
      <c r="E1220" s="251" t="s">
        <v>2475</v>
      </c>
      <c r="F1220" s="304">
        <f t="shared" si="201"/>
        <v>0</v>
      </c>
      <c r="G1220" s="253">
        <f t="shared" si="162"/>
        <v>76.39</v>
      </c>
      <c r="H1220" s="254">
        <f t="shared" si="202"/>
        <v>0</v>
      </c>
      <c r="I1220" s="253">
        <f t="shared" si="203"/>
        <v>0</v>
      </c>
      <c r="J1220" s="253"/>
      <c r="K1220" s="251" t="s">
        <v>2475</v>
      </c>
      <c r="L1220" s="663">
        <v>76.39</v>
      </c>
      <c r="M1220" s="289">
        <v>0</v>
      </c>
      <c r="N1220" s="245">
        <f t="shared" si="204"/>
        <v>0</v>
      </c>
      <c r="O1220" s="258">
        <v>0</v>
      </c>
      <c r="P1220" s="257">
        <f t="shared" si="205"/>
        <v>0</v>
      </c>
      <c r="Q1220" s="258">
        <v>0</v>
      </c>
      <c r="R1220" s="257">
        <f t="shared" si="206"/>
        <v>0</v>
      </c>
      <c r="S1220" s="258">
        <v>0</v>
      </c>
      <c r="T1220" s="257">
        <f t="shared" si="207"/>
        <v>0</v>
      </c>
      <c r="U1220" s="258">
        <v>0</v>
      </c>
      <c r="V1220" s="257">
        <f t="shared" si="208"/>
        <v>0</v>
      </c>
      <c r="W1220" s="258">
        <v>0</v>
      </c>
      <c r="X1220" s="257">
        <f t="shared" si="209"/>
        <v>0</v>
      </c>
      <c r="Y1220" s="258">
        <v>0</v>
      </c>
      <c r="Z1220" s="257">
        <f t="shared" si="210"/>
        <v>0</v>
      </c>
    </row>
    <row r="1221" spans="1:26" ht="15" customHeight="1">
      <c r="A1221" s="250" t="s">
        <v>728</v>
      </c>
      <c r="B1221" s="251"/>
      <c r="C1221" s="526" t="s">
        <v>414</v>
      </c>
      <c r="D1221" s="292" t="s">
        <v>420</v>
      </c>
      <c r="E1221" s="251" t="s">
        <v>2475</v>
      </c>
      <c r="F1221" s="304">
        <f t="shared" si="201"/>
        <v>0</v>
      </c>
      <c r="G1221" s="253">
        <f t="shared" si="162"/>
        <v>90.8</v>
      </c>
      <c r="H1221" s="254">
        <f t="shared" si="202"/>
        <v>0</v>
      </c>
      <c r="I1221" s="253">
        <f t="shared" si="203"/>
        <v>0</v>
      </c>
      <c r="J1221" s="253"/>
      <c r="K1221" s="251" t="s">
        <v>2475</v>
      </c>
      <c r="L1221" s="663">
        <v>90.8</v>
      </c>
      <c r="M1221" s="289">
        <v>0</v>
      </c>
      <c r="N1221" s="245">
        <f t="shared" si="204"/>
        <v>0</v>
      </c>
      <c r="O1221" s="258">
        <v>0</v>
      </c>
      <c r="P1221" s="257">
        <f t="shared" si="205"/>
        <v>0</v>
      </c>
      <c r="Q1221" s="258">
        <v>0</v>
      </c>
      <c r="R1221" s="257">
        <f t="shared" si="206"/>
        <v>0</v>
      </c>
      <c r="S1221" s="258">
        <v>0</v>
      </c>
      <c r="T1221" s="257">
        <f t="shared" si="207"/>
        <v>0</v>
      </c>
      <c r="U1221" s="258">
        <v>0</v>
      </c>
      <c r="V1221" s="257">
        <f t="shared" si="208"/>
        <v>0</v>
      </c>
      <c r="W1221" s="258">
        <v>0</v>
      </c>
      <c r="X1221" s="257">
        <f t="shared" si="209"/>
        <v>0</v>
      </c>
      <c r="Y1221" s="258">
        <v>0</v>
      </c>
      <c r="Z1221" s="257">
        <f t="shared" si="210"/>
        <v>0</v>
      </c>
    </row>
    <row r="1222" spans="1:26" ht="15" customHeight="1">
      <c r="A1222" s="250" t="s">
        <v>733</v>
      </c>
      <c r="B1222" s="251"/>
      <c r="C1222" s="526" t="s">
        <v>415</v>
      </c>
      <c r="D1222" s="292" t="s">
        <v>421</v>
      </c>
      <c r="E1222" s="251" t="s">
        <v>2475</v>
      </c>
      <c r="F1222" s="304">
        <f t="shared" si="201"/>
        <v>0</v>
      </c>
      <c r="G1222" s="253">
        <f>L1222</f>
        <v>120.34</v>
      </c>
      <c r="H1222" s="254">
        <f t="shared" si="202"/>
        <v>0</v>
      </c>
      <c r="I1222" s="253">
        <f t="shared" si="203"/>
        <v>0</v>
      </c>
      <c r="J1222" s="253"/>
      <c r="K1222" s="251" t="s">
        <v>2475</v>
      </c>
      <c r="L1222" s="663">
        <v>120.34</v>
      </c>
      <c r="M1222" s="289">
        <v>0</v>
      </c>
      <c r="N1222" s="245">
        <f t="shared" si="204"/>
        <v>0</v>
      </c>
      <c r="O1222" s="258">
        <v>0</v>
      </c>
      <c r="P1222" s="257">
        <f t="shared" si="205"/>
        <v>0</v>
      </c>
      <c r="Q1222" s="258">
        <v>0</v>
      </c>
      <c r="R1222" s="257">
        <f t="shared" si="206"/>
        <v>0</v>
      </c>
      <c r="S1222" s="258">
        <v>0</v>
      </c>
      <c r="T1222" s="257">
        <f t="shared" si="207"/>
        <v>0</v>
      </c>
      <c r="U1222" s="258">
        <v>0</v>
      </c>
      <c r="V1222" s="257">
        <f t="shared" si="208"/>
        <v>0</v>
      </c>
      <c r="W1222" s="258">
        <v>0</v>
      </c>
      <c r="X1222" s="257">
        <f t="shared" si="209"/>
        <v>0</v>
      </c>
      <c r="Y1222" s="258">
        <v>0</v>
      </c>
      <c r="Z1222" s="257">
        <f t="shared" si="210"/>
        <v>0</v>
      </c>
    </row>
    <row r="1223" spans="1:26" ht="15" customHeight="1">
      <c r="A1223" s="250" t="s">
        <v>734</v>
      </c>
      <c r="B1223" s="251"/>
      <c r="C1223" s="526" t="s">
        <v>416</v>
      </c>
      <c r="D1223" s="292" t="s">
        <v>422</v>
      </c>
      <c r="E1223" s="251" t="s">
        <v>2475</v>
      </c>
      <c r="F1223" s="304">
        <f t="shared" si="201"/>
        <v>0</v>
      </c>
      <c r="G1223" s="253">
        <f>L1223</f>
        <v>143.55000000000001</v>
      </c>
      <c r="H1223" s="254">
        <f t="shared" si="202"/>
        <v>0</v>
      </c>
      <c r="I1223" s="253">
        <f t="shared" si="203"/>
        <v>0</v>
      </c>
      <c r="J1223" s="253"/>
      <c r="K1223" s="251" t="s">
        <v>2475</v>
      </c>
      <c r="L1223" s="663">
        <v>143.55000000000001</v>
      </c>
      <c r="M1223" s="289">
        <v>0</v>
      </c>
      <c r="N1223" s="245">
        <f t="shared" si="204"/>
        <v>0</v>
      </c>
      <c r="O1223" s="258">
        <v>0</v>
      </c>
      <c r="P1223" s="257">
        <f t="shared" si="205"/>
        <v>0</v>
      </c>
      <c r="Q1223" s="258">
        <v>0</v>
      </c>
      <c r="R1223" s="257">
        <f t="shared" si="206"/>
        <v>0</v>
      </c>
      <c r="S1223" s="258">
        <v>0</v>
      </c>
      <c r="T1223" s="257">
        <f t="shared" si="207"/>
        <v>0</v>
      </c>
      <c r="U1223" s="258">
        <v>0</v>
      </c>
      <c r="V1223" s="257">
        <f t="shared" si="208"/>
        <v>0</v>
      </c>
      <c r="W1223" s="258">
        <v>0</v>
      </c>
      <c r="X1223" s="257">
        <f t="shared" si="209"/>
        <v>0</v>
      </c>
      <c r="Y1223" s="258">
        <v>0</v>
      </c>
      <c r="Z1223" s="257">
        <f t="shared" si="210"/>
        <v>0</v>
      </c>
    </row>
    <row r="1224" spans="1:26" ht="15" customHeight="1">
      <c r="A1224" s="250" t="s">
        <v>735</v>
      </c>
      <c r="B1224" s="251"/>
      <c r="C1224" s="526" t="s">
        <v>417</v>
      </c>
      <c r="D1224" s="292" t="s">
        <v>2176</v>
      </c>
      <c r="E1224" s="251" t="s">
        <v>2475</v>
      </c>
      <c r="F1224" s="304">
        <f t="shared" si="201"/>
        <v>0</v>
      </c>
      <c r="G1224" s="253">
        <f>L1224</f>
        <v>167.85</v>
      </c>
      <c r="H1224" s="254">
        <f t="shared" si="202"/>
        <v>0</v>
      </c>
      <c r="I1224" s="253">
        <f t="shared" si="203"/>
        <v>0</v>
      </c>
      <c r="J1224" s="253"/>
      <c r="K1224" s="251" t="s">
        <v>2475</v>
      </c>
      <c r="L1224" s="663">
        <v>167.85</v>
      </c>
      <c r="M1224" s="289">
        <v>0</v>
      </c>
      <c r="N1224" s="245">
        <f t="shared" si="204"/>
        <v>0</v>
      </c>
      <c r="O1224" s="258">
        <v>0</v>
      </c>
      <c r="P1224" s="257">
        <f t="shared" si="205"/>
        <v>0</v>
      </c>
      <c r="Q1224" s="258">
        <v>0</v>
      </c>
      <c r="R1224" s="257">
        <f t="shared" si="206"/>
        <v>0</v>
      </c>
      <c r="S1224" s="258">
        <v>0</v>
      </c>
      <c r="T1224" s="257">
        <f t="shared" si="207"/>
        <v>0</v>
      </c>
      <c r="U1224" s="258">
        <v>0</v>
      </c>
      <c r="V1224" s="257">
        <f t="shared" si="208"/>
        <v>0</v>
      </c>
      <c r="W1224" s="258">
        <v>0</v>
      </c>
      <c r="X1224" s="257">
        <f t="shared" si="209"/>
        <v>0</v>
      </c>
      <c r="Y1224" s="258">
        <v>0</v>
      </c>
      <c r="Z1224" s="257">
        <f t="shared" si="210"/>
        <v>0</v>
      </c>
    </row>
    <row r="1225" spans="1:26" ht="15" customHeight="1">
      <c r="A1225" s="250"/>
      <c r="B1225" s="251"/>
      <c r="C1225" s="526"/>
      <c r="D1225" s="292"/>
      <c r="E1225" s="251"/>
      <c r="F1225" s="252"/>
      <c r="G1225" s="253"/>
      <c r="H1225" s="254"/>
      <c r="I1225" s="253"/>
      <c r="J1225" s="253"/>
      <c r="K1225" s="251"/>
      <c r="L1225" s="261"/>
      <c r="M1225" s="289"/>
      <c r="N1225" s="245"/>
      <c r="O1225" s="258"/>
      <c r="P1225" s="257"/>
      <c r="Q1225" s="258"/>
      <c r="R1225" s="257"/>
      <c r="S1225" s="258"/>
      <c r="T1225" s="257"/>
      <c r="U1225" s="258"/>
      <c r="V1225" s="257"/>
      <c r="W1225" s="258"/>
      <c r="X1225" s="257"/>
      <c r="Y1225" s="258"/>
      <c r="Z1225" s="257"/>
    </row>
    <row r="1226" spans="1:26" ht="15" customHeight="1">
      <c r="A1226" s="250">
        <f>A1217+1</f>
        <v>211</v>
      </c>
      <c r="B1226" s="251"/>
      <c r="C1226" s="647" t="s">
        <v>408</v>
      </c>
      <c r="D1226" s="660" t="s">
        <v>842</v>
      </c>
      <c r="E1226" s="251" t="s">
        <v>2475</v>
      </c>
      <c r="F1226" s="304">
        <f>M1226+O1226+Q1226+S1226+U1226+W1226+Y1226</f>
        <v>4749</v>
      </c>
      <c r="G1226" s="253">
        <f>L1226</f>
        <v>0.52</v>
      </c>
      <c r="H1226" s="254">
        <f>INT(F1226*G1226*100+0.5)/100</f>
        <v>2469.48</v>
      </c>
      <c r="I1226" s="253">
        <f>N1226+P1226+R1226+T1226+V1226+X1226+Z1226</f>
        <v>2469.48</v>
      </c>
      <c r="J1226" s="253"/>
      <c r="K1226" s="251" t="s">
        <v>2475</v>
      </c>
      <c r="L1226" s="255">
        <v>0.52</v>
      </c>
      <c r="M1226" s="289">
        <f>(172+21+250+19+250+20)*2+300</f>
        <v>1764</v>
      </c>
      <c r="N1226" s="245">
        <f>INT($L1226*M1226*100+0.5)/100</f>
        <v>917.28</v>
      </c>
      <c r="O1226" s="258">
        <f>(150+250+20)*3</f>
        <v>1260</v>
      </c>
      <c r="P1226" s="257">
        <f>INT($L1226*O1226*100+0.5)/100</f>
        <v>655.20000000000005</v>
      </c>
      <c r="Q1226" s="258">
        <f>SUM(Q1203:Q1208)</f>
        <v>1725</v>
      </c>
      <c r="R1226" s="257">
        <f>INT($L1226*Q1226*100+0.5)/100</f>
        <v>897</v>
      </c>
      <c r="S1226" s="258">
        <v>0</v>
      </c>
      <c r="T1226" s="257">
        <f>INT($L1226*S1226*100+0.5)/100</f>
        <v>0</v>
      </c>
      <c r="U1226" s="258">
        <v>0</v>
      </c>
      <c r="V1226" s="257">
        <f>INT($L1226*U1226*100+0.5)/100</f>
        <v>0</v>
      </c>
      <c r="W1226" s="258">
        <v>0</v>
      </c>
      <c r="X1226" s="257">
        <f>INT($L1226*W1226*100+0.5)/100</f>
        <v>0</v>
      </c>
      <c r="Y1226" s="258">
        <v>0</v>
      </c>
      <c r="Z1226" s="257">
        <f>INT($L1226*Y1226*100+0.5)/100</f>
        <v>0</v>
      </c>
    </row>
    <row r="1227" spans="1:26" ht="15" customHeight="1">
      <c r="A1227" s="250"/>
      <c r="B1227" s="251"/>
      <c r="C1227" s="526"/>
      <c r="D1227" s="660" t="s">
        <v>843</v>
      </c>
      <c r="E1227" s="251"/>
      <c r="F1227" s="252"/>
      <c r="G1227" s="253"/>
      <c r="H1227" s="254"/>
      <c r="I1227" s="253"/>
      <c r="J1227" s="253"/>
      <c r="K1227" s="251"/>
      <c r="L1227" s="261"/>
      <c r="M1227" s="289"/>
      <c r="N1227" s="245"/>
      <c r="O1227" s="258"/>
      <c r="P1227" s="257"/>
      <c r="Q1227" s="258"/>
      <c r="R1227" s="257"/>
      <c r="S1227" s="258"/>
      <c r="T1227" s="257"/>
      <c r="U1227" s="258"/>
      <c r="V1227" s="257"/>
      <c r="W1227" s="258"/>
      <c r="X1227" s="257"/>
      <c r="Y1227" s="258"/>
      <c r="Z1227" s="257"/>
    </row>
    <row r="1228" spans="1:26" ht="15" customHeight="1">
      <c r="A1228" s="250"/>
      <c r="B1228" s="251"/>
      <c r="C1228" s="526"/>
      <c r="D1228" s="292"/>
      <c r="E1228" s="251"/>
      <c r="F1228" s="252"/>
      <c r="G1228" s="253"/>
      <c r="H1228" s="254"/>
      <c r="I1228" s="253"/>
      <c r="J1228" s="253"/>
      <c r="K1228" s="251"/>
      <c r="L1228" s="261"/>
      <c r="M1228" s="289"/>
      <c r="N1228" s="245"/>
      <c r="O1228" s="258"/>
      <c r="P1228" s="257"/>
      <c r="Q1228" s="258"/>
      <c r="R1228" s="257"/>
      <c r="S1228" s="258"/>
      <c r="T1228" s="257"/>
      <c r="U1228" s="258"/>
      <c r="V1228" s="257"/>
      <c r="W1228" s="258"/>
      <c r="X1228" s="257"/>
      <c r="Y1228" s="258"/>
      <c r="Z1228" s="257"/>
    </row>
    <row r="1229" spans="1:26" ht="15" customHeight="1">
      <c r="A1229" s="250">
        <f>A1226+1</f>
        <v>212</v>
      </c>
      <c r="B1229" s="251"/>
      <c r="C1229" s="526" t="s">
        <v>2474</v>
      </c>
      <c r="D1229" s="526" t="s">
        <v>2172</v>
      </c>
      <c r="E1229" s="251" t="s">
        <v>2475</v>
      </c>
      <c r="F1229" s="304">
        <f>M1229+O1229+Q1229+S1229+U1229+W1229+Y1229</f>
        <v>0</v>
      </c>
      <c r="G1229" s="253">
        <f>L1229</f>
        <v>0.68</v>
      </c>
      <c r="H1229" s="254">
        <f>F1229*G1229</f>
        <v>0</v>
      </c>
      <c r="I1229" s="253">
        <f>N1229+P1229+R1229+T1229+V1229+X1229+Z1229</f>
        <v>0</v>
      </c>
      <c r="J1229" s="253"/>
      <c r="K1229" s="251" t="s">
        <v>2475</v>
      </c>
      <c r="L1229" s="663">
        <v>0.68</v>
      </c>
      <c r="M1229" s="258">
        <v>0</v>
      </c>
      <c r="N1229" s="257">
        <f>INT($L1229*M1229*100+0.5)/100</f>
        <v>0</v>
      </c>
      <c r="O1229" s="258">
        <v>0</v>
      </c>
      <c r="P1229" s="257">
        <f>INT($L1229*O1229*100+0.5)/100</f>
        <v>0</v>
      </c>
      <c r="Q1229" s="258">
        <v>0</v>
      </c>
      <c r="R1229" s="257">
        <f>INT($L1229*Q1229*100+0.5)/100</f>
        <v>0</v>
      </c>
      <c r="S1229" s="258">
        <v>0</v>
      </c>
      <c r="T1229" s="257">
        <f>INT($L1229*S1229*100+0.5)/100</f>
        <v>0</v>
      </c>
      <c r="U1229" s="258">
        <v>0</v>
      </c>
      <c r="V1229" s="257">
        <f>INT($L1229*U1229*100+0.5)/100</f>
        <v>0</v>
      </c>
      <c r="W1229" s="258">
        <v>0</v>
      </c>
      <c r="X1229" s="257">
        <f>INT($L1229*W1229*100+0.5)/100</f>
        <v>0</v>
      </c>
      <c r="Y1229" s="258">
        <v>0</v>
      </c>
      <c r="Z1229" s="257">
        <f>INT($L1229*Y1229*100+0.5)/100</f>
        <v>0</v>
      </c>
    </row>
    <row r="1230" spans="1:26" ht="15" customHeight="1">
      <c r="A1230" s="250"/>
      <c r="B1230" s="251"/>
      <c r="C1230" s="526"/>
      <c r="D1230" s="526" t="s">
        <v>2171</v>
      </c>
      <c r="E1230" s="251"/>
      <c r="F1230" s="252"/>
      <c r="G1230" s="253"/>
      <c r="H1230" s="254"/>
      <c r="I1230" s="253"/>
      <c r="J1230" s="253"/>
      <c r="K1230" s="251"/>
      <c r="L1230" s="261"/>
      <c r="M1230" s="258"/>
      <c r="N1230" s="257"/>
      <c r="O1230" s="258"/>
      <c r="P1230" s="257"/>
      <c r="Q1230" s="258"/>
      <c r="R1230" s="257"/>
      <c r="S1230" s="258"/>
      <c r="T1230" s="257"/>
      <c r="U1230" s="258"/>
      <c r="V1230" s="257"/>
      <c r="W1230" s="258"/>
      <c r="X1230" s="257"/>
      <c r="Y1230" s="258"/>
      <c r="Z1230" s="257"/>
    </row>
    <row r="1231" spans="1:26" ht="15" customHeight="1">
      <c r="A1231" s="250"/>
      <c r="B1231" s="251"/>
      <c r="C1231" s="526"/>
      <c r="D1231" s="292"/>
      <c r="E1231" s="251"/>
      <c r="F1231" s="252"/>
      <c r="G1231" s="253"/>
      <c r="H1231" s="254"/>
      <c r="I1231" s="253"/>
      <c r="J1231" s="253"/>
      <c r="K1231" s="251"/>
      <c r="L1231" s="261"/>
      <c r="M1231" s="258"/>
      <c r="N1231" s="257"/>
      <c r="O1231" s="258"/>
      <c r="P1231" s="257"/>
      <c r="Q1231" s="258"/>
      <c r="R1231" s="257"/>
      <c r="S1231" s="258"/>
      <c r="T1231" s="257"/>
      <c r="U1231" s="258"/>
      <c r="V1231" s="257"/>
      <c r="W1231" s="258"/>
      <c r="X1231" s="257"/>
      <c r="Y1231" s="258"/>
      <c r="Z1231" s="257"/>
    </row>
    <row r="1232" spans="1:26" ht="25.5">
      <c r="A1232" s="250">
        <f>A1229+1</f>
        <v>213</v>
      </c>
      <c r="B1232" s="251"/>
      <c r="C1232" s="647" t="s">
        <v>846</v>
      </c>
      <c r="D1232" s="526" t="s">
        <v>2142</v>
      </c>
      <c r="E1232" s="251" t="s">
        <v>2461</v>
      </c>
      <c r="F1232" s="304">
        <f>M1232+O1232+Q1232+S1232+U1232+W1232+Y1232</f>
        <v>2</v>
      </c>
      <c r="G1232" s="253">
        <f>L1232</f>
        <v>186.78</v>
      </c>
      <c r="H1232" s="254">
        <f>INT(F1232*G1232*100+0.5)/100</f>
        <v>373.56</v>
      </c>
      <c r="I1232" s="253">
        <f>N1232+P1232+R1232+T1232+V1232+X1232+Z1232</f>
        <v>373.56</v>
      </c>
      <c r="J1232" s="253"/>
      <c r="K1232" s="251" t="s">
        <v>2461</v>
      </c>
      <c r="L1232" s="255">
        <v>186.78</v>
      </c>
      <c r="M1232" s="258">
        <v>2</v>
      </c>
      <c r="N1232" s="257">
        <f>INT($L1232*M1232*100+0.5)/100</f>
        <v>373.56</v>
      </c>
      <c r="O1232" s="258">
        <v>0</v>
      </c>
      <c r="P1232" s="257">
        <f>INT($L1232*O1232*100+0.5)/100</f>
        <v>0</v>
      </c>
      <c r="Q1232" s="258">
        <v>0</v>
      </c>
      <c r="R1232" s="257">
        <f>INT($L1232*Q1232*100+0.5)/100</f>
        <v>0</v>
      </c>
      <c r="S1232" s="258">
        <v>0</v>
      </c>
      <c r="T1232" s="257">
        <f>INT($L1232*S1232*100+0.5)/100</f>
        <v>0</v>
      </c>
      <c r="U1232" s="258">
        <v>0</v>
      </c>
      <c r="V1232" s="257">
        <f>INT($L1232*U1232*100+0.5)/100</f>
        <v>0</v>
      </c>
      <c r="W1232" s="258">
        <v>0</v>
      </c>
      <c r="X1232" s="257">
        <f>INT($L1232*W1232*100+0.5)/100</f>
        <v>0</v>
      </c>
      <c r="Y1232" s="258">
        <v>0</v>
      </c>
      <c r="Z1232" s="257">
        <f>INT($L1232*Y1232*100+0.5)/100</f>
        <v>0</v>
      </c>
    </row>
    <row r="1233" spans="1:26" ht="25.5">
      <c r="A1233" s="250"/>
      <c r="B1233" s="251"/>
      <c r="C1233" s="526"/>
      <c r="D1233" s="526" t="s">
        <v>2141</v>
      </c>
      <c r="E1233" s="251"/>
      <c r="F1233" s="252"/>
      <c r="G1233" s="253"/>
      <c r="H1233" s="254"/>
      <c r="I1233" s="253"/>
      <c r="J1233" s="253"/>
      <c r="K1233" s="251"/>
      <c r="L1233" s="261"/>
      <c r="M1233" s="258"/>
      <c r="N1233" s="257"/>
      <c r="O1233" s="258"/>
      <c r="P1233" s="257"/>
      <c r="Q1233" s="258"/>
      <c r="R1233" s="257"/>
      <c r="S1233" s="258"/>
      <c r="T1233" s="257"/>
      <c r="U1233" s="258"/>
      <c r="V1233" s="257"/>
      <c r="W1233" s="258"/>
      <c r="X1233" s="257"/>
      <c r="Y1233" s="258"/>
      <c r="Z1233" s="257"/>
    </row>
    <row r="1234" spans="1:26" ht="15" customHeight="1">
      <c r="A1234" s="250"/>
      <c r="B1234" s="251"/>
      <c r="C1234" s="526"/>
      <c r="D1234" s="292"/>
      <c r="E1234" s="251"/>
      <c r="F1234" s="252"/>
      <c r="G1234" s="253"/>
      <c r="H1234" s="254"/>
      <c r="I1234" s="253"/>
      <c r="J1234" s="253"/>
      <c r="K1234" s="251"/>
      <c r="L1234" s="261"/>
      <c r="M1234" s="258"/>
      <c r="N1234" s="257"/>
      <c r="O1234" s="258"/>
      <c r="P1234" s="257"/>
      <c r="Q1234" s="258"/>
      <c r="R1234" s="257"/>
      <c r="S1234" s="258"/>
      <c r="T1234" s="257"/>
      <c r="U1234" s="258"/>
      <c r="V1234" s="257"/>
      <c r="W1234" s="258"/>
      <c r="X1234" s="257"/>
      <c r="Y1234" s="258"/>
      <c r="Z1234" s="257"/>
    </row>
    <row r="1235" spans="1:26" s="281" customFormat="1" ht="15" customHeight="1">
      <c r="A1235" s="463">
        <f>A1232+1</f>
        <v>214</v>
      </c>
      <c r="B1235" s="277"/>
      <c r="C1235" s="550" t="s">
        <v>923</v>
      </c>
      <c r="D1235" s="527"/>
      <c r="E1235" s="277" t="s">
        <v>2461</v>
      </c>
      <c r="F1235" s="455">
        <f>M1235+O1235+Q1235+S1235+U1235+W1235+Y1235</f>
        <v>0</v>
      </c>
      <c r="G1235" s="667">
        <f>L1235</f>
        <v>5.3</v>
      </c>
      <c r="H1235" s="457">
        <f>INT(F1235*G1235*100+0.5)/100</f>
        <v>0</v>
      </c>
      <c r="I1235" s="456">
        <f>N1235+P1235+R1235+T1235+V1235+X1235+Z1235</f>
        <v>0</v>
      </c>
      <c r="J1235" s="456"/>
      <c r="K1235" s="277" t="s">
        <v>2461</v>
      </c>
      <c r="L1235" s="666">
        <v>5.3</v>
      </c>
      <c r="M1235" s="458">
        <v>0</v>
      </c>
      <c r="N1235" s="280">
        <f>INT($L1235*M1235*100+0.5)/100</f>
        <v>0</v>
      </c>
      <c r="O1235" s="458">
        <v>0</v>
      </c>
      <c r="P1235" s="280">
        <f>INT($L1235*O1235*100+0.5)/100</f>
        <v>0</v>
      </c>
      <c r="Q1235" s="458">
        <v>0</v>
      </c>
      <c r="R1235" s="280">
        <f>INT($L1235*Q1235*100+0.5)/100</f>
        <v>0</v>
      </c>
      <c r="S1235" s="458">
        <v>0</v>
      </c>
      <c r="T1235" s="280">
        <f>INT($L1235*S1235*100+0.5)/100</f>
        <v>0</v>
      </c>
      <c r="U1235" s="458">
        <v>0</v>
      </c>
      <c r="V1235" s="280">
        <f>INT($L1235*U1235*100+0.5)/100</f>
        <v>0</v>
      </c>
      <c r="W1235" s="458">
        <v>0</v>
      </c>
      <c r="X1235" s="280">
        <f>INT($L1235*W1235*100+0.5)/100</f>
        <v>0</v>
      </c>
      <c r="Y1235" s="458">
        <v>0</v>
      </c>
      <c r="Z1235" s="280">
        <f>INT($L1235*Y1235*100+0.5)/100</f>
        <v>0</v>
      </c>
    </row>
    <row r="1236" spans="1:26" s="281" customFormat="1" ht="15" customHeight="1">
      <c r="A1236" s="463"/>
      <c r="B1236" s="277"/>
      <c r="C1236" s="527"/>
      <c r="D1236" s="527" t="s">
        <v>924</v>
      </c>
      <c r="E1236" s="277"/>
      <c r="F1236" s="455"/>
      <c r="G1236" s="456"/>
      <c r="H1236" s="457"/>
      <c r="I1236" s="456"/>
      <c r="J1236" s="456"/>
      <c r="K1236" s="277"/>
      <c r="L1236" s="262"/>
      <c r="M1236" s="458"/>
      <c r="N1236" s="280"/>
      <c r="O1236" s="458"/>
      <c r="P1236" s="280"/>
      <c r="Q1236" s="458"/>
      <c r="R1236" s="280"/>
      <c r="S1236" s="458"/>
      <c r="T1236" s="280"/>
      <c r="U1236" s="458"/>
      <c r="V1236" s="280"/>
      <c r="W1236" s="458"/>
      <c r="X1236" s="280"/>
      <c r="Y1236" s="458"/>
      <c r="Z1236" s="280"/>
    </row>
    <row r="1237" spans="1:26" ht="15" customHeight="1">
      <c r="A1237" s="250"/>
      <c r="B1237" s="251"/>
      <c r="C1237" s="526"/>
      <c r="D1237" s="292"/>
      <c r="E1237" s="251"/>
      <c r="F1237" s="252"/>
      <c r="G1237" s="253"/>
      <c r="H1237" s="254"/>
      <c r="I1237" s="253"/>
      <c r="J1237" s="253"/>
      <c r="K1237" s="251"/>
      <c r="L1237" s="261"/>
      <c r="M1237" s="258"/>
      <c r="N1237" s="257"/>
      <c r="O1237" s="258"/>
      <c r="P1237" s="257"/>
      <c r="Q1237" s="258"/>
      <c r="R1237" s="257"/>
      <c r="S1237" s="258"/>
      <c r="T1237" s="257"/>
      <c r="U1237" s="258"/>
      <c r="V1237" s="257"/>
      <c r="W1237" s="258"/>
      <c r="X1237" s="257"/>
      <c r="Y1237" s="258"/>
      <c r="Z1237" s="257"/>
    </row>
    <row r="1238" spans="1:26" ht="15" customHeight="1">
      <c r="A1238" s="250">
        <f>A1235+1</f>
        <v>215</v>
      </c>
      <c r="B1238" s="251"/>
      <c r="C1238" s="654" t="s">
        <v>423</v>
      </c>
      <c r="D1238" s="526" t="s">
        <v>425</v>
      </c>
      <c r="E1238" s="251"/>
      <c r="F1238" s="252"/>
      <c r="G1238" s="253"/>
      <c r="H1238" s="254"/>
      <c r="I1238" s="253"/>
      <c r="J1238" s="253"/>
      <c r="K1238" s="251"/>
      <c r="L1238" s="262"/>
      <c r="M1238" s="258"/>
      <c r="N1238" s="257"/>
      <c r="O1238" s="258"/>
      <c r="P1238" s="257"/>
      <c r="Q1238" s="258"/>
      <c r="R1238" s="257"/>
      <c r="S1238" s="258"/>
      <c r="T1238" s="257"/>
      <c r="U1238" s="258"/>
      <c r="V1238" s="257"/>
      <c r="W1238" s="258"/>
      <c r="X1238" s="257"/>
      <c r="Y1238" s="258"/>
      <c r="Z1238" s="257"/>
    </row>
    <row r="1239" spans="1:26" ht="15" customHeight="1">
      <c r="A1239" s="250"/>
      <c r="B1239" s="251"/>
      <c r="C1239" s="647"/>
      <c r="D1239" s="526" t="s">
        <v>424</v>
      </c>
      <c r="E1239" s="251"/>
      <c r="F1239" s="252"/>
      <c r="G1239" s="253"/>
      <c r="H1239" s="254"/>
      <c r="I1239" s="253"/>
      <c r="J1239" s="253"/>
      <c r="K1239" s="251"/>
      <c r="L1239" s="261"/>
      <c r="M1239" s="258"/>
      <c r="N1239" s="257"/>
      <c r="O1239" s="258"/>
      <c r="P1239" s="257"/>
      <c r="Q1239" s="258"/>
      <c r="R1239" s="257"/>
      <c r="S1239" s="258"/>
      <c r="T1239" s="257"/>
      <c r="U1239" s="258"/>
      <c r="V1239" s="257"/>
      <c r="W1239" s="258"/>
      <c r="X1239" s="257"/>
      <c r="Y1239" s="258"/>
      <c r="Z1239" s="257"/>
    </row>
    <row r="1240" spans="1:26" ht="15" customHeight="1">
      <c r="A1240" s="250" t="s">
        <v>1903</v>
      </c>
      <c r="B1240" s="251"/>
      <c r="C1240" s="647" t="s">
        <v>824</v>
      </c>
      <c r="D1240" s="292" t="s">
        <v>427</v>
      </c>
      <c r="E1240" s="251" t="s">
        <v>2475</v>
      </c>
      <c r="F1240" s="304">
        <f>M1240+O1240+Q1240+S1240+U1240+W1240+Y1240</f>
        <v>300</v>
      </c>
      <c r="G1240" s="253">
        <f>L1240</f>
        <v>7.05</v>
      </c>
      <c r="H1240" s="254">
        <f>INT(F1240*G1240*100+0.5)/100</f>
        <v>2115</v>
      </c>
      <c r="I1240" s="253">
        <f>N1240+P1240+R1240+T1240+V1240+X1240+Z1240</f>
        <v>2115</v>
      </c>
      <c r="J1240" s="253"/>
      <c r="K1240" s="251" t="s">
        <v>2475</v>
      </c>
      <c r="L1240" s="255">
        <v>7.05</v>
      </c>
      <c r="M1240" s="258">
        <v>0</v>
      </c>
      <c r="N1240" s="257">
        <f>INT($L1240*M1240*100+0.5)/100</f>
        <v>0</v>
      </c>
      <c r="O1240" s="258">
        <v>0</v>
      </c>
      <c r="P1240" s="257">
        <f>INT($L1240*O1240*100+0.5)/100</f>
        <v>0</v>
      </c>
      <c r="Q1240" s="258">
        <f>190+90+20</f>
        <v>300</v>
      </c>
      <c r="R1240" s="257">
        <f>INT($L1240*Q1240*100+0.5)/100</f>
        <v>2115</v>
      </c>
      <c r="S1240" s="258">
        <v>0</v>
      </c>
      <c r="T1240" s="257">
        <f>INT($L1240*S1240*100+0.5)/100</f>
        <v>0</v>
      </c>
      <c r="U1240" s="258">
        <v>0</v>
      </c>
      <c r="V1240" s="257">
        <f>INT($L1240*U1240*100+0.5)/100</f>
        <v>0</v>
      </c>
      <c r="W1240" s="258">
        <v>0</v>
      </c>
      <c r="X1240" s="257">
        <f>INT($L1240*W1240*100+0.5)/100</f>
        <v>0</v>
      </c>
      <c r="Y1240" s="258">
        <v>0</v>
      </c>
      <c r="Z1240" s="257">
        <f>INT($L1240*Y1240*100+0.5)/100</f>
        <v>0</v>
      </c>
    </row>
    <row r="1241" spans="1:26" ht="15" customHeight="1">
      <c r="A1241" s="250" t="s">
        <v>1905</v>
      </c>
      <c r="B1241" s="251"/>
      <c r="C1241" s="647" t="s">
        <v>825</v>
      </c>
      <c r="D1241" s="292" t="s">
        <v>426</v>
      </c>
      <c r="E1241" s="251" t="s">
        <v>2475</v>
      </c>
      <c r="F1241" s="304">
        <f>M1241+O1241+Q1241+S1241+U1241+W1241+Y1241</f>
        <v>520</v>
      </c>
      <c r="G1241" s="253">
        <f>L1241</f>
        <v>12.46</v>
      </c>
      <c r="H1241" s="254">
        <f>INT(F1241*G1241*100+0.5)/100</f>
        <v>6479.2</v>
      </c>
      <c r="I1241" s="253">
        <f>N1241+P1241+R1241+T1241+V1241+X1241+Z1241</f>
        <v>6479.2</v>
      </c>
      <c r="J1241" s="253"/>
      <c r="K1241" s="251" t="s">
        <v>2475</v>
      </c>
      <c r="L1241" s="255">
        <v>12.46</v>
      </c>
      <c r="M1241" s="258">
        <v>0</v>
      </c>
      <c r="N1241" s="257">
        <f>INT($L1241*M1241*100+0.5)/100</f>
        <v>0</v>
      </c>
      <c r="O1241" s="258">
        <v>0</v>
      </c>
      <c r="P1241" s="257">
        <f>INT($L1241*O1241*100+0.5)/100</f>
        <v>0</v>
      </c>
      <c r="Q1241" s="258">
        <f>250+250+20</f>
        <v>520</v>
      </c>
      <c r="R1241" s="257">
        <f>INT($L1241*Q1241*100+0.5)/100</f>
        <v>6479.2</v>
      </c>
      <c r="S1241" s="258">
        <v>0</v>
      </c>
      <c r="T1241" s="257">
        <f>INT($L1241*S1241*100+0.5)/100</f>
        <v>0</v>
      </c>
      <c r="U1241" s="258">
        <v>0</v>
      </c>
      <c r="V1241" s="257">
        <f>INT($L1241*U1241*100+0.5)/100</f>
        <v>0</v>
      </c>
      <c r="W1241" s="258">
        <v>0</v>
      </c>
      <c r="X1241" s="257">
        <f>INT($L1241*W1241*100+0.5)/100</f>
        <v>0</v>
      </c>
      <c r="Y1241" s="258">
        <v>0</v>
      </c>
      <c r="Z1241" s="257">
        <f>INT($L1241*Y1241*100+0.5)/100</f>
        <v>0</v>
      </c>
    </row>
    <row r="1242" spans="1:26" ht="15" customHeight="1">
      <c r="A1242" s="250" t="s">
        <v>1906</v>
      </c>
      <c r="B1242" s="251"/>
      <c r="C1242" s="647" t="s">
        <v>826</v>
      </c>
      <c r="D1242" s="292" t="s">
        <v>428</v>
      </c>
      <c r="E1242" s="251" t="s">
        <v>2475</v>
      </c>
      <c r="F1242" s="304">
        <f>M1242+O1242+Q1242+S1242+U1242+W1242+Y1242</f>
        <v>0</v>
      </c>
      <c r="G1242" s="253">
        <f>L1242</f>
        <v>28.57</v>
      </c>
      <c r="H1242" s="254">
        <f>INT(F1242*G1242*100+0.5)/100</f>
        <v>0</v>
      </c>
      <c r="I1242" s="253">
        <f>N1242+P1242+R1242+T1242+V1242+X1242+Z1242</f>
        <v>0</v>
      </c>
      <c r="J1242" s="253"/>
      <c r="K1242" s="251" t="s">
        <v>2475</v>
      </c>
      <c r="L1242" s="255">
        <v>28.57</v>
      </c>
      <c r="M1242" s="258">
        <v>0</v>
      </c>
      <c r="N1242" s="257">
        <f>INT($L1242*M1242*100+0.5)/100</f>
        <v>0</v>
      </c>
      <c r="O1242" s="258">
        <v>0</v>
      </c>
      <c r="P1242" s="257">
        <f>INT($L1242*O1242*100+0.5)/100</f>
        <v>0</v>
      </c>
      <c r="Q1242" s="258">
        <v>0</v>
      </c>
      <c r="R1242" s="257">
        <f>INT($L1242*Q1242*100+0.5)/100</f>
        <v>0</v>
      </c>
      <c r="S1242" s="258">
        <v>0</v>
      </c>
      <c r="T1242" s="257">
        <f>INT($L1242*S1242*100+0.5)/100</f>
        <v>0</v>
      </c>
      <c r="U1242" s="258">
        <v>0</v>
      </c>
      <c r="V1242" s="257">
        <f>INT($L1242*U1242*100+0.5)/100</f>
        <v>0</v>
      </c>
      <c r="W1242" s="258">
        <v>0</v>
      </c>
      <c r="X1242" s="257">
        <f>INT($L1242*W1242*100+0.5)/100</f>
        <v>0</v>
      </c>
      <c r="Y1242" s="258">
        <v>0</v>
      </c>
      <c r="Z1242" s="257">
        <f>INT($L1242*Y1242*100+0.5)/100</f>
        <v>0</v>
      </c>
    </row>
    <row r="1243" spans="1:26" ht="15" customHeight="1">
      <c r="A1243" s="250"/>
      <c r="B1243" s="251"/>
      <c r="C1243" s="526"/>
      <c r="D1243" s="292"/>
      <c r="E1243" s="251"/>
      <c r="F1243" s="252"/>
      <c r="G1243" s="253"/>
      <c r="H1243" s="254"/>
      <c r="I1243" s="253"/>
      <c r="J1243" s="253"/>
      <c r="K1243" s="251"/>
      <c r="L1243" s="261"/>
      <c r="M1243" s="258"/>
      <c r="N1243" s="257"/>
      <c r="O1243" s="258"/>
      <c r="P1243" s="257"/>
      <c r="Q1243" s="258"/>
      <c r="R1243" s="257"/>
      <c r="S1243" s="258"/>
      <c r="T1243" s="257"/>
      <c r="U1243" s="258"/>
      <c r="V1243" s="257"/>
      <c r="W1243" s="258"/>
      <c r="X1243" s="257"/>
      <c r="Y1243" s="258"/>
      <c r="Z1243" s="257"/>
    </row>
    <row r="1244" spans="1:26" ht="15" customHeight="1">
      <c r="A1244" s="250">
        <f>A1238+1</f>
        <v>216</v>
      </c>
      <c r="B1244" s="251"/>
      <c r="C1244" s="657" t="s">
        <v>827</v>
      </c>
      <c r="D1244" s="526" t="s">
        <v>531</v>
      </c>
      <c r="E1244" s="251" t="s">
        <v>1901</v>
      </c>
      <c r="F1244" s="304">
        <f>M1244+O1244+Q1244+S1244+U1244+W1244+Y1244</f>
        <v>5</v>
      </c>
      <c r="G1244" s="253">
        <f>L1244</f>
        <v>190</v>
      </c>
      <c r="H1244" s="254">
        <f>INT(F1244*G1244*100+0.5)/100</f>
        <v>950</v>
      </c>
      <c r="I1244" s="253">
        <f>N1244+P1244+R1244+T1244+V1244+X1244+Z1244</f>
        <v>950</v>
      </c>
      <c r="J1244" s="253"/>
      <c r="K1244" s="251" t="s">
        <v>1901</v>
      </c>
      <c r="L1244" s="255">
        <f>190</f>
        <v>190</v>
      </c>
      <c r="M1244" s="258">
        <v>5</v>
      </c>
      <c r="N1244" s="257">
        <f>INT($L1244*M1244*100+0.5)/100</f>
        <v>950</v>
      </c>
      <c r="O1244" s="258">
        <v>0</v>
      </c>
      <c r="P1244" s="257">
        <f>INT($L1244*O1244*100+0.5)/100</f>
        <v>0</v>
      </c>
      <c r="Q1244" s="258">
        <v>0</v>
      </c>
      <c r="R1244" s="245">
        <f>INT($L1244*Q1244*100+0.5)/100</f>
        <v>0</v>
      </c>
      <c r="S1244" s="258">
        <v>0</v>
      </c>
      <c r="T1244" s="257">
        <f>INT($L1244*S1244*100+0.5)/100</f>
        <v>0</v>
      </c>
      <c r="U1244" s="258">
        <v>0</v>
      </c>
      <c r="V1244" s="257">
        <f>INT($L1244*U1244*100+0.5)/100</f>
        <v>0</v>
      </c>
      <c r="W1244" s="258">
        <v>0</v>
      </c>
      <c r="X1244" s="257">
        <f>INT($L1244*W1244*100+0.5)/100</f>
        <v>0</v>
      </c>
      <c r="Y1244" s="258">
        <v>0</v>
      </c>
      <c r="Z1244" s="257">
        <f>INT($L1244*Y1244*100+0.5)/100</f>
        <v>0</v>
      </c>
    </row>
    <row r="1245" spans="1:26" ht="15" customHeight="1">
      <c r="A1245" s="250"/>
      <c r="B1245" s="251"/>
      <c r="C1245" s="526"/>
      <c r="D1245" s="526" t="s">
        <v>530</v>
      </c>
      <c r="E1245" s="251"/>
      <c r="F1245" s="252"/>
      <c r="G1245" s="253"/>
      <c r="H1245" s="254"/>
      <c r="I1245" s="253"/>
      <c r="J1245" s="253"/>
      <c r="K1245" s="251"/>
      <c r="L1245" s="261"/>
      <c r="M1245" s="258"/>
      <c r="N1245" s="257"/>
      <c r="O1245" s="258"/>
      <c r="P1245" s="257"/>
      <c r="Q1245" s="258"/>
      <c r="R1245" s="245"/>
      <c r="S1245" s="258"/>
      <c r="T1245" s="257"/>
      <c r="U1245" s="258"/>
      <c r="V1245" s="257"/>
      <c r="W1245" s="258"/>
      <c r="X1245" s="257"/>
      <c r="Y1245" s="258"/>
      <c r="Z1245" s="257"/>
    </row>
    <row r="1246" spans="1:26" ht="15" customHeight="1">
      <c r="A1246" s="250"/>
      <c r="B1246" s="251"/>
      <c r="C1246" s="526"/>
      <c r="D1246" s="292"/>
      <c r="E1246" s="251"/>
      <c r="F1246" s="252"/>
      <c r="G1246" s="253"/>
      <c r="H1246" s="254"/>
      <c r="I1246" s="253"/>
      <c r="J1246" s="253"/>
      <c r="K1246" s="251"/>
      <c r="L1246" s="261"/>
      <c r="M1246" s="258"/>
      <c r="N1246" s="257"/>
      <c r="O1246" s="258"/>
      <c r="P1246" s="257"/>
      <c r="Q1246" s="258"/>
      <c r="R1246" s="245"/>
      <c r="S1246" s="258"/>
      <c r="T1246" s="257"/>
      <c r="U1246" s="258"/>
      <c r="V1246" s="257"/>
      <c r="W1246" s="258"/>
      <c r="X1246" s="257"/>
      <c r="Y1246" s="258"/>
      <c r="Z1246" s="257"/>
    </row>
    <row r="1247" spans="1:26" ht="15" customHeight="1">
      <c r="A1247" s="250">
        <f>A1244+1</f>
        <v>217</v>
      </c>
      <c r="B1247" s="251"/>
      <c r="C1247" s="534" t="s">
        <v>828</v>
      </c>
      <c r="D1247" s="526" t="s">
        <v>532</v>
      </c>
      <c r="E1247" s="251" t="s">
        <v>2461</v>
      </c>
      <c r="F1247" s="304">
        <f>M1247+O1247+Q1247+S1247+U1247+W1247+Y1247</f>
        <v>0</v>
      </c>
      <c r="G1247" s="253">
        <f>L1247</f>
        <v>100</v>
      </c>
      <c r="H1247" s="254">
        <f>INT(F1247*G1247*100+0.5)/100</f>
        <v>0</v>
      </c>
      <c r="I1247" s="253">
        <f>N1247+P1247+R1247+T1247+V1247+X1247+Z1247</f>
        <v>0</v>
      </c>
      <c r="J1247" s="253"/>
      <c r="K1247" s="251" t="s">
        <v>2461</v>
      </c>
      <c r="L1247" s="255">
        <v>100</v>
      </c>
      <c r="M1247" s="258">
        <v>0</v>
      </c>
      <c r="N1247" s="257">
        <f>INT($L1247*M1247*100+0.5)/100</f>
        <v>0</v>
      </c>
      <c r="O1247" s="258">
        <v>0</v>
      </c>
      <c r="P1247" s="257">
        <f>INT($L1247*O1247*100+0.5)/100</f>
        <v>0</v>
      </c>
      <c r="Q1247" s="258">
        <v>0</v>
      </c>
      <c r="R1247" s="245">
        <f>INT($L1247*Q1247*100+0.5)/100</f>
        <v>0</v>
      </c>
      <c r="S1247" s="258">
        <v>0</v>
      </c>
      <c r="T1247" s="257">
        <f>INT($L1247*S1247*100+0.5)/100</f>
        <v>0</v>
      </c>
      <c r="U1247" s="258">
        <v>0</v>
      </c>
      <c r="V1247" s="257">
        <f>INT($L1247*U1247*100+0.5)/100</f>
        <v>0</v>
      </c>
      <c r="W1247" s="258">
        <v>0</v>
      </c>
      <c r="X1247" s="257">
        <f>INT($L1247*W1247*100+0.5)/100</f>
        <v>0</v>
      </c>
      <c r="Y1247" s="258">
        <v>0</v>
      </c>
      <c r="Z1247" s="257">
        <f>INT($L1247*Y1247*100+0.5)/100</f>
        <v>0</v>
      </c>
    </row>
    <row r="1248" spans="1:26" ht="15" customHeight="1">
      <c r="A1248" s="250"/>
      <c r="B1248" s="251"/>
      <c r="C1248" s="526"/>
      <c r="D1248" s="526" t="s">
        <v>463</v>
      </c>
      <c r="E1248" s="251"/>
      <c r="F1248" s="252"/>
      <c r="G1248" s="253"/>
      <c r="H1248" s="254"/>
      <c r="I1248" s="253"/>
      <c r="J1248" s="253"/>
      <c r="K1248" s="251"/>
      <c r="L1248" s="261"/>
      <c r="M1248" s="258"/>
      <c r="N1248" s="257"/>
      <c r="O1248" s="258"/>
      <c r="P1248" s="257"/>
      <c r="Q1248" s="258"/>
      <c r="R1248" s="257"/>
      <c r="S1248" s="258"/>
      <c r="T1248" s="257"/>
      <c r="U1248" s="258"/>
      <c r="V1248" s="257"/>
      <c r="W1248" s="258"/>
      <c r="X1248" s="257"/>
      <c r="Y1248" s="258"/>
      <c r="Z1248" s="257"/>
    </row>
    <row r="1249" spans="1:26" ht="15" customHeight="1">
      <c r="A1249" s="250"/>
      <c r="B1249" s="251"/>
      <c r="C1249" s="526"/>
      <c r="D1249" s="526"/>
      <c r="E1249" s="251"/>
      <c r="F1249" s="252"/>
      <c r="G1249" s="253"/>
      <c r="H1249" s="254"/>
      <c r="I1249" s="253"/>
      <c r="J1249" s="253"/>
      <c r="K1249" s="251"/>
      <c r="L1249" s="261"/>
      <c r="M1249" s="258"/>
      <c r="N1249" s="257"/>
      <c r="O1249" s="258"/>
      <c r="P1249" s="257"/>
      <c r="Q1249" s="258"/>
      <c r="R1249" s="257"/>
      <c r="S1249" s="258"/>
      <c r="T1249" s="257"/>
      <c r="U1249" s="258"/>
      <c r="V1249" s="257"/>
      <c r="W1249" s="258"/>
      <c r="X1249" s="257"/>
      <c r="Y1249" s="258"/>
      <c r="Z1249" s="257"/>
    </row>
    <row r="1250" spans="1:26" s="303" customFormat="1" ht="15" customHeight="1">
      <c r="A1250" s="298"/>
      <c r="B1250" s="299"/>
      <c r="C1250" s="267" t="s">
        <v>1572</v>
      </c>
      <c r="D1250" s="333" t="s">
        <v>1573</v>
      </c>
      <c r="E1250" s="299"/>
      <c r="F1250" s="301"/>
      <c r="G1250" s="263"/>
      <c r="H1250" s="272"/>
      <c r="I1250" s="272">
        <f>N1250+P1250+R1250+T1250+V1250+X1250+Z1250</f>
        <v>219359.54</v>
      </c>
      <c r="J1250" s="269">
        <f>SUM(N1250:Z1250)</f>
        <v>219359.54</v>
      </c>
      <c r="K1250" s="299"/>
      <c r="L1250" s="271"/>
      <c r="M1250" s="273"/>
      <c r="N1250" s="273">
        <f>SUM(N1068:N1249)</f>
        <v>44304.039999999994</v>
      </c>
      <c r="O1250" s="273"/>
      <c r="P1250" s="273">
        <f>SUM(P1068:P1249)</f>
        <v>655.20000000000005</v>
      </c>
      <c r="Q1250" s="273"/>
      <c r="R1250" s="273">
        <f>SUM(R1068:R1249)</f>
        <v>173388.90000000002</v>
      </c>
      <c r="S1250" s="273"/>
      <c r="T1250" s="273">
        <f>SUM(T1068:T1249)</f>
        <v>1011.4</v>
      </c>
      <c r="U1250" s="273"/>
      <c r="V1250" s="273">
        <f>SUM(V1068:V1249)</f>
        <v>0</v>
      </c>
      <c r="W1250" s="273"/>
      <c r="X1250" s="273">
        <f>SUM(X1068:X1249)</f>
        <v>0</v>
      </c>
      <c r="Y1250" s="273"/>
      <c r="Z1250" s="273">
        <f>SUM(Z1068:Z1249)</f>
        <v>0</v>
      </c>
    </row>
    <row r="1251" spans="1:26" ht="15" customHeight="1">
      <c r="A1251" s="250"/>
      <c r="B1251" s="251"/>
      <c r="C1251" s="453"/>
      <c r="D1251" s="330"/>
      <c r="E1251" s="251"/>
      <c r="F1251" s="252"/>
      <c r="G1251" s="253"/>
      <c r="H1251" s="254"/>
      <c r="I1251" s="253"/>
      <c r="J1251" s="253"/>
      <c r="K1251" s="251"/>
      <c r="L1251" s="261"/>
      <c r="M1251" s="258"/>
      <c r="N1251" s="494">
        <f>N1250/$N$1928</f>
        <v>0.22066292453816916</v>
      </c>
      <c r="O1251" s="258"/>
      <c r="P1251" s="257"/>
      <c r="Q1251" s="258"/>
      <c r="R1251" s="257"/>
      <c r="S1251" s="258"/>
      <c r="T1251" s="257"/>
      <c r="U1251" s="258"/>
      <c r="V1251" s="257"/>
      <c r="W1251" s="258"/>
      <c r="X1251" s="257"/>
      <c r="Y1251" s="258"/>
      <c r="Z1251" s="257"/>
    </row>
    <row r="1252" spans="1:26" ht="15">
      <c r="A1252" s="250"/>
      <c r="B1252" s="251"/>
      <c r="C1252" s="453" t="s">
        <v>1575</v>
      </c>
      <c r="D1252" s="330" t="s">
        <v>1580</v>
      </c>
      <c r="E1252" s="251"/>
      <c r="F1252" s="252"/>
      <c r="G1252" s="253"/>
      <c r="H1252" s="254"/>
      <c r="I1252" s="253"/>
      <c r="J1252" s="253"/>
      <c r="K1252" s="251"/>
      <c r="L1252" s="261"/>
      <c r="M1252" s="258"/>
      <c r="N1252" s="257"/>
      <c r="O1252" s="258"/>
      <c r="P1252" s="257"/>
      <c r="Q1252" s="258"/>
      <c r="R1252" s="257"/>
      <c r="S1252" s="258"/>
      <c r="T1252" s="257"/>
      <c r="U1252" s="258"/>
      <c r="V1252" s="257"/>
      <c r="W1252" s="258"/>
      <c r="X1252" s="257"/>
      <c r="Y1252" s="258"/>
      <c r="Z1252" s="257"/>
    </row>
    <row r="1253" spans="1:26" ht="15">
      <c r="A1253" s="250">
        <f>A1247+1</f>
        <v>218</v>
      </c>
      <c r="B1253" s="251"/>
      <c r="C1253" s="526" t="s">
        <v>429</v>
      </c>
      <c r="D1253" s="526" t="s">
        <v>430</v>
      </c>
      <c r="E1253" s="251" t="s">
        <v>1620</v>
      </c>
      <c r="F1253" s="304">
        <f>M1253+O1253+Q1253+S1253+U1253+W1253+Y1253</f>
        <v>0</v>
      </c>
      <c r="G1253" s="253">
        <f>L1253</f>
        <v>0.84</v>
      </c>
      <c r="H1253" s="254">
        <f>INT(F1253*G1253*100+0.5)/100</f>
        <v>0</v>
      </c>
      <c r="I1253" s="253">
        <f>N1253+P1253+R1253+T1253+V1253+X1253+Z1253</f>
        <v>0</v>
      </c>
      <c r="J1253" s="253"/>
      <c r="K1253" s="251" t="s">
        <v>1620</v>
      </c>
      <c r="L1253" s="663">
        <v>0.84</v>
      </c>
      <c r="M1253" s="258">
        <v>0</v>
      </c>
      <c r="N1253" s="257">
        <f>INT($L1253*M1253*100+0.5)/100</f>
        <v>0</v>
      </c>
      <c r="O1253" s="258">
        <v>0</v>
      </c>
      <c r="P1253" s="257">
        <f>INT($L1253*O1253*100+0.5)/100</f>
        <v>0</v>
      </c>
      <c r="Q1253" s="258">
        <v>0</v>
      </c>
      <c r="R1253" s="257">
        <f>INT($L1253*Q1253*100+0.5)/100</f>
        <v>0</v>
      </c>
      <c r="S1253" s="258">
        <v>0</v>
      </c>
      <c r="T1253" s="257">
        <f>INT($L1253*S1253*100+0.5)/100</f>
        <v>0</v>
      </c>
      <c r="U1253" s="258">
        <v>0</v>
      </c>
      <c r="V1253" s="257">
        <f>INT($L1253*U1253*100+0.5)/100</f>
        <v>0</v>
      </c>
      <c r="W1253" s="258">
        <v>0</v>
      </c>
      <c r="X1253" s="257">
        <f>INT($L1253*W1253*100+0.5)/100</f>
        <v>0</v>
      </c>
      <c r="Y1253" s="258">
        <v>0</v>
      </c>
      <c r="Z1253" s="257">
        <f>INT($L1253*Y1253*100+0.5)/100</f>
        <v>0</v>
      </c>
    </row>
    <row r="1254" spans="1:26" ht="25.5">
      <c r="A1254" s="250"/>
      <c r="B1254" s="251"/>
      <c r="C1254" s="251"/>
      <c r="D1254" s="526" t="s">
        <v>431</v>
      </c>
      <c r="E1254" s="251"/>
      <c r="F1254" s="252"/>
      <c r="G1254" s="253"/>
      <c r="H1254" s="254"/>
      <c r="I1254" s="253"/>
      <c r="J1254" s="253"/>
      <c r="K1254" s="251"/>
      <c r="L1254" s="255"/>
      <c r="M1254" s="258"/>
      <c r="N1254" s="257"/>
      <c r="O1254" s="258"/>
      <c r="P1254" s="257"/>
      <c r="Q1254" s="258"/>
      <c r="R1254" s="257"/>
      <c r="S1254" s="258"/>
      <c r="T1254" s="257"/>
      <c r="U1254" s="258"/>
      <c r="V1254" s="257"/>
      <c r="W1254" s="258"/>
      <c r="X1254" s="257"/>
      <c r="Y1254" s="258"/>
      <c r="Z1254" s="257"/>
    </row>
    <row r="1255" spans="1:26" ht="15">
      <c r="A1255" s="250"/>
      <c r="B1255" s="251"/>
      <c r="C1255" s="251"/>
      <c r="D1255" s="292"/>
      <c r="E1255" s="251"/>
      <c r="F1255" s="252"/>
      <c r="G1255" s="253"/>
      <c r="H1255" s="254"/>
      <c r="I1255" s="253"/>
      <c r="J1255" s="253"/>
      <c r="K1255" s="251"/>
      <c r="L1255" s="255"/>
      <c r="M1255" s="258"/>
      <c r="N1255" s="257"/>
      <c r="O1255" s="258"/>
      <c r="P1255" s="257"/>
      <c r="Q1255" s="258"/>
      <c r="R1255" s="257"/>
      <c r="S1255" s="258"/>
      <c r="T1255" s="257"/>
      <c r="U1255" s="258"/>
      <c r="V1255" s="257"/>
      <c r="W1255" s="258"/>
      <c r="X1255" s="257"/>
      <c r="Y1255" s="258"/>
      <c r="Z1255" s="257"/>
    </row>
    <row r="1256" spans="1:26" ht="15">
      <c r="A1256" s="250">
        <f>A1253+1</f>
        <v>219</v>
      </c>
      <c r="B1256" s="251"/>
      <c r="C1256" s="526" t="s">
        <v>526</v>
      </c>
      <c r="D1256" s="526" t="s">
        <v>522</v>
      </c>
      <c r="E1256" s="251" t="s">
        <v>1620</v>
      </c>
      <c r="F1256" s="304">
        <f>M1256+O1256+Q1256+S1256+U1256+W1256+Y1256</f>
        <v>0</v>
      </c>
      <c r="G1256" s="253">
        <f>L1256</f>
        <v>1.06</v>
      </c>
      <c r="H1256" s="254">
        <f>INT(F1256*G1256*100+0.5)/100</f>
        <v>0</v>
      </c>
      <c r="I1256" s="253">
        <f>N1256+P1256+R1256+T1256+V1256+X1256+Z1256</f>
        <v>0</v>
      </c>
      <c r="J1256" s="253"/>
      <c r="K1256" s="251" t="s">
        <v>1620</v>
      </c>
      <c r="L1256" s="663">
        <v>1.06</v>
      </c>
      <c r="M1256" s="258">
        <v>0</v>
      </c>
      <c r="N1256" s="257">
        <f>INT($L1256*M1256*100+0.5)/100</f>
        <v>0</v>
      </c>
      <c r="O1256" s="258">
        <v>0</v>
      </c>
      <c r="P1256" s="257">
        <f>INT($L1256*O1256*100+0.5)/100</f>
        <v>0</v>
      </c>
      <c r="Q1256" s="258">
        <v>0</v>
      </c>
      <c r="R1256" s="257">
        <f>INT($L1256*Q1256*100+0.5)/100</f>
        <v>0</v>
      </c>
      <c r="S1256" s="258">
        <v>0</v>
      </c>
      <c r="T1256" s="257">
        <f>INT($L1256*S1256*100+0.5)/100</f>
        <v>0</v>
      </c>
      <c r="U1256" s="258">
        <v>0</v>
      </c>
      <c r="V1256" s="257">
        <f>INT($L1256*U1256*100+0.5)/100</f>
        <v>0</v>
      </c>
      <c r="W1256" s="258">
        <v>0</v>
      </c>
      <c r="X1256" s="257">
        <f>INT($L1256*W1256*100+0.5)/100</f>
        <v>0</v>
      </c>
      <c r="Y1256" s="258">
        <v>0</v>
      </c>
      <c r="Z1256" s="257">
        <f>INT($L1256*Y1256*100+0.5)/100</f>
        <v>0</v>
      </c>
    </row>
    <row r="1257" spans="1:26" ht="25.5">
      <c r="A1257" s="250"/>
      <c r="B1257" s="251"/>
      <c r="C1257" s="251"/>
      <c r="D1257" s="526" t="s">
        <v>523</v>
      </c>
      <c r="E1257" s="251"/>
      <c r="F1257" s="252"/>
      <c r="G1257" s="253"/>
      <c r="H1257" s="254"/>
      <c r="I1257" s="253"/>
      <c r="J1257" s="253"/>
      <c r="K1257" s="251"/>
      <c r="L1257" s="255"/>
      <c r="M1257" s="258"/>
      <c r="N1257" s="257"/>
      <c r="O1257" s="258"/>
      <c r="P1257" s="257"/>
      <c r="Q1257" s="258"/>
      <c r="R1257" s="257"/>
      <c r="S1257" s="258"/>
      <c r="T1257" s="257"/>
      <c r="U1257" s="258"/>
      <c r="V1257" s="257"/>
      <c r="W1257" s="258"/>
      <c r="X1257" s="257"/>
      <c r="Y1257" s="258"/>
      <c r="Z1257" s="257"/>
    </row>
    <row r="1258" spans="1:26" ht="15">
      <c r="A1258" s="250"/>
      <c r="B1258" s="251"/>
      <c r="C1258" s="251"/>
      <c r="D1258" s="292"/>
      <c r="E1258" s="251"/>
      <c r="F1258" s="252"/>
      <c r="G1258" s="253"/>
      <c r="H1258" s="254"/>
      <c r="I1258" s="253"/>
      <c r="J1258" s="253"/>
      <c r="K1258" s="251"/>
      <c r="L1258" s="255"/>
      <c r="M1258" s="258"/>
      <c r="N1258" s="257"/>
      <c r="O1258" s="258"/>
      <c r="P1258" s="257"/>
      <c r="Q1258" s="258"/>
      <c r="R1258" s="257"/>
      <c r="S1258" s="258"/>
      <c r="T1258" s="257"/>
      <c r="U1258" s="258"/>
      <c r="V1258" s="257"/>
      <c r="W1258" s="258"/>
      <c r="X1258" s="257"/>
      <c r="Y1258" s="258"/>
      <c r="Z1258" s="257"/>
    </row>
    <row r="1259" spans="1:26" ht="15">
      <c r="A1259" s="250">
        <f>A1256+1</f>
        <v>220</v>
      </c>
      <c r="B1259" s="251"/>
      <c r="C1259" s="526" t="s">
        <v>527</v>
      </c>
      <c r="D1259" s="526" t="s">
        <v>524</v>
      </c>
      <c r="E1259" s="251" t="s">
        <v>1620</v>
      </c>
      <c r="F1259" s="304">
        <f>M1259+O1259+Q1259+S1259+U1259+W1259+Y1259</f>
        <v>0</v>
      </c>
      <c r="G1259" s="253">
        <f>L1259</f>
        <v>1.23</v>
      </c>
      <c r="H1259" s="254">
        <f>INT(F1259*G1259*100+0.5)/100</f>
        <v>0</v>
      </c>
      <c r="I1259" s="253">
        <f>N1259+P1259+R1259+T1259+V1259+X1259+Z1259</f>
        <v>0</v>
      </c>
      <c r="J1259" s="253"/>
      <c r="K1259" s="251" t="s">
        <v>1620</v>
      </c>
      <c r="L1259" s="663">
        <v>1.23</v>
      </c>
      <c r="M1259" s="258">
        <v>0</v>
      </c>
      <c r="N1259" s="257">
        <f>INT($L1259*M1259*100+0.5)/100</f>
        <v>0</v>
      </c>
      <c r="O1259" s="258">
        <v>0</v>
      </c>
      <c r="P1259" s="257">
        <f>INT($L1259*O1259*100+0.5)/100</f>
        <v>0</v>
      </c>
      <c r="Q1259" s="258">
        <v>0</v>
      </c>
      <c r="R1259" s="257">
        <f>INT($L1259*Q1259*100+0.5)/100</f>
        <v>0</v>
      </c>
      <c r="S1259" s="258">
        <v>0</v>
      </c>
      <c r="T1259" s="257">
        <f>INT($L1259*S1259*100+0.5)/100</f>
        <v>0</v>
      </c>
      <c r="U1259" s="258">
        <v>0</v>
      </c>
      <c r="V1259" s="257">
        <f>INT($L1259*U1259*100+0.5)/100</f>
        <v>0</v>
      </c>
      <c r="W1259" s="258">
        <v>0</v>
      </c>
      <c r="X1259" s="257">
        <f>INT($L1259*W1259*100+0.5)/100</f>
        <v>0</v>
      </c>
      <c r="Y1259" s="258">
        <v>0</v>
      </c>
      <c r="Z1259" s="257">
        <f>INT($L1259*Y1259*100+0.5)/100</f>
        <v>0</v>
      </c>
    </row>
    <row r="1260" spans="1:26" ht="25.5">
      <c r="A1260" s="250"/>
      <c r="B1260" s="251"/>
      <c r="C1260" s="251"/>
      <c r="D1260" s="526" t="s">
        <v>525</v>
      </c>
      <c r="E1260" s="251"/>
      <c r="F1260" s="252"/>
      <c r="G1260" s="253"/>
      <c r="H1260" s="254"/>
      <c r="I1260" s="253"/>
      <c r="J1260" s="253"/>
      <c r="K1260" s="251"/>
      <c r="L1260" s="255"/>
      <c r="M1260" s="258"/>
      <c r="N1260" s="257"/>
      <c r="O1260" s="258"/>
      <c r="P1260" s="257"/>
      <c r="Q1260" s="258"/>
      <c r="R1260" s="257"/>
      <c r="S1260" s="258"/>
      <c r="T1260" s="257"/>
      <c r="U1260" s="258"/>
      <c r="V1260" s="257"/>
      <c r="W1260" s="258"/>
      <c r="X1260" s="257"/>
      <c r="Y1260" s="258"/>
      <c r="Z1260" s="257"/>
    </row>
    <row r="1261" spans="1:26" ht="15">
      <c r="A1261" s="250"/>
      <c r="B1261" s="251"/>
      <c r="C1261" s="251"/>
      <c r="D1261" s="292"/>
      <c r="E1261" s="251"/>
      <c r="F1261" s="252"/>
      <c r="G1261" s="253"/>
      <c r="H1261" s="254"/>
      <c r="I1261" s="253"/>
      <c r="J1261" s="253"/>
      <c r="K1261" s="251"/>
      <c r="L1261" s="255"/>
      <c r="M1261" s="258"/>
      <c r="N1261" s="257"/>
      <c r="O1261" s="258"/>
      <c r="P1261" s="257"/>
      <c r="Q1261" s="258"/>
      <c r="R1261" s="257"/>
      <c r="S1261" s="258"/>
      <c r="T1261" s="257"/>
      <c r="U1261" s="258"/>
      <c r="V1261" s="257"/>
      <c r="W1261" s="258"/>
      <c r="X1261" s="257"/>
      <c r="Y1261" s="258"/>
      <c r="Z1261" s="257"/>
    </row>
    <row r="1262" spans="1:26" ht="15">
      <c r="A1262" s="250">
        <f>A1259+1</f>
        <v>221</v>
      </c>
      <c r="B1262" s="251"/>
      <c r="C1262" s="526" t="s">
        <v>847</v>
      </c>
      <c r="D1262" s="526" t="s">
        <v>269</v>
      </c>
      <c r="E1262" s="251" t="s">
        <v>1620</v>
      </c>
      <c r="F1262" s="304">
        <f>M1262+O1262+Q1262+S1262+U1262+W1262+Y1262</f>
        <v>6000</v>
      </c>
      <c r="G1262" s="253">
        <f>L1262</f>
        <v>2</v>
      </c>
      <c r="H1262" s="254">
        <f>INT(F1262*G1262*100+0.5)/100</f>
        <v>12000</v>
      </c>
      <c r="I1262" s="253">
        <f>N1262+P1262+R1262+T1262+V1262+X1262+Z1262</f>
        <v>12000</v>
      </c>
      <c r="J1262" s="253"/>
      <c r="K1262" s="251" t="s">
        <v>1620</v>
      </c>
      <c r="L1262" s="255">
        <v>2</v>
      </c>
      <c r="M1262" s="258">
        <v>0</v>
      </c>
      <c r="N1262" s="257">
        <f>INT($L1262*M1262*100+0.5)/100</f>
        <v>0</v>
      </c>
      <c r="O1262" s="258">
        <v>0</v>
      </c>
      <c r="P1262" s="257">
        <f>INT($L1262*O1262*100+0.5)/100</f>
        <v>0</v>
      </c>
      <c r="Q1262" s="258">
        <f>(35*2+5)*80</f>
        <v>6000</v>
      </c>
      <c r="R1262" s="257">
        <f>INT($L1262*Q1262*100+0.5)/100</f>
        <v>12000</v>
      </c>
      <c r="S1262" s="258">
        <v>0</v>
      </c>
      <c r="T1262" s="257">
        <f>INT($L1262*S1262*100+0.5)/100</f>
        <v>0</v>
      </c>
      <c r="U1262" s="258">
        <v>0</v>
      </c>
      <c r="V1262" s="257">
        <f>INT($L1262*U1262*100+0.5)/100</f>
        <v>0</v>
      </c>
      <c r="W1262" s="258">
        <v>0</v>
      </c>
      <c r="X1262" s="257">
        <f>INT($L1262*W1262*100+0.5)/100</f>
        <v>0</v>
      </c>
      <c r="Y1262" s="258">
        <v>0</v>
      </c>
      <c r="Z1262" s="257">
        <f>INT($L1262*Y1262*100+0.5)/100</f>
        <v>0</v>
      </c>
    </row>
    <row r="1263" spans="1:26" ht="25.5">
      <c r="A1263" s="250"/>
      <c r="B1263" s="251"/>
      <c r="C1263" s="251"/>
      <c r="D1263" s="526" t="s">
        <v>268</v>
      </c>
      <c r="E1263" s="251"/>
      <c r="F1263" s="252"/>
      <c r="G1263" s="253"/>
      <c r="H1263" s="254"/>
      <c r="I1263" s="253"/>
      <c r="J1263" s="253"/>
      <c r="K1263" s="251"/>
      <c r="L1263" s="255"/>
      <c r="M1263" s="258"/>
      <c r="N1263" s="257"/>
      <c r="O1263" s="258"/>
      <c r="P1263" s="257"/>
      <c r="Q1263" s="258"/>
      <c r="R1263" s="257"/>
      <c r="S1263" s="258"/>
      <c r="T1263" s="257"/>
      <c r="U1263" s="258"/>
      <c r="V1263" s="257"/>
      <c r="W1263" s="258"/>
      <c r="X1263" s="257"/>
      <c r="Y1263" s="258"/>
      <c r="Z1263" s="257"/>
    </row>
    <row r="1264" spans="1:26" ht="15">
      <c r="A1264" s="250"/>
      <c r="B1264" s="251"/>
      <c r="C1264" s="251"/>
      <c r="D1264" s="292"/>
      <c r="E1264" s="251"/>
      <c r="F1264" s="252"/>
      <c r="G1264" s="253"/>
      <c r="H1264" s="254"/>
      <c r="I1264" s="253"/>
      <c r="J1264" s="253"/>
      <c r="K1264" s="251"/>
      <c r="L1264" s="255"/>
      <c r="M1264" s="258"/>
      <c r="N1264" s="257"/>
      <c r="O1264" s="258"/>
      <c r="P1264" s="257"/>
      <c r="Q1264" s="258"/>
      <c r="R1264" s="257"/>
      <c r="S1264" s="258"/>
      <c r="T1264" s="257"/>
      <c r="U1264" s="258"/>
      <c r="V1264" s="257"/>
      <c r="W1264" s="258"/>
      <c r="X1264" s="257"/>
      <c r="Y1264" s="258"/>
      <c r="Z1264" s="257"/>
    </row>
    <row r="1265" spans="1:26" ht="15">
      <c r="A1265" s="250">
        <f>A1262+1</f>
        <v>222</v>
      </c>
      <c r="B1265" s="251"/>
      <c r="C1265" s="526" t="s">
        <v>374</v>
      </c>
      <c r="D1265" s="526" t="s">
        <v>271</v>
      </c>
      <c r="E1265" s="251" t="s">
        <v>1620</v>
      </c>
      <c r="F1265" s="304">
        <f>M1265+O1265+Q1265+S1265+U1265+W1265+Y1265</f>
        <v>240</v>
      </c>
      <c r="G1265" s="253">
        <f>L1265</f>
        <v>2.0699999999999998</v>
      </c>
      <c r="H1265" s="254">
        <f>INT(F1265*G1265*100+0.5)/100</f>
        <v>496.8</v>
      </c>
      <c r="I1265" s="253">
        <f>N1265+P1265+R1265+T1265+V1265+X1265+Z1265</f>
        <v>496.8</v>
      </c>
      <c r="J1265" s="253"/>
      <c r="K1265" s="251" t="s">
        <v>1620</v>
      </c>
      <c r="L1265" s="255">
        <v>2.0699999999999998</v>
      </c>
      <c r="M1265" s="258">
        <f>3*80</f>
        <v>240</v>
      </c>
      <c r="N1265" s="257">
        <f>INT($L1265*M1265*100+0.5)/100</f>
        <v>496.8</v>
      </c>
      <c r="O1265" s="258">
        <v>0</v>
      </c>
      <c r="P1265" s="257">
        <f>INT($L1265*O1265*100+0.5)/100</f>
        <v>0</v>
      </c>
      <c r="Q1265" s="258">
        <v>0</v>
      </c>
      <c r="R1265" s="257">
        <f>INT($L1265*Q1265*100+0.5)/100</f>
        <v>0</v>
      </c>
      <c r="S1265" s="258">
        <v>0</v>
      </c>
      <c r="T1265" s="257">
        <f>INT($L1265*S1265*100+0.5)/100</f>
        <v>0</v>
      </c>
      <c r="U1265" s="258">
        <v>0</v>
      </c>
      <c r="V1265" s="257">
        <f>INT($L1265*U1265*100+0.5)/100</f>
        <v>0</v>
      </c>
      <c r="W1265" s="258">
        <v>0</v>
      </c>
      <c r="X1265" s="257">
        <f>INT($L1265*W1265*100+0.5)/100</f>
        <v>0</v>
      </c>
      <c r="Y1265" s="258">
        <v>0</v>
      </c>
      <c r="Z1265" s="257">
        <f>INT($L1265*Y1265*100+0.5)/100</f>
        <v>0</v>
      </c>
    </row>
    <row r="1266" spans="1:26" ht="25.5">
      <c r="A1266" s="250"/>
      <c r="B1266" s="251"/>
      <c r="C1266" s="251"/>
      <c r="D1266" s="526" t="s">
        <v>270</v>
      </c>
      <c r="E1266" s="251"/>
      <c r="F1266" s="252"/>
      <c r="G1266" s="253"/>
      <c r="H1266" s="254"/>
      <c r="I1266" s="253"/>
      <c r="J1266" s="253"/>
      <c r="K1266" s="251"/>
      <c r="L1266" s="255"/>
      <c r="M1266" s="258"/>
      <c r="N1266" s="257"/>
      <c r="O1266" s="258"/>
      <c r="P1266" s="257"/>
      <c r="Q1266" s="258"/>
      <c r="R1266" s="257"/>
      <c r="S1266" s="258"/>
      <c r="T1266" s="257"/>
      <c r="U1266" s="258"/>
      <c r="V1266" s="257"/>
      <c r="W1266" s="258"/>
      <c r="X1266" s="257"/>
      <c r="Y1266" s="258"/>
      <c r="Z1266" s="257"/>
    </row>
    <row r="1267" spans="1:26" ht="15">
      <c r="A1267" s="250"/>
      <c r="B1267" s="251"/>
      <c r="C1267" s="251"/>
      <c r="D1267" s="292"/>
      <c r="E1267" s="251"/>
      <c r="F1267" s="252"/>
      <c r="G1267" s="253"/>
      <c r="H1267" s="254"/>
      <c r="I1267" s="253"/>
      <c r="J1267" s="253"/>
      <c r="K1267" s="251"/>
      <c r="L1267" s="255"/>
      <c r="M1267" s="258"/>
      <c r="N1267" s="257"/>
      <c r="O1267" s="258"/>
      <c r="P1267" s="257"/>
      <c r="Q1267" s="258"/>
      <c r="R1267" s="257"/>
      <c r="S1267" s="258"/>
      <c r="T1267" s="257"/>
      <c r="U1267" s="258"/>
      <c r="V1267" s="257"/>
      <c r="W1267" s="258"/>
      <c r="X1267" s="257"/>
      <c r="Y1267" s="258"/>
      <c r="Z1267" s="257"/>
    </row>
    <row r="1268" spans="1:26" ht="15">
      <c r="A1268" s="250">
        <f>A1265+1</f>
        <v>223</v>
      </c>
      <c r="B1268" s="251"/>
      <c r="C1268" s="526" t="s">
        <v>375</v>
      </c>
      <c r="D1268" s="526" t="s">
        <v>497</v>
      </c>
      <c r="E1268" s="251" t="s">
        <v>1620</v>
      </c>
      <c r="F1268" s="304">
        <f>M1268+O1268+Q1268+S1268+U1268+W1268+Y1268</f>
        <v>0</v>
      </c>
      <c r="G1268" s="253">
        <f>L1268</f>
        <v>2.87</v>
      </c>
      <c r="H1268" s="254">
        <f>INT(F1268*G1268*100+0.5)/100</f>
        <v>0</v>
      </c>
      <c r="I1268" s="253">
        <f>N1268+P1268+R1268+T1268+V1268+X1268+Z1268</f>
        <v>0</v>
      </c>
      <c r="J1268" s="253"/>
      <c r="K1268" s="251" t="s">
        <v>1620</v>
      </c>
      <c r="L1268" s="663">
        <v>2.87</v>
      </c>
      <c r="M1268" s="258">
        <v>0</v>
      </c>
      <c r="N1268" s="257">
        <f>INT($L1268*M1268*100+0.5)/100</f>
        <v>0</v>
      </c>
      <c r="O1268" s="258">
        <v>0</v>
      </c>
      <c r="P1268" s="257">
        <f>INT($L1268*O1268*100+0.5)/100</f>
        <v>0</v>
      </c>
      <c r="Q1268" s="258">
        <v>0</v>
      </c>
      <c r="R1268" s="257">
        <f>INT($L1268*Q1268*100+0.5)/100</f>
        <v>0</v>
      </c>
      <c r="S1268" s="258">
        <v>0</v>
      </c>
      <c r="T1268" s="257">
        <f>INT($L1268*S1268*100+0.5)/100</f>
        <v>0</v>
      </c>
      <c r="U1268" s="258">
        <v>0</v>
      </c>
      <c r="V1268" s="257">
        <f>INT($L1268*U1268*100+0.5)/100</f>
        <v>0</v>
      </c>
      <c r="W1268" s="258">
        <v>0</v>
      </c>
      <c r="X1268" s="257">
        <f>INT($L1268*W1268*100+0.5)/100</f>
        <v>0</v>
      </c>
      <c r="Y1268" s="258">
        <v>0</v>
      </c>
      <c r="Z1268" s="257">
        <f>INT($L1268*Y1268*100+0.5)/100</f>
        <v>0</v>
      </c>
    </row>
    <row r="1269" spans="1:26" ht="25.5">
      <c r="A1269" s="250"/>
      <c r="B1269" s="251"/>
      <c r="C1269" s="251"/>
      <c r="D1269" s="526" t="s">
        <v>496</v>
      </c>
      <c r="E1269" s="251"/>
      <c r="F1269" s="252"/>
      <c r="G1269" s="253"/>
      <c r="H1269" s="254"/>
      <c r="I1269" s="253"/>
      <c r="J1269" s="253"/>
      <c r="K1269" s="251"/>
      <c r="L1269" s="663"/>
      <c r="M1269" s="258"/>
      <c r="N1269" s="257"/>
      <c r="O1269" s="258"/>
      <c r="P1269" s="257"/>
      <c r="Q1269" s="258"/>
      <c r="R1269" s="257"/>
      <c r="S1269" s="258"/>
      <c r="T1269" s="257"/>
      <c r="U1269" s="258"/>
      <c r="V1269" s="257"/>
      <c r="W1269" s="258"/>
      <c r="X1269" s="257"/>
      <c r="Y1269" s="258"/>
      <c r="Z1269" s="257"/>
    </row>
    <row r="1270" spans="1:26" ht="15">
      <c r="A1270" s="250"/>
      <c r="B1270" s="251"/>
      <c r="C1270" s="251"/>
      <c r="D1270" s="292"/>
      <c r="E1270" s="251"/>
      <c r="F1270" s="252"/>
      <c r="G1270" s="253"/>
      <c r="H1270" s="254"/>
      <c r="I1270" s="253"/>
      <c r="J1270" s="253"/>
      <c r="K1270" s="251"/>
      <c r="L1270" s="663"/>
      <c r="M1270" s="258"/>
      <c r="N1270" s="257"/>
      <c r="O1270" s="258"/>
      <c r="P1270" s="257"/>
      <c r="Q1270" s="258"/>
      <c r="R1270" s="257"/>
      <c r="S1270" s="258"/>
      <c r="T1270" s="257"/>
      <c r="U1270" s="258"/>
      <c r="V1270" s="257"/>
      <c r="W1270" s="258"/>
      <c r="X1270" s="257"/>
      <c r="Y1270" s="258"/>
      <c r="Z1270" s="257"/>
    </row>
    <row r="1271" spans="1:26" ht="15">
      <c r="A1271" s="250">
        <f>A1268+1</f>
        <v>224</v>
      </c>
      <c r="B1271" s="251"/>
      <c r="C1271" s="526" t="s">
        <v>376</v>
      </c>
      <c r="D1271" s="526" t="s">
        <v>499</v>
      </c>
      <c r="E1271" s="251" t="s">
        <v>1620</v>
      </c>
      <c r="F1271" s="304">
        <f>M1271+O1271+Q1271+S1271+U1271+W1271+Y1271</f>
        <v>0</v>
      </c>
      <c r="G1271" s="253">
        <f>L1271</f>
        <v>3.25</v>
      </c>
      <c r="H1271" s="254">
        <f>INT(F1271*G1271*100+0.5)/100</f>
        <v>0</v>
      </c>
      <c r="I1271" s="253">
        <f>N1271+P1271+R1271+T1271+V1271+X1271+Z1271</f>
        <v>0</v>
      </c>
      <c r="J1271" s="253"/>
      <c r="K1271" s="251" t="s">
        <v>1620</v>
      </c>
      <c r="L1271" s="663">
        <v>3.25</v>
      </c>
      <c r="M1271" s="258">
        <v>0</v>
      </c>
      <c r="N1271" s="257">
        <f>INT($L1271*M1271*100+0.5)/100</f>
        <v>0</v>
      </c>
      <c r="O1271" s="258">
        <v>0</v>
      </c>
      <c r="P1271" s="257">
        <f>INT($L1271*O1271*100+0.5)/100</f>
        <v>0</v>
      </c>
      <c r="Q1271" s="258">
        <v>0</v>
      </c>
      <c r="R1271" s="257">
        <f>INT($L1271*Q1271*100+0.5)/100</f>
        <v>0</v>
      </c>
      <c r="S1271" s="258">
        <v>0</v>
      </c>
      <c r="T1271" s="257">
        <f>INT($L1271*S1271*100+0.5)/100</f>
        <v>0</v>
      </c>
      <c r="U1271" s="258">
        <v>0</v>
      </c>
      <c r="V1271" s="257">
        <f>INT($L1271*U1271*100+0.5)/100</f>
        <v>0</v>
      </c>
      <c r="W1271" s="258">
        <v>0</v>
      </c>
      <c r="X1271" s="257">
        <f>INT($L1271*W1271*100+0.5)/100</f>
        <v>0</v>
      </c>
      <c r="Y1271" s="258">
        <v>0</v>
      </c>
      <c r="Z1271" s="257">
        <f>INT($L1271*Y1271*100+0.5)/100</f>
        <v>0</v>
      </c>
    </row>
    <row r="1272" spans="1:26" ht="25.5">
      <c r="A1272" s="250"/>
      <c r="B1272" s="251"/>
      <c r="C1272" s="251"/>
      <c r="D1272" s="526" t="s">
        <v>498</v>
      </c>
      <c r="E1272" s="251"/>
      <c r="F1272" s="252"/>
      <c r="G1272" s="253"/>
      <c r="H1272" s="254"/>
      <c r="I1272" s="253"/>
      <c r="J1272" s="253"/>
      <c r="K1272" s="251"/>
      <c r="L1272" s="663"/>
      <c r="M1272" s="258"/>
      <c r="N1272" s="257"/>
      <c r="O1272" s="258"/>
      <c r="P1272" s="257"/>
      <c r="Q1272" s="258"/>
      <c r="R1272" s="257"/>
      <c r="S1272" s="258"/>
      <c r="T1272" s="257"/>
      <c r="U1272" s="258"/>
      <c r="V1272" s="257"/>
      <c r="W1272" s="258"/>
      <c r="X1272" s="257"/>
      <c r="Y1272" s="258"/>
      <c r="Z1272" s="257"/>
    </row>
    <row r="1273" spans="1:26" ht="15">
      <c r="A1273" s="250"/>
      <c r="B1273" s="251"/>
      <c r="C1273" s="251"/>
      <c r="D1273" s="292"/>
      <c r="E1273" s="251"/>
      <c r="F1273" s="252"/>
      <c r="G1273" s="253"/>
      <c r="H1273" s="254"/>
      <c r="I1273" s="253"/>
      <c r="J1273" s="253"/>
      <c r="K1273" s="251"/>
      <c r="L1273" s="663"/>
      <c r="M1273" s="258"/>
      <c r="N1273" s="257"/>
      <c r="O1273" s="258"/>
      <c r="P1273" s="257"/>
      <c r="Q1273" s="258"/>
      <c r="R1273" s="257"/>
      <c r="S1273" s="258"/>
      <c r="T1273" s="257"/>
      <c r="U1273" s="258"/>
      <c r="V1273" s="257"/>
      <c r="W1273" s="258"/>
      <c r="X1273" s="257"/>
      <c r="Y1273" s="258"/>
      <c r="Z1273" s="257"/>
    </row>
    <row r="1274" spans="1:26" ht="15">
      <c r="A1274" s="250">
        <f>A1271+1</f>
        <v>225</v>
      </c>
      <c r="B1274" s="251"/>
      <c r="C1274" s="526" t="s">
        <v>377</v>
      </c>
      <c r="D1274" s="526" t="s">
        <v>304</v>
      </c>
      <c r="E1274" s="251" t="s">
        <v>1620</v>
      </c>
      <c r="F1274" s="304">
        <f>M1274+O1274+Q1274+S1274+U1274+W1274+Y1274</f>
        <v>0</v>
      </c>
      <c r="G1274" s="253">
        <f>L1274</f>
        <v>5.0599999999999996</v>
      </c>
      <c r="H1274" s="254">
        <f>INT(F1274*G1274*100+0.5)/100</f>
        <v>0</v>
      </c>
      <c r="I1274" s="253">
        <f>N1274+P1274+R1274+T1274+V1274+X1274+Z1274</f>
        <v>0</v>
      </c>
      <c r="J1274" s="253"/>
      <c r="K1274" s="251" t="s">
        <v>1620</v>
      </c>
      <c r="L1274" s="663">
        <v>5.0599999999999996</v>
      </c>
      <c r="M1274" s="258">
        <v>0</v>
      </c>
      <c r="N1274" s="257">
        <f>INT($L1274*M1274*100+0.5)/100</f>
        <v>0</v>
      </c>
      <c r="O1274" s="258">
        <v>0</v>
      </c>
      <c r="P1274" s="257">
        <f>INT($L1274*O1274*100+0.5)/100</f>
        <v>0</v>
      </c>
      <c r="Q1274" s="258">
        <v>0</v>
      </c>
      <c r="R1274" s="257">
        <f>INT($L1274*Q1274*100+0.5)/100</f>
        <v>0</v>
      </c>
      <c r="S1274" s="258">
        <v>0</v>
      </c>
      <c r="T1274" s="257">
        <f>INT($L1274*S1274*100+0.5)/100</f>
        <v>0</v>
      </c>
      <c r="U1274" s="258">
        <v>0</v>
      </c>
      <c r="V1274" s="257">
        <f>INT($L1274*U1274*100+0.5)/100</f>
        <v>0</v>
      </c>
      <c r="W1274" s="258">
        <v>0</v>
      </c>
      <c r="X1274" s="257">
        <f>INT($L1274*W1274*100+0.5)/100</f>
        <v>0</v>
      </c>
      <c r="Y1274" s="258">
        <v>0</v>
      </c>
      <c r="Z1274" s="257">
        <f>INT($L1274*Y1274*100+0.5)/100</f>
        <v>0</v>
      </c>
    </row>
    <row r="1275" spans="1:26" ht="25.5">
      <c r="A1275" s="250"/>
      <c r="B1275" s="251"/>
      <c r="C1275" s="251"/>
      <c r="D1275" s="526" t="s">
        <v>303</v>
      </c>
      <c r="E1275" s="251"/>
      <c r="F1275" s="252"/>
      <c r="G1275" s="253"/>
      <c r="H1275" s="254"/>
      <c r="I1275" s="253"/>
      <c r="J1275" s="253"/>
      <c r="K1275" s="251"/>
      <c r="L1275" s="663"/>
      <c r="M1275" s="258"/>
      <c r="N1275" s="257"/>
      <c r="O1275" s="258"/>
      <c r="P1275" s="257"/>
      <c r="Q1275" s="258"/>
      <c r="R1275" s="257"/>
      <c r="S1275" s="258"/>
      <c r="T1275" s="257"/>
      <c r="U1275" s="258"/>
      <c r="V1275" s="257"/>
      <c r="W1275" s="258"/>
      <c r="X1275" s="257"/>
      <c r="Y1275" s="258"/>
      <c r="Z1275" s="257"/>
    </row>
    <row r="1276" spans="1:26" ht="15">
      <c r="A1276" s="250"/>
      <c r="B1276" s="251"/>
      <c r="C1276" s="251"/>
      <c r="D1276" s="292"/>
      <c r="E1276" s="251"/>
      <c r="F1276" s="252"/>
      <c r="G1276" s="253"/>
      <c r="H1276" s="254"/>
      <c r="I1276" s="253"/>
      <c r="J1276" s="253"/>
      <c r="K1276" s="251"/>
      <c r="L1276" s="663"/>
      <c r="M1276" s="258"/>
      <c r="N1276" s="257"/>
      <c r="O1276" s="258"/>
      <c r="P1276" s="257"/>
      <c r="Q1276" s="258"/>
      <c r="R1276" s="257"/>
      <c r="S1276" s="258"/>
      <c r="T1276" s="257"/>
      <c r="U1276" s="258"/>
      <c r="V1276" s="257"/>
      <c r="W1276" s="258"/>
      <c r="X1276" s="257"/>
      <c r="Y1276" s="258"/>
      <c r="Z1276" s="257"/>
    </row>
    <row r="1277" spans="1:26" ht="15">
      <c r="A1277" s="250">
        <f>A1274+1</f>
        <v>226</v>
      </c>
      <c r="B1277" s="251"/>
      <c r="C1277" s="526" t="s">
        <v>2153</v>
      </c>
      <c r="D1277" s="526" t="s">
        <v>433</v>
      </c>
      <c r="E1277" s="251" t="s">
        <v>1901</v>
      </c>
      <c r="F1277" s="304">
        <f>M1277+O1277+Q1277+S1277+U1277+W1277+Y1277</f>
        <v>0</v>
      </c>
      <c r="G1277" s="253">
        <f>L1277</f>
        <v>5.9</v>
      </c>
      <c r="H1277" s="254">
        <f>INT(F1277*G1277*100+0.5)/100</f>
        <v>0</v>
      </c>
      <c r="I1277" s="253">
        <f>N1277+P1277+R1277+T1277+V1277+X1277+Z1277</f>
        <v>0</v>
      </c>
      <c r="J1277" s="253"/>
      <c r="K1277" s="251" t="s">
        <v>1901</v>
      </c>
      <c r="L1277" s="663">
        <v>5.9</v>
      </c>
      <c r="M1277" s="258">
        <v>0</v>
      </c>
      <c r="N1277" s="257">
        <f>INT($L1277*M1277*100+0.5)/100</f>
        <v>0</v>
      </c>
      <c r="O1277" s="258">
        <v>0</v>
      </c>
      <c r="P1277" s="257">
        <f>INT($L1277*O1277*100+0.5)/100</f>
        <v>0</v>
      </c>
      <c r="Q1277" s="258">
        <v>0</v>
      </c>
      <c r="R1277" s="257">
        <f>INT($L1277*Q1277*100+0.5)/100</f>
        <v>0</v>
      </c>
      <c r="S1277" s="258">
        <v>0</v>
      </c>
      <c r="T1277" s="257">
        <f>INT($L1277*S1277*100+0.5)/100</f>
        <v>0</v>
      </c>
      <c r="U1277" s="258">
        <v>0</v>
      </c>
      <c r="V1277" s="257">
        <f>INT($L1277*U1277*100+0.5)/100</f>
        <v>0</v>
      </c>
      <c r="W1277" s="258">
        <v>0</v>
      </c>
      <c r="X1277" s="257">
        <f>INT($L1277*W1277*100+0.5)/100</f>
        <v>0</v>
      </c>
      <c r="Y1277" s="258">
        <v>0</v>
      </c>
      <c r="Z1277" s="257">
        <f>INT($L1277*Y1277*100+0.5)/100</f>
        <v>0</v>
      </c>
    </row>
    <row r="1278" spans="1:26" ht="25.5">
      <c r="A1278" s="250"/>
      <c r="B1278" s="251"/>
      <c r="C1278" s="251"/>
      <c r="D1278" s="526" t="s">
        <v>432</v>
      </c>
      <c r="E1278" s="251"/>
      <c r="F1278" s="252"/>
      <c r="G1278" s="253"/>
      <c r="H1278" s="254"/>
      <c r="I1278" s="253"/>
      <c r="J1278" s="253"/>
      <c r="K1278" s="251"/>
      <c r="L1278" s="261"/>
      <c r="M1278" s="258"/>
      <c r="N1278" s="257"/>
      <c r="O1278" s="258"/>
      <c r="P1278" s="257"/>
      <c r="Q1278" s="258"/>
      <c r="R1278" s="257"/>
      <c r="S1278" s="258"/>
      <c r="T1278" s="257"/>
      <c r="U1278" s="258"/>
      <c r="V1278" s="257"/>
      <c r="W1278" s="258"/>
      <c r="X1278" s="257"/>
      <c r="Y1278" s="258"/>
      <c r="Z1278" s="257"/>
    </row>
    <row r="1279" spans="1:26" ht="15" customHeight="1">
      <c r="A1279" s="250"/>
      <c r="B1279" s="251"/>
      <c r="C1279" s="251"/>
      <c r="D1279" s="526"/>
      <c r="E1279" s="251"/>
      <c r="F1279" s="252"/>
      <c r="G1279" s="253"/>
      <c r="H1279" s="254"/>
      <c r="I1279" s="253"/>
      <c r="J1279" s="253"/>
      <c r="K1279" s="251"/>
      <c r="L1279" s="261"/>
      <c r="M1279" s="258"/>
      <c r="N1279" s="257"/>
      <c r="O1279" s="258"/>
      <c r="P1279" s="257"/>
      <c r="Q1279" s="258"/>
      <c r="R1279" s="257"/>
      <c r="S1279" s="258"/>
      <c r="T1279" s="257"/>
      <c r="U1279" s="258"/>
      <c r="V1279" s="257"/>
      <c r="W1279" s="258"/>
      <c r="X1279" s="257"/>
      <c r="Y1279" s="258"/>
      <c r="Z1279" s="257"/>
    </row>
    <row r="1280" spans="1:26" s="303" customFormat="1" ht="15" customHeight="1">
      <c r="A1280" s="298"/>
      <c r="B1280" s="299"/>
      <c r="C1280" s="267" t="s">
        <v>1575</v>
      </c>
      <c r="D1280" s="333" t="s">
        <v>1580</v>
      </c>
      <c r="E1280" s="299"/>
      <c r="F1280" s="301"/>
      <c r="G1280" s="273"/>
      <c r="H1280" s="273"/>
      <c r="I1280" s="272">
        <f>N1280+P1280+R1280+T1280+V1280+X1280+Z1280</f>
        <v>12496.8</v>
      </c>
      <c r="J1280" s="269">
        <f>SUM(N1280:Z1280)</f>
        <v>12496.8</v>
      </c>
      <c r="K1280" s="299"/>
      <c r="L1280" s="271"/>
      <c r="M1280" s="273"/>
      <c r="N1280" s="273">
        <f>SUM(N1253:N1279)</f>
        <v>496.8</v>
      </c>
      <c r="O1280" s="273"/>
      <c r="P1280" s="273">
        <f>SUM(P1253:P1279)</f>
        <v>0</v>
      </c>
      <c r="Q1280" s="273"/>
      <c r="R1280" s="273">
        <f>SUM(R1253:R1279)</f>
        <v>12000</v>
      </c>
      <c r="S1280" s="273"/>
      <c r="T1280" s="273">
        <f>SUM(T1253:T1279)</f>
        <v>0</v>
      </c>
      <c r="U1280" s="273"/>
      <c r="V1280" s="273">
        <f>SUM(V1253:V1279)</f>
        <v>0</v>
      </c>
      <c r="W1280" s="273"/>
      <c r="X1280" s="273">
        <f>SUM(X1253:X1279)</f>
        <v>0</v>
      </c>
      <c r="Y1280" s="273"/>
      <c r="Z1280" s="273">
        <f>SUM(Z1253:Z1279)</f>
        <v>0</v>
      </c>
    </row>
    <row r="1281" spans="1:26" ht="15" customHeight="1">
      <c r="A1281" s="250"/>
      <c r="B1281" s="251"/>
      <c r="C1281" s="453"/>
      <c r="D1281" s="330"/>
      <c r="E1281" s="251"/>
      <c r="F1281" s="252"/>
      <c r="G1281" s="253"/>
      <c r="H1281" s="254"/>
      <c r="I1281" s="253"/>
      <c r="J1281" s="253"/>
      <c r="K1281" s="251"/>
      <c r="L1281" s="261"/>
      <c r="M1281" s="258"/>
      <c r="N1281" s="494">
        <f>N1280/$N$1928</f>
        <v>2.4743870064798256E-3</v>
      </c>
      <c r="O1281" s="258"/>
      <c r="P1281" s="257"/>
      <c r="Q1281" s="258"/>
      <c r="R1281" s="257"/>
      <c r="S1281" s="258"/>
      <c r="T1281" s="257"/>
      <c r="U1281" s="258"/>
      <c r="V1281" s="257"/>
      <c r="W1281" s="258"/>
      <c r="X1281" s="257"/>
      <c r="Y1281" s="258"/>
      <c r="Z1281" s="257"/>
    </row>
    <row r="1282" spans="1:26" ht="25.5">
      <c r="A1282" s="250"/>
      <c r="B1282" s="251"/>
      <c r="C1282" s="453" t="s">
        <v>1579</v>
      </c>
      <c r="D1282" s="330" t="s">
        <v>1581</v>
      </c>
      <c r="E1282" s="251"/>
      <c r="F1282" s="252"/>
      <c r="G1282" s="253"/>
      <c r="H1282" s="254"/>
      <c r="I1282" s="253"/>
      <c r="J1282" s="253"/>
      <c r="K1282" s="251"/>
      <c r="L1282" s="261"/>
      <c r="M1282" s="258"/>
      <c r="N1282" s="257"/>
      <c r="O1282" s="258"/>
      <c r="P1282" s="257"/>
      <c r="Q1282" s="258"/>
      <c r="R1282" s="257"/>
      <c r="S1282" s="258"/>
      <c r="T1282" s="257"/>
      <c r="U1282" s="258"/>
      <c r="V1282" s="257"/>
      <c r="W1282" s="258"/>
      <c r="X1282" s="257"/>
      <c r="Y1282" s="258"/>
      <c r="Z1282" s="257"/>
    </row>
    <row r="1283" spans="1:26" ht="25.5">
      <c r="A1283" s="250">
        <f>A1277+1</f>
        <v>227</v>
      </c>
      <c r="B1283" s="251"/>
      <c r="C1283" s="526" t="s">
        <v>2154</v>
      </c>
      <c r="D1283" s="526" t="s">
        <v>501</v>
      </c>
      <c r="E1283" s="251" t="s">
        <v>1901</v>
      </c>
      <c r="F1283" s="304">
        <f>M1283+O1283+Q1283+S1283+U1283+W1283+Y1283</f>
        <v>0</v>
      </c>
      <c r="G1283" s="253">
        <f>L1283</f>
        <v>221.95</v>
      </c>
      <c r="H1283" s="254">
        <f>INT(F1283*G1283*100+0.5)/100</f>
        <v>0</v>
      </c>
      <c r="I1283" s="253">
        <f>N1283+P1283+R1283+T1283+V1283+X1283+Z1283</f>
        <v>0</v>
      </c>
      <c r="J1283" s="253"/>
      <c r="K1283" s="251" t="s">
        <v>1901</v>
      </c>
      <c r="L1283" s="663">
        <v>221.95</v>
      </c>
      <c r="M1283" s="258">
        <v>0</v>
      </c>
      <c r="N1283" s="257">
        <f>INT($L1283*M1283*100+0.5)/100</f>
        <v>0</v>
      </c>
      <c r="O1283" s="258">
        <v>0</v>
      </c>
      <c r="P1283" s="257">
        <f>INT($L1283*O1283*100+0.5)/100</f>
        <v>0</v>
      </c>
      <c r="Q1283" s="258">
        <v>0</v>
      </c>
      <c r="R1283" s="257">
        <f>INT($L1283*Q1283*100+0.5)/100</f>
        <v>0</v>
      </c>
      <c r="S1283" s="258">
        <v>0</v>
      </c>
      <c r="T1283" s="257">
        <f>INT($L1283*S1283*100+0.5)/100</f>
        <v>0</v>
      </c>
      <c r="U1283" s="258">
        <v>0</v>
      </c>
      <c r="V1283" s="257">
        <f>INT($L1283*U1283*100+0.5)/100</f>
        <v>0</v>
      </c>
      <c r="W1283" s="258">
        <v>0</v>
      </c>
      <c r="X1283" s="257">
        <f>INT($L1283*W1283*100+0.5)/100</f>
        <v>0</v>
      </c>
      <c r="Y1283" s="258">
        <v>0</v>
      </c>
      <c r="Z1283" s="257">
        <f>INT($L1283*Y1283*100+0.5)/100</f>
        <v>0</v>
      </c>
    </row>
    <row r="1284" spans="1:26" ht="15" customHeight="1">
      <c r="A1284" s="250"/>
      <c r="B1284" s="251"/>
      <c r="C1284" s="251"/>
      <c r="D1284" s="526" t="s">
        <v>500</v>
      </c>
      <c r="E1284" s="251"/>
      <c r="F1284" s="252"/>
      <c r="G1284" s="253"/>
      <c r="H1284" s="254"/>
      <c r="I1284" s="253"/>
      <c r="J1284" s="253"/>
      <c r="K1284" s="251"/>
      <c r="L1284" s="255"/>
      <c r="M1284" s="258"/>
      <c r="N1284" s="257"/>
      <c r="O1284" s="258"/>
      <c r="P1284" s="257"/>
      <c r="Q1284" s="258"/>
      <c r="R1284" s="257"/>
      <c r="S1284" s="258"/>
      <c r="T1284" s="257"/>
      <c r="U1284" s="258"/>
      <c r="V1284" s="257"/>
      <c r="W1284" s="258"/>
      <c r="X1284" s="257"/>
      <c r="Y1284" s="258"/>
      <c r="Z1284" s="257"/>
    </row>
    <row r="1285" spans="1:26" ht="15" customHeight="1">
      <c r="A1285" s="250"/>
      <c r="B1285" s="251"/>
      <c r="C1285" s="251"/>
      <c r="D1285" s="292"/>
      <c r="E1285" s="251"/>
      <c r="F1285" s="252"/>
      <c r="G1285" s="253"/>
      <c r="H1285" s="254"/>
      <c r="I1285" s="253"/>
      <c r="J1285" s="253"/>
      <c r="K1285" s="251"/>
      <c r="L1285" s="255"/>
      <c r="M1285" s="258"/>
      <c r="N1285" s="257"/>
      <c r="O1285" s="258"/>
      <c r="P1285" s="257"/>
      <c r="Q1285" s="258"/>
      <c r="R1285" s="257"/>
      <c r="S1285" s="258"/>
      <c r="T1285" s="257"/>
      <c r="U1285" s="258"/>
      <c r="V1285" s="257"/>
      <c r="W1285" s="258"/>
      <c r="X1285" s="257"/>
      <c r="Y1285" s="258"/>
      <c r="Z1285" s="257"/>
    </row>
    <row r="1286" spans="1:26" ht="25.5">
      <c r="A1286" s="250">
        <f>A1283+1</f>
        <v>228</v>
      </c>
      <c r="B1286" s="251"/>
      <c r="C1286" s="526" t="s">
        <v>2155</v>
      </c>
      <c r="D1286" s="526" t="s">
        <v>2123</v>
      </c>
      <c r="E1286" s="251" t="s">
        <v>1901</v>
      </c>
      <c r="F1286" s="304">
        <f>M1286+O1286+Q1286+S1286+U1286+W1286+Y1286</f>
        <v>0</v>
      </c>
      <c r="G1286" s="253">
        <f>L1286</f>
        <v>272.27999999999997</v>
      </c>
      <c r="H1286" s="254">
        <f>INT(F1286*G1286*100+0.5)/100</f>
        <v>0</v>
      </c>
      <c r="I1286" s="253">
        <f>N1286+P1286+R1286+T1286+V1286+X1286+Z1286</f>
        <v>0</v>
      </c>
      <c r="J1286" s="253"/>
      <c r="K1286" s="251" t="s">
        <v>1901</v>
      </c>
      <c r="L1286" s="663">
        <v>272.27999999999997</v>
      </c>
      <c r="M1286" s="258">
        <v>0</v>
      </c>
      <c r="N1286" s="257">
        <f>INT($L1286*M1286*100+0.5)/100</f>
        <v>0</v>
      </c>
      <c r="O1286" s="258">
        <v>0</v>
      </c>
      <c r="P1286" s="257">
        <f>INT($L1286*O1286*100+0.5)/100</f>
        <v>0</v>
      </c>
      <c r="Q1286" s="258">
        <v>0</v>
      </c>
      <c r="R1286" s="257">
        <f>INT($L1286*Q1286*100+0.5)/100</f>
        <v>0</v>
      </c>
      <c r="S1286" s="258">
        <v>0</v>
      </c>
      <c r="T1286" s="257">
        <f>INT($L1286*S1286*100+0.5)/100</f>
        <v>0</v>
      </c>
      <c r="U1286" s="258">
        <v>0</v>
      </c>
      <c r="V1286" s="257">
        <f>INT($L1286*U1286*100+0.5)/100</f>
        <v>0</v>
      </c>
      <c r="W1286" s="258">
        <v>0</v>
      </c>
      <c r="X1286" s="257">
        <f>INT($L1286*W1286*100+0.5)/100</f>
        <v>0</v>
      </c>
      <c r="Y1286" s="258">
        <v>0</v>
      </c>
      <c r="Z1286" s="257">
        <f>INT($L1286*Y1286*100+0.5)/100</f>
        <v>0</v>
      </c>
    </row>
    <row r="1287" spans="1:26" ht="15" customHeight="1">
      <c r="A1287" s="250"/>
      <c r="B1287" s="251"/>
      <c r="C1287" s="251"/>
      <c r="D1287" s="526" t="s">
        <v>2122</v>
      </c>
      <c r="E1287" s="251"/>
      <c r="F1287" s="252"/>
      <c r="G1287" s="253"/>
      <c r="H1287" s="254"/>
      <c r="I1287" s="253"/>
      <c r="J1287" s="253"/>
      <c r="K1287" s="251"/>
      <c r="L1287" s="255"/>
      <c r="M1287" s="258"/>
      <c r="N1287" s="257"/>
      <c r="O1287" s="258"/>
      <c r="P1287" s="257"/>
      <c r="Q1287" s="258"/>
      <c r="R1287" s="257"/>
      <c r="S1287" s="258"/>
      <c r="T1287" s="257"/>
      <c r="U1287" s="258"/>
      <c r="V1287" s="257"/>
      <c r="W1287" s="258"/>
      <c r="X1287" s="257"/>
      <c r="Y1287" s="258"/>
      <c r="Z1287" s="257"/>
    </row>
    <row r="1288" spans="1:26" ht="15" customHeight="1">
      <c r="A1288" s="250"/>
      <c r="B1288" s="251"/>
      <c r="C1288" s="251"/>
      <c r="D1288" s="292"/>
      <c r="E1288" s="251"/>
      <c r="F1288" s="252"/>
      <c r="G1288" s="253"/>
      <c r="H1288" s="254"/>
      <c r="I1288" s="253"/>
      <c r="J1288" s="253"/>
      <c r="K1288" s="251"/>
      <c r="L1288" s="255"/>
      <c r="M1288" s="258"/>
      <c r="N1288" s="257"/>
      <c r="O1288" s="258"/>
      <c r="P1288" s="257"/>
      <c r="Q1288" s="258"/>
      <c r="R1288" s="257"/>
      <c r="S1288" s="258"/>
      <c r="T1288" s="257"/>
      <c r="U1288" s="258"/>
      <c r="V1288" s="257"/>
      <c r="W1288" s="258"/>
      <c r="X1288" s="257"/>
      <c r="Y1288" s="258"/>
      <c r="Z1288" s="257"/>
    </row>
    <row r="1289" spans="1:26" ht="25.5">
      <c r="A1289" s="250">
        <f>A1286+1</f>
        <v>229</v>
      </c>
      <c r="B1289" s="251"/>
      <c r="C1289" s="534" t="s">
        <v>506</v>
      </c>
      <c r="D1289" s="526" t="s">
        <v>507</v>
      </c>
      <c r="E1289" s="251" t="s">
        <v>1901</v>
      </c>
      <c r="F1289" s="304">
        <f>M1289+O1289+Q1289+S1289+U1289+W1289+Y1289</f>
        <v>0</v>
      </c>
      <c r="G1289" s="253">
        <f>L1289</f>
        <v>340</v>
      </c>
      <c r="H1289" s="254">
        <f>INT(F1289*G1289*100+0.5)/100</f>
        <v>0</v>
      </c>
      <c r="I1289" s="253">
        <f>N1289+P1289+R1289+T1289+V1289+X1289+Z1289</f>
        <v>0</v>
      </c>
      <c r="J1289" s="253"/>
      <c r="K1289" s="251" t="s">
        <v>1901</v>
      </c>
      <c r="L1289" s="666">
        <v>340</v>
      </c>
      <c r="M1289" s="258">
        <v>0</v>
      </c>
      <c r="N1289" s="257">
        <f>INT($L1289*M1289*100+0.5)/100</f>
        <v>0</v>
      </c>
      <c r="O1289" s="258">
        <v>0</v>
      </c>
      <c r="P1289" s="257">
        <f>INT($L1289*O1289*100+0.5)/100</f>
        <v>0</v>
      </c>
      <c r="Q1289" s="258">
        <v>0</v>
      </c>
      <c r="R1289" s="257">
        <f>INT($L1289*Q1289*100+0.5)/100</f>
        <v>0</v>
      </c>
      <c r="S1289" s="258">
        <v>0</v>
      </c>
      <c r="T1289" s="257">
        <f>INT($L1289*S1289*100+0.5)/100</f>
        <v>0</v>
      </c>
      <c r="U1289" s="258">
        <v>0</v>
      </c>
      <c r="V1289" s="257">
        <f>INT($L1289*U1289*100+0.5)/100</f>
        <v>0</v>
      </c>
      <c r="W1289" s="258">
        <v>0</v>
      </c>
      <c r="X1289" s="257">
        <f>INT($L1289*W1289*100+0.5)/100</f>
        <v>0</v>
      </c>
      <c r="Y1289" s="258">
        <v>0</v>
      </c>
      <c r="Z1289" s="257">
        <f>INT($L1289*Y1289*100+0.5)/100</f>
        <v>0</v>
      </c>
    </row>
    <row r="1290" spans="1:26" ht="15" customHeight="1">
      <c r="A1290" s="250"/>
      <c r="B1290" s="251"/>
      <c r="C1290" s="251"/>
      <c r="D1290" s="526" t="s">
        <v>508</v>
      </c>
      <c r="E1290" s="251"/>
      <c r="F1290" s="252"/>
      <c r="G1290" s="253"/>
      <c r="H1290" s="254"/>
      <c r="I1290" s="253"/>
      <c r="J1290" s="253"/>
      <c r="K1290" s="251"/>
      <c r="L1290" s="255"/>
      <c r="M1290" s="258"/>
      <c r="N1290" s="257"/>
      <c r="O1290" s="258"/>
      <c r="P1290" s="257"/>
      <c r="Q1290" s="258"/>
      <c r="R1290" s="257"/>
      <c r="S1290" s="258"/>
      <c r="T1290" s="257"/>
      <c r="U1290" s="258"/>
      <c r="V1290" s="257"/>
      <c r="W1290" s="258"/>
      <c r="X1290" s="257"/>
      <c r="Y1290" s="258"/>
      <c r="Z1290" s="257"/>
    </row>
    <row r="1291" spans="1:26" ht="15" customHeight="1">
      <c r="A1291" s="250"/>
      <c r="B1291" s="251"/>
      <c r="C1291" s="251"/>
      <c r="D1291" s="292"/>
      <c r="E1291" s="251"/>
      <c r="F1291" s="252"/>
      <c r="G1291" s="253"/>
      <c r="H1291" s="254"/>
      <c r="I1291" s="253"/>
      <c r="J1291" s="253"/>
      <c r="K1291" s="251"/>
      <c r="L1291" s="255"/>
      <c r="M1291" s="258"/>
      <c r="N1291" s="257"/>
      <c r="O1291" s="258"/>
      <c r="P1291" s="257"/>
      <c r="Q1291" s="258"/>
      <c r="R1291" s="257"/>
      <c r="S1291" s="258"/>
      <c r="T1291" s="257"/>
      <c r="U1291" s="258"/>
      <c r="V1291" s="257"/>
      <c r="W1291" s="258"/>
      <c r="X1291" s="257"/>
      <c r="Y1291" s="258"/>
      <c r="Z1291" s="257"/>
    </row>
    <row r="1292" spans="1:26" ht="25.5">
      <c r="A1292" s="250">
        <f>A1289+1</f>
        <v>230</v>
      </c>
      <c r="B1292" s="251"/>
      <c r="C1292" s="526" t="s">
        <v>2156</v>
      </c>
      <c r="D1292" s="526" t="s">
        <v>1440</v>
      </c>
      <c r="E1292" s="251" t="s">
        <v>1901</v>
      </c>
      <c r="F1292" s="304">
        <f>M1292+O1292+Q1292+S1292+U1292+W1292+Y1292</f>
        <v>0</v>
      </c>
      <c r="G1292" s="253">
        <f>L1292</f>
        <v>201.64</v>
      </c>
      <c r="H1292" s="254">
        <f>INT(F1292*G1292*100+0.5)/100</f>
        <v>0</v>
      </c>
      <c r="I1292" s="253">
        <f>N1292+P1292+R1292+T1292+V1292+X1292+Z1292</f>
        <v>0</v>
      </c>
      <c r="J1292" s="253"/>
      <c r="K1292" s="251" t="s">
        <v>1901</v>
      </c>
      <c r="L1292" s="663">
        <v>201.64</v>
      </c>
      <c r="M1292" s="258">
        <v>0</v>
      </c>
      <c r="N1292" s="257">
        <f>INT($L1292*M1292*100+0.5)/100</f>
        <v>0</v>
      </c>
      <c r="O1292" s="258">
        <v>0</v>
      </c>
      <c r="P1292" s="257">
        <f>INT($L1292*O1292*100+0.5)/100</f>
        <v>0</v>
      </c>
      <c r="Q1292" s="258">
        <v>0</v>
      </c>
      <c r="R1292" s="257">
        <f>INT($L1292*Q1292*100+0.5)/100</f>
        <v>0</v>
      </c>
      <c r="S1292" s="258">
        <v>0</v>
      </c>
      <c r="T1292" s="257">
        <f>INT($L1292*S1292*100+0.5)/100</f>
        <v>0</v>
      </c>
      <c r="U1292" s="258">
        <v>0</v>
      </c>
      <c r="V1292" s="257">
        <f>INT($L1292*U1292*100+0.5)/100</f>
        <v>0</v>
      </c>
      <c r="W1292" s="258">
        <v>0</v>
      </c>
      <c r="X1292" s="257">
        <f>INT($L1292*W1292*100+0.5)/100</f>
        <v>0</v>
      </c>
      <c r="Y1292" s="258">
        <v>0</v>
      </c>
      <c r="Z1292" s="257">
        <f>INT($L1292*Y1292*100+0.5)/100</f>
        <v>0</v>
      </c>
    </row>
    <row r="1293" spans="1:26" ht="15" customHeight="1">
      <c r="A1293" s="250"/>
      <c r="B1293" s="251"/>
      <c r="C1293" s="251"/>
      <c r="D1293" s="526" t="s">
        <v>1441</v>
      </c>
      <c r="E1293" s="251"/>
      <c r="F1293" s="252"/>
      <c r="G1293" s="253"/>
      <c r="H1293" s="254"/>
      <c r="I1293" s="253"/>
      <c r="J1293" s="253"/>
      <c r="K1293" s="251"/>
      <c r="L1293" s="663"/>
      <c r="M1293" s="258"/>
      <c r="N1293" s="257"/>
      <c r="O1293" s="258"/>
      <c r="P1293" s="257"/>
      <c r="Q1293" s="258"/>
      <c r="R1293" s="257"/>
      <c r="S1293" s="258"/>
      <c r="T1293" s="257"/>
      <c r="U1293" s="258"/>
      <c r="V1293" s="257"/>
      <c r="W1293" s="258"/>
      <c r="X1293" s="257"/>
      <c r="Y1293" s="258"/>
      <c r="Z1293" s="257"/>
    </row>
    <row r="1294" spans="1:26" ht="15" customHeight="1">
      <c r="A1294" s="250"/>
      <c r="B1294" s="251"/>
      <c r="C1294" s="251"/>
      <c r="D1294" s="292"/>
      <c r="E1294" s="251"/>
      <c r="F1294" s="252"/>
      <c r="G1294" s="253"/>
      <c r="H1294" s="254"/>
      <c r="I1294" s="253"/>
      <c r="J1294" s="253"/>
      <c r="K1294" s="251"/>
      <c r="L1294" s="663"/>
      <c r="M1294" s="258"/>
      <c r="N1294" s="257"/>
      <c r="O1294" s="258"/>
      <c r="P1294" s="257"/>
      <c r="Q1294" s="258"/>
      <c r="R1294" s="257"/>
      <c r="S1294" s="258"/>
      <c r="T1294" s="257"/>
      <c r="U1294" s="258"/>
      <c r="V1294" s="257"/>
      <c r="W1294" s="258"/>
      <c r="X1294" s="257"/>
      <c r="Y1294" s="258"/>
      <c r="Z1294" s="257"/>
    </row>
    <row r="1295" spans="1:26" ht="25.5">
      <c r="A1295" s="250">
        <f>A1292+1</f>
        <v>231</v>
      </c>
      <c r="B1295" s="251"/>
      <c r="C1295" s="526" t="s">
        <v>2157</v>
      </c>
      <c r="D1295" s="526" t="s">
        <v>2125</v>
      </c>
      <c r="E1295" s="251" t="s">
        <v>1901</v>
      </c>
      <c r="F1295" s="304">
        <f>M1295+O1295+Q1295+S1295+U1295+W1295+Y1295</f>
        <v>0</v>
      </c>
      <c r="G1295" s="253">
        <f>L1295</f>
        <v>260.72000000000003</v>
      </c>
      <c r="H1295" s="254">
        <f>INT(F1295*G1295*100+0.5)/100</f>
        <v>0</v>
      </c>
      <c r="I1295" s="253">
        <f>N1295+P1295+R1295+T1295+V1295+X1295+Z1295</f>
        <v>0</v>
      </c>
      <c r="J1295" s="253"/>
      <c r="K1295" s="251" t="s">
        <v>1901</v>
      </c>
      <c r="L1295" s="663">
        <v>260.72000000000003</v>
      </c>
      <c r="M1295" s="258">
        <v>0</v>
      </c>
      <c r="N1295" s="257">
        <f>INT($L1295*M1295*100+0.5)/100</f>
        <v>0</v>
      </c>
      <c r="O1295" s="258">
        <v>0</v>
      </c>
      <c r="P1295" s="257">
        <f>INT($L1295*O1295*100+0.5)/100</f>
        <v>0</v>
      </c>
      <c r="Q1295" s="258">
        <v>0</v>
      </c>
      <c r="R1295" s="257">
        <f>INT($L1295*Q1295*100+0.5)/100</f>
        <v>0</v>
      </c>
      <c r="S1295" s="258">
        <v>0</v>
      </c>
      <c r="T1295" s="257">
        <f>INT($L1295*S1295*100+0.5)/100</f>
        <v>0</v>
      </c>
      <c r="U1295" s="258">
        <v>0</v>
      </c>
      <c r="V1295" s="257">
        <f>INT($L1295*U1295*100+0.5)/100</f>
        <v>0</v>
      </c>
      <c r="W1295" s="258">
        <v>0</v>
      </c>
      <c r="X1295" s="257">
        <f>INT($L1295*W1295*100+0.5)/100</f>
        <v>0</v>
      </c>
      <c r="Y1295" s="258">
        <v>0</v>
      </c>
      <c r="Z1295" s="257">
        <f>INT($L1295*Y1295*100+0.5)/100</f>
        <v>0</v>
      </c>
    </row>
    <row r="1296" spans="1:26" ht="15" customHeight="1">
      <c r="A1296" s="250"/>
      <c r="B1296" s="251"/>
      <c r="C1296" s="251"/>
      <c r="D1296" s="526" t="s">
        <v>2124</v>
      </c>
      <c r="E1296" s="251"/>
      <c r="F1296" s="252"/>
      <c r="G1296" s="253"/>
      <c r="H1296" s="254"/>
      <c r="I1296" s="253"/>
      <c r="J1296" s="253"/>
      <c r="K1296" s="251"/>
      <c r="L1296" s="255"/>
      <c r="M1296" s="258"/>
      <c r="N1296" s="257"/>
      <c r="O1296" s="258"/>
      <c r="P1296" s="257"/>
      <c r="Q1296" s="258"/>
      <c r="R1296" s="257"/>
      <c r="S1296" s="258"/>
      <c r="T1296" s="257"/>
      <c r="U1296" s="258"/>
      <c r="V1296" s="257"/>
      <c r="W1296" s="258"/>
      <c r="X1296" s="257"/>
      <c r="Y1296" s="258"/>
      <c r="Z1296" s="257"/>
    </row>
    <row r="1297" spans="1:26" ht="15" customHeight="1">
      <c r="A1297" s="250"/>
      <c r="B1297" s="251"/>
      <c r="C1297" s="251"/>
      <c r="D1297" s="292"/>
      <c r="E1297" s="251"/>
      <c r="F1297" s="252"/>
      <c r="G1297" s="253"/>
      <c r="H1297" s="254"/>
      <c r="I1297" s="253"/>
      <c r="J1297" s="253"/>
      <c r="K1297" s="251"/>
      <c r="L1297" s="255"/>
      <c r="M1297" s="258"/>
      <c r="N1297" s="257"/>
      <c r="O1297" s="258"/>
      <c r="P1297" s="257"/>
      <c r="Q1297" s="258"/>
      <c r="R1297" s="257"/>
      <c r="S1297" s="258"/>
      <c r="T1297" s="257"/>
      <c r="U1297" s="258"/>
      <c r="V1297" s="257"/>
      <c r="W1297" s="258"/>
      <c r="X1297" s="257"/>
      <c r="Y1297" s="258"/>
      <c r="Z1297" s="257"/>
    </row>
    <row r="1298" spans="1:26" ht="25.5">
      <c r="A1298" s="250">
        <f>A1295+1</f>
        <v>232</v>
      </c>
      <c r="B1298" s="251"/>
      <c r="C1298" s="657" t="s">
        <v>339</v>
      </c>
      <c r="D1298" s="526" t="s">
        <v>378</v>
      </c>
      <c r="E1298" s="251" t="s">
        <v>1901</v>
      </c>
      <c r="F1298" s="304">
        <f>M1298+O1298+Q1298+S1298+U1298+W1298+Y1298</f>
        <v>3</v>
      </c>
      <c r="G1298" s="253">
        <f t="shared" ref="G1298:G1361" si="211">L1298</f>
        <v>336</v>
      </c>
      <c r="H1298" s="254">
        <f>INT(F1298*G1298*100+0.5)/100</f>
        <v>1008</v>
      </c>
      <c r="I1298" s="253">
        <f>N1298+P1298+R1298+T1298+V1298+X1298+Z1298</f>
        <v>1008</v>
      </c>
      <c r="J1298" s="253"/>
      <c r="K1298" s="251" t="s">
        <v>1901</v>
      </c>
      <c r="L1298" s="262">
        <v>336</v>
      </c>
      <c r="M1298" s="258">
        <v>3</v>
      </c>
      <c r="N1298" s="257">
        <f>INT($L1298*M1298*100+0.5)/100</f>
        <v>1008</v>
      </c>
      <c r="O1298" s="258">
        <v>0</v>
      </c>
      <c r="P1298" s="257">
        <f>INT($L1298*O1298*100+0.5)/100</f>
        <v>0</v>
      </c>
      <c r="Q1298" s="258">
        <v>0</v>
      </c>
      <c r="R1298" s="257">
        <f>INT($L1298*Q1298*100+0.5)/100</f>
        <v>0</v>
      </c>
      <c r="S1298" s="258">
        <v>0</v>
      </c>
      <c r="T1298" s="257">
        <f>INT($L1298*S1298*100+0.5)/100</f>
        <v>0</v>
      </c>
      <c r="U1298" s="258">
        <v>0</v>
      </c>
      <c r="V1298" s="257">
        <f>INT($L1298*U1298*100+0.5)/100</f>
        <v>0</v>
      </c>
      <c r="W1298" s="258">
        <v>0</v>
      </c>
      <c r="X1298" s="257">
        <f>INT($L1298*W1298*100+0.5)/100</f>
        <v>0</v>
      </c>
      <c r="Y1298" s="258">
        <v>0</v>
      </c>
      <c r="Z1298" s="257">
        <f>INT($L1298*Y1298*100+0.5)/100</f>
        <v>0</v>
      </c>
    </row>
    <row r="1299" spans="1:26" ht="15" customHeight="1">
      <c r="A1299" s="250"/>
      <c r="B1299" s="251"/>
      <c r="C1299" s="251"/>
      <c r="D1299" s="526" t="s">
        <v>379</v>
      </c>
      <c r="E1299" s="251"/>
      <c r="F1299" s="252"/>
      <c r="G1299" s="253"/>
      <c r="H1299" s="254"/>
      <c r="I1299" s="253"/>
      <c r="J1299" s="253"/>
      <c r="K1299" s="251"/>
      <c r="L1299" s="261"/>
      <c r="M1299" s="258"/>
      <c r="N1299" s="257"/>
      <c r="O1299" s="258"/>
      <c r="P1299" s="257"/>
      <c r="Q1299" s="258"/>
      <c r="R1299" s="257"/>
      <c r="S1299" s="258"/>
      <c r="T1299" s="257"/>
      <c r="U1299" s="258"/>
      <c r="V1299" s="257"/>
      <c r="W1299" s="258"/>
      <c r="X1299" s="257"/>
      <c r="Y1299" s="258"/>
      <c r="Z1299" s="257"/>
    </row>
    <row r="1300" spans="1:26" s="247" customFormat="1" ht="15" customHeight="1">
      <c r="A1300" s="284"/>
      <c r="B1300" s="237"/>
      <c r="C1300" s="237"/>
      <c r="D1300" s="238"/>
      <c r="E1300" s="237"/>
      <c r="F1300" s="304"/>
      <c r="G1300" s="253"/>
      <c r="H1300" s="244"/>
      <c r="I1300" s="240"/>
      <c r="J1300" s="240"/>
      <c r="K1300" s="237"/>
      <c r="L1300" s="243"/>
      <c r="M1300" s="289"/>
      <c r="N1300" s="245"/>
      <c r="O1300" s="289"/>
      <c r="P1300" s="245"/>
      <c r="Q1300" s="289"/>
      <c r="R1300" s="245"/>
      <c r="S1300" s="289"/>
      <c r="T1300" s="245"/>
      <c r="U1300" s="289"/>
      <c r="V1300" s="245"/>
      <c r="W1300" s="289"/>
      <c r="X1300" s="245"/>
      <c r="Y1300" s="289"/>
      <c r="Z1300" s="245"/>
    </row>
    <row r="1301" spans="1:26" ht="15" customHeight="1">
      <c r="A1301" s="250">
        <f>A1298+1</f>
        <v>233</v>
      </c>
      <c r="B1301" s="251"/>
      <c r="C1301" s="526" t="s">
        <v>848</v>
      </c>
      <c r="D1301" s="526" t="s">
        <v>2277</v>
      </c>
      <c r="E1301" s="251" t="s">
        <v>1901</v>
      </c>
      <c r="F1301" s="304">
        <f>M1301+O1301+Q1301+S1301+U1301+W1301+Y1301</f>
        <v>75</v>
      </c>
      <c r="G1301" s="253">
        <f t="shared" si="211"/>
        <v>152.53</v>
      </c>
      <c r="H1301" s="254">
        <f>INT(F1301*G1301*100+0.5)/100</f>
        <v>11439.75</v>
      </c>
      <c r="I1301" s="253">
        <f>N1301+P1301+R1301+T1301+V1301+X1301+Z1301</f>
        <v>11439.75</v>
      </c>
      <c r="J1301" s="253"/>
      <c r="K1301" s="251" t="s">
        <v>1901</v>
      </c>
      <c r="L1301" s="255">
        <v>152.53</v>
      </c>
      <c r="M1301" s="258">
        <v>0</v>
      </c>
      <c r="N1301" s="257">
        <f>INT($L1301*M1301*100+0.5)/100</f>
        <v>0</v>
      </c>
      <c r="O1301" s="258">
        <v>0</v>
      </c>
      <c r="P1301" s="257">
        <f>INT($L1301*O1301*100+0.5)/100</f>
        <v>0</v>
      </c>
      <c r="Q1301" s="258">
        <v>75</v>
      </c>
      <c r="R1301" s="257">
        <f>INT($L1301*Q1301*100+0.5)/100</f>
        <v>11439.75</v>
      </c>
      <c r="S1301" s="258">
        <v>0</v>
      </c>
      <c r="T1301" s="257">
        <f>INT($L1301*S1301*100+0.5)/100</f>
        <v>0</v>
      </c>
      <c r="U1301" s="258">
        <v>0</v>
      </c>
      <c r="V1301" s="257">
        <f>INT($L1301*U1301*100+0.5)/100</f>
        <v>0</v>
      </c>
      <c r="W1301" s="258">
        <v>0</v>
      </c>
      <c r="X1301" s="257">
        <f>INT($L1301*W1301*100+0.5)/100</f>
        <v>0</v>
      </c>
      <c r="Y1301" s="258">
        <v>0</v>
      </c>
      <c r="Z1301" s="257">
        <f>INT($L1301*Y1301*100+0.5)/100</f>
        <v>0</v>
      </c>
    </row>
    <row r="1302" spans="1:26" ht="15" customHeight="1">
      <c r="A1302" s="250"/>
      <c r="B1302" s="251"/>
      <c r="C1302" s="251"/>
      <c r="D1302" s="526" t="s">
        <v>2278</v>
      </c>
      <c r="E1302" s="251"/>
      <c r="F1302" s="252"/>
      <c r="G1302" s="253"/>
      <c r="H1302" s="254"/>
      <c r="I1302" s="253"/>
      <c r="J1302" s="253"/>
      <c r="K1302" s="251"/>
      <c r="L1302" s="255"/>
      <c r="M1302" s="258"/>
      <c r="N1302" s="257"/>
      <c r="O1302" s="258"/>
      <c r="P1302" s="257"/>
      <c r="Q1302" s="258"/>
      <c r="R1302" s="257"/>
      <c r="S1302" s="258"/>
      <c r="T1302" s="257"/>
      <c r="U1302" s="258"/>
      <c r="V1302" s="257"/>
      <c r="W1302" s="258"/>
      <c r="X1302" s="257"/>
      <c r="Y1302" s="258"/>
      <c r="Z1302" s="257"/>
    </row>
    <row r="1303" spans="1:26" ht="15" customHeight="1">
      <c r="A1303" s="250"/>
      <c r="B1303" s="251"/>
      <c r="C1303" s="251"/>
      <c r="D1303" s="292"/>
      <c r="E1303" s="251"/>
      <c r="F1303" s="252"/>
      <c r="G1303" s="253"/>
      <c r="H1303" s="254"/>
      <c r="I1303" s="253"/>
      <c r="J1303" s="253"/>
      <c r="K1303" s="251"/>
      <c r="L1303" s="255"/>
      <c r="M1303" s="258"/>
      <c r="N1303" s="257"/>
      <c r="O1303" s="258"/>
      <c r="P1303" s="257"/>
      <c r="Q1303" s="258"/>
      <c r="R1303" s="257"/>
      <c r="S1303" s="258"/>
      <c r="T1303" s="257"/>
      <c r="U1303" s="258"/>
      <c r="V1303" s="257"/>
      <c r="W1303" s="258"/>
      <c r="X1303" s="257"/>
      <c r="Y1303" s="258"/>
      <c r="Z1303" s="257"/>
    </row>
    <row r="1304" spans="1:26" ht="15" customHeight="1">
      <c r="A1304" s="250">
        <f>A1301+1</f>
        <v>234</v>
      </c>
      <c r="B1304" s="251"/>
      <c r="C1304" s="526" t="s">
        <v>849</v>
      </c>
      <c r="D1304" s="526" t="s">
        <v>1043</v>
      </c>
      <c r="E1304" s="251" t="s">
        <v>1901</v>
      </c>
      <c r="F1304" s="304">
        <f>M1304+O1304+Q1304+S1304+U1304+W1304+Y1304</f>
        <v>75</v>
      </c>
      <c r="G1304" s="253">
        <f t="shared" si="211"/>
        <v>36.369999999999997</v>
      </c>
      <c r="H1304" s="254">
        <f>INT(F1304*G1304*100+0.5)/100</f>
        <v>2727.75</v>
      </c>
      <c r="I1304" s="253">
        <f>N1304+P1304+R1304+T1304+V1304+X1304+Z1304</f>
        <v>2727.75</v>
      </c>
      <c r="J1304" s="253"/>
      <c r="K1304" s="251" t="s">
        <v>1901</v>
      </c>
      <c r="L1304" s="255">
        <v>36.369999999999997</v>
      </c>
      <c r="M1304" s="258">
        <v>0</v>
      </c>
      <c r="N1304" s="257">
        <f>INT($L1304*M1304*100+0.5)/100</f>
        <v>0</v>
      </c>
      <c r="O1304" s="258">
        <v>0</v>
      </c>
      <c r="P1304" s="257">
        <f>INT($L1304*O1304*100+0.5)/100</f>
        <v>0</v>
      </c>
      <c r="Q1304" s="258">
        <v>75</v>
      </c>
      <c r="R1304" s="257">
        <f>INT($L1304*Q1304*100+0.5)/100</f>
        <v>2727.75</v>
      </c>
      <c r="S1304" s="258">
        <v>0</v>
      </c>
      <c r="T1304" s="257">
        <f>INT($L1304*S1304*100+0.5)/100</f>
        <v>0</v>
      </c>
      <c r="U1304" s="258">
        <v>0</v>
      </c>
      <c r="V1304" s="257">
        <f>INT($L1304*U1304*100+0.5)/100</f>
        <v>0</v>
      </c>
      <c r="W1304" s="258">
        <v>0</v>
      </c>
      <c r="X1304" s="257">
        <f>INT($L1304*W1304*100+0.5)/100</f>
        <v>0</v>
      </c>
      <c r="Y1304" s="258">
        <v>0</v>
      </c>
      <c r="Z1304" s="257">
        <f>INT($L1304*Y1304*100+0.5)/100</f>
        <v>0</v>
      </c>
    </row>
    <row r="1305" spans="1:26" ht="15" customHeight="1">
      <c r="A1305" s="250"/>
      <c r="B1305" s="251"/>
      <c r="C1305" s="251"/>
      <c r="D1305" s="526" t="s">
        <v>1042</v>
      </c>
      <c r="E1305" s="251"/>
      <c r="F1305" s="252"/>
      <c r="G1305" s="253"/>
      <c r="H1305" s="254"/>
      <c r="I1305" s="253"/>
      <c r="J1305" s="253"/>
      <c r="K1305" s="251"/>
      <c r="L1305" s="255"/>
      <c r="M1305" s="258"/>
      <c r="N1305" s="257"/>
      <c r="O1305" s="258"/>
      <c r="P1305" s="257"/>
      <c r="Q1305" s="258"/>
      <c r="R1305" s="257"/>
      <c r="S1305" s="258"/>
      <c r="T1305" s="257"/>
      <c r="U1305" s="258"/>
      <c r="V1305" s="257"/>
      <c r="W1305" s="258"/>
      <c r="X1305" s="257"/>
      <c r="Y1305" s="258"/>
      <c r="Z1305" s="257"/>
    </row>
    <row r="1306" spans="1:26" s="247" customFormat="1" ht="15" customHeight="1">
      <c r="A1306" s="284"/>
      <c r="B1306" s="237"/>
      <c r="C1306" s="237"/>
      <c r="D1306" s="238"/>
      <c r="E1306" s="237"/>
      <c r="F1306" s="304"/>
      <c r="G1306" s="253"/>
      <c r="H1306" s="244"/>
      <c r="I1306" s="240"/>
      <c r="J1306" s="240"/>
      <c r="K1306" s="237"/>
      <c r="L1306" s="243"/>
      <c r="M1306" s="289"/>
      <c r="N1306" s="245"/>
      <c r="O1306" s="289"/>
      <c r="P1306" s="245"/>
      <c r="Q1306" s="289"/>
      <c r="R1306" s="245"/>
      <c r="S1306" s="289"/>
      <c r="T1306" s="245"/>
      <c r="U1306" s="289"/>
      <c r="V1306" s="245"/>
      <c r="W1306" s="289"/>
      <c r="X1306" s="245"/>
      <c r="Y1306" s="289"/>
      <c r="Z1306" s="245"/>
    </row>
    <row r="1307" spans="1:26" ht="25.5">
      <c r="A1307" s="250">
        <f>A1304+1</f>
        <v>235</v>
      </c>
      <c r="B1307" s="251"/>
      <c r="C1307" s="532" t="s">
        <v>902</v>
      </c>
      <c r="D1307" s="532" t="s">
        <v>1390</v>
      </c>
      <c r="E1307" s="251" t="s">
        <v>1439</v>
      </c>
      <c r="F1307" s="304">
        <f>M1307+O1307+Q1307+S1307+U1307+W1307+Y1307</f>
        <v>0</v>
      </c>
      <c r="G1307" s="253">
        <f t="shared" si="211"/>
        <v>23.5</v>
      </c>
      <c r="H1307" s="254">
        <f>F1307*G1307</f>
        <v>0</v>
      </c>
      <c r="I1307" s="253">
        <f>N1307+P1307+R1307+T1307+V1307+X1307+Z1307</f>
        <v>0</v>
      </c>
      <c r="J1307" s="253"/>
      <c r="K1307" s="251" t="s">
        <v>1439</v>
      </c>
      <c r="L1307" s="663">
        <v>23.5</v>
      </c>
      <c r="M1307" s="258">
        <v>0</v>
      </c>
      <c r="N1307" s="257">
        <f>INT($L1307*M1307*100+0.5)/100</f>
        <v>0</v>
      </c>
      <c r="O1307" s="258">
        <v>0</v>
      </c>
      <c r="P1307" s="257">
        <f>INT($L1307*O1307*100+0.5)/100</f>
        <v>0</v>
      </c>
      <c r="Q1307" s="258">
        <v>0</v>
      </c>
      <c r="R1307" s="257">
        <f>INT($L1307*Q1307*100+0.5)/100</f>
        <v>0</v>
      </c>
      <c r="S1307" s="258">
        <v>0</v>
      </c>
      <c r="T1307" s="257">
        <f>INT($L1307*S1307*100+0.5)/100</f>
        <v>0</v>
      </c>
      <c r="U1307" s="258">
        <v>0</v>
      </c>
      <c r="V1307" s="257">
        <f>INT($L1307*U1307*100+0.5)/100</f>
        <v>0</v>
      </c>
      <c r="W1307" s="258">
        <v>0</v>
      </c>
      <c r="X1307" s="257">
        <f>INT($L1307*W1307*100+0.5)/100</f>
        <v>0</v>
      </c>
      <c r="Y1307" s="258">
        <v>0</v>
      </c>
      <c r="Z1307" s="257">
        <f>INT($L1307*Y1307*100+0.5)/100</f>
        <v>0</v>
      </c>
    </row>
    <row r="1308" spans="1:26" ht="25.5">
      <c r="A1308" s="250"/>
      <c r="B1308" s="251"/>
      <c r="C1308" s="326"/>
      <c r="D1308" s="532" t="s">
        <v>1381</v>
      </c>
      <c r="E1308" s="251"/>
      <c r="F1308" s="252"/>
      <c r="G1308" s="253"/>
      <c r="H1308" s="254"/>
      <c r="I1308" s="253"/>
      <c r="J1308" s="253"/>
      <c r="K1308" s="251"/>
      <c r="L1308" s="255"/>
      <c r="M1308" s="258"/>
      <c r="N1308" s="257"/>
      <c r="O1308" s="258"/>
      <c r="P1308" s="257"/>
      <c r="Q1308" s="258"/>
      <c r="R1308" s="257"/>
      <c r="S1308" s="258"/>
      <c r="T1308" s="257"/>
      <c r="U1308" s="258"/>
      <c r="V1308" s="257"/>
      <c r="W1308" s="258"/>
      <c r="X1308" s="257"/>
      <c r="Y1308" s="258"/>
      <c r="Z1308" s="257"/>
    </row>
    <row r="1309" spans="1:26" ht="15" customHeight="1">
      <c r="A1309" s="250"/>
      <c r="B1309" s="251"/>
      <c r="C1309" s="326"/>
      <c r="D1309" s="292"/>
      <c r="E1309" s="251"/>
      <c r="F1309" s="252"/>
      <c r="G1309" s="253"/>
      <c r="H1309" s="254"/>
      <c r="I1309" s="253"/>
      <c r="J1309" s="253"/>
      <c r="K1309" s="251"/>
      <c r="L1309" s="255"/>
      <c r="M1309" s="258"/>
      <c r="N1309" s="257"/>
      <c r="O1309" s="258"/>
      <c r="P1309" s="257"/>
      <c r="Q1309" s="258"/>
      <c r="R1309" s="257"/>
      <c r="S1309" s="258"/>
      <c r="T1309" s="257"/>
      <c r="U1309" s="258"/>
      <c r="V1309" s="257"/>
      <c r="W1309" s="258"/>
      <c r="X1309" s="257"/>
      <c r="Y1309" s="258"/>
      <c r="Z1309" s="257"/>
    </row>
    <row r="1310" spans="1:26" ht="15" customHeight="1">
      <c r="A1310" s="250">
        <f>A1307+1</f>
        <v>236</v>
      </c>
      <c r="B1310" s="251"/>
      <c r="C1310" s="532" t="s">
        <v>903</v>
      </c>
      <c r="D1310" s="532" t="s">
        <v>1392</v>
      </c>
      <c r="E1310" s="251" t="s">
        <v>1439</v>
      </c>
      <c r="F1310" s="304">
        <f>M1310+O1310+Q1310+S1310+U1310+W1310+Y1310</f>
        <v>0</v>
      </c>
      <c r="G1310" s="253">
        <f t="shared" si="211"/>
        <v>23.5</v>
      </c>
      <c r="H1310" s="254">
        <f>F1310*G1310</f>
        <v>0</v>
      </c>
      <c r="I1310" s="253">
        <f>N1310+P1310+R1310+T1310+V1310+X1310+Z1310</f>
        <v>0</v>
      </c>
      <c r="J1310" s="253"/>
      <c r="K1310" s="251" t="s">
        <v>1439</v>
      </c>
      <c r="L1310" s="663">
        <v>23.5</v>
      </c>
      <c r="M1310" s="258">
        <v>0</v>
      </c>
      <c r="N1310" s="257">
        <f>INT($L1310*M1310*100+0.5)/100</f>
        <v>0</v>
      </c>
      <c r="O1310" s="258">
        <v>0</v>
      </c>
      <c r="P1310" s="257">
        <f>INT($L1310*O1310*100+0.5)/100</f>
        <v>0</v>
      </c>
      <c r="Q1310" s="258">
        <v>0</v>
      </c>
      <c r="R1310" s="257">
        <f>INT($L1310*Q1310*100+0.5)/100</f>
        <v>0</v>
      </c>
      <c r="S1310" s="258">
        <v>0</v>
      </c>
      <c r="T1310" s="257">
        <f>INT($L1310*S1310*100+0.5)/100</f>
        <v>0</v>
      </c>
      <c r="U1310" s="258">
        <v>0</v>
      </c>
      <c r="V1310" s="257">
        <f>INT($L1310*U1310*100+0.5)/100</f>
        <v>0</v>
      </c>
      <c r="W1310" s="258">
        <v>0</v>
      </c>
      <c r="X1310" s="257">
        <f>INT($L1310*W1310*100+0.5)/100</f>
        <v>0</v>
      </c>
      <c r="Y1310" s="258">
        <v>0</v>
      </c>
      <c r="Z1310" s="257">
        <f>INT($L1310*Y1310*100+0.5)/100</f>
        <v>0</v>
      </c>
    </row>
    <row r="1311" spans="1:26" ht="15" customHeight="1">
      <c r="A1311" s="250"/>
      <c r="B1311" s="251"/>
      <c r="C1311" s="326"/>
      <c r="D1311" s="532" t="s">
        <v>1391</v>
      </c>
      <c r="E1311" s="251"/>
      <c r="F1311" s="252"/>
      <c r="G1311" s="253"/>
      <c r="H1311" s="254"/>
      <c r="I1311" s="253"/>
      <c r="J1311" s="253"/>
      <c r="K1311" s="251"/>
      <c r="L1311" s="261"/>
      <c r="M1311" s="258"/>
      <c r="N1311" s="257"/>
      <c r="O1311" s="258"/>
      <c r="P1311" s="257"/>
      <c r="Q1311" s="258"/>
      <c r="R1311" s="257"/>
      <c r="S1311" s="258"/>
      <c r="T1311" s="257"/>
      <c r="U1311" s="258"/>
      <c r="V1311" s="257"/>
      <c r="W1311" s="258"/>
      <c r="X1311" s="257"/>
      <c r="Y1311" s="258"/>
      <c r="Z1311" s="257"/>
    </row>
    <row r="1312" spans="1:26" ht="15" customHeight="1">
      <c r="A1312" s="250"/>
      <c r="B1312" s="251"/>
      <c r="C1312" s="326"/>
      <c r="D1312" s="532"/>
      <c r="E1312" s="251"/>
      <c r="F1312" s="252"/>
      <c r="G1312" s="253"/>
      <c r="H1312" s="254"/>
      <c r="I1312" s="253"/>
      <c r="J1312" s="253"/>
      <c r="K1312" s="251"/>
      <c r="L1312" s="261"/>
      <c r="M1312" s="258"/>
      <c r="N1312" s="257"/>
      <c r="O1312" s="258"/>
      <c r="P1312" s="257"/>
      <c r="Q1312" s="258"/>
      <c r="R1312" s="257"/>
      <c r="S1312" s="258"/>
      <c r="T1312" s="257"/>
      <c r="U1312" s="258"/>
      <c r="V1312" s="257"/>
      <c r="W1312" s="258"/>
      <c r="X1312" s="257"/>
      <c r="Y1312" s="258"/>
      <c r="Z1312" s="257"/>
    </row>
    <row r="1313" spans="1:26" s="303" customFormat="1" ht="15" customHeight="1">
      <c r="A1313" s="328"/>
      <c r="B1313" s="315"/>
      <c r="C1313" s="267" t="s">
        <v>1579</v>
      </c>
      <c r="D1313" s="333" t="s">
        <v>1581</v>
      </c>
      <c r="E1313" s="299"/>
      <c r="F1313" s="301"/>
      <c r="G1313" s="273"/>
      <c r="H1313" s="273"/>
      <c r="I1313" s="272">
        <f>N1313+P1313+R1313+T1313+V1313+X1313+Z1313</f>
        <v>15175.5</v>
      </c>
      <c r="J1313" s="269">
        <f>SUM(N1313:Z1313)</f>
        <v>15175.5</v>
      </c>
      <c r="K1313" s="299"/>
      <c r="L1313" s="271"/>
      <c r="M1313" s="273"/>
      <c r="N1313" s="273">
        <f>SUM(N1283:N1312)</f>
        <v>1008</v>
      </c>
      <c r="O1313" s="273"/>
      <c r="P1313" s="273">
        <f>SUM(P1283:P1312)</f>
        <v>0</v>
      </c>
      <c r="Q1313" s="273"/>
      <c r="R1313" s="273">
        <f>SUM(R1283:R1312)</f>
        <v>14167.5</v>
      </c>
      <c r="S1313" s="273"/>
      <c r="T1313" s="273">
        <f>SUM(T1283:T1312)</f>
        <v>0</v>
      </c>
      <c r="U1313" s="273"/>
      <c r="V1313" s="273">
        <f>SUM(V1283:V1312)</f>
        <v>0</v>
      </c>
      <c r="W1313" s="273"/>
      <c r="X1313" s="273">
        <f>SUM(X1283:X1312)</f>
        <v>0</v>
      </c>
      <c r="Y1313" s="273"/>
      <c r="Z1313" s="273">
        <f>SUM(Z1283:Z1312)</f>
        <v>0</v>
      </c>
    </row>
    <row r="1314" spans="1:26" ht="15" customHeight="1">
      <c r="A1314" s="551"/>
      <c r="B1314" s="307"/>
      <c r="C1314" s="453"/>
      <c r="D1314" s="330"/>
      <c r="E1314" s="251"/>
      <c r="F1314" s="252"/>
      <c r="G1314" s="253"/>
      <c r="H1314" s="254"/>
      <c r="I1314" s="253"/>
      <c r="J1314" s="253"/>
      <c r="K1314" s="251"/>
      <c r="L1314" s="261"/>
      <c r="M1314" s="258"/>
      <c r="N1314" s="494">
        <f>N1313/$N$1928</f>
        <v>5.0204953754663124E-3</v>
      </c>
      <c r="O1314" s="258"/>
      <c r="P1314" s="257"/>
      <c r="Q1314" s="258"/>
      <c r="R1314" s="257"/>
      <c r="S1314" s="258"/>
      <c r="T1314" s="257"/>
      <c r="U1314" s="258"/>
      <c r="V1314" s="257"/>
      <c r="W1314" s="258"/>
      <c r="X1314" s="257"/>
      <c r="Y1314" s="258"/>
      <c r="Z1314" s="257"/>
    </row>
    <row r="1315" spans="1:26" ht="15">
      <c r="A1315" s="250"/>
      <c r="B1315" s="251"/>
      <c r="C1315" s="329">
        <v>80</v>
      </c>
      <c r="D1315" s="330" t="s">
        <v>2208</v>
      </c>
      <c r="E1315" s="251"/>
      <c r="F1315" s="252"/>
      <c r="G1315" s="253"/>
      <c r="H1315" s="254"/>
      <c r="I1315" s="253"/>
      <c r="J1315" s="253"/>
      <c r="K1315" s="251"/>
      <c r="L1315" s="261"/>
      <c r="M1315" s="258"/>
      <c r="N1315" s="257"/>
      <c r="O1315" s="258"/>
      <c r="P1315" s="257"/>
      <c r="Q1315" s="258"/>
      <c r="R1315" s="257"/>
      <c r="S1315" s="258"/>
      <c r="T1315" s="257"/>
      <c r="U1315" s="258"/>
      <c r="V1315" s="257"/>
      <c r="W1315" s="258"/>
      <c r="X1315" s="257"/>
      <c r="Y1315" s="258"/>
      <c r="Z1315" s="257"/>
    </row>
    <row r="1316" spans="1:26" ht="15" customHeight="1">
      <c r="A1316" s="250">
        <f>A1310+1</f>
        <v>237</v>
      </c>
      <c r="B1316" s="251"/>
      <c r="C1316" s="540" t="s">
        <v>577</v>
      </c>
      <c r="D1316" s="526" t="s">
        <v>2404</v>
      </c>
      <c r="E1316" s="251"/>
      <c r="F1316" s="252"/>
      <c r="G1316" s="253"/>
      <c r="H1316" s="254"/>
      <c r="I1316" s="253"/>
      <c r="J1316" s="253"/>
      <c r="K1316" s="251"/>
      <c r="L1316" s="261"/>
      <c r="M1316" s="258"/>
      <c r="N1316" s="257"/>
      <c r="O1316" s="258"/>
      <c r="P1316" s="257"/>
      <c r="Q1316" s="258"/>
      <c r="R1316" s="257"/>
      <c r="S1316" s="258"/>
      <c r="T1316" s="257"/>
      <c r="U1316" s="258"/>
      <c r="V1316" s="257"/>
      <c r="W1316" s="258"/>
      <c r="X1316" s="257"/>
      <c r="Y1316" s="258"/>
      <c r="Z1316" s="257"/>
    </row>
    <row r="1317" spans="1:26" ht="15" customHeight="1">
      <c r="A1317" s="250"/>
      <c r="B1317" s="251"/>
      <c r="C1317" s="540"/>
      <c r="D1317" s="526" t="s">
        <v>2405</v>
      </c>
      <c r="E1317" s="251"/>
      <c r="F1317" s="252"/>
      <c r="G1317" s="253"/>
      <c r="H1317" s="254"/>
      <c r="I1317" s="253"/>
      <c r="J1317" s="253"/>
      <c r="K1317" s="251"/>
      <c r="L1317" s="261"/>
      <c r="M1317" s="258"/>
      <c r="N1317" s="257"/>
      <c r="O1317" s="258"/>
      <c r="P1317" s="257"/>
      <c r="Q1317" s="258"/>
      <c r="R1317" s="257"/>
      <c r="S1317" s="258"/>
      <c r="T1317" s="257"/>
      <c r="U1317" s="258"/>
      <c r="V1317" s="257"/>
      <c r="W1317" s="258"/>
      <c r="X1317" s="257"/>
      <c r="Y1317" s="258"/>
      <c r="Z1317" s="257"/>
    </row>
    <row r="1318" spans="1:26" ht="15" customHeight="1">
      <c r="A1318" s="250" t="s">
        <v>1903</v>
      </c>
      <c r="B1318" s="251"/>
      <c r="C1318" s="540" t="s">
        <v>2406</v>
      </c>
      <c r="D1318" s="292" t="s">
        <v>2151</v>
      </c>
      <c r="E1318" s="251" t="s">
        <v>1901</v>
      </c>
      <c r="F1318" s="304">
        <f t="shared" ref="F1318:F1324" si="212">M1318+O1318+Q1318+S1318+U1318+W1318+Y1318</f>
        <v>0</v>
      </c>
      <c r="G1318" s="253">
        <f t="shared" si="211"/>
        <v>248.41</v>
      </c>
      <c r="H1318" s="254">
        <f t="shared" ref="H1318:H1324" si="213">F1318*G1318</f>
        <v>0</v>
      </c>
      <c r="I1318" s="253">
        <f t="shared" ref="I1318:I1324" si="214">N1318+P1318+R1318+T1318+V1318+X1318+Z1318</f>
        <v>0</v>
      </c>
      <c r="J1318" s="253"/>
      <c r="K1318" s="251" t="s">
        <v>1901</v>
      </c>
      <c r="L1318" s="663">
        <v>248.41</v>
      </c>
      <c r="M1318" s="258">
        <v>0</v>
      </c>
      <c r="N1318" s="257">
        <f t="shared" ref="N1318:N1324" si="215">INT($L1318*M1318*100+0.5)/100</f>
        <v>0</v>
      </c>
      <c r="O1318" s="258">
        <v>0</v>
      </c>
      <c r="P1318" s="257">
        <f t="shared" ref="P1318:P1324" si="216">INT($L1318*O1318*100+0.5)/100</f>
        <v>0</v>
      </c>
      <c r="Q1318" s="258">
        <v>0</v>
      </c>
      <c r="R1318" s="257">
        <f t="shared" ref="R1318:R1324" si="217">INT($L1318*Q1318*100+0.5)/100</f>
        <v>0</v>
      </c>
      <c r="S1318" s="258">
        <v>0</v>
      </c>
      <c r="T1318" s="257">
        <f t="shared" ref="T1318:T1324" si="218">INT($L1318*S1318*100+0.5)/100</f>
        <v>0</v>
      </c>
      <c r="U1318" s="258">
        <v>0</v>
      </c>
      <c r="V1318" s="257">
        <f t="shared" ref="V1318:V1324" si="219">INT($L1318*U1318*100+0.5)/100</f>
        <v>0</v>
      </c>
      <c r="W1318" s="258">
        <v>0</v>
      </c>
      <c r="X1318" s="257">
        <f t="shared" ref="X1318:X1324" si="220">INT($L1318*W1318*100+0.5)/100</f>
        <v>0</v>
      </c>
      <c r="Y1318" s="258">
        <v>0</v>
      </c>
      <c r="Z1318" s="257">
        <f t="shared" ref="Z1318:Z1324" si="221">INT($L1318*Y1318*100+0.5)/100</f>
        <v>0</v>
      </c>
    </row>
    <row r="1319" spans="1:26" ht="15" customHeight="1">
      <c r="A1319" s="250" t="s">
        <v>316</v>
      </c>
      <c r="B1319" s="251"/>
      <c r="C1319" s="552" t="s">
        <v>2407</v>
      </c>
      <c r="D1319" s="292" t="s">
        <v>317</v>
      </c>
      <c r="E1319" s="251" t="s">
        <v>1901</v>
      </c>
      <c r="F1319" s="304">
        <f t="shared" si="212"/>
        <v>0</v>
      </c>
      <c r="G1319" s="253">
        <f t="shared" si="211"/>
        <v>286.98</v>
      </c>
      <c r="H1319" s="254">
        <f>F1319*G1319</f>
        <v>0</v>
      </c>
      <c r="I1319" s="253">
        <f t="shared" si="214"/>
        <v>0</v>
      </c>
      <c r="J1319" s="253"/>
      <c r="K1319" s="251" t="s">
        <v>1901</v>
      </c>
      <c r="L1319" s="666">
        <f>(L1318+L1320)/2</f>
        <v>286.98</v>
      </c>
      <c r="M1319" s="258">
        <v>0</v>
      </c>
      <c r="N1319" s="257">
        <f t="shared" si="215"/>
        <v>0</v>
      </c>
      <c r="O1319" s="258">
        <v>0</v>
      </c>
      <c r="P1319" s="257">
        <f t="shared" si="216"/>
        <v>0</v>
      </c>
      <c r="Q1319" s="258">
        <v>0</v>
      </c>
      <c r="R1319" s="257">
        <f t="shared" si="217"/>
        <v>0</v>
      </c>
      <c r="S1319" s="258">
        <v>0</v>
      </c>
      <c r="T1319" s="257">
        <f t="shared" si="218"/>
        <v>0</v>
      </c>
      <c r="U1319" s="258">
        <v>0</v>
      </c>
      <c r="V1319" s="257">
        <f t="shared" si="219"/>
        <v>0</v>
      </c>
      <c r="W1319" s="258">
        <v>0</v>
      </c>
      <c r="X1319" s="257">
        <f t="shared" si="220"/>
        <v>0</v>
      </c>
      <c r="Y1319" s="258">
        <v>0</v>
      </c>
      <c r="Z1319" s="257">
        <f t="shared" si="221"/>
        <v>0</v>
      </c>
    </row>
    <row r="1320" spans="1:26" ht="15" customHeight="1">
      <c r="A1320" s="250" t="s">
        <v>1905</v>
      </c>
      <c r="B1320" s="251"/>
      <c r="C1320" s="540" t="s">
        <v>2408</v>
      </c>
      <c r="D1320" s="292" t="s">
        <v>293</v>
      </c>
      <c r="E1320" s="251" t="s">
        <v>1901</v>
      </c>
      <c r="F1320" s="304">
        <f t="shared" si="212"/>
        <v>0</v>
      </c>
      <c r="G1320" s="253">
        <f t="shared" si="211"/>
        <v>325.55</v>
      </c>
      <c r="H1320" s="254">
        <f t="shared" si="213"/>
        <v>0</v>
      </c>
      <c r="I1320" s="253">
        <f t="shared" si="214"/>
        <v>0</v>
      </c>
      <c r="J1320" s="253"/>
      <c r="K1320" s="251" t="s">
        <v>1901</v>
      </c>
      <c r="L1320" s="663">
        <v>325.55</v>
      </c>
      <c r="M1320" s="258">
        <v>0</v>
      </c>
      <c r="N1320" s="257">
        <f t="shared" si="215"/>
        <v>0</v>
      </c>
      <c r="O1320" s="258">
        <v>0</v>
      </c>
      <c r="P1320" s="257">
        <f t="shared" si="216"/>
        <v>0</v>
      </c>
      <c r="Q1320" s="258">
        <v>0</v>
      </c>
      <c r="R1320" s="257">
        <f t="shared" si="217"/>
        <v>0</v>
      </c>
      <c r="S1320" s="258">
        <v>0</v>
      </c>
      <c r="T1320" s="257">
        <f t="shared" si="218"/>
        <v>0</v>
      </c>
      <c r="U1320" s="258">
        <v>0</v>
      </c>
      <c r="V1320" s="257">
        <f t="shared" si="219"/>
        <v>0</v>
      </c>
      <c r="W1320" s="258">
        <v>0</v>
      </c>
      <c r="X1320" s="257">
        <f t="shared" si="220"/>
        <v>0</v>
      </c>
      <c r="Y1320" s="258">
        <v>0</v>
      </c>
      <c r="Z1320" s="257">
        <f t="shared" si="221"/>
        <v>0</v>
      </c>
    </row>
    <row r="1321" spans="1:26" ht="15" customHeight="1">
      <c r="A1321" s="250" t="s">
        <v>1906</v>
      </c>
      <c r="B1321" s="251"/>
      <c r="C1321" s="540" t="s">
        <v>2409</v>
      </c>
      <c r="D1321" s="292" t="s">
        <v>294</v>
      </c>
      <c r="E1321" s="251" t="s">
        <v>1901</v>
      </c>
      <c r="F1321" s="304">
        <f t="shared" si="212"/>
        <v>0</v>
      </c>
      <c r="G1321" s="253">
        <f t="shared" si="211"/>
        <v>399.44</v>
      </c>
      <c r="H1321" s="254">
        <f t="shared" si="213"/>
        <v>0</v>
      </c>
      <c r="I1321" s="253">
        <f t="shared" si="214"/>
        <v>0</v>
      </c>
      <c r="J1321" s="253"/>
      <c r="K1321" s="251" t="s">
        <v>1901</v>
      </c>
      <c r="L1321" s="663">
        <v>399.44</v>
      </c>
      <c r="M1321" s="258">
        <v>0</v>
      </c>
      <c r="N1321" s="257">
        <f t="shared" si="215"/>
        <v>0</v>
      </c>
      <c r="O1321" s="258">
        <v>0</v>
      </c>
      <c r="P1321" s="257">
        <f t="shared" si="216"/>
        <v>0</v>
      </c>
      <c r="Q1321" s="258">
        <v>0</v>
      </c>
      <c r="R1321" s="257">
        <f t="shared" si="217"/>
        <v>0</v>
      </c>
      <c r="S1321" s="258">
        <v>0</v>
      </c>
      <c r="T1321" s="257">
        <f t="shared" si="218"/>
        <v>0</v>
      </c>
      <c r="U1321" s="258">
        <v>0</v>
      </c>
      <c r="V1321" s="257">
        <f t="shared" si="219"/>
        <v>0</v>
      </c>
      <c r="W1321" s="258">
        <v>0</v>
      </c>
      <c r="X1321" s="257">
        <f t="shared" si="220"/>
        <v>0</v>
      </c>
      <c r="Y1321" s="258">
        <v>0</v>
      </c>
      <c r="Z1321" s="257">
        <f t="shared" si="221"/>
        <v>0</v>
      </c>
    </row>
    <row r="1322" spans="1:26" ht="15" customHeight="1">
      <c r="A1322" s="250" t="s">
        <v>1907</v>
      </c>
      <c r="B1322" s="251"/>
      <c r="C1322" s="540" t="s">
        <v>2410</v>
      </c>
      <c r="D1322" s="292" t="s">
        <v>305</v>
      </c>
      <c r="E1322" s="251" t="s">
        <v>1901</v>
      </c>
      <c r="F1322" s="304">
        <f t="shared" si="212"/>
        <v>0</v>
      </c>
      <c r="G1322" s="253">
        <f t="shared" si="211"/>
        <v>545.9</v>
      </c>
      <c r="H1322" s="254">
        <f t="shared" si="213"/>
        <v>0</v>
      </c>
      <c r="I1322" s="253">
        <f t="shared" si="214"/>
        <v>0</v>
      </c>
      <c r="J1322" s="253"/>
      <c r="K1322" s="251" t="s">
        <v>1901</v>
      </c>
      <c r="L1322" s="663">
        <v>545.9</v>
      </c>
      <c r="M1322" s="258">
        <v>0</v>
      </c>
      <c r="N1322" s="257">
        <f t="shared" si="215"/>
        <v>0</v>
      </c>
      <c r="O1322" s="258">
        <v>0</v>
      </c>
      <c r="P1322" s="257">
        <f t="shared" si="216"/>
        <v>0</v>
      </c>
      <c r="Q1322" s="258">
        <v>0</v>
      </c>
      <c r="R1322" s="257">
        <f t="shared" si="217"/>
        <v>0</v>
      </c>
      <c r="S1322" s="258">
        <v>0</v>
      </c>
      <c r="T1322" s="257">
        <f t="shared" si="218"/>
        <v>0</v>
      </c>
      <c r="U1322" s="258">
        <v>0</v>
      </c>
      <c r="V1322" s="257">
        <f t="shared" si="219"/>
        <v>0</v>
      </c>
      <c r="W1322" s="258">
        <v>0</v>
      </c>
      <c r="X1322" s="257">
        <f t="shared" si="220"/>
        <v>0</v>
      </c>
      <c r="Y1322" s="258">
        <v>0</v>
      </c>
      <c r="Z1322" s="257">
        <f t="shared" si="221"/>
        <v>0</v>
      </c>
    </row>
    <row r="1323" spans="1:26" ht="15" customHeight="1">
      <c r="A1323" s="250" t="s">
        <v>542</v>
      </c>
      <c r="B1323" s="251"/>
      <c r="C1323" s="540" t="s">
        <v>2411</v>
      </c>
      <c r="D1323" s="292" t="s">
        <v>306</v>
      </c>
      <c r="E1323" s="251" t="s">
        <v>1901</v>
      </c>
      <c r="F1323" s="304">
        <f t="shared" si="212"/>
        <v>0</v>
      </c>
      <c r="G1323" s="253">
        <f t="shared" si="211"/>
        <v>659.07</v>
      </c>
      <c r="H1323" s="254">
        <f t="shared" si="213"/>
        <v>0</v>
      </c>
      <c r="I1323" s="253">
        <f t="shared" si="214"/>
        <v>0</v>
      </c>
      <c r="J1323" s="253"/>
      <c r="K1323" s="251" t="s">
        <v>1901</v>
      </c>
      <c r="L1323" s="663">
        <v>659.07</v>
      </c>
      <c r="M1323" s="258">
        <v>0</v>
      </c>
      <c r="N1323" s="257">
        <f t="shared" si="215"/>
        <v>0</v>
      </c>
      <c r="O1323" s="258">
        <v>0</v>
      </c>
      <c r="P1323" s="257">
        <f t="shared" si="216"/>
        <v>0</v>
      </c>
      <c r="Q1323" s="258">
        <v>0</v>
      </c>
      <c r="R1323" s="257">
        <f t="shared" si="217"/>
        <v>0</v>
      </c>
      <c r="S1323" s="258">
        <v>0</v>
      </c>
      <c r="T1323" s="257">
        <f t="shared" si="218"/>
        <v>0</v>
      </c>
      <c r="U1323" s="258">
        <v>0</v>
      </c>
      <c r="V1323" s="257">
        <f t="shared" si="219"/>
        <v>0</v>
      </c>
      <c r="W1323" s="258">
        <v>0</v>
      </c>
      <c r="X1323" s="257">
        <f t="shared" si="220"/>
        <v>0</v>
      </c>
      <c r="Y1323" s="258">
        <v>0</v>
      </c>
      <c r="Z1323" s="257">
        <f t="shared" si="221"/>
        <v>0</v>
      </c>
    </row>
    <row r="1324" spans="1:26" ht="15" customHeight="1">
      <c r="A1324" s="250" t="s">
        <v>543</v>
      </c>
      <c r="B1324" s="251"/>
      <c r="C1324" s="540" t="s">
        <v>2412</v>
      </c>
      <c r="D1324" s="292" t="s">
        <v>1393</v>
      </c>
      <c r="E1324" s="251" t="s">
        <v>1901</v>
      </c>
      <c r="F1324" s="304">
        <f t="shared" si="212"/>
        <v>0</v>
      </c>
      <c r="G1324" s="253">
        <f t="shared" si="211"/>
        <v>971.98</v>
      </c>
      <c r="H1324" s="254">
        <f t="shared" si="213"/>
        <v>0</v>
      </c>
      <c r="I1324" s="253">
        <f t="shared" si="214"/>
        <v>0</v>
      </c>
      <c r="J1324" s="253"/>
      <c r="K1324" s="251" t="s">
        <v>1901</v>
      </c>
      <c r="L1324" s="663">
        <v>971.98</v>
      </c>
      <c r="M1324" s="258">
        <v>0</v>
      </c>
      <c r="N1324" s="257">
        <f t="shared" si="215"/>
        <v>0</v>
      </c>
      <c r="O1324" s="258">
        <v>0</v>
      </c>
      <c r="P1324" s="257">
        <f t="shared" si="216"/>
        <v>0</v>
      </c>
      <c r="Q1324" s="258">
        <v>0</v>
      </c>
      <c r="R1324" s="257">
        <f t="shared" si="217"/>
        <v>0</v>
      </c>
      <c r="S1324" s="258">
        <v>0</v>
      </c>
      <c r="T1324" s="257">
        <f t="shared" si="218"/>
        <v>0</v>
      </c>
      <c r="U1324" s="258">
        <v>0</v>
      </c>
      <c r="V1324" s="257">
        <f t="shared" si="219"/>
        <v>0</v>
      </c>
      <c r="W1324" s="258">
        <v>0</v>
      </c>
      <c r="X1324" s="257">
        <f t="shared" si="220"/>
        <v>0</v>
      </c>
      <c r="Y1324" s="258">
        <v>0</v>
      </c>
      <c r="Z1324" s="257">
        <f t="shared" si="221"/>
        <v>0</v>
      </c>
    </row>
    <row r="1325" spans="1:26" ht="15" customHeight="1">
      <c r="A1325" s="250"/>
      <c r="B1325" s="251"/>
      <c r="C1325" s="326"/>
      <c r="D1325" s="292"/>
      <c r="E1325" s="251"/>
      <c r="F1325" s="252"/>
      <c r="G1325" s="253"/>
      <c r="H1325" s="254"/>
      <c r="I1325" s="253"/>
      <c r="J1325" s="253"/>
      <c r="K1325" s="251"/>
      <c r="L1325" s="261"/>
      <c r="M1325" s="258"/>
      <c r="N1325" s="257"/>
      <c r="O1325" s="258"/>
      <c r="P1325" s="257"/>
      <c r="Q1325" s="258"/>
      <c r="R1325" s="257"/>
      <c r="S1325" s="258"/>
      <c r="T1325" s="257"/>
      <c r="U1325" s="258"/>
      <c r="V1325" s="257"/>
      <c r="W1325" s="258"/>
      <c r="X1325" s="257"/>
      <c r="Y1325" s="258"/>
      <c r="Z1325" s="257"/>
    </row>
    <row r="1326" spans="1:26" ht="15" customHeight="1">
      <c r="A1326" s="250">
        <f>A1316+1</f>
        <v>238</v>
      </c>
      <c r="B1326" s="251"/>
      <c r="C1326" s="532" t="s">
        <v>1849</v>
      </c>
      <c r="D1326" s="532" t="s">
        <v>1395</v>
      </c>
      <c r="E1326" s="251"/>
      <c r="F1326" s="252"/>
      <c r="G1326" s="253"/>
      <c r="H1326" s="254"/>
      <c r="I1326" s="253"/>
      <c r="J1326" s="253"/>
      <c r="K1326" s="251"/>
      <c r="L1326" s="261"/>
      <c r="M1326" s="258"/>
      <c r="N1326" s="257"/>
      <c r="O1326" s="258"/>
      <c r="P1326" s="257"/>
      <c r="Q1326" s="258"/>
      <c r="R1326" s="257"/>
      <c r="S1326" s="258"/>
      <c r="T1326" s="257"/>
      <c r="U1326" s="258"/>
      <c r="V1326" s="257"/>
      <c r="W1326" s="258"/>
      <c r="X1326" s="257"/>
      <c r="Y1326" s="258"/>
      <c r="Z1326" s="257"/>
    </row>
    <row r="1327" spans="1:26" ht="15" customHeight="1">
      <c r="A1327" s="250"/>
      <c r="B1327" s="251"/>
      <c r="C1327" s="326"/>
      <c r="D1327" s="532" t="s">
        <v>1394</v>
      </c>
      <c r="E1327" s="251"/>
      <c r="F1327" s="252"/>
      <c r="G1327" s="253"/>
      <c r="H1327" s="254"/>
      <c r="I1327" s="253"/>
      <c r="J1327" s="253"/>
      <c r="K1327" s="251"/>
      <c r="L1327" s="261"/>
      <c r="M1327" s="258"/>
      <c r="N1327" s="257"/>
      <c r="O1327" s="258"/>
      <c r="P1327" s="257"/>
      <c r="Q1327" s="258"/>
      <c r="R1327" s="257"/>
      <c r="S1327" s="258"/>
      <c r="T1327" s="257"/>
      <c r="U1327" s="258"/>
      <c r="V1327" s="257"/>
      <c r="W1327" s="258"/>
      <c r="X1327" s="257"/>
      <c r="Y1327" s="258"/>
      <c r="Z1327" s="257"/>
    </row>
    <row r="1328" spans="1:26" ht="15" customHeight="1">
      <c r="A1328" s="250" t="s">
        <v>1903</v>
      </c>
      <c r="B1328" s="251"/>
      <c r="C1328" s="532" t="s">
        <v>2418</v>
      </c>
      <c r="D1328" s="532" t="s">
        <v>1422</v>
      </c>
      <c r="E1328" s="251" t="s">
        <v>1901</v>
      </c>
      <c r="F1328" s="304">
        <f t="shared" ref="F1328:F1344" si="222">M1328+O1328+Q1328+S1328+U1328+W1328+Y1328</f>
        <v>0</v>
      </c>
      <c r="G1328" s="253">
        <f t="shared" si="211"/>
        <v>60.59</v>
      </c>
      <c r="H1328" s="254">
        <f t="shared" ref="H1328:H1344" si="223">F1328*G1328</f>
        <v>0</v>
      </c>
      <c r="I1328" s="253">
        <f t="shared" ref="I1328:I1344" si="224">N1328+P1328+R1328+T1328+V1328+X1328+Z1328</f>
        <v>0</v>
      </c>
      <c r="J1328" s="253"/>
      <c r="K1328" s="251" t="s">
        <v>1901</v>
      </c>
      <c r="L1328" s="663">
        <v>60.59</v>
      </c>
      <c r="M1328" s="258">
        <v>0</v>
      </c>
      <c r="N1328" s="257">
        <f t="shared" ref="N1328:N1344" si="225">INT($L1328*M1328*100+0.5)/100</f>
        <v>0</v>
      </c>
      <c r="O1328" s="258">
        <v>0</v>
      </c>
      <c r="P1328" s="257">
        <f t="shared" ref="P1328:P1344" si="226">INT($L1328*O1328*100+0.5)/100</f>
        <v>0</v>
      </c>
      <c r="Q1328" s="258">
        <v>0</v>
      </c>
      <c r="R1328" s="257">
        <f t="shared" ref="R1328:R1344" si="227">INT($L1328*Q1328*100+0.5)/100</f>
        <v>0</v>
      </c>
      <c r="S1328" s="258">
        <v>0</v>
      </c>
      <c r="T1328" s="257">
        <f t="shared" ref="T1328:T1344" si="228">INT($L1328*S1328*100+0.5)/100</f>
        <v>0</v>
      </c>
      <c r="U1328" s="258">
        <v>0</v>
      </c>
      <c r="V1328" s="257">
        <f t="shared" ref="V1328:V1344" si="229">INT($L1328*U1328*100+0.5)/100</f>
        <v>0</v>
      </c>
      <c r="W1328" s="258">
        <v>0</v>
      </c>
      <c r="X1328" s="257">
        <f t="shared" ref="X1328:X1344" si="230">INT($L1328*W1328*100+0.5)/100</f>
        <v>0</v>
      </c>
      <c r="Y1328" s="258">
        <v>0</v>
      </c>
      <c r="Z1328" s="257">
        <f t="shared" ref="Z1328:Z1344" si="231">INT($L1328*Y1328*100+0.5)/100</f>
        <v>0</v>
      </c>
    </row>
    <row r="1329" spans="1:26" ht="15" customHeight="1">
      <c r="A1329" s="250" t="s">
        <v>1905</v>
      </c>
      <c r="B1329" s="251"/>
      <c r="C1329" s="532" t="s">
        <v>2419</v>
      </c>
      <c r="D1329" s="532" t="s">
        <v>1423</v>
      </c>
      <c r="E1329" s="251" t="s">
        <v>1901</v>
      </c>
      <c r="F1329" s="304">
        <f t="shared" si="222"/>
        <v>0</v>
      </c>
      <c r="G1329" s="253">
        <f t="shared" si="211"/>
        <v>64.91</v>
      </c>
      <c r="H1329" s="254">
        <f t="shared" si="223"/>
        <v>0</v>
      </c>
      <c r="I1329" s="253">
        <f t="shared" si="224"/>
        <v>0</v>
      </c>
      <c r="J1329" s="253"/>
      <c r="K1329" s="251" t="s">
        <v>1901</v>
      </c>
      <c r="L1329" s="663">
        <v>64.91</v>
      </c>
      <c r="M1329" s="258">
        <v>0</v>
      </c>
      <c r="N1329" s="257">
        <f t="shared" si="225"/>
        <v>0</v>
      </c>
      <c r="O1329" s="258">
        <v>0</v>
      </c>
      <c r="P1329" s="257">
        <f t="shared" si="226"/>
        <v>0</v>
      </c>
      <c r="Q1329" s="258">
        <v>0</v>
      </c>
      <c r="R1329" s="257">
        <f t="shared" si="227"/>
        <v>0</v>
      </c>
      <c r="S1329" s="258">
        <v>0</v>
      </c>
      <c r="T1329" s="257">
        <f t="shared" si="228"/>
        <v>0</v>
      </c>
      <c r="U1329" s="258">
        <v>0</v>
      </c>
      <c r="V1329" s="257">
        <f t="shared" si="229"/>
        <v>0</v>
      </c>
      <c r="W1329" s="258">
        <v>0</v>
      </c>
      <c r="X1329" s="257">
        <f t="shared" si="230"/>
        <v>0</v>
      </c>
      <c r="Y1329" s="258">
        <v>0</v>
      </c>
      <c r="Z1329" s="257">
        <f t="shared" si="231"/>
        <v>0</v>
      </c>
    </row>
    <row r="1330" spans="1:26" ht="15" customHeight="1">
      <c r="A1330" s="250" t="s">
        <v>1906</v>
      </c>
      <c r="B1330" s="251"/>
      <c r="C1330" s="532" t="s">
        <v>2420</v>
      </c>
      <c r="D1330" s="532" t="s">
        <v>1424</v>
      </c>
      <c r="E1330" s="251" t="s">
        <v>1901</v>
      </c>
      <c r="F1330" s="304">
        <f t="shared" si="222"/>
        <v>0</v>
      </c>
      <c r="G1330" s="253">
        <f t="shared" si="211"/>
        <v>69.91</v>
      </c>
      <c r="H1330" s="254">
        <f t="shared" si="223"/>
        <v>0</v>
      </c>
      <c r="I1330" s="253">
        <f t="shared" si="224"/>
        <v>0</v>
      </c>
      <c r="J1330" s="253"/>
      <c r="K1330" s="251" t="s">
        <v>1901</v>
      </c>
      <c r="L1330" s="663">
        <v>69.91</v>
      </c>
      <c r="M1330" s="258">
        <v>0</v>
      </c>
      <c r="N1330" s="257">
        <f t="shared" si="225"/>
        <v>0</v>
      </c>
      <c r="O1330" s="258">
        <v>0</v>
      </c>
      <c r="P1330" s="257">
        <f t="shared" si="226"/>
        <v>0</v>
      </c>
      <c r="Q1330" s="258">
        <v>0</v>
      </c>
      <c r="R1330" s="257">
        <f t="shared" si="227"/>
        <v>0</v>
      </c>
      <c r="S1330" s="258">
        <v>0</v>
      </c>
      <c r="T1330" s="257">
        <f t="shared" si="228"/>
        <v>0</v>
      </c>
      <c r="U1330" s="258">
        <v>0</v>
      </c>
      <c r="V1330" s="257">
        <f t="shared" si="229"/>
        <v>0</v>
      </c>
      <c r="W1330" s="258">
        <v>0</v>
      </c>
      <c r="X1330" s="257">
        <f t="shared" si="230"/>
        <v>0</v>
      </c>
      <c r="Y1330" s="258">
        <v>0</v>
      </c>
      <c r="Z1330" s="257">
        <f t="shared" si="231"/>
        <v>0</v>
      </c>
    </row>
    <row r="1331" spans="1:26" ht="15" customHeight="1">
      <c r="A1331" s="250" t="s">
        <v>1907</v>
      </c>
      <c r="B1331" s="251"/>
      <c r="C1331" s="532" t="s">
        <v>2421</v>
      </c>
      <c r="D1331" s="532" t="s">
        <v>1425</v>
      </c>
      <c r="E1331" s="251" t="s">
        <v>1901</v>
      </c>
      <c r="F1331" s="304">
        <f t="shared" si="222"/>
        <v>0</v>
      </c>
      <c r="G1331" s="253">
        <f t="shared" si="211"/>
        <v>99.87</v>
      </c>
      <c r="H1331" s="254">
        <f t="shared" si="223"/>
        <v>0</v>
      </c>
      <c r="I1331" s="253">
        <f t="shared" si="224"/>
        <v>0</v>
      </c>
      <c r="J1331" s="253"/>
      <c r="K1331" s="251" t="s">
        <v>1901</v>
      </c>
      <c r="L1331" s="663">
        <v>99.87</v>
      </c>
      <c r="M1331" s="258">
        <v>0</v>
      </c>
      <c r="N1331" s="257">
        <f t="shared" si="225"/>
        <v>0</v>
      </c>
      <c r="O1331" s="258">
        <v>0</v>
      </c>
      <c r="P1331" s="257">
        <f t="shared" si="226"/>
        <v>0</v>
      </c>
      <c r="Q1331" s="258">
        <v>0</v>
      </c>
      <c r="R1331" s="257">
        <f t="shared" si="227"/>
        <v>0</v>
      </c>
      <c r="S1331" s="258">
        <v>0</v>
      </c>
      <c r="T1331" s="257">
        <f t="shared" si="228"/>
        <v>0</v>
      </c>
      <c r="U1331" s="258">
        <v>0</v>
      </c>
      <c r="V1331" s="257">
        <f t="shared" si="229"/>
        <v>0</v>
      </c>
      <c r="W1331" s="258">
        <v>0</v>
      </c>
      <c r="X1331" s="257">
        <f t="shared" si="230"/>
        <v>0</v>
      </c>
      <c r="Y1331" s="258">
        <v>0</v>
      </c>
      <c r="Z1331" s="257">
        <f t="shared" si="231"/>
        <v>0</v>
      </c>
    </row>
    <row r="1332" spans="1:26" ht="15" customHeight="1">
      <c r="A1332" s="250" t="s">
        <v>542</v>
      </c>
      <c r="B1332" s="251"/>
      <c r="C1332" s="532" t="s">
        <v>2422</v>
      </c>
      <c r="D1332" s="532" t="s">
        <v>1426</v>
      </c>
      <c r="E1332" s="251" t="s">
        <v>2314</v>
      </c>
      <c r="F1332" s="304">
        <f t="shared" si="222"/>
        <v>0</v>
      </c>
      <c r="G1332" s="253">
        <f t="shared" si="211"/>
        <v>173.1</v>
      </c>
      <c r="H1332" s="254">
        <f t="shared" si="223"/>
        <v>0</v>
      </c>
      <c r="I1332" s="253">
        <f t="shared" si="224"/>
        <v>0</v>
      </c>
      <c r="J1332" s="253"/>
      <c r="K1332" s="251" t="s">
        <v>2314</v>
      </c>
      <c r="L1332" s="663">
        <v>173.1</v>
      </c>
      <c r="M1332" s="258">
        <v>0</v>
      </c>
      <c r="N1332" s="257">
        <f t="shared" si="225"/>
        <v>0</v>
      </c>
      <c r="O1332" s="258">
        <v>0</v>
      </c>
      <c r="P1332" s="257">
        <f t="shared" si="226"/>
        <v>0</v>
      </c>
      <c r="Q1332" s="258">
        <v>0</v>
      </c>
      <c r="R1332" s="257">
        <f t="shared" si="227"/>
        <v>0</v>
      </c>
      <c r="S1332" s="258">
        <v>0</v>
      </c>
      <c r="T1332" s="257">
        <f t="shared" si="228"/>
        <v>0</v>
      </c>
      <c r="U1332" s="258">
        <v>0</v>
      </c>
      <c r="V1332" s="257">
        <f t="shared" si="229"/>
        <v>0</v>
      </c>
      <c r="W1332" s="258">
        <v>0</v>
      </c>
      <c r="X1332" s="257">
        <f t="shared" si="230"/>
        <v>0</v>
      </c>
      <c r="Y1332" s="258">
        <v>0</v>
      </c>
      <c r="Z1332" s="257">
        <f t="shared" si="231"/>
        <v>0</v>
      </c>
    </row>
    <row r="1333" spans="1:26" ht="15" customHeight="1">
      <c r="A1333" s="250" t="s">
        <v>543</v>
      </c>
      <c r="B1333" s="251"/>
      <c r="C1333" s="534" t="s">
        <v>2423</v>
      </c>
      <c r="D1333" s="532" t="s">
        <v>230</v>
      </c>
      <c r="E1333" s="251" t="s">
        <v>1901</v>
      </c>
      <c r="F1333" s="304">
        <f t="shared" si="222"/>
        <v>0</v>
      </c>
      <c r="G1333" s="253">
        <f t="shared" si="211"/>
        <v>245.995</v>
      </c>
      <c r="H1333" s="244">
        <f>F1333*G1333</f>
        <v>0</v>
      </c>
      <c r="I1333" s="253">
        <f t="shared" si="224"/>
        <v>0</v>
      </c>
      <c r="J1333" s="225"/>
      <c r="K1333" s="251" t="s">
        <v>1901</v>
      </c>
      <c r="L1333" s="666">
        <f>(L1332+L1334)/2</f>
        <v>245.995</v>
      </c>
      <c r="M1333" s="258">
        <v>0</v>
      </c>
      <c r="N1333" s="257">
        <f t="shared" si="225"/>
        <v>0</v>
      </c>
      <c r="O1333" s="258">
        <v>0</v>
      </c>
      <c r="P1333" s="257">
        <f t="shared" si="226"/>
        <v>0</v>
      </c>
      <c r="Q1333" s="258">
        <v>0</v>
      </c>
      <c r="R1333" s="257">
        <f t="shared" si="227"/>
        <v>0</v>
      </c>
      <c r="S1333" s="258">
        <v>0</v>
      </c>
      <c r="T1333" s="257">
        <f t="shared" si="228"/>
        <v>0</v>
      </c>
      <c r="U1333" s="258">
        <v>0</v>
      </c>
      <c r="V1333" s="257">
        <f t="shared" si="229"/>
        <v>0</v>
      </c>
      <c r="W1333" s="258">
        <v>0</v>
      </c>
      <c r="X1333" s="257">
        <f t="shared" si="230"/>
        <v>0</v>
      </c>
      <c r="Y1333" s="258">
        <v>0</v>
      </c>
      <c r="Z1333" s="257">
        <f t="shared" si="231"/>
        <v>0</v>
      </c>
    </row>
    <row r="1334" spans="1:26" ht="15" customHeight="1">
      <c r="A1334" s="250" t="s">
        <v>544</v>
      </c>
      <c r="B1334" s="251"/>
      <c r="C1334" s="532" t="s">
        <v>2424</v>
      </c>
      <c r="D1334" s="532" t="s">
        <v>1427</v>
      </c>
      <c r="E1334" s="251" t="s">
        <v>1901</v>
      </c>
      <c r="F1334" s="304">
        <f t="shared" si="222"/>
        <v>0</v>
      </c>
      <c r="G1334" s="253">
        <f t="shared" si="211"/>
        <v>318.89</v>
      </c>
      <c r="H1334" s="254">
        <f t="shared" si="223"/>
        <v>0</v>
      </c>
      <c r="I1334" s="253">
        <f t="shared" si="224"/>
        <v>0</v>
      </c>
      <c r="J1334" s="253"/>
      <c r="K1334" s="251" t="s">
        <v>1901</v>
      </c>
      <c r="L1334" s="663">
        <v>318.89</v>
      </c>
      <c r="M1334" s="258">
        <v>0</v>
      </c>
      <c r="N1334" s="257">
        <f t="shared" si="225"/>
        <v>0</v>
      </c>
      <c r="O1334" s="258">
        <v>0</v>
      </c>
      <c r="P1334" s="257">
        <f t="shared" si="226"/>
        <v>0</v>
      </c>
      <c r="Q1334" s="258">
        <v>0</v>
      </c>
      <c r="R1334" s="257">
        <f t="shared" si="227"/>
        <v>0</v>
      </c>
      <c r="S1334" s="258">
        <v>0</v>
      </c>
      <c r="T1334" s="257">
        <f t="shared" si="228"/>
        <v>0</v>
      </c>
      <c r="U1334" s="258">
        <v>0</v>
      </c>
      <c r="V1334" s="257">
        <f t="shared" si="229"/>
        <v>0</v>
      </c>
      <c r="W1334" s="258">
        <v>0</v>
      </c>
      <c r="X1334" s="257">
        <f t="shared" si="230"/>
        <v>0</v>
      </c>
      <c r="Y1334" s="258">
        <v>0</v>
      </c>
      <c r="Z1334" s="257">
        <f t="shared" si="231"/>
        <v>0</v>
      </c>
    </row>
    <row r="1335" spans="1:26" ht="15" customHeight="1">
      <c r="A1335" s="250" t="s">
        <v>545</v>
      </c>
      <c r="B1335" s="251"/>
      <c r="C1335" s="532" t="s">
        <v>2425</v>
      </c>
      <c r="D1335" s="532" t="s">
        <v>1428</v>
      </c>
      <c r="E1335" s="251" t="s">
        <v>1901</v>
      </c>
      <c r="F1335" s="304">
        <f t="shared" si="222"/>
        <v>0</v>
      </c>
      <c r="G1335" s="253">
        <f t="shared" si="211"/>
        <v>432.74</v>
      </c>
      <c r="H1335" s="254">
        <f t="shared" si="223"/>
        <v>0</v>
      </c>
      <c r="I1335" s="253">
        <f t="shared" si="224"/>
        <v>0</v>
      </c>
      <c r="J1335" s="253"/>
      <c r="K1335" s="251" t="s">
        <v>1901</v>
      </c>
      <c r="L1335" s="663">
        <v>432.74</v>
      </c>
      <c r="M1335" s="258">
        <v>0</v>
      </c>
      <c r="N1335" s="257">
        <f t="shared" si="225"/>
        <v>0</v>
      </c>
      <c r="O1335" s="258">
        <v>0</v>
      </c>
      <c r="P1335" s="257">
        <f t="shared" si="226"/>
        <v>0</v>
      </c>
      <c r="Q1335" s="258">
        <v>0</v>
      </c>
      <c r="R1335" s="257">
        <f t="shared" si="227"/>
        <v>0</v>
      </c>
      <c r="S1335" s="258">
        <v>0</v>
      </c>
      <c r="T1335" s="257">
        <f t="shared" si="228"/>
        <v>0</v>
      </c>
      <c r="U1335" s="258">
        <v>0</v>
      </c>
      <c r="V1335" s="257">
        <f t="shared" si="229"/>
        <v>0</v>
      </c>
      <c r="W1335" s="258">
        <v>0</v>
      </c>
      <c r="X1335" s="257">
        <f t="shared" si="230"/>
        <v>0</v>
      </c>
      <c r="Y1335" s="258">
        <v>0</v>
      </c>
      <c r="Z1335" s="257">
        <f t="shared" si="231"/>
        <v>0</v>
      </c>
    </row>
    <row r="1336" spans="1:26" ht="15" customHeight="1">
      <c r="A1336" s="250" t="s">
        <v>2106</v>
      </c>
      <c r="B1336" s="251"/>
      <c r="C1336" s="532" t="s">
        <v>2426</v>
      </c>
      <c r="D1336" s="532" t="s">
        <v>1429</v>
      </c>
      <c r="E1336" s="251" t="s">
        <v>1901</v>
      </c>
      <c r="F1336" s="304">
        <f t="shared" si="222"/>
        <v>0</v>
      </c>
      <c r="G1336" s="253">
        <f t="shared" si="211"/>
        <v>70.569999999999993</v>
      </c>
      <c r="H1336" s="254">
        <f t="shared" si="223"/>
        <v>0</v>
      </c>
      <c r="I1336" s="253">
        <f t="shared" si="224"/>
        <v>0</v>
      </c>
      <c r="J1336" s="253"/>
      <c r="K1336" s="251" t="s">
        <v>1901</v>
      </c>
      <c r="L1336" s="663">
        <v>70.569999999999993</v>
      </c>
      <c r="M1336" s="258">
        <v>0</v>
      </c>
      <c r="N1336" s="257">
        <f t="shared" si="225"/>
        <v>0</v>
      </c>
      <c r="O1336" s="258">
        <v>0</v>
      </c>
      <c r="P1336" s="257">
        <f t="shared" si="226"/>
        <v>0</v>
      </c>
      <c r="Q1336" s="258">
        <v>0</v>
      </c>
      <c r="R1336" s="257">
        <f t="shared" si="227"/>
        <v>0</v>
      </c>
      <c r="S1336" s="258">
        <v>0</v>
      </c>
      <c r="T1336" s="257">
        <f t="shared" si="228"/>
        <v>0</v>
      </c>
      <c r="U1336" s="258">
        <v>0</v>
      </c>
      <c r="V1336" s="257">
        <f t="shared" si="229"/>
        <v>0</v>
      </c>
      <c r="W1336" s="258">
        <v>0</v>
      </c>
      <c r="X1336" s="257">
        <f t="shared" si="230"/>
        <v>0</v>
      </c>
      <c r="Y1336" s="258">
        <v>0</v>
      </c>
      <c r="Z1336" s="257">
        <f t="shared" si="231"/>
        <v>0</v>
      </c>
    </row>
    <row r="1337" spans="1:26" ht="15" customHeight="1">
      <c r="A1337" s="250" t="s">
        <v>583</v>
      </c>
      <c r="B1337" s="251"/>
      <c r="C1337" s="532" t="s">
        <v>2427</v>
      </c>
      <c r="D1337" s="532" t="s">
        <v>1430</v>
      </c>
      <c r="E1337" s="251" t="s">
        <v>1901</v>
      </c>
      <c r="F1337" s="304">
        <f t="shared" si="222"/>
        <v>0</v>
      </c>
      <c r="G1337" s="253">
        <f t="shared" si="211"/>
        <v>75.900000000000006</v>
      </c>
      <c r="H1337" s="254">
        <f t="shared" si="223"/>
        <v>0</v>
      </c>
      <c r="I1337" s="253">
        <f t="shared" si="224"/>
        <v>0</v>
      </c>
      <c r="J1337" s="253"/>
      <c r="K1337" s="251" t="s">
        <v>1901</v>
      </c>
      <c r="L1337" s="663">
        <v>75.900000000000006</v>
      </c>
      <c r="M1337" s="258">
        <v>0</v>
      </c>
      <c r="N1337" s="257">
        <f t="shared" si="225"/>
        <v>0</v>
      </c>
      <c r="O1337" s="258">
        <v>0</v>
      </c>
      <c r="P1337" s="257">
        <f t="shared" si="226"/>
        <v>0</v>
      </c>
      <c r="Q1337" s="258">
        <v>0</v>
      </c>
      <c r="R1337" s="257">
        <f t="shared" si="227"/>
        <v>0</v>
      </c>
      <c r="S1337" s="258">
        <v>0</v>
      </c>
      <c r="T1337" s="257">
        <f t="shared" si="228"/>
        <v>0</v>
      </c>
      <c r="U1337" s="258">
        <v>0</v>
      </c>
      <c r="V1337" s="257">
        <f t="shared" si="229"/>
        <v>0</v>
      </c>
      <c r="W1337" s="258">
        <v>0</v>
      </c>
      <c r="X1337" s="257">
        <f t="shared" si="230"/>
        <v>0</v>
      </c>
      <c r="Y1337" s="258">
        <v>0</v>
      </c>
      <c r="Z1337" s="257">
        <f t="shared" si="231"/>
        <v>0</v>
      </c>
    </row>
    <row r="1338" spans="1:26" ht="15" customHeight="1">
      <c r="A1338" s="250" t="s">
        <v>2475</v>
      </c>
      <c r="B1338" s="251"/>
      <c r="C1338" s="532" t="s">
        <v>2428</v>
      </c>
      <c r="D1338" s="532" t="s">
        <v>1431</v>
      </c>
      <c r="E1338" s="251" t="s">
        <v>1901</v>
      </c>
      <c r="F1338" s="304">
        <f t="shared" si="222"/>
        <v>0</v>
      </c>
      <c r="G1338" s="253">
        <f t="shared" si="211"/>
        <v>81.23</v>
      </c>
      <c r="H1338" s="254">
        <f t="shared" si="223"/>
        <v>0</v>
      </c>
      <c r="I1338" s="253">
        <f t="shared" si="224"/>
        <v>0</v>
      </c>
      <c r="J1338" s="253"/>
      <c r="K1338" s="251" t="s">
        <v>1901</v>
      </c>
      <c r="L1338" s="663">
        <v>81.23</v>
      </c>
      <c r="M1338" s="258">
        <v>0</v>
      </c>
      <c r="N1338" s="257">
        <f t="shared" si="225"/>
        <v>0</v>
      </c>
      <c r="O1338" s="258">
        <v>0</v>
      </c>
      <c r="P1338" s="257">
        <f t="shared" si="226"/>
        <v>0</v>
      </c>
      <c r="Q1338" s="258">
        <v>0</v>
      </c>
      <c r="R1338" s="257">
        <f t="shared" si="227"/>
        <v>0</v>
      </c>
      <c r="S1338" s="258">
        <v>0</v>
      </c>
      <c r="T1338" s="257">
        <f t="shared" si="228"/>
        <v>0</v>
      </c>
      <c r="U1338" s="258">
        <v>0</v>
      </c>
      <c r="V1338" s="257">
        <f t="shared" si="229"/>
        <v>0</v>
      </c>
      <c r="W1338" s="258">
        <v>0</v>
      </c>
      <c r="X1338" s="257">
        <f t="shared" si="230"/>
        <v>0</v>
      </c>
      <c r="Y1338" s="258">
        <v>0</v>
      </c>
      <c r="Z1338" s="257">
        <f t="shared" si="231"/>
        <v>0</v>
      </c>
    </row>
    <row r="1339" spans="1:26" ht="15" customHeight="1">
      <c r="A1339" s="250" t="s">
        <v>1901</v>
      </c>
      <c r="B1339" s="251"/>
      <c r="C1339" s="532" t="s">
        <v>875</v>
      </c>
      <c r="D1339" s="532" t="s">
        <v>1432</v>
      </c>
      <c r="E1339" s="251" t="s">
        <v>1901</v>
      </c>
      <c r="F1339" s="304">
        <f t="shared" si="222"/>
        <v>0</v>
      </c>
      <c r="G1339" s="253">
        <f t="shared" si="211"/>
        <v>101.86500000000001</v>
      </c>
      <c r="H1339" s="254">
        <f t="shared" si="223"/>
        <v>0</v>
      </c>
      <c r="I1339" s="253">
        <f t="shared" si="224"/>
        <v>0</v>
      </c>
      <c r="J1339" s="253"/>
      <c r="K1339" s="251" t="s">
        <v>1901</v>
      </c>
      <c r="L1339" s="666">
        <f>(L1338+L1340)/2</f>
        <v>101.86500000000001</v>
      </c>
      <c r="M1339" s="258">
        <v>0</v>
      </c>
      <c r="N1339" s="257">
        <f t="shared" si="225"/>
        <v>0</v>
      </c>
      <c r="O1339" s="258">
        <v>0</v>
      </c>
      <c r="P1339" s="257">
        <f t="shared" si="226"/>
        <v>0</v>
      </c>
      <c r="Q1339" s="258">
        <v>0</v>
      </c>
      <c r="R1339" s="257">
        <f t="shared" si="227"/>
        <v>0</v>
      </c>
      <c r="S1339" s="258">
        <v>0</v>
      </c>
      <c r="T1339" s="257">
        <f t="shared" si="228"/>
        <v>0</v>
      </c>
      <c r="U1339" s="258">
        <v>0</v>
      </c>
      <c r="V1339" s="257">
        <f t="shared" si="229"/>
        <v>0</v>
      </c>
      <c r="W1339" s="258">
        <v>0</v>
      </c>
      <c r="X1339" s="257">
        <f t="shared" si="230"/>
        <v>0</v>
      </c>
      <c r="Y1339" s="258">
        <v>0</v>
      </c>
      <c r="Z1339" s="257">
        <f t="shared" si="231"/>
        <v>0</v>
      </c>
    </row>
    <row r="1340" spans="1:26" ht="15" customHeight="1">
      <c r="A1340" s="250" t="s">
        <v>1437</v>
      </c>
      <c r="B1340" s="251"/>
      <c r="C1340" s="532" t="s">
        <v>2429</v>
      </c>
      <c r="D1340" s="532" t="s">
        <v>1433</v>
      </c>
      <c r="E1340" s="251" t="s">
        <v>1901</v>
      </c>
      <c r="F1340" s="304">
        <f t="shared" si="222"/>
        <v>0</v>
      </c>
      <c r="G1340" s="253">
        <f t="shared" si="211"/>
        <v>122.5</v>
      </c>
      <c r="H1340" s="254">
        <f t="shared" si="223"/>
        <v>0</v>
      </c>
      <c r="I1340" s="253">
        <f t="shared" si="224"/>
        <v>0</v>
      </c>
      <c r="J1340" s="253"/>
      <c r="K1340" s="251" t="s">
        <v>1901</v>
      </c>
      <c r="L1340" s="663">
        <v>122.5</v>
      </c>
      <c r="M1340" s="258">
        <v>0</v>
      </c>
      <c r="N1340" s="257">
        <f t="shared" si="225"/>
        <v>0</v>
      </c>
      <c r="O1340" s="258">
        <v>0</v>
      </c>
      <c r="P1340" s="257">
        <f t="shared" si="226"/>
        <v>0</v>
      </c>
      <c r="Q1340" s="258">
        <v>0</v>
      </c>
      <c r="R1340" s="257">
        <f t="shared" si="227"/>
        <v>0</v>
      </c>
      <c r="S1340" s="258">
        <v>0</v>
      </c>
      <c r="T1340" s="257">
        <f t="shared" si="228"/>
        <v>0</v>
      </c>
      <c r="U1340" s="258">
        <v>0</v>
      </c>
      <c r="V1340" s="257">
        <f t="shared" si="229"/>
        <v>0</v>
      </c>
      <c r="W1340" s="258">
        <v>0</v>
      </c>
      <c r="X1340" s="257">
        <f t="shared" si="230"/>
        <v>0</v>
      </c>
      <c r="Y1340" s="258">
        <v>0</v>
      </c>
      <c r="Z1340" s="257">
        <f t="shared" si="231"/>
        <v>0</v>
      </c>
    </row>
    <row r="1341" spans="1:26" ht="15" customHeight="1">
      <c r="A1341" s="250" t="s">
        <v>1378</v>
      </c>
      <c r="B1341" s="251"/>
      <c r="C1341" s="532" t="s">
        <v>2430</v>
      </c>
      <c r="D1341" s="532" t="s">
        <v>1434</v>
      </c>
      <c r="E1341" s="251" t="s">
        <v>1901</v>
      </c>
      <c r="F1341" s="304">
        <f t="shared" si="222"/>
        <v>0</v>
      </c>
      <c r="G1341" s="253">
        <f t="shared" si="211"/>
        <v>213.04</v>
      </c>
      <c r="H1341" s="254">
        <f t="shared" si="223"/>
        <v>0</v>
      </c>
      <c r="I1341" s="253">
        <f t="shared" si="224"/>
        <v>0</v>
      </c>
      <c r="J1341" s="253"/>
      <c r="K1341" s="251" t="s">
        <v>1901</v>
      </c>
      <c r="L1341" s="663">
        <v>213.04</v>
      </c>
      <c r="M1341" s="258">
        <v>0</v>
      </c>
      <c r="N1341" s="257">
        <f t="shared" si="225"/>
        <v>0</v>
      </c>
      <c r="O1341" s="258">
        <v>0</v>
      </c>
      <c r="P1341" s="257">
        <f t="shared" si="226"/>
        <v>0</v>
      </c>
      <c r="Q1341" s="258">
        <v>0</v>
      </c>
      <c r="R1341" s="257">
        <f t="shared" si="227"/>
        <v>0</v>
      </c>
      <c r="S1341" s="258">
        <v>0</v>
      </c>
      <c r="T1341" s="257">
        <f t="shared" si="228"/>
        <v>0</v>
      </c>
      <c r="U1341" s="258">
        <v>0</v>
      </c>
      <c r="V1341" s="257">
        <f t="shared" si="229"/>
        <v>0</v>
      </c>
      <c r="W1341" s="258">
        <v>0</v>
      </c>
      <c r="X1341" s="257">
        <f t="shared" si="230"/>
        <v>0</v>
      </c>
      <c r="Y1341" s="258">
        <v>0</v>
      </c>
      <c r="Z1341" s="257">
        <f t="shared" si="231"/>
        <v>0</v>
      </c>
    </row>
    <row r="1342" spans="1:26" ht="15" customHeight="1">
      <c r="A1342" s="250" t="s">
        <v>889</v>
      </c>
      <c r="B1342" s="251"/>
      <c r="C1342" s="534" t="s">
        <v>890</v>
      </c>
      <c r="D1342" s="532" t="s">
        <v>891</v>
      </c>
      <c r="E1342" s="251" t="s">
        <v>1901</v>
      </c>
      <c r="F1342" s="304">
        <f t="shared" si="222"/>
        <v>0</v>
      </c>
      <c r="G1342" s="253">
        <f t="shared" si="211"/>
        <v>288.59499999999997</v>
      </c>
      <c r="H1342" s="254">
        <f>F1342*G1342</f>
        <v>0</v>
      </c>
      <c r="I1342" s="253">
        <f t="shared" si="224"/>
        <v>0</v>
      </c>
      <c r="J1342" s="253"/>
      <c r="K1342" s="251" t="s">
        <v>1901</v>
      </c>
      <c r="L1342" s="666">
        <f>(L1341+L1343)/2</f>
        <v>288.59499999999997</v>
      </c>
      <c r="M1342" s="258">
        <v>0</v>
      </c>
      <c r="N1342" s="257">
        <f t="shared" si="225"/>
        <v>0</v>
      </c>
      <c r="O1342" s="258">
        <v>0</v>
      </c>
      <c r="P1342" s="257">
        <f t="shared" si="226"/>
        <v>0</v>
      </c>
      <c r="Q1342" s="258">
        <v>0</v>
      </c>
      <c r="R1342" s="257">
        <f t="shared" si="227"/>
        <v>0</v>
      </c>
      <c r="S1342" s="258">
        <v>0</v>
      </c>
      <c r="T1342" s="257">
        <f t="shared" si="228"/>
        <v>0</v>
      </c>
      <c r="U1342" s="258">
        <v>0</v>
      </c>
      <c r="V1342" s="257">
        <f t="shared" si="229"/>
        <v>0</v>
      </c>
      <c r="W1342" s="258">
        <v>0</v>
      </c>
      <c r="X1342" s="257">
        <f t="shared" si="230"/>
        <v>0</v>
      </c>
      <c r="Y1342" s="258">
        <v>0</v>
      </c>
      <c r="Z1342" s="257">
        <f t="shared" si="231"/>
        <v>0</v>
      </c>
    </row>
    <row r="1343" spans="1:26" ht="15" customHeight="1">
      <c r="A1343" s="250" t="s">
        <v>1379</v>
      </c>
      <c r="B1343" s="251"/>
      <c r="C1343" s="532" t="s">
        <v>2431</v>
      </c>
      <c r="D1343" s="532" t="s">
        <v>1435</v>
      </c>
      <c r="E1343" s="251" t="s">
        <v>1901</v>
      </c>
      <c r="F1343" s="304">
        <f t="shared" si="222"/>
        <v>0</v>
      </c>
      <c r="G1343" s="253">
        <f t="shared" si="211"/>
        <v>364.15</v>
      </c>
      <c r="H1343" s="254">
        <f t="shared" si="223"/>
        <v>0</v>
      </c>
      <c r="I1343" s="253">
        <f t="shared" si="224"/>
        <v>0</v>
      </c>
      <c r="J1343" s="253"/>
      <c r="K1343" s="251" t="s">
        <v>1901</v>
      </c>
      <c r="L1343" s="663">
        <v>364.15</v>
      </c>
      <c r="M1343" s="258">
        <v>0</v>
      </c>
      <c r="N1343" s="257">
        <f t="shared" si="225"/>
        <v>0</v>
      </c>
      <c r="O1343" s="258">
        <v>0</v>
      </c>
      <c r="P1343" s="257">
        <f t="shared" si="226"/>
        <v>0</v>
      </c>
      <c r="Q1343" s="258">
        <v>0</v>
      </c>
      <c r="R1343" s="257">
        <f t="shared" si="227"/>
        <v>0</v>
      </c>
      <c r="S1343" s="258">
        <v>0</v>
      </c>
      <c r="T1343" s="257">
        <f t="shared" si="228"/>
        <v>0</v>
      </c>
      <c r="U1343" s="258">
        <v>0</v>
      </c>
      <c r="V1343" s="257">
        <f t="shared" si="229"/>
        <v>0</v>
      </c>
      <c r="W1343" s="258">
        <v>0</v>
      </c>
      <c r="X1343" s="257">
        <f t="shared" si="230"/>
        <v>0</v>
      </c>
      <c r="Y1343" s="258">
        <v>0</v>
      </c>
      <c r="Z1343" s="257">
        <f t="shared" si="231"/>
        <v>0</v>
      </c>
    </row>
    <row r="1344" spans="1:26" ht="15" customHeight="1">
      <c r="A1344" s="250" t="s">
        <v>1380</v>
      </c>
      <c r="B1344" s="251"/>
      <c r="C1344" s="532" t="s">
        <v>2432</v>
      </c>
      <c r="D1344" s="532" t="s">
        <v>1436</v>
      </c>
      <c r="E1344" s="251" t="s">
        <v>1901</v>
      </c>
      <c r="F1344" s="304">
        <f t="shared" si="222"/>
        <v>0</v>
      </c>
      <c r="G1344" s="253">
        <f t="shared" si="211"/>
        <v>484.66</v>
      </c>
      <c r="H1344" s="254">
        <f t="shared" si="223"/>
        <v>0</v>
      </c>
      <c r="I1344" s="253">
        <f t="shared" si="224"/>
        <v>0</v>
      </c>
      <c r="J1344" s="253"/>
      <c r="K1344" s="251" t="s">
        <v>1901</v>
      </c>
      <c r="L1344" s="663">
        <v>484.66</v>
      </c>
      <c r="M1344" s="258">
        <v>0</v>
      </c>
      <c r="N1344" s="257">
        <f t="shared" si="225"/>
        <v>0</v>
      </c>
      <c r="O1344" s="258">
        <v>0</v>
      </c>
      <c r="P1344" s="257">
        <f t="shared" si="226"/>
        <v>0</v>
      </c>
      <c r="Q1344" s="258">
        <v>0</v>
      </c>
      <c r="R1344" s="257">
        <f t="shared" si="227"/>
        <v>0</v>
      </c>
      <c r="S1344" s="258">
        <v>0</v>
      </c>
      <c r="T1344" s="257">
        <f t="shared" si="228"/>
        <v>0</v>
      </c>
      <c r="U1344" s="258">
        <v>0</v>
      </c>
      <c r="V1344" s="257">
        <f t="shared" si="229"/>
        <v>0</v>
      </c>
      <c r="W1344" s="258">
        <v>0</v>
      </c>
      <c r="X1344" s="257">
        <f t="shared" si="230"/>
        <v>0</v>
      </c>
      <c r="Y1344" s="258">
        <v>0</v>
      </c>
      <c r="Z1344" s="257">
        <f t="shared" si="231"/>
        <v>0</v>
      </c>
    </row>
    <row r="1345" spans="1:26" ht="15" customHeight="1">
      <c r="A1345" s="250"/>
      <c r="B1345" s="251"/>
      <c r="C1345" s="326"/>
      <c r="D1345" s="292"/>
      <c r="E1345" s="251"/>
      <c r="F1345" s="252"/>
      <c r="G1345" s="253"/>
      <c r="H1345" s="254"/>
      <c r="I1345" s="253"/>
      <c r="J1345" s="253"/>
      <c r="K1345" s="251"/>
      <c r="L1345" s="261"/>
      <c r="M1345" s="258"/>
      <c r="N1345" s="257"/>
      <c r="O1345" s="258"/>
      <c r="P1345" s="257"/>
      <c r="Q1345" s="258"/>
      <c r="R1345" s="257"/>
      <c r="S1345" s="258"/>
      <c r="T1345" s="257"/>
      <c r="U1345" s="258"/>
      <c r="V1345" s="257"/>
      <c r="W1345" s="258"/>
      <c r="X1345" s="257"/>
      <c r="Y1345" s="258"/>
      <c r="Z1345" s="257"/>
    </row>
    <row r="1346" spans="1:26" ht="15" customHeight="1">
      <c r="A1346" s="250">
        <f>A1326+1</f>
        <v>239</v>
      </c>
      <c r="B1346" s="251"/>
      <c r="C1346" s="532" t="s">
        <v>874</v>
      </c>
      <c r="D1346" s="532" t="s">
        <v>1421</v>
      </c>
      <c r="E1346" s="251"/>
      <c r="F1346" s="252"/>
      <c r="G1346" s="253"/>
      <c r="H1346" s="254"/>
      <c r="I1346" s="253"/>
      <c r="J1346" s="253"/>
      <c r="K1346" s="251"/>
      <c r="L1346" s="261"/>
      <c r="M1346" s="258"/>
      <c r="N1346" s="257"/>
      <c r="O1346" s="258"/>
      <c r="P1346" s="257"/>
      <c r="Q1346" s="258"/>
      <c r="R1346" s="257"/>
      <c r="S1346" s="258"/>
      <c r="T1346" s="257"/>
      <c r="U1346" s="258"/>
      <c r="V1346" s="257"/>
      <c r="W1346" s="258"/>
      <c r="X1346" s="257"/>
      <c r="Y1346" s="258"/>
      <c r="Z1346" s="257"/>
    </row>
    <row r="1347" spans="1:26" ht="15" customHeight="1">
      <c r="A1347" s="250"/>
      <c r="B1347" s="251"/>
      <c r="C1347" s="326"/>
      <c r="D1347" s="532" t="s">
        <v>1420</v>
      </c>
      <c r="E1347" s="251"/>
      <c r="F1347" s="252"/>
      <c r="G1347" s="253"/>
      <c r="H1347" s="254"/>
      <c r="I1347" s="253"/>
      <c r="J1347" s="253"/>
      <c r="K1347" s="251"/>
      <c r="L1347" s="261"/>
      <c r="M1347" s="258"/>
      <c r="N1347" s="257"/>
      <c r="O1347" s="258"/>
      <c r="P1347" s="257"/>
      <c r="Q1347" s="258"/>
      <c r="R1347" s="257"/>
      <c r="S1347" s="258"/>
      <c r="T1347" s="257"/>
      <c r="U1347" s="258"/>
      <c r="V1347" s="257"/>
      <c r="W1347" s="258"/>
      <c r="X1347" s="257"/>
      <c r="Y1347" s="258"/>
      <c r="Z1347" s="257"/>
    </row>
    <row r="1348" spans="1:26" ht="15" customHeight="1">
      <c r="A1348" s="250" t="s">
        <v>1903</v>
      </c>
      <c r="B1348" s="251"/>
      <c r="C1348" s="532" t="s">
        <v>876</v>
      </c>
      <c r="D1348" s="532" t="s">
        <v>1422</v>
      </c>
      <c r="E1348" s="251" t="s">
        <v>1901</v>
      </c>
      <c r="F1348" s="304">
        <f t="shared" ref="F1348:F1364" si="232">M1348+O1348+Q1348+S1348+U1348+W1348+Y1348</f>
        <v>0</v>
      </c>
      <c r="G1348" s="253">
        <f t="shared" si="211"/>
        <v>93.88</v>
      </c>
      <c r="H1348" s="254">
        <f t="shared" ref="H1348:H1364" si="233">F1348*G1348</f>
        <v>0</v>
      </c>
      <c r="I1348" s="253">
        <f t="shared" ref="I1348:I1364" si="234">N1348+P1348+R1348+T1348+V1348+X1348+Z1348</f>
        <v>0</v>
      </c>
      <c r="J1348" s="253"/>
      <c r="K1348" s="251" t="s">
        <v>1901</v>
      </c>
      <c r="L1348" s="663">
        <v>93.88</v>
      </c>
      <c r="M1348" s="258">
        <v>0</v>
      </c>
      <c r="N1348" s="257">
        <f t="shared" ref="N1348:N1364" si="235">INT($L1348*M1348*100+0.5)/100</f>
        <v>0</v>
      </c>
      <c r="O1348" s="258">
        <v>0</v>
      </c>
      <c r="P1348" s="257">
        <f t="shared" ref="P1348:P1364" si="236">INT($L1348*O1348*100+0.5)/100</f>
        <v>0</v>
      </c>
      <c r="Q1348" s="258">
        <v>0</v>
      </c>
      <c r="R1348" s="257">
        <f t="shared" ref="R1348:R1364" si="237">INT($L1348*Q1348*100+0.5)/100</f>
        <v>0</v>
      </c>
      <c r="S1348" s="258">
        <v>0</v>
      </c>
      <c r="T1348" s="257">
        <f t="shared" ref="T1348:T1364" si="238">INT($L1348*S1348*100+0.5)/100</f>
        <v>0</v>
      </c>
      <c r="U1348" s="258">
        <v>0</v>
      </c>
      <c r="V1348" s="257">
        <f t="shared" ref="V1348:V1364" si="239">INT($L1348*U1348*100+0.5)/100</f>
        <v>0</v>
      </c>
      <c r="W1348" s="258">
        <v>0</v>
      </c>
      <c r="X1348" s="257">
        <f t="shared" ref="X1348:X1364" si="240">INT($L1348*W1348*100+0.5)/100</f>
        <v>0</v>
      </c>
      <c r="Y1348" s="258">
        <v>0</v>
      </c>
      <c r="Z1348" s="257">
        <f t="shared" ref="Z1348:Z1364" si="241">INT($L1348*Y1348*100+0.5)/100</f>
        <v>0</v>
      </c>
    </row>
    <row r="1349" spans="1:26" ht="15" customHeight="1">
      <c r="A1349" s="250" t="s">
        <v>1905</v>
      </c>
      <c r="B1349" s="251"/>
      <c r="C1349" s="532" t="s">
        <v>877</v>
      </c>
      <c r="D1349" s="532" t="s">
        <v>1423</v>
      </c>
      <c r="E1349" s="251" t="s">
        <v>1901</v>
      </c>
      <c r="F1349" s="304">
        <f t="shared" si="232"/>
        <v>0</v>
      </c>
      <c r="G1349" s="253">
        <f t="shared" si="211"/>
        <v>112.51</v>
      </c>
      <c r="H1349" s="254">
        <f t="shared" si="233"/>
        <v>0</v>
      </c>
      <c r="I1349" s="253">
        <f t="shared" si="234"/>
        <v>0</v>
      </c>
      <c r="J1349" s="253"/>
      <c r="K1349" s="251" t="s">
        <v>1901</v>
      </c>
      <c r="L1349" s="663">
        <v>112.51</v>
      </c>
      <c r="M1349" s="258">
        <v>0</v>
      </c>
      <c r="N1349" s="257">
        <f t="shared" si="235"/>
        <v>0</v>
      </c>
      <c r="O1349" s="258">
        <v>0</v>
      </c>
      <c r="P1349" s="257">
        <f t="shared" si="236"/>
        <v>0</v>
      </c>
      <c r="Q1349" s="258">
        <v>0</v>
      </c>
      <c r="R1349" s="257">
        <f t="shared" si="237"/>
        <v>0</v>
      </c>
      <c r="S1349" s="258">
        <v>0</v>
      </c>
      <c r="T1349" s="257">
        <f t="shared" si="238"/>
        <v>0</v>
      </c>
      <c r="U1349" s="258">
        <v>0</v>
      </c>
      <c r="V1349" s="257">
        <f t="shared" si="239"/>
        <v>0</v>
      </c>
      <c r="W1349" s="258">
        <v>0</v>
      </c>
      <c r="X1349" s="257">
        <f t="shared" si="240"/>
        <v>0</v>
      </c>
      <c r="Y1349" s="258">
        <v>0</v>
      </c>
      <c r="Z1349" s="257">
        <f t="shared" si="241"/>
        <v>0</v>
      </c>
    </row>
    <row r="1350" spans="1:26" ht="15" customHeight="1">
      <c r="A1350" s="250" t="s">
        <v>1906</v>
      </c>
      <c r="B1350" s="251"/>
      <c r="C1350" s="532" t="s">
        <v>878</v>
      </c>
      <c r="D1350" s="532" t="s">
        <v>1424</v>
      </c>
      <c r="E1350" s="251" t="s">
        <v>1901</v>
      </c>
      <c r="F1350" s="304">
        <f t="shared" si="232"/>
        <v>0</v>
      </c>
      <c r="G1350" s="253">
        <f t="shared" si="211"/>
        <v>134.47999999999999</v>
      </c>
      <c r="H1350" s="254">
        <f t="shared" si="233"/>
        <v>0</v>
      </c>
      <c r="I1350" s="253">
        <f t="shared" si="234"/>
        <v>0</v>
      </c>
      <c r="J1350" s="253"/>
      <c r="K1350" s="251" t="s">
        <v>1901</v>
      </c>
      <c r="L1350" s="663">
        <v>134.47999999999999</v>
      </c>
      <c r="M1350" s="258">
        <v>0</v>
      </c>
      <c r="N1350" s="257">
        <f t="shared" si="235"/>
        <v>0</v>
      </c>
      <c r="O1350" s="258">
        <v>0</v>
      </c>
      <c r="P1350" s="257">
        <f t="shared" si="236"/>
        <v>0</v>
      </c>
      <c r="Q1350" s="258">
        <v>0</v>
      </c>
      <c r="R1350" s="257">
        <f t="shared" si="237"/>
        <v>0</v>
      </c>
      <c r="S1350" s="258">
        <v>0</v>
      </c>
      <c r="T1350" s="257">
        <f t="shared" si="238"/>
        <v>0</v>
      </c>
      <c r="U1350" s="258">
        <v>0</v>
      </c>
      <c r="V1350" s="257">
        <f t="shared" si="239"/>
        <v>0</v>
      </c>
      <c r="W1350" s="258">
        <v>0</v>
      </c>
      <c r="X1350" s="257">
        <f t="shared" si="240"/>
        <v>0</v>
      </c>
      <c r="Y1350" s="258">
        <v>0</v>
      </c>
      <c r="Z1350" s="257">
        <f t="shared" si="241"/>
        <v>0</v>
      </c>
    </row>
    <row r="1351" spans="1:26" ht="15" customHeight="1">
      <c r="A1351" s="250" t="s">
        <v>1907</v>
      </c>
      <c r="B1351" s="251"/>
      <c r="C1351" s="532" t="s">
        <v>879</v>
      </c>
      <c r="D1351" s="532" t="s">
        <v>1425</v>
      </c>
      <c r="E1351" s="251" t="s">
        <v>1901</v>
      </c>
      <c r="F1351" s="304">
        <f t="shared" si="232"/>
        <v>0</v>
      </c>
      <c r="G1351" s="253">
        <f t="shared" si="211"/>
        <v>199.05</v>
      </c>
      <c r="H1351" s="254">
        <f t="shared" si="233"/>
        <v>0</v>
      </c>
      <c r="I1351" s="253">
        <f t="shared" si="234"/>
        <v>0</v>
      </c>
      <c r="J1351" s="253"/>
      <c r="K1351" s="251" t="s">
        <v>1901</v>
      </c>
      <c r="L1351" s="663">
        <v>199.05</v>
      </c>
      <c r="M1351" s="258">
        <v>0</v>
      </c>
      <c r="N1351" s="257">
        <f t="shared" si="235"/>
        <v>0</v>
      </c>
      <c r="O1351" s="258">
        <v>0</v>
      </c>
      <c r="P1351" s="257">
        <f t="shared" si="236"/>
        <v>0</v>
      </c>
      <c r="Q1351" s="258">
        <v>0</v>
      </c>
      <c r="R1351" s="257">
        <f t="shared" si="237"/>
        <v>0</v>
      </c>
      <c r="S1351" s="258">
        <v>0</v>
      </c>
      <c r="T1351" s="257">
        <f t="shared" si="238"/>
        <v>0</v>
      </c>
      <c r="U1351" s="258">
        <v>0</v>
      </c>
      <c r="V1351" s="257">
        <f t="shared" si="239"/>
        <v>0</v>
      </c>
      <c r="W1351" s="258">
        <v>0</v>
      </c>
      <c r="X1351" s="257">
        <f t="shared" si="240"/>
        <v>0</v>
      </c>
      <c r="Y1351" s="258">
        <v>0</v>
      </c>
      <c r="Z1351" s="257">
        <f t="shared" si="241"/>
        <v>0</v>
      </c>
    </row>
    <row r="1352" spans="1:26" ht="15" customHeight="1">
      <c r="A1352" s="250" t="s">
        <v>542</v>
      </c>
      <c r="B1352" s="251"/>
      <c r="C1352" s="532" t="s">
        <v>880</v>
      </c>
      <c r="D1352" s="532" t="s">
        <v>1426</v>
      </c>
      <c r="E1352" s="251" t="s">
        <v>1901</v>
      </c>
      <c r="F1352" s="304">
        <f t="shared" si="232"/>
        <v>0</v>
      </c>
      <c r="G1352" s="253">
        <f t="shared" si="211"/>
        <v>356.16</v>
      </c>
      <c r="H1352" s="254">
        <f t="shared" si="233"/>
        <v>0</v>
      </c>
      <c r="I1352" s="253">
        <f t="shared" si="234"/>
        <v>0</v>
      </c>
      <c r="J1352" s="253"/>
      <c r="K1352" s="251" t="s">
        <v>1901</v>
      </c>
      <c r="L1352" s="663">
        <v>356.16</v>
      </c>
      <c r="M1352" s="258">
        <v>0</v>
      </c>
      <c r="N1352" s="257">
        <f t="shared" si="235"/>
        <v>0</v>
      </c>
      <c r="O1352" s="258">
        <v>0</v>
      </c>
      <c r="P1352" s="257">
        <f t="shared" si="236"/>
        <v>0</v>
      </c>
      <c r="Q1352" s="258">
        <v>0</v>
      </c>
      <c r="R1352" s="257">
        <f t="shared" si="237"/>
        <v>0</v>
      </c>
      <c r="S1352" s="258">
        <v>0</v>
      </c>
      <c r="T1352" s="257">
        <f t="shared" si="238"/>
        <v>0</v>
      </c>
      <c r="U1352" s="258">
        <v>0</v>
      </c>
      <c r="V1352" s="257">
        <f t="shared" si="239"/>
        <v>0</v>
      </c>
      <c r="W1352" s="258">
        <v>0</v>
      </c>
      <c r="X1352" s="257">
        <f t="shared" si="240"/>
        <v>0</v>
      </c>
      <c r="Y1352" s="258">
        <v>0</v>
      </c>
      <c r="Z1352" s="257">
        <f t="shared" si="241"/>
        <v>0</v>
      </c>
    </row>
    <row r="1353" spans="1:26" ht="15" customHeight="1">
      <c r="A1353" s="250" t="s">
        <v>543</v>
      </c>
      <c r="B1353" s="251"/>
      <c r="C1353" s="534" t="s">
        <v>435</v>
      </c>
      <c r="D1353" s="532" t="s">
        <v>230</v>
      </c>
      <c r="E1353" s="251" t="s">
        <v>1901</v>
      </c>
      <c r="F1353" s="304">
        <f t="shared" si="232"/>
        <v>0</v>
      </c>
      <c r="G1353" s="253">
        <f t="shared" si="211"/>
        <v>600.82000000000005</v>
      </c>
      <c r="H1353" s="254">
        <f>F1353*G1353</f>
        <v>0</v>
      </c>
      <c r="I1353" s="253">
        <f t="shared" si="234"/>
        <v>0</v>
      </c>
      <c r="J1353" s="253"/>
      <c r="K1353" s="251" t="s">
        <v>1901</v>
      </c>
      <c r="L1353" s="666">
        <f>(L1352+L1354)/2</f>
        <v>600.82000000000005</v>
      </c>
      <c r="M1353" s="258">
        <v>0</v>
      </c>
      <c r="N1353" s="257">
        <f t="shared" si="235"/>
        <v>0</v>
      </c>
      <c r="O1353" s="258">
        <v>0</v>
      </c>
      <c r="P1353" s="257">
        <f t="shared" si="236"/>
        <v>0</v>
      </c>
      <c r="Q1353" s="258">
        <v>0</v>
      </c>
      <c r="R1353" s="257">
        <f t="shared" si="237"/>
        <v>0</v>
      </c>
      <c r="S1353" s="258">
        <v>0</v>
      </c>
      <c r="T1353" s="257">
        <f t="shared" si="238"/>
        <v>0</v>
      </c>
      <c r="U1353" s="258">
        <v>0</v>
      </c>
      <c r="V1353" s="257">
        <f t="shared" si="239"/>
        <v>0</v>
      </c>
      <c r="W1353" s="258">
        <v>0</v>
      </c>
      <c r="X1353" s="257">
        <f t="shared" si="240"/>
        <v>0</v>
      </c>
      <c r="Y1353" s="258">
        <v>0</v>
      </c>
      <c r="Z1353" s="257">
        <f t="shared" si="241"/>
        <v>0</v>
      </c>
    </row>
    <row r="1354" spans="1:26" ht="15" customHeight="1">
      <c r="A1354" s="250" t="s">
        <v>544</v>
      </c>
      <c r="B1354" s="251"/>
      <c r="C1354" s="532" t="s">
        <v>881</v>
      </c>
      <c r="D1354" s="532" t="s">
        <v>1427</v>
      </c>
      <c r="E1354" s="251" t="s">
        <v>1901</v>
      </c>
      <c r="F1354" s="304">
        <f t="shared" si="232"/>
        <v>0</v>
      </c>
      <c r="G1354" s="253">
        <f t="shared" si="211"/>
        <v>845.48</v>
      </c>
      <c r="H1354" s="254">
        <f t="shared" si="233"/>
        <v>0</v>
      </c>
      <c r="I1354" s="253">
        <f t="shared" si="234"/>
        <v>0</v>
      </c>
      <c r="J1354" s="253"/>
      <c r="K1354" s="251" t="s">
        <v>1901</v>
      </c>
      <c r="L1354" s="663">
        <v>845.48</v>
      </c>
      <c r="M1354" s="258">
        <v>0</v>
      </c>
      <c r="N1354" s="257">
        <f t="shared" si="235"/>
        <v>0</v>
      </c>
      <c r="O1354" s="258">
        <v>0</v>
      </c>
      <c r="P1354" s="257">
        <f t="shared" si="236"/>
        <v>0</v>
      </c>
      <c r="Q1354" s="258">
        <v>0</v>
      </c>
      <c r="R1354" s="257">
        <f t="shared" si="237"/>
        <v>0</v>
      </c>
      <c r="S1354" s="258">
        <v>0</v>
      </c>
      <c r="T1354" s="257">
        <f t="shared" si="238"/>
        <v>0</v>
      </c>
      <c r="U1354" s="258">
        <v>0</v>
      </c>
      <c r="V1354" s="257">
        <f t="shared" si="239"/>
        <v>0</v>
      </c>
      <c r="W1354" s="258">
        <v>0</v>
      </c>
      <c r="X1354" s="257">
        <f t="shared" si="240"/>
        <v>0</v>
      </c>
      <c r="Y1354" s="258">
        <v>0</v>
      </c>
      <c r="Z1354" s="257">
        <f t="shared" si="241"/>
        <v>0</v>
      </c>
    </row>
    <row r="1355" spans="1:26" ht="15" customHeight="1">
      <c r="A1355" s="250" t="s">
        <v>545</v>
      </c>
      <c r="B1355" s="251"/>
      <c r="C1355" s="532" t="s">
        <v>882</v>
      </c>
      <c r="D1355" s="532" t="s">
        <v>1428</v>
      </c>
      <c r="E1355" s="251" t="s">
        <v>1901</v>
      </c>
      <c r="F1355" s="304">
        <f t="shared" si="232"/>
        <v>0</v>
      </c>
      <c r="G1355" s="253">
        <f t="shared" si="211"/>
        <v>1165.03</v>
      </c>
      <c r="H1355" s="254">
        <f t="shared" si="233"/>
        <v>0</v>
      </c>
      <c r="I1355" s="253">
        <f t="shared" si="234"/>
        <v>0</v>
      </c>
      <c r="J1355" s="253"/>
      <c r="K1355" s="251" t="s">
        <v>1901</v>
      </c>
      <c r="L1355" s="663">
        <v>1165.03</v>
      </c>
      <c r="M1355" s="258">
        <v>0</v>
      </c>
      <c r="N1355" s="257">
        <f t="shared" si="235"/>
        <v>0</v>
      </c>
      <c r="O1355" s="258">
        <v>0</v>
      </c>
      <c r="P1355" s="257">
        <f t="shared" si="236"/>
        <v>0</v>
      </c>
      <c r="Q1355" s="258">
        <v>0</v>
      </c>
      <c r="R1355" s="257">
        <f t="shared" si="237"/>
        <v>0</v>
      </c>
      <c r="S1355" s="258">
        <v>0</v>
      </c>
      <c r="T1355" s="257">
        <f t="shared" si="238"/>
        <v>0</v>
      </c>
      <c r="U1355" s="258">
        <v>0</v>
      </c>
      <c r="V1355" s="257">
        <f t="shared" si="239"/>
        <v>0</v>
      </c>
      <c r="W1355" s="258">
        <v>0</v>
      </c>
      <c r="X1355" s="257">
        <f t="shared" si="240"/>
        <v>0</v>
      </c>
      <c r="Y1355" s="258">
        <v>0</v>
      </c>
      <c r="Z1355" s="257">
        <f t="shared" si="241"/>
        <v>0</v>
      </c>
    </row>
    <row r="1356" spans="1:26" ht="15" customHeight="1">
      <c r="A1356" s="250" t="s">
        <v>2106</v>
      </c>
      <c r="B1356" s="251"/>
      <c r="C1356" s="532" t="s">
        <v>883</v>
      </c>
      <c r="D1356" s="532" t="s">
        <v>1429</v>
      </c>
      <c r="E1356" s="251" t="s">
        <v>1901</v>
      </c>
      <c r="F1356" s="304">
        <f t="shared" si="232"/>
        <v>0</v>
      </c>
      <c r="G1356" s="253">
        <f t="shared" si="211"/>
        <v>117.84</v>
      </c>
      <c r="H1356" s="254">
        <f t="shared" si="233"/>
        <v>0</v>
      </c>
      <c r="I1356" s="253">
        <f t="shared" si="234"/>
        <v>0</v>
      </c>
      <c r="J1356" s="253"/>
      <c r="K1356" s="251" t="s">
        <v>1901</v>
      </c>
      <c r="L1356" s="663">
        <v>117.84</v>
      </c>
      <c r="M1356" s="258">
        <v>0</v>
      </c>
      <c r="N1356" s="257">
        <f t="shared" si="235"/>
        <v>0</v>
      </c>
      <c r="O1356" s="258">
        <v>0</v>
      </c>
      <c r="P1356" s="257">
        <f t="shared" si="236"/>
        <v>0</v>
      </c>
      <c r="Q1356" s="258">
        <v>0</v>
      </c>
      <c r="R1356" s="257">
        <f t="shared" si="237"/>
        <v>0</v>
      </c>
      <c r="S1356" s="258">
        <v>0</v>
      </c>
      <c r="T1356" s="257">
        <f t="shared" si="238"/>
        <v>0</v>
      </c>
      <c r="U1356" s="258">
        <v>0</v>
      </c>
      <c r="V1356" s="257">
        <f t="shared" si="239"/>
        <v>0</v>
      </c>
      <c r="W1356" s="258">
        <v>0</v>
      </c>
      <c r="X1356" s="257">
        <f t="shared" si="240"/>
        <v>0</v>
      </c>
      <c r="Y1356" s="258">
        <v>0</v>
      </c>
      <c r="Z1356" s="257">
        <f t="shared" si="241"/>
        <v>0</v>
      </c>
    </row>
    <row r="1357" spans="1:26" ht="15" customHeight="1">
      <c r="A1357" s="250" t="s">
        <v>583</v>
      </c>
      <c r="B1357" s="251"/>
      <c r="C1357" s="532" t="s">
        <v>884</v>
      </c>
      <c r="D1357" s="532" t="s">
        <v>1430</v>
      </c>
      <c r="E1357" s="251" t="s">
        <v>1901</v>
      </c>
      <c r="F1357" s="304">
        <f t="shared" si="232"/>
        <v>0</v>
      </c>
      <c r="G1357" s="253">
        <f t="shared" si="211"/>
        <v>139.15</v>
      </c>
      <c r="H1357" s="254">
        <f t="shared" si="233"/>
        <v>0</v>
      </c>
      <c r="I1357" s="253">
        <f t="shared" si="234"/>
        <v>0</v>
      </c>
      <c r="J1357" s="253"/>
      <c r="K1357" s="251" t="s">
        <v>1901</v>
      </c>
      <c r="L1357" s="663">
        <v>139.15</v>
      </c>
      <c r="M1357" s="258">
        <v>0</v>
      </c>
      <c r="N1357" s="257">
        <f t="shared" si="235"/>
        <v>0</v>
      </c>
      <c r="O1357" s="258">
        <v>0</v>
      </c>
      <c r="P1357" s="257">
        <f t="shared" si="236"/>
        <v>0</v>
      </c>
      <c r="Q1357" s="258">
        <v>0</v>
      </c>
      <c r="R1357" s="257">
        <f t="shared" si="237"/>
        <v>0</v>
      </c>
      <c r="S1357" s="258">
        <v>0</v>
      </c>
      <c r="T1357" s="257">
        <f t="shared" si="238"/>
        <v>0</v>
      </c>
      <c r="U1357" s="258">
        <v>0</v>
      </c>
      <c r="V1357" s="257">
        <f t="shared" si="239"/>
        <v>0</v>
      </c>
      <c r="W1357" s="258">
        <v>0</v>
      </c>
      <c r="X1357" s="257">
        <f t="shared" si="240"/>
        <v>0</v>
      </c>
      <c r="Y1357" s="258">
        <v>0</v>
      </c>
      <c r="Z1357" s="257">
        <f t="shared" si="241"/>
        <v>0</v>
      </c>
    </row>
    <row r="1358" spans="1:26" ht="15" customHeight="1">
      <c r="A1358" s="250" t="s">
        <v>2475</v>
      </c>
      <c r="B1358" s="251"/>
      <c r="C1358" s="532" t="s">
        <v>885</v>
      </c>
      <c r="D1358" s="532" t="s">
        <v>1431</v>
      </c>
      <c r="E1358" s="251" t="s">
        <v>1901</v>
      </c>
      <c r="F1358" s="304">
        <f t="shared" si="232"/>
        <v>0</v>
      </c>
      <c r="G1358" s="253">
        <f t="shared" si="211"/>
        <v>167.77</v>
      </c>
      <c r="H1358" s="254">
        <f t="shared" si="233"/>
        <v>0</v>
      </c>
      <c r="I1358" s="253">
        <f t="shared" si="234"/>
        <v>0</v>
      </c>
      <c r="J1358" s="253"/>
      <c r="K1358" s="251" t="s">
        <v>1901</v>
      </c>
      <c r="L1358" s="663">
        <v>167.77</v>
      </c>
      <c r="M1358" s="258">
        <v>0</v>
      </c>
      <c r="N1358" s="257">
        <f t="shared" si="235"/>
        <v>0</v>
      </c>
      <c r="O1358" s="258">
        <v>0</v>
      </c>
      <c r="P1358" s="257">
        <f t="shared" si="236"/>
        <v>0</v>
      </c>
      <c r="Q1358" s="258">
        <v>0</v>
      </c>
      <c r="R1358" s="257">
        <f t="shared" si="237"/>
        <v>0</v>
      </c>
      <c r="S1358" s="258">
        <v>0</v>
      </c>
      <c r="T1358" s="257">
        <f t="shared" si="238"/>
        <v>0</v>
      </c>
      <c r="U1358" s="258">
        <v>0</v>
      </c>
      <c r="V1358" s="257">
        <f t="shared" si="239"/>
        <v>0</v>
      </c>
      <c r="W1358" s="258">
        <v>0</v>
      </c>
      <c r="X1358" s="257">
        <f t="shared" si="240"/>
        <v>0</v>
      </c>
      <c r="Y1358" s="258">
        <v>0</v>
      </c>
      <c r="Z1358" s="257">
        <f t="shared" si="241"/>
        <v>0</v>
      </c>
    </row>
    <row r="1359" spans="1:26" ht="15" customHeight="1">
      <c r="A1359" s="250" t="s">
        <v>1901</v>
      </c>
      <c r="B1359" s="251"/>
      <c r="C1359" s="532" t="s">
        <v>893</v>
      </c>
      <c r="D1359" s="532" t="s">
        <v>1432</v>
      </c>
      <c r="E1359" s="251" t="s">
        <v>1901</v>
      </c>
      <c r="F1359" s="304">
        <f t="shared" si="232"/>
        <v>0</v>
      </c>
      <c r="G1359" s="253">
        <f t="shared" si="211"/>
        <v>206.72</v>
      </c>
      <c r="H1359" s="254">
        <f t="shared" si="233"/>
        <v>0</v>
      </c>
      <c r="I1359" s="253">
        <f t="shared" si="234"/>
        <v>0</v>
      </c>
      <c r="J1359" s="253"/>
      <c r="K1359" s="251" t="s">
        <v>1901</v>
      </c>
      <c r="L1359" s="666">
        <f>(L1358+L1360)/2</f>
        <v>206.72</v>
      </c>
      <c r="M1359" s="258">
        <v>0</v>
      </c>
      <c r="N1359" s="257">
        <f t="shared" si="235"/>
        <v>0</v>
      </c>
      <c r="O1359" s="258">
        <v>0</v>
      </c>
      <c r="P1359" s="257">
        <f t="shared" si="236"/>
        <v>0</v>
      </c>
      <c r="Q1359" s="258">
        <v>0</v>
      </c>
      <c r="R1359" s="257">
        <f t="shared" si="237"/>
        <v>0</v>
      </c>
      <c r="S1359" s="258">
        <v>0</v>
      </c>
      <c r="T1359" s="257">
        <f t="shared" si="238"/>
        <v>0</v>
      </c>
      <c r="U1359" s="258">
        <v>0</v>
      </c>
      <c r="V1359" s="257">
        <f t="shared" si="239"/>
        <v>0</v>
      </c>
      <c r="W1359" s="258">
        <v>0</v>
      </c>
      <c r="X1359" s="257">
        <f t="shared" si="240"/>
        <v>0</v>
      </c>
      <c r="Y1359" s="258">
        <v>0</v>
      </c>
      <c r="Z1359" s="257">
        <f t="shared" si="241"/>
        <v>0</v>
      </c>
    </row>
    <row r="1360" spans="1:26" ht="15" customHeight="1">
      <c r="A1360" s="250" t="s">
        <v>1437</v>
      </c>
      <c r="B1360" s="251"/>
      <c r="C1360" s="534" t="s">
        <v>434</v>
      </c>
      <c r="D1360" s="532" t="s">
        <v>1433</v>
      </c>
      <c r="E1360" s="251" t="s">
        <v>1901</v>
      </c>
      <c r="F1360" s="304">
        <f t="shared" si="232"/>
        <v>0</v>
      </c>
      <c r="G1360" s="253">
        <f t="shared" si="211"/>
        <v>245.67</v>
      </c>
      <c r="H1360" s="254">
        <f t="shared" si="233"/>
        <v>0</v>
      </c>
      <c r="I1360" s="253">
        <f t="shared" si="234"/>
        <v>0</v>
      </c>
      <c r="J1360" s="253"/>
      <c r="K1360" s="251" t="s">
        <v>1901</v>
      </c>
      <c r="L1360" s="663">
        <v>245.67</v>
      </c>
      <c r="M1360" s="258">
        <v>0</v>
      </c>
      <c r="N1360" s="257">
        <f t="shared" si="235"/>
        <v>0</v>
      </c>
      <c r="O1360" s="258">
        <v>0</v>
      </c>
      <c r="P1360" s="257">
        <f t="shared" si="236"/>
        <v>0</v>
      </c>
      <c r="Q1360" s="258">
        <v>0</v>
      </c>
      <c r="R1360" s="257">
        <f t="shared" si="237"/>
        <v>0</v>
      </c>
      <c r="S1360" s="258">
        <v>0</v>
      </c>
      <c r="T1360" s="257">
        <f t="shared" si="238"/>
        <v>0</v>
      </c>
      <c r="U1360" s="258">
        <v>0</v>
      </c>
      <c r="V1360" s="257">
        <f t="shared" si="239"/>
        <v>0</v>
      </c>
      <c r="W1360" s="258">
        <v>0</v>
      </c>
      <c r="X1360" s="257">
        <f t="shared" si="240"/>
        <v>0</v>
      </c>
      <c r="Y1360" s="258">
        <v>0</v>
      </c>
      <c r="Z1360" s="257">
        <f t="shared" si="241"/>
        <v>0</v>
      </c>
    </row>
    <row r="1361" spans="1:26" ht="15" customHeight="1">
      <c r="A1361" s="250" t="s">
        <v>1378</v>
      </c>
      <c r="B1361" s="251"/>
      <c r="C1361" s="532" t="s">
        <v>886</v>
      </c>
      <c r="D1361" s="532" t="s">
        <v>1434</v>
      </c>
      <c r="E1361" s="251" t="s">
        <v>1901</v>
      </c>
      <c r="F1361" s="304">
        <f t="shared" si="232"/>
        <v>0</v>
      </c>
      <c r="G1361" s="253">
        <f t="shared" si="211"/>
        <v>428.75</v>
      </c>
      <c r="H1361" s="254">
        <f t="shared" si="233"/>
        <v>0</v>
      </c>
      <c r="I1361" s="253">
        <f t="shared" si="234"/>
        <v>0</v>
      </c>
      <c r="J1361" s="253"/>
      <c r="K1361" s="251" t="s">
        <v>1901</v>
      </c>
      <c r="L1361" s="663">
        <v>428.75</v>
      </c>
      <c r="M1361" s="258">
        <v>0</v>
      </c>
      <c r="N1361" s="257">
        <f t="shared" si="235"/>
        <v>0</v>
      </c>
      <c r="O1361" s="258">
        <v>0</v>
      </c>
      <c r="P1361" s="257">
        <f t="shared" si="236"/>
        <v>0</v>
      </c>
      <c r="Q1361" s="258">
        <v>0</v>
      </c>
      <c r="R1361" s="257">
        <f t="shared" si="237"/>
        <v>0</v>
      </c>
      <c r="S1361" s="258">
        <v>0</v>
      </c>
      <c r="T1361" s="257">
        <f t="shared" si="238"/>
        <v>0</v>
      </c>
      <c r="U1361" s="258">
        <v>0</v>
      </c>
      <c r="V1361" s="257">
        <f t="shared" si="239"/>
        <v>0</v>
      </c>
      <c r="W1361" s="258">
        <v>0</v>
      </c>
      <c r="X1361" s="257">
        <f t="shared" si="240"/>
        <v>0</v>
      </c>
      <c r="Y1361" s="258">
        <v>0</v>
      </c>
      <c r="Z1361" s="257">
        <f t="shared" si="241"/>
        <v>0</v>
      </c>
    </row>
    <row r="1362" spans="1:26" ht="15" customHeight="1">
      <c r="A1362" s="250" t="s">
        <v>889</v>
      </c>
      <c r="B1362" s="251"/>
      <c r="C1362" s="532" t="s">
        <v>892</v>
      </c>
      <c r="D1362" s="532" t="s">
        <v>891</v>
      </c>
      <c r="E1362" s="251" t="s">
        <v>1901</v>
      </c>
      <c r="F1362" s="304">
        <f t="shared" si="232"/>
        <v>0</v>
      </c>
      <c r="G1362" s="253">
        <f t="shared" ref="G1362:G1421" si="242">L1362</f>
        <v>694.70499999999993</v>
      </c>
      <c r="H1362" s="254">
        <f t="shared" si="233"/>
        <v>0</v>
      </c>
      <c r="I1362" s="253">
        <f t="shared" si="234"/>
        <v>0</v>
      </c>
      <c r="J1362" s="253"/>
      <c r="K1362" s="251" t="s">
        <v>1901</v>
      </c>
      <c r="L1362" s="666">
        <f>(L1361+L1363)/2</f>
        <v>694.70499999999993</v>
      </c>
      <c r="M1362" s="258">
        <v>0</v>
      </c>
      <c r="N1362" s="257">
        <f t="shared" si="235"/>
        <v>0</v>
      </c>
      <c r="O1362" s="258">
        <v>0</v>
      </c>
      <c r="P1362" s="257">
        <f t="shared" si="236"/>
        <v>0</v>
      </c>
      <c r="Q1362" s="258">
        <v>0</v>
      </c>
      <c r="R1362" s="257">
        <f t="shared" si="237"/>
        <v>0</v>
      </c>
      <c r="S1362" s="258">
        <v>0</v>
      </c>
      <c r="T1362" s="257">
        <f t="shared" si="238"/>
        <v>0</v>
      </c>
      <c r="U1362" s="258">
        <v>0</v>
      </c>
      <c r="V1362" s="257">
        <f t="shared" si="239"/>
        <v>0</v>
      </c>
      <c r="W1362" s="258">
        <v>0</v>
      </c>
      <c r="X1362" s="257">
        <f t="shared" si="240"/>
        <v>0</v>
      </c>
      <c r="Y1362" s="258">
        <v>0</v>
      </c>
      <c r="Z1362" s="257">
        <f t="shared" si="241"/>
        <v>0</v>
      </c>
    </row>
    <row r="1363" spans="1:26" ht="15" customHeight="1">
      <c r="A1363" s="250" t="s">
        <v>1379</v>
      </c>
      <c r="B1363" s="251"/>
      <c r="C1363" s="532" t="s">
        <v>887</v>
      </c>
      <c r="D1363" s="532" t="s">
        <v>1435</v>
      </c>
      <c r="E1363" s="251" t="s">
        <v>1901</v>
      </c>
      <c r="F1363" s="304">
        <f t="shared" si="232"/>
        <v>0</v>
      </c>
      <c r="G1363" s="253">
        <f t="shared" si="242"/>
        <v>960.66</v>
      </c>
      <c r="H1363" s="254">
        <f t="shared" si="233"/>
        <v>0</v>
      </c>
      <c r="I1363" s="253">
        <f t="shared" si="234"/>
        <v>0</v>
      </c>
      <c r="J1363" s="253"/>
      <c r="K1363" s="251" t="s">
        <v>1901</v>
      </c>
      <c r="L1363" s="663">
        <v>960.66</v>
      </c>
      <c r="M1363" s="258">
        <v>0</v>
      </c>
      <c r="N1363" s="257">
        <f t="shared" si="235"/>
        <v>0</v>
      </c>
      <c r="O1363" s="258">
        <v>0</v>
      </c>
      <c r="P1363" s="257">
        <f t="shared" si="236"/>
        <v>0</v>
      </c>
      <c r="Q1363" s="258">
        <v>0</v>
      </c>
      <c r="R1363" s="257">
        <f t="shared" si="237"/>
        <v>0</v>
      </c>
      <c r="S1363" s="258">
        <v>0</v>
      </c>
      <c r="T1363" s="257">
        <f t="shared" si="238"/>
        <v>0</v>
      </c>
      <c r="U1363" s="258">
        <v>0</v>
      </c>
      <c r="V1363" s="257">
        <f t="shared" si="239"/>
        <v>0</v>
      </c>
      <c r="W1363" s="258">
        <v>0</v>
      </c>
      <c r="X1363" s="257">
        <f t="shared" si="240"/>
        <v>0</v>
      </c>
      <c r="Y1363" s="258">
        <v>0</v>
      </c>
      <c r="Z1363" s="257">
        <f t="shared" si="241"/>
        <v>0</v>
      </c>
    </row>
    <row r="1364" spans="1:26" ht="15" customHeight="1">
      <c r="A1364" s="250" t="s">
        <v>1380</v>
      </c>
      <c r="B1364" s="251"/>
      <c r="C1364" s="532" t="s">
        <v>888</v>
      </c>
      <c r="D1364" s="532" t="s">
        <v>1436</v>
      </c>
      <c r="E1364" s="251" t="s">
        <v>1901</v>
      </c>
      <c r="F1364" s="304">
        <f t="shared" si="232"/>
        <v>0</v>
      </c>
      <c r="G1364" s="253">
        <f t="shared" si="242"/>
        <v>1318.15</v>
      </c>
      <c r="H1364" s="254">
        <f t="shared" si="233"/>
        <v>0</v>
      </c>
      <c r="I1364" s="253">
        <f t="shared" si="234"/>
        <v>0</v>
      </c>
      <c r="J1364" s="253"/>
      <c r="K1364" s="251" t="s">
        <v>1901</v>
      </c>
      <c r="L1364" s="663">
        <v>1318.15</v>
      </c>
      <c r="M1364" s="258">
        <v>0</v>
      </c>
      <c r="N1364" s="257">
        <f t="shared" si="235"/>
        <v>0</v>
      </c>
      <c r="O1364" s="258">
        <v>0</v>
      </c>
      <c r="P1364" s="257">
        <f t="shared" si="236"/>
        <v>0</v>
      </c>
      <c r="Q1364" s="258">
        <v>0</v>
      </c>
      <c r="R1364" s="257">
        <f t="shared" si="237"/>
        <v>0</v>
      </c>
      <c r="S1364" s="258">
        <v>0</v>
      </c>
      <c r="T1364" s="257">
        <f t="shared" si="238"/>
        <v>0</v>
      </c>
      <c r="U1364" s="258">
        <v>0</v>
      </c>
      <c r="V1364" s="257">
        <f t="shared" si="239"/>
        <v>0</v>
      </c>
      <c r="W1364" s="258">
        <v>0</v>
      </c>
      <c r="X1364" s="257">
        <f t="shared" si="240"/>
        <v>0</v>
      </c>
      <c r="Y1364" s="258">
        <v>0</v>
      </c>
      <c r="Z1364" s="257">
        <f t="shared" si="241"/>
        <v>0</v>
      </c>
    </row>
    <row r="1365" spans="1:26" ht="15" customHeight="1">
      <c r="A1365" s="250"/>
      <c r="B1365" s="251"/>
      <c r="C1365" s="326"/>
      <c r="D1365" s="292"/>
      <c r="E1365" s="251"/>
      <c r="F1365" s="252"/>
      <c r="G1365" s="253"/>
      <c r="H1365" s="254"/>
      <c r="I1365" s="253"/>
      <c r="J1365" s="253"/>
      <c r="K1365" s="251"/>
      <c r="L1365" s="261"/>
      <c r="M1365" s="258"/>
      <c r="N1365" s="257"/>
      <c r="O1365" s="258"/>
      <c r="P1365" s="257"/>
      <c r="Q1365" s="258"/>
      <c r="R1365" s="257"/>
      <c r="S1365" s="258"/>
      <c r="T1365" s="257"/>
      <c r="U1365" s="258"/>
      <c r="V1365" s="257"/>
      <c r="W1365" s="258"/>
      <c r="X1365" s="257"/>
      <c r="Y1365" s="258"/>
      <c r="Z1365" s="257"/>
    </row>
    <row r="1366" spans="1:26" ht="15">
      <c r="A1366" s="250">
        <f>A1346+1</f>
        <v>240</v>
      </c>
      <c r="B1366" s="251"/>
      <c r="C1366" s="540" t="s">
        <v>1397</v>
      </c>
      <c r="D1366" s="532" t="s">
        <v>1402</v>
      </c>
      <c r="E1366" s="251"/>
      <c r="F1366" s="252"/>
      <c r="G1366" s="253"/>
      <c r="H1366" s="254"/>
      <c r="I1366" s="253"/>
      <c r="J1366" s="253"/>
      <c r="K1366" s="251"/>
      <c r="L1366" s="261"/>
      <c r="M1366" s="258"/>
      <c r="N1366" s="257"/>
      <c r="O1366" s="258"/>
      <c r="P1366" s="257"/>
      <c r="Q1366" s="258"/>
      <c r="R1366" s="257"/>
      <c r="S1366" s="258"/>
      <c r="T1366" s="257"/>
      <c r="U1366" s="258"/>
      <c r="V1366" s="257"/>
      <c r="W1366" s="258"/>
      <c r="X1366" s="257"/>
      <c r="Y1366" s="258"/>
      <c r="Z1366" s="257"/>
    </row>
    <row r="1367" spans="1:26" ht="15">
      <c r="A1367" s="250"/>
      <c r="B1367" s="251"/>
      <c r="C1367" s="540"/>
      <c r="D1367" s="526" t="s">
        <v>1396</v>
      </c>
      <c r="E1367" s="251"/>
      <c r="F1367" s="252"/>
      <c r="G1367" s="253"/>
      <c r="H1367" s="254"/>
      <c r="I1367" s="253"/>
      <c r="J1367" s="253"/>
      <c r="K1367" s="251"/>
      <c r="L1367" s="261"/>
      <c r="M1367" s="258"/>
      <c r="N1367" s="257"/>
      <c r="O1367" s="258"/>
      <c r="P1367" s="257"/>
      <c r="Q1367" s="258"/>
      <c r="R1367" s="257"/>
      <c r="S1367" s="258"/>
      <c r="T1367" s="257"/>
      <c r="U1367" s="258"/>
      <c r="V1367" s="257"/>
      <c r="W1367" s="258"/>
      <c r="X1367" s="257"/>
      <c r="Y1367" s="258"/>
      <c r="Z1367" s="257"/>
    </row>
    <row r="1368" spans="1:26" ht="15">
      <c r="A1368" s="250" t="s">
        <v>1905</v>
      </c>
      <c r="B1368" s="251"/>
      <c r="C1368" s="540" t="s">
        <v>1331</v>
      </c>
      <c r="D1368" s="292" t="s">
        <v>1398</v>
      </c>
      <c r="E1368" s="251" t="s">
        <v>1901</v>
      </c>
      <c r="F1368" s="304">
        <f>M1368+O1368+Q1368+S1368+U1368+W1368+Y1368</f>
        <v>0</v>
      </c>
      <c r="G1368" s="253">
        <f t="shared" si="242"/>
        <v>4317.01</v>
      </c>
      <c r="H1368" s="254">
        <f>F1368*G1368</f>
        <v>0</v>
      </c>
      <c r="I1368" s="253">
        <f>N1368+P1368+R1368+T1368+V1368+X1368+Z1368</f>
        <v>0</v>
      </c>
      <c r="J1368" s="253"/>
      <c r="K1368" s="251" t="s">
        <v>1901</v>
      </c>
      <c r="L1368" s="666">
        <v>4317.01</v>
      </c>
      <c r="M1368" s="258">
        <v>0</v>
      </c>
      <c r="N1368" s="257">
        <f>INT($L1368*M1368*100+0.5)/100</f>
        <v>0</v>
      </c>
      <c r="O1368" s="258">
        <v>0</v>
      </c>
      <c r="P1368" s="257">
        <f>INT($L1368*O1368*100+0.5)/100</f>
        <v>0</v>
      </c>
      <c r="Q1368" s="258">
        <v>0</v>
      </c>
      <c r="R1368" s="257">
        <f>INT($L1368*Q1368*100+0.5)/100</f>
        <v>0</v>
      </c>
      <c r="S1368" s="258">
        <v>0</v>
      </c>
      <c r="T1368" s="257">
        <f>INT($L1368*S1368*100+0.5)/100</f>
        <v>0</v>
      </c>
      <c r="U1368" s="258">
        <v>0</v>
      </c>
      <c r="V1368" s="257">
        <f>INT($L1368*U1368*100+0.5)/100</f>
        <v>0</v>
      </c>
      <c r="W1368" s="258">
        <v>0</v>
      </c>
      <c r="X1368" s="257">
        <f>INT($L1368*W1368*100+0.5)/100</f>
        <v>0</v>
      </c>
      <c r="Y1368" s="258">
        <v>0</v>
      </c>
      <c r="Z1368" s="257">
        <f>INT($L1368*Y1368*100+0.5)/100</f>
        <v>0</v>
      </c>
    </row>
    <row r="1369" spans="1:26" ht="15">
      <c r="A1369" s="250" t="s">
        <v>1906</v>
      </c>
      <c r="B1369" s="251"/>
      <c r="C1369" s="540" t="s">
        <v>1332</v>
      </c>
      <c r="D1369" s="292" t="s">
        <v>1399</v>
      </c>
      <c r="E1369" s="251" t="s">
        <v>1901</v>
      </c>
      <c r="F1369" s="304">
        <f>M1369+O1369+Q1369+S1369+U1369+W1369+Y1369</f>
        <v>0</v>
      </c>
      <c r="G1369" s="253">
        <f t="shared" si="242"/>
        <v>4381.26</v>
      </c>
      <c r="H1369" s="254">
        <f>F1369*G1369</f>
        <v>0</v>
      </c>
      <c r="I1369" s="253">
        <f>N1369+P1369+R1369+T1369+V1369+X1369+Z1369</f>
        <v>0</v>
      </c>
      <c r="J1369" s="253"/>
      <c r="K1369" s="251" t="s">
        <v>1901</v>
      </c>
      <c r="L1369" s="666">
        <v>4381.26</v>
      </c>
      <c r="M1369" s="258">
        <v>0</v>
      </c>
      <c r="N1369" s="257">
        <f>INT($L1369*M1369*100+0.5)/100</f>
        <v>0</v>
      </c>
      <c r="O1369" s="258">
        <v>0</v>
      </c>
      <c r="P1369" s="257">
        <f>INT($L1369*O1369*100+0.5)/100</f>
        <v>0</v>
      </c>
      <c r="Q1369" s="258">
        <v>0</v>
      </c>
      <c r="R1369" s="257">
        <f>INT($L1369*Q1369*100+0.5)/100</f>
        <v>0</v>
      </c>
      <c r="S1369" s="258">
        <v>0</v>
      </c>
      <c r="T1369" s="257">
        <f>INT($L1369*S1369*100+0.5)/100</f>
        <v>0</v>
      </c>
      <c r="U1369" s="258">
        <v>0</v>
      </c>
      <c r="V1369" s="257">
        <f>INT($L1369*U1369*100+0.5)/100</f>
        <v>0</v>
      </c>
      <c r="W1369" s="258">
        <v>0</v>
      </c>
      <c r="X1369" s="257">
        <f>INT($L1369*W1369*100+0.5)/100</f>
        <v>0</v>
      </c>
      <c r="Y1369" s="258">
        <v>0</v>
      </c>
      <c r="Z1369" s="257">
        <f>INT($L1369*Y1369*100+0.5)/100</f>
        <v>0</v>
      </c>
    </row>
    <row r="1370" spans="1:26" ht="15">
      <c r="A1370" s="250" t="s">
        <v>1907</v>
      </c>
      <c r="B1370" s="251"/>
      <c r="C1370" s="540" t="s">
        <v>1333</v>
      </c>
      <c r="D1370" s="292" t="s">
        <v>1400</v>
      </c>
      <c r="E1370" s="251" t="s">
        <v>1901</v>
      </c>
      <c r="F1370" s="304">
        <f>M1370+O1370+Q1370+S1370+U1370+W1370+Y1370</f>
        <v>0</v>
      </c>
      <c r="G1370" s="253">
        <f t="shared" si="242"/>
        <v>4736.3100000000004</v>
      </c>
      <c r="H1370" s="254">
        <f>F1370*G1370</f>
        <v>0</v>
      </c>
      <c r="I1370" s="253">
        <f>N1370+P1370+R1370+T1370+V1370+X1370+Z1370</f>
        <v>0</v>
      </c>
      <c r="J1370" s="253"/>
      <c r="K1370" s="251" t="s">
        <v>1901</v>
      </c>
      <c r="L1370" s="666">
        <v>4736.3100000000004</v>
      </c>
      <c r="M1370" s="258">
        <v>0</v>
      </c>
      <c r="N1370" s="257">
        <f>INT($L1370*M1370*100+0.5)/100</f>
        <v>0</v>
      </c>
      <c r="O1370" s="258">
        <v>0</v>
      </c>
      <c r="P1370" s="257">
        <f>INT($L1370*O1370*100+0.5)/100</f>
        <v>0</v>
      </c>
      <c r="Q1370" s="258">
        <v>0</v>
      </c>
      <c r="R1370" s="257">
        <f>INT($L1370*Q1370*100+0.5)/100</f>
        <v>0</v>
      </c>
      <c r="S1370" s="258">
        <v>0</v>
      </c>
      <c r="T1370" s="257">
        <f>INT($L1370*S1370*100+0.5)/100</f>
        <v>0</v>
      </c>
      <c r="U1370" s="258">
        <v>0</v>
      </c>
      <c r="V1370" s="257">
        <f>INT($L1370*U1370*100+0.5)/100</f>
        <v>0</v>
      </c>
      <c r="W1370" s="258">
        <v>0</v>
      </c>
      <c r="X1370" s="257">
        <f>INT($L1370*W1370*100+0.5)/100</f>
        <v>0</v>
      </c>
      <c r="Y1370" s="258">
        <v>0</v>
      </c>
      <c r="Z1370" s="257">
        <f>INT($L1370*Y1370*100+0.5)/100</f>
        <v>0</v>
      </c>
    </row>
    <row r="1371" spans="1:26" ht="15">
      <c r="A1371" s="250" t="s">
        <v>542</v>
      </c>
      <c r="B1371" s="251"/>
      <c r="C1371" s="540" t="s">
        <v>1334</v>
      </c>
      <c r="D1371" s="292" t="s">
        <v>1401</v>
      </c>
      <c r="E1371" s="251" t="s">
        <v>1901</v>
      </c>
      <c r="F1371" s="304">
        <f>M1371+O1371+Q1371+S1371+U1371+W1371+Y1371</f>
        <v>0</v>
      </c>
      <c r="G1371" s="253">
        <f t="shared" si="242"/>
        <v>5436.48</v>
      </c>
      <c r="H1371" s="254">
        <f>F1371*G1371</f>
        <v>0</v>
      </c>
      <c r="I1371" s="253">
        <f>N1371+P1371+R1371+T1371+V1371+X1371+Z1371</f>
        <v>0</v>
      </c>
      <c r="J1371" s="253"/>
      <c r="K1371" s="251" t="s">
        <v>1901</v>
      </c>
      <c r="L1371" s="666">
        <v>5436.48</v>
      </c>
      <c r="M1371" s="258">
        <v>0</v>
      </c>
      <c r="N1371" s="257">
        <f>INT($L1371*M1371*100+0.5)/100</f>
        <v>0</v>
      </c>
      <c r="O1371" s="258">
        <v>0</v>
      </c>
      <c r="P1371" s="257">
        <f>INT($L1371*O1371*100+0.5)/100</f>
        <v>0</v>
      </c>
      <c r="Q1371" s="258">
        <v>0</v>
      </c>
      <c r="R1371" s="257">
        <f>INT($L1371*Q1371*100+0.5)/100</f>
        <v>0</v>
      </c>
      <c r="S1371" s="258">
        <v>0</v>
      </c>
      <c r="T1371" s="257">
        <f>INT($L1371*S1371*100+0.5)/100</f>
        <v>0</v>
      </c>
      <c r="U1371" s="258">
        <v>0</v>
      </c>
      <c r="V1371" s="257">
        <f>INT($L1371*U1371*100+0.5)/100</f>
        <v>0</v>
      </c>
      <c r="W1371" s="258">
        <v>0</v>
      </c>
      <c r="X1371" s="257">
        <f>INT($L1371*W1371*100+0.5)/100</f>
        <v>0</v>
      </c>
      <c r="Y1371" s="258">
        <v>0</v>
      </c>
      <c r="Z1371" s="257">
        <f>INT($L1371*Y1371*100+0.5)/100</f>
        <v>0</v>
      </c>
    </row>
    <row r="1372" spans="1:26" ht="15">
      <c r="A1372" s="250"/>
      <c r="B1372" s="251"/>
      <c r="C1372" s="540"/>
      <c r="D1372" s="292"/>
      <c r="E1372" s="251"/>
      <c r="F1372" s="252"/>
      <c r="G1372" s="253"/>
      <c r="H1372" s="254"/>
      <c r="I1372" s="253"/>
      <c r="J1372" s="253"/>
      <c r="K1372" s="251"/>
      <c r="L1372" s="262"/>
      <c r="M1372" s="258"/>
      <c r="N1372" s="257"/>
      <c r="O1372" s="258"/>
      <c r="P1372" s="257"/>
      <c r="Q1372" s="258"/>
      <c r="R1372" s="257"/>
      <c r="S1372" s="258"/>
      <c r="T1372" s="257"/>
      <c r="U1372" s="258"/>
      <c r="V1372" s="257"/>
      <c r="W1372" s="258"/>
      <c r="X1372" s="257"/>
      <c r="Y1372" s="258"/>
      <c r="Z1372" s="257"/>
    </row>
    <row r="1373" spans="1:26" ht="15">
      <c r="A1373" s="250">
        <f>A1366+1</f>
        <v>241</v>
      </c>
      <c r="B1373" s="251"/>
      <c r="C1373" s="540" t="s">
        <v>1921</v>
      </c>
      <c r="D1373" s="532" t="s">
        <v>1402</v>
      </c>
      <c r="E1373" s="251"/>
      <c r="F1373" s="252"/>
      <c r="G1373" s="253"/>
      <c r="H1373" s="254"/>
      <c r="I1373" s="253"/>
      <c r="J1373" s="253"/>
      <c r="K1373" s="251"/>
      <c r="L1373" s="262"/>
      <c r="M1373" s="258"/>
      <c r="N1373" s="257"/>
      <c r="O1373" s="258"/>
      <c r="P1373" s="257"/>
      <c r="Q1373" s="258"/>
      <c r="R1373" s="257"/>
      <c r="S1373" s="258"/>
      <c r="T1373" s="257"/>
      <c r="U1373" s="258"/>
      <c r="V1373" s="257"/>
      <c r="W1373" s="258"/>
      <c r="X1373" s="257"/>
      <c r="Y1373" s="258"/>
      <c r="Z1373" s="257"/>
    </row>
    <row r="1374" spans="1:26" ht="25.5">
      <c r="A1374" s="250"/>
      <c r="B1374" s="251"/>
      <c r="C1374" s="540"/>
      <c r="D1374" s="526" t="s">
        <v>335</v>
      </c>
      <c r="E1374" s="251"/>
      <c r="F1374" s="252"/>
      <c r="G1374" s="253"/>
      <c r="H1374" s="254"/>
      <c r="I1374" s="253"/>
      <c r="J1374" s="253"/>
      <c r="K1374" s="251"/>
      <c r="L1374" s="262"/>
      <c r="M1374" s="258"/>
      <c r="N1374" s="257"/>
      <c r="O1374" s="258"/>
      <c r="P1374" s="257"/>
      <c r="Q1374" s="258"/>
      <c r="R1374" s="257"/>
      <c r="S1374" s="258"/>
      <c r="T1374" s="257"/>
      <c r="U1374" s="258"/>
      <c r="V1374" s="257"/>
      <c r="W1374" s="258"/>
      <c r="X1374" s="257"/>
      <c r="Y1374" s="258"/>
      <c r="Z1374" s="257"/>
    </row>
    <row r="1375" spans="1:26" ht="15">
      <c r="A1375" s="250" t="s">
        <v>1907</v>
      </c>
      <c r="B1375" s="251"/>
      <c r="C1375" s="540" t="s">
        <v>1931</v>
      </c>
      <c r="D1375" s="292" t="s">
        <v>1400</v>
      </c>
      <c r="E1375" s="251" t="s">
        <v>1901</v>
      </c>
      <c r="F1375" s="304">
        <f>M1375+O1375+Q1375+S1375+U1375+W1375+Y1375</f>
        <v>0</v>
      </c>
      <c r="G1375" s="253">
        <f t="shared" si="242"/>
        <v>5439.24</v>
      </c>
      <c r="H1375" s="254">
        <f>F1375*G1375</f>
        <v>0</v>
      </c>
      <c r="I1375" s="253">
        <f>N1375+P1375+R1375+T1375+V1375+X1375+Z1375</f>
        <v>0</v>
      </c>
      <c r="J1375" s="253"/>
      <c r="K1375" s="251" t="s">
        <v>1901</v>
      </c>
      <c r="L1375" s="668">
        <f>4666*0.95*1.2+2*2*30</f>
        <v>5439.24</v>
      </c>
      <c r="M1375" s="258">
        <v>0</v>
      </c>
      <c r="N1375" s="257">
        <f>INT($L1375*M1375*100+0.5)/100</f>
        <v>0</v>
      </c>
      <c r="O1375" s="258">
        <v>0</v>
      </c>
      <c r="P1375" s="257">
        <f>INT($L1375*O1375*100+0.5)/100</f>
        <v>0</v>
      </c>
      <c r="Q1375" s="258">
        <v>0</v>
      </c>
      <c r="R1375" s="257">
        <f>INT($L1375*Q1375*100+0.5)/100</f>
        <v>0</v>
      </c>
      <c r="S1375" s="258">
        <v>0</v>
      </c>
      <c r="T1375" s="257">
        <f>INT($L1375*S1375*100+0.5)/100</f>
        <v>0</v>
      </c>
      <c r="U1375" s="258">
        <v>0</v>
      </c>
      <c r="V1375" s="257">
        <f>INT($L1375*U1375*100+0.5)/100</f>
        <v>0</v>
      </c>
      <c r="W1375" s="258">
        <v>0</v>
      </c>
      <c r="X1375" s="257">
        <f>INT($L1375*W1375*100+0.5)/100</f>
        <v>0</v>
      </c>
      <c r="Y1375" s="258">
        <v>0</v>
      </c>
      <c r="Z1375" s="257">
        <f>INT($L1375*Y1375*100+0.5)/100</f>
        <v>0</v>
      </c>
    </row>
    <row r="1376" spans="1:26" ht="15">
      <c r="A1376" s="250" t="s">
        <v>542</v>
      </c>
      <c r="B1376" s="251"/>
      <c r="C1376" s="540" t="s">
        <v>1932</v>
      </c>
      <c r="D1376" s="292" t="s">
        <v>1401</v>
      </c>
      <c r="E1376" s="251" t="s">
        <v>1901</v>
      </c>
      <c r="F1376" s="304">
        <f>M1376+O1376+Q1376+S1376+U1376+W1376+Y1376</f>
        <v>0</v>
      </c>
      <c r="G1376" s="253">
        <f t="shared" si="242"/>
        <v>6211.0199999999995</v>
      </c>
      <c r="H1376" s="254">
        <f>F1376*G1376</f>
        <v>0</v>
      </c>
      <c r="I1376" s="253">
        <f>N1376+P1376+R1376+T1376+V1376+X1376+Z1376</f>
        <v>0</v>
      </c>
      <c r="J1376" s="253"/>
      <c r="K1376" s="251" t="s">
        <v>1901</v>
      </c>
      <c r="L1376" s="668">
        <f>5343*0.95*1.2+2*2*30</f>
        <v>6211.0199999999995</v>
      </c>
      <c r="M1376" s="258">
        <v>0</v>
      </c>
      <c r="N1376" s="257">
        <f>INT($L1376*M1376*100+0.5)/100</f>
        <v>0</v>
      </c>
      <c r="O1376" s="258">
        <v>0</v>
      </c>
      <c r="P1376" s="257">
        <f>INT($L1376*O1376*100+0.5)/100</f>
        <v>0</v>
      </c>
      <c r="Q1376" s="258">
        <v>0</v>
      </c>
      <c r="R1376" s="257">
        <f>INT($L1376*Q1376*100+0.5)/100</f>
        <v>0</v>
      </c>
      <c r="S1376" s="258">
        <v>0</v>
      </c>
      <c r="T1376" s="257">
        <f>INT($L1376*S1376*100+0.5)/100</f>
        <v>0</v>
      </c>
      <c r="U1376" s="258">
        <v>0</v>
      </c>
      <c r="V1376" s="257">
        <f>INT($L1376*U1376*100+0.5)/100</f>
        <v>0</v>
      </c>
      <c r="W1376" s="258">
        <v>0</v>
      </c>
      <c r="X1376" s="257">
        <f>INT($L1376*W1376*100+0.5)/100</f>
        <v>0</v>
      </c>
      <c r="Y1376" s="258">
        <v>0</v>
      </c>
      <c r="Z1376" s="257">
        <f>INT($L1376*Y1376*100+0.5)/100</f>
        <v>0</v>
      </c>
    </row>
    <row r="1377" spans="1:26" ht="15">
      <c r="A1377" s="250"/>
      <c r="B1377" s="251"/>
      <c r="C1377" s="540"/>
      <c r="D1377" s="292"/>
      <c r="E1377" s="251"/>
      <c r="F1377" s="252"/>
      <c r="G1377" s="253"/>
      <c r="H1377" s="254"/>
      <c r="I1377" s="253"/>
      <c r="J1377" s="253"/>
      <c r="K1377" s="251"/>
      <c r="L1377" s="666"/>
      <c r="M1377" s="258"/>
      <c r="N1377" s="257"/>
      <c r="O1377" s="258"/>
      <c r="P1377" s="257"/>
      <c r="Q1377" s="258"/>
      <c r="R1377" s="257"/>
      <c r="S1377" s="258"/>
      <c r="T1377" s="257"/>
      <c r="U1377" s="258"/>
      <c r="V1377" s="257"/>
      <c r="W1377" s="258"/>
      <c r="X1377" s="257"/>
      <c r="Y1377" s="258"/>
      <c r="Z1377" s="257"/>
    </row>
    <row r="1378" spans="1:26" ht="15" customHeight="1">
      <c r="A1378" s="250">
        <f>A1373+1</f>
        <v>242</v>
      </c>
      <c r="B1378" s="251"/>
      <c r="C1378" s="540" t="s">
        <v>1922</v>
      </c>
      <c r="D1378" s="532" t="s">
        <v>1402</v>
      </c>
      <c r="E1378" s="251"/>
      <c r="F1378" s="252"/>
      <c r="G1378" s="253"/>
      <c r="H1378" s="254"/>
      <c r="I1378" s="253"/>
      <c r="J1378" s="253"/>
      <c r="K1378" s="251"/>
      <c r="L1378" s="666"/>
      <c r="M1378" s="258"/>
      <c r="N1378" s="257"/>
      <c r="O1378" s="258"/>
      <c r="P1378" s="257"/>
      <c r="Q1378" s="258"/>
      <c r="R1378" s="257"/>
      <c r="S1378" s="258"/>
      <c r="T1378" s="257"/>
      <c r="U1378" s="258"/>
      <c r="V1378" s="257"/>
      <c r="W1378" s="258"/>
      <c r="X1378" s="257"/>
      <c r="Y1378" s="258"/>
      <c r="Z1378" s="257"/>
    </row>
    <row r="1379" spans="1:26" ht="15" customHeight="1">
      <c r="A1379" s="250"/>
      <c r="B1379" s="251"/>
      <c r="C1379" s="540"/>
      <c r="D1379" s="532" t="s">
        <v>1933</v>
      </c>
      <c r="E1379" s="251"/>
      <c r="F1379" s="252"/>
      <c r="G1379" s="253"/>
      <c r="H1379" s="254"/>
      <c r="I1379" s="253"/>
      <c r="J1379" s="253"/>
      <c r="K1379" s="251"/>
      <c r="L1379" s="666"/>
      <c r="M1379" s="258"/>
      <c r="N1379" s="257"/>
      <c r="O1379" s="258"/>
      <c r="P1379" s="257"/>
      <c r="Q1379" s="258"/>
      <c r="R1379" s="257"/>
      <c r="S1379" s="258"/>
      <c r="T1379" s="257"/>
      <c r="U1379" s="258"/>
      <c r="V1379" s="257"/>
      <c r="W1379" s="258"/>
      <c r="X1379" s="257"/>
      <c r="Y1379" s="258"/>
      <c r="Z1379" s="257"/>
    </row>
    <row r="1380" spans="1:26" ht="15" customHeight="1">
      <c r="A1380" s="250" t="s">
        <v>542</v>
      </c>
      <c r="B1380" s="251"/>
      <c r="C1380" s="540" t="s">
        <v>1923</v>
      </c>
      <c r="D1380" s="238" t="s">
        <v>1401</v>
      </c>
      <c r="E1380" s="251" t="s">
        <v>1901</v>
      </c>
      <c r="F1380" s="304">
        <f>M1380+O1380+Q1380+S1380+U1380+W1380+Y1380</f>
        <v>0</v>
      </c>
      <c r="G1380" s="253">
        <f t="shared" si="242"/>
        <v>5690.04</v>
      </c>
      <c r="H1380" s="254">
        <f>F1380*G1380</f>
        <v>0</v>
      </c>
      <c r="I1380" s="253">
        <f>N1380+P1380+R1380+T1380+V1380+X1380+Z1380</f>
        <v>0</v>
      </c>
      <c r="J1380" s="253"/>
      <c r="K1380" s="251" t="s">
        <v>1901</v>
      </c>
      <c r="L1380" s="668">
        <f>4886*0.95*1.2+2*2*30</f>
        <v>5690.04</v>
      </c>
      <c r="M1380" s="258">
        <v>0</v>
      </c>
      <c r="N1380" s="257">
        <f>INT($L1380*M1380*100+0.5)/100</f>
        <v>0</v>
      </c>
      <c r="O1380" s="258">
        <v>0</v>
      </c>
      <c r="P1380" s="257">
        <f>INT($L1380*O1380*100+0.5)/100</f>
        <v>0</v>
      </c>
      <c r="Q1380" s="258">
        <v>0</v>
      </c>
      <c r="R1380" s="257">
        <f>INT($L1380*Q1380*100+0.5)/100</f>
        <v>0</v>
      </c>
      <c r="S1380" s="258">
        <v>0</v>
      </c>
      <c r="T1380" s="257">
        <f>INT($L1380*S1380*100+0.5)/100</f>
        <v>0</v>
      </c>
      <c r="U1380" s="258">
        <v>0</v>
      </c>
      <c r="V1380" s="257">
        <f>INT($L1380*U1380*100+0.5)/100</f>
        <v>0</v>
      </c>
      <c r="W1380" s="258">
        <v>0</v>
      </c>
      <c r="X1380" s="257">
        <f>INT($L1380*W1380*100+0.5)/100</f>
        <v>0</v>
      </c>
      <c r="Y1380" s="258">
        <v>0</v>
      </c>
      <c r="Z1380" s="257">
        <f>INT($L1380*Y1380*100+0.5)/100</f>
        <v>0</v>
      </c>
    </row>
    <row r="1381" spans="1:26" ht="15" customHeight="1">
      <c r="A1381" s="250"/>
      <c r="B1381" s="251"/>
      <c r="C1381" s="540"/>
      <c r="D1381" s="238"/>
      <c r="E1381" s="251"/>
      <c r="F1381" s="252"/>
      <c r="G1381" s="253"/>
      <c r="H1381" s="254"/>
      <c r="I1381" s="253"/>
      <c r="J1381" s="253"/>
      <c r="K1381" s="251"/>
      <c r="L1381" s="666"/>
      <c r="M1381" s="258"/>
      <c r="N1381" s="257"/>
      <c r="O1381" s="258"/>
      <c r="P1381" s="257"/>
      <c r="Q1381" s="258"/>
      <c r="R1381" s="257"/>
      <c r="S1381" s="258"/>
      <c r="T1381" s="257"/>
      <c r="U1381" s="258"/>
      <c r="V1381" s="257"/>
      <c r="W1381" s="258"/>
      <c r="X1381" s="257"/>
      <c r="Y1381" s="258"/>
      <c r="Z1381" s="257"/>
    </row>
    <row r="1382" spans="1:26" ht="15" customHeight="1">
      <c r="A1382" s="250">
        <f>A1378+1</f>
        <v>243</v>
      </c>
      <c r="B1382" s="251"/>
      <c r="C1382" s="540" t="s">
        <v>1918</v>
      </c>
      <c r="D1382" s="532" t="s">
        <v>1387</v>
      </c>
      <c r="E1382" s="251"/>
      <c r="F1382" s="252"/>
      <c r="G1382" s="253"/>
      <c r="H1382" s="254"/>
      <c r="I1382" s="253"/>
      <c r="J1382" s="253"/>
      <c r="K1382" s="251"/>
      <c r="L1382" s="666"/>
      <c r="M1382" s="258"/>
      <c r="N1382" s="257"/>
      <c r="O1382" s="258"/>
      <c r="P1382" s="257"/>
      <c r="Q1382" s="258"/>
      <c r="R1382" s="257"/>
      <c r="S1382" s="258"/>
      <c r="T1382" s="257"/>
      <c r="U1382" s="258"/>
      <c r="V1382" s="257"/>
      <c r="W1382" s="258"/>
      <c r="X1382" s="257"/>
      <c r="Y1382" s="258"/>
      <c r="Z1382" s="257"/>
    </row>
    <row r="1383" spans="1:26" ht="15" customHeight="1">
      <c r="A1383" s="250"/>
      <c r="B1383" s="251"/>
      <c r="C1383" s="540"/>
      <c r="D1383" s="532" t="s">
        <v>1386</v>
      </c>
      <c r="E1383" s="251"/>
      <c r="F1383" s="252"/>
      <c r="G1383" s="253"/>
      <c r="H1383" s="254"/>
      <c r="I1383" s="253"/>
      <c r="J1383" s="253"/>
      <c r="K1383" s="251"/>
      <c r="L1383" s="666"/>
      <c r="M1383" s="258"/>
      <c r="N1383" s="257"/>
      <c r="O1383" s="258"/>
      <c r="P1383" s="257"/>
      <c r="Q1383" s="258"/>
      <c r="R1383" s="257"/>
      <c r="S1383" s="258"/>
      <c r="T1383" s="257"/>
      <c r="U1383" s="258"/>
      <c r="V1383" s="257"/>
      <c r="W1383" s="258"/>
      <c r="X1383" s="257"/>
      <c r="Y1383" s="258"/>
      <c r="Z1383" s="257"/>
    </row>
    <row r="1384" spans="1:26" ht="15" customHeight="1">
      <c r="A1384" s="250" t="s">
        <v>542</v>
      </c>
      <c r="B1384" s="251"/>
      <c r="C1384" s="540" t="s">
        <v>1924</v>
      </c>
      <c r="D1384" s="238" t="s">
        <v>1401</v>
      </c>
      <c r="E1384" s="251" t="s">
        <v>1901</v>
      </c>
      <c r="F1384" s="304">
        <f>M1384+O1384+Q1384+S1384+U1384+W1384+Y1384</f>
        <v>0</v>
      </c>
      <c r="G1384" s="253">
        <f t="shared" si="242"/>
        <v>4283.28</v>
      </c>
      <c r="H1384" s="254">
        <f>F1384*G1384</f>
        <v>0</v>
      </c>
      <c r="I1384" s="253">
        <f>N1384+P1384+R1384+T1384+V1384+X1384+Z1384</f>
        <v>0</v>
      </c>
      <c r="J1384" s="253"/>
      <c r="K1384" s="251" t="s">
        <v>1901</v>
      </c>
      <c r="L1384" s="666">
        <f>3652*0.95*1.2+2*2*30</f>
        <v>4283.28</v>
      </c>
      <c r="M1384" s="258">
        <v>0</v>
      </c>
      <c r="N1384" s="257">
        <f>INT($L1384*M1384*100+0.5)/100</f>
        <v>0</v>
      </c>
      <c r="O1384" s="258">
        <v>0</v>
      </c>
      <c r="P1384" s="257">
        <f>INT($L1384*O1384*100+0.5)/100</f>
        <v>0</v>
      </c>
      <c r="Q1384" s="258">
        <v>0</v>
      </c>
      <c r="R1384" s="257">
        <f>INT($L1384*Q1384*100+0.5)/100</f>
        <v>0</v>
      </c>
      <c r="S1384" s="258">
        <v>0</v>
      </c>
      <c r="T1384" s="257">
        <f>INT($L1384*S1384*100+0.5)/100</f>
        <v>0</v>
      </c>
      <c r="U1384" s="258">
        <v>0</v>
      </c>
      <c r="V1384" s="257">
        <f>INT($L1384*U1384*100+0.5)/100</f>
        <v>0</v>
      </c>
      <c r="W1384" s="258">
        <v>0</v>
      </c>
      <c r="X1384" s="257">
        <f>INT($L1384*W1384*100+0.5)/100</f>
        <v>0</v>
      </c>
      <c r="Y1384" s="258">
        <v>0</v>
      </c>
      <c r="Z1384" s="257">
        <f>INT($L1384*Y1384*100+0.5)/100</f>
        <v>0</v>
      </c>
    </row>
    <row r="1385" spans="1:26" ht="15" customHeight="1">
      <c r="A1385" s="250"/>
      <c r="B1385" s="251"/>
      <c r="C1385" s="540"/>
      <c r="D1385" s="238"/>
      <c r="E1385" s="251"/>
      <c r="F1385" s="252"/>
      <c r="G1385" s="253"/>
      <c r="H1385" s="254"/>
      <c r="I1385" s="253"/>
      <c r="J1385" s="253"/>
      <c r="K1385" s="251"/>
      <c r="L1385" s="666"/>
      <c r="M1385" s="258"/>
      <c r="N1385" s="257"/>
      <c r="O1385" s="258"/>
      <c r="P1385" s="257"/>
      <c r="Q1385" s="258"/>
      <c r="R1385" s="257"/>
      <c r="S1385" s="258"/>
      <c r="T1385" s="257"/>
      <c r="U1385" s="258"/>
      <c r="V1385" s="257"/>
      <c r="W1385" s="258"/>
      <c r="X1385" s="257"/>
      <c r="Y1385" s="258"/>
      <c r="Z1385" s="257"/>
    </row>
    <row r="1386" spans="1:26" ht="15" customHeight="1">
      <c r="A1386" s="250">
        <f>A1382+1</f>
        <v>244</v>
      </c>
      <c r="B1386" s="251"/>
      <c r="C1386" s="540" t="s">
        <v>1920</v>
      </c>
      <c r="D1386" s="532" t="s">
        <v>1385</v>
      </c>
      <c r="E1386" s="251"/>
      <c r="F1386" s="252"/>
      <c r="G1386" s="253"/>
      <c r="H1386" s="254"/>
      <c r="I1386" s="253"/>
      <c r="J1386" s="253"/>
      <c r="K1386" s="251"/>
      <c r="L1386" s="666"/>
      <c r="M1386" s="258"/>
      <c r="N1386" s="257"/>
      <c r="O1386" s="258"/>
      <c r="P1386" s="257"/>
      <c r="Q1386" s="258"/>
      <c r="R1386" s="257"/>
      <c r="S1386" s="258"/>
      <c r="T1386" s="257"/>
      <c r="U1386" s="258"/>
      <c r="V1386" s="257"/>
      <c r="W1386" s="258"/>
      <c r="X1386" s="257"/>
      <c r="Y1386" s="258"/>
      <c r="Z1386" s="257"/>
    </row>
    <row r="1387" spans="1:26" ht="15" customHeight="1">
      <c r="A1387" s="250"/>
      <c r="B1387" s="251"/>
      <c r="C1387" s="540"/>
      <c r="D1387" s="532" t="s">
        <v>1934</v>
      </c>
      <c r="E1387" s="251"/>
      <c r="F1387" s="252"/>
      <c r="G1387" s="253"/>
      <c r="H1387" s="254"/>
      <c r="I1387" s="253"/>
      <c r="J1387" s="253"/>
      <c r="K1387" s="251"/>
      <c r="L1387" s="666"/>
      <c r="M1387" s="258"/>
      <c r="N1387" s="257"/>
      <c r="O1387" s="258"/>
      <c r="P1387" s="257"/>
      <c r="Q1387" s="258"/>
      <c r="R1387" s="257"/>
      <c r="S1387" s="258"/>
      <c r="T1387" s="257"/>
      <c r="U1387" s="258"/>
      <c r="V1387" s="257"/>
      <c r="W1387" s="258"/>
      <c r="X1387" s="257"/>
      <c r="Y1387" s="258"/>
      <c r="Z1387" s="257"/>
    </row>
    <row r="1388" spans="1:26" ht="15" customHeight="1">
      <c r="A1388" s="250" t="s">
        <v>542</v>
      </c>
      <c r="B1388" s="251"/>
      <c r="C1388" s="540" t="s">
        <v>1925</v>
      </c>
      <c r="D1388" s="238" t="s">
        <v>1401</v>
      </c>
      <c r="E1388" s="251" t="s">
        <v>1901</v>
      </c>
      <c r="F1388" s="304">
        <f>M1388+O1388+Q1388+S1388+U1388+W1388+Y1388</f>
        <v>0</v>
      </c>
      <c r="G1388" s="253">
        <f t="shared" si="242"/>
        <v>4713.0599999999995</v>
      </c>
      <c r="H1388" s="254">
        <f>F1388*G1388</f>
        <v>0</v>
      </c>
      <c r="I1388" s="253">
        <f>N1388+P1388+R1388+T1388+V1388+X1388+Z1388</f>
        <v>0</v>
      </c>
      <c r="J1388" s="253"/>
      <c r="K1388" s="251" t="s">
        <v>1901</v>
      </c>
      <c r="L1388" s="666">
        <f>4029*0.95*1.2+2*2*30</f>
        <v>4713.0599999999995</v>
      </c>
      <c r="M1388" s="258">
        <v>0</v>
      </c>
      <c r="N1388" s="257">
        <f>INT($L1388*M1388*100+0.5)/100</f>
        <v>0</v>
      </c>
      <c r="O1388" s="258">
        <v>0</v>
      </c>
      <c r="P1388" s="257">
        <f>INT($L1388*O1388*100+0.5)/100</f>
        <v>0</v>
      </c>
      <c r="Q1388" s="258">
        <v>0</v>
      </c>
      <c r="R1388" s="257">
        <f>INT($L1388*Q1388*100+0.5)/100</f>
        <v>0</v>
      </c>
      <c r="S1388" s="258">
        <v>0</v>
      </c>
      <c r="T1388" s="257">
        <f>INT($L1388*S1388*100+0.5)/100</f>
        <v>0</v>
      </c>
      <c r="U1388" s="258">
        <v>0</v>
      </c>
      <c r="V1388" s="257">
        <f>INT($L1388*U1388*100+0.5)/100</f>
        <v>0</v>
      </c>
      <c r="W1388" s="258">
        <v>0</v>
      </c>
      <c r="X1388" s="257">
        <f>INT($L1388*W1388*100+0.5)/100</f>
        <v>0</v>
      </c>
      <c r="Y1388" s="258">
        <v>0</v>
      </c>
      <c r="Z1388" s="257">
        <f>INT($L1388*Y1388*100+0.5)/100</f>
        <v>0</v>
      </c>
    </row>
    <row r="1389" spans="1:26" ht="15" customHeight="1">
      <c r="A1389" s="250"/>
      <c r="B1389" s="251"/>
      <c r="C1389" s="540"/>
      <c r="D1389" s="238"/>
      <c r="E1389" s="251"/>
      <c r="F1389" s="252"/>
      <c r="G1389" s="253"/>
      <c r="H1389" s="254"/>
      <c r="I1389" s="253"/>
      <c r="J1389" s="253"/>
      <c r="K1389" s="251"/>
      <c r="L1389" s="666"/>
      <c r="M1389" s="258"/>
      <c r="N1389" s="257"/>
      <c r="O1389" s="258"/>
      <c r="P1389" s="257"/>
      <c r="Q1389" s="258"/>
      <c r="R1389" s="257"/>
      <c r="S1389" s="258"/>
      <c r="T1389" s="257"/>
      <c r="U1389" s="258"/>
      <c r="V1389" s="257"/>
      <c r="W1389" s="258"/>
      <c r="X1389" s="257"/>
      <c r="Y1389" s="258"/>
      <c r="Z1389" s="257"/>
    </row>
    <row r="1390" spans="1:26" ht="15" customHeight="1">
      <c r="A1390" s="250">
        <f>A1386+1</f>
        <v>245</v>
      </c>
      <c r="B1390" s="251"/>
      <c r="C1390" s="540" t="s">
        <v>1919</v>
      </c>
      <c r="D1390" s="532" t="s">
        <v>1848</v>
      </c>
      <c r="E1390" s="251"/>
      <c r="F1390" s="252"/>
      <c r="G1390" s="253"/>
      <c r="H1390" s="254"/>
      <c r="I1390" s="253"/>
      <c r="J1390" s="253"/>
      <c r="K1390" s="251"/>
      <c r="L1390" s="666"/>
      <c r="M1390" s="258"/>
      <c r="N1390" s="257"/>
      <c r="O1390" s="258"/>
      <c r="P1390" s="257"/>
      <c r="Q1390" s="258"/>
      <c r="R1390" s="257"/>
      <c r="S1390" s="258"/>
      <c r="T1390" s="257"/>
      <c r="U1390" s="258"/>
      <c r="V1390" s="257"/>
      <c r="W1390" s="258"/>
      <c r="X1390" s="257"/>
      <c r="Y1390" s="258"/>
      <c r="Z1390" s="257"/>
    </row>
    <row r="1391" spans="1:26" ht="15" customHeight="1">
      <c r="A1391" s="250"/>
      <c r="B1391" s="251"/>
      <c r="C1391" s="540"/>
      <c r="D1391" s="532" t="s">
        <v>1935</v>
      </c>
      <c r="E1391" s="251"/>
      <c r="F1391" s="252"/>
      <c r="G1391" s="253"/>
      <c r="H1391" s="254"/>
      <c r="I1391" s="253"/>
      <c r="J1391" s="253"/>
      <c r="K1391" s="251"/>
      <c r="L1391" s="666"/>
      <c r="M1391" s="258"/>
      <c r="N1391" s="257"/>
      <c r="O1391" s="258"/>
      <c r="P1391" s="257"/>
      <c r="Q1391" s="258"/>
      <c r="R1391" s="257"/>
      <c r="S1391" s="258"/>
      <c r="T1391" s="257"/>
      <c r="U1391" s="258"/>
      <c r="V1391" s="257"/>
      <c r="W1391" s="258"/>
      <c r="X1391" s="257"/>
      <c r="Y1391" s="258"/>
      <c r="Z1391" s="257"/>
    </row>
    <row r="1392" spans="1:26" ht="15" customHeight="1">
      <c r="A1392" s="250" t="s">
        <v>1907</v>
      </c>
      <c r="B1392" s="251"/>
      <c r="C1392" s="540" t="s">
        <v>1007</v>
      </c>
      <c r="D1392" s="238" t="s">
        <v>1400</v>
      </c>
      <c r="E1392" s="251" t="s">
        <v>1901</v>
      </c>
      <c r="F1392" s="304">
        <f>M1392+O1392+Q1392+S1392+U1392+W1392+Y1392</f>
        <v>0</v>
      </c>
      <c r="G1392" s="253">
        <f t="shared" si="242"/>
        <v>4579.6799999999994</v>
      </c>
      <c r="H1392" s="254">
        <f>F1392*G1392</f>
        <v>0</v>
      </c>
      <c r="I1392" s="253">
        <f>N1392+P1392+R1392+T1392+V1392+X1392+Z1392</f>
        <v>0</v>
      </c>
      <c r="J1392" s="253"/>
      <c r="K1392" s="251" t="s">
        <v>1901</v>
      </c>
      <c r="L1392" s="668">
        <f>3912*0.95*1.2+2*2*30</f>
        <v>4579.6799999999994</v>
      </c>
      <c r="M1392" s="258">
        <v>0</v>
      </c>
      <c r="N1392" s="257">
        <f>INT($L1392*M1392*100+0.5)/100</f>
        <v>0</v>
      </c>
      <c r="O1392" s="258">
        <v>0</v>
      </c>
      <c r="P1392" s="257">
        <f>INT($L1392*O1392*100+0.5)/100</f>
        <v>0</v>
      </c>
      <c r="Q1392" s="258">
        <v>0</v>
      </c>
      <c r="R1392" s="257">
        <f>INT($L1392*Q1392*100+0.5)/100</f>
        <v>0</v>
      </c>
      <c r="S1392" s="258">
        <v>0</v>
      </c>
      <c r="T1392" s="257">
        <f>INT($L1392*S1392*100+0.5)/100</f>
        <v>0</v>
      </c>
      <c r="U1392" s="258">
        <v>0</v>
      </c>
      <c r="V1392" s="257">
        <f>INT($L1392*U1392*100+0.5)/100</f>
        <v>0</v>
      </c>
      <c r="W1392" s="258">
        <v>0</v>
      </c>
      <c r="X1392" s="257">
        <f>INT($L1392*W1392*100+0.5)/100</f>
        <v>0</v>
      </c>
      <c r="Y1392" s="258">
        <v>0</v>
      </c>
      <c r="Z1392" s="257">
        <f>INT($L1392*Y1392*100+0.5)/100</f>
        <v>0</v>
      </c>
    </row>
    <row r="1393" spans="1:26" ht="15" customHeight="1">
      <c r="A1393" s="250" t="s">
        <v>542</v>
      </c>
      <c r="B1393" s="251"/>
      <c r="C1393" s="540" t="s">
        <v>1008</v>
      </c>
      <c r="D1393" s="238" t="s">
        <v>1401</v>
      </c>
      <c r="E1393" s="251"/>
      <c r="F1393" s="304">
        <f>M1393+O1393+Q1393+S1393+U1393+W1393+Y1393</f>
        <v>0</v>
      </c>
      <c r="G1393" s="253">
        <f t="shared" si="242"/>
        <v>5531.579999999999</v>
      </c>
      <c r="H1393" s="254">
        <f>F1393*G1393</f>
        <v>0</v>
      </c>
      <c r="I1393" s="253">
        <f>N1393+P1393+R1393+T1393+V1393+X1393+Z1393</f>
        <v>0</v>
      </c>
      <c r="J1393" s="253"/>
      <c r="K1393" s="251"/>
      <c r="L1393" s="668">
        <f>4747*0.95*1.2+2*2*30</f>
        <v>5531.579999999999</v>
      </c>
      <c r="M1393" s="258">
        <v>0</v>
      </c>
      <c r="N1393" s="257">
        <f>INT($L1393*M1393*100+0.5)/100</f>
        <v>0</v>
      </c>
      <c r="O1393" s="258">
        <v>0</v>
      </c>
      <c r="P1393" s="257">
        <f>INT($L1393*O1393*100+0.5)/100</f>
        <v>0</v>
      </c>
      <c r="Q1393" s="258">
        <v>0</v>
      </c>
      <c r="R1393" s="257">
        <f>INT($L1393*Q1393*100+0.5)/100</f>
        <v>0</v>
      </c>
      <c r="S1393" s="258">
        <v>0</v>
      </c>
      <c r="T1393" s="257">
        <f>INT($L1393*S1393*100+0.5)/100</f>
        <v>0</v>
      </c>
      <c r="U1393" s="258">
        <v>0</v>
      </c>
      <c r="V1393" s="257">
        <f>INT($L1393*U1393*100+0.5)/100</f>
        <v>0</v>
      </c>
      <c r="W1393" s="258">
        <v>0</v>
      </c>
      <c r="X1393" s="257">
        <f>INT($L1393*W1393*100+0.5)/100</f>
        <v>0</v>
      </c>
      <c r="Y1393" s="258">
        <v>0</v>
      </c>
      <c r="Z1393" s="257">
        <f>INT($L1393*Y1393*100+0.5)/100</f>
        <v>0</v>
      </c>
    </row>
    <row r="1394" spans="1:26" ht="15" customHeight="1">
      <c r="A1394" s="250"/>
      <c r="B1394" s="251"/>
      <c r="C1394" s="540"/>
      <c r="D1394" s="238"/>
      <c r="E1394" s="251"/>
      <c r="F1394" s="252"/>
      <c r="G1394" s="253"/>
      <c r="H1394" s="254"/>
      <c r="I1394" s="253"/>
      <c r="J1394" s="253"/>
      <c r="K1394" s="251"/>
      <c r="L1394" s="666"/>
      <c r="M1394" s="258"/>
      <c r="N1394" s="257"/>
      <c r="O1394" s="258"/>
      <c r="P1394" s="257"/>
      <c r="Q1394" s="258"/>
      <c r="R1394" s="257"/>
      <c r="S1394" s="258"/>
      <c r="T1394" s="257"/>
      <c r="U1394" s="258"/>
      <c r="V1394" s="257"/>
      <c r="W1394" s="258"/>
      <c r="X1394" s="257"/>
      <c r="Y1394" s="258"/>
      <c r="Z1394" s="257"/>
    </row>
    <row r="1395" spans="1:26" ht="15" customHeight="1">
      <c r="A1395" s="250">
        <f>A1390+1</f>
        <v>246</v>
      </c>
      <c r="B1395" s="251"/>
      <c r="C1395" s="540" t="s">
        <v>1926</v>
      </c>
      <c r="D1395" s="532" t="s">
        <v>1389</v>
      </c>
      <c r="E1395" s="251"/>
      <c r="F1395" s="252"/>
      <c r="G1395" s="253"/>
      <c r="H1395" s="254"/>
      <c r="I1395" s="253"/>
      <c r="J1395" s="253"/>
      <c r="K1395" s="251"/>
      <c r="L1395" s="666"/>
      <c r="M1395" s="258"/>
      <c r="N1395" s="257"/>
      <c r="O1395" s="258"/>
      <c r="P1395" s="257"/>
      <c r="Q1395" s="258"/>
      <c r="R1395" s="257"/>
      <c r="S1395" s="258"/>
      <c r="T1395" s="257"/>
      <c r="U1395" s="258"/>
      <c r="V1395" s="257"/>
      <c r="W1395" s="258"/>
      <c r="X1395" s="257"/>
      <c r="Y1395" s="258"/>
      <c r="Z1395" s="257"/>
    </row>
    <row r="1396" spans="1:26" ht="15" customHeight="1">
      <c r="A1396" s="250"/>
      <c r="B1396" s="251"/>
      <c r="C1396" s="540"/>
      <c r="D1396" s="532" t="s">
        <v>1388</v>
      </c>
      <c r="E1396" s="251"/>
      <c r="F1396" s="252"/>
      <c r="G1396" s="253"/>
      <c r="H1396" s="254"/>
      <c r="I1396" s="253"/>
      <c r="J1396" s="253"/>
      <c r="K1396" s="251"/>
      <c r="L1396" s="666"/>
      <c r="M1396" s="258"/>
      <c r="N1396" s="257"/>
      <c r="O1396" s="258"/>
      <c r="P1396" s="257"/>
      <c r="Q1396" s="258"/>
      <c r="R1396" s="257"/>
      <c r="S1396" s="258"/>
      <c r="T1396" s="257"/>
      <c r="U1396" s="258"/>
      <c r="V1396" s="257"/>
      <c r="W1396" s="258"/>
      <c r="X1396" s="257"/>
      <c r="Y1396" s="258"/>
      <c r="Z1396" s="257"/>
    </row>
    <row r="1397" spans="1:26" ht="15">
      <c r="A1397" s="250" t="s">
        <v>1907</v>
      </c>
      <c r="B1397" s="251"/>
      <c r="C1397" s="540" t="s">
        <v>1927</v>
      </c>
      <c r="D1397" s="238" t="s">
        <v>1929</v>
      </c>
      <c r="E1397" s="251" t="s">
        <v>1901</v>
      </c>
      <c r="F1397" s="304">
        <f>M1397+O1397+Q1397+S1397+U1397+W1397+Y1397</f>
        <v>0</v>
      </c>
      <c r="G1397" s="253">
        <f t="shared" si="242"/>
        <v>3697.3199999999997</v>
      </c>
      <c r="H1397" s="254">
        <f>F1397*G1397</f>
        <v>0</v>
      </c>
      <c r="I1397" s="253">
        <f>N1397+P1397+R1397+T1397+V1397+X1397+Z1397</f>
        <v>0</v>
      </c>
      <c r="J1397" s="253"/>
      <c r="K1397" s="251" t="s">
        <v>1901</v>
      </c>
      <c r="L1397" s="666">
        <f>3138*0.95*1.2+2*2*30</f>
        <v>3697.3199999999997</v>
      </c>
      <c r="M1397" s="258">
        <v>0</v>
      </c>
      <c r="N1397" s="257">
        <f>INT($L1397*M1397*100+0.5)/100</f>
        <v>0</v>
      </c>
      <c r="O1397" s="258">
        <v>0</v>
      </c>
      <c r="P1397" s="257">
        <f>INT($L1397*O1397*100+0.5)/100</f>
        <v>0</v>
      </c>
      <c r="Q1397" s="258">
        <v>0</v>
      </c>
      <c r="R1397" s="257">
        <f>INT($L1397*Q1397*100+0.5)/100</f>
        <v>0</v>
      </c>
      <c r="S1397" s="258">
        <v>0</v>
      </c>
      <c r="T1397" s="257">
        <f>INT($L1397*S1397*100+0.5)/100</f>
        <v>0</v>
      </c>
      <c r="U1397" s="258">
        <v>0</v>
      </c>
      <c r="V1397" s="257">
        <f>INT($L1397*U1397*100+0.5)/100</f>
        <v>0</v>
      </c>
      <c r="W1397" s="258">
        <v>0</v>
      </c>
      <c r="X1397" s="257">
        <f>INT($L1397*W1397*100+0.5)/100</f>
        <v>0</v>
      </c>
      <c r="Y1397" s="258">
        <v>0</v>
      </c>
      <c r="Z1397" s="257">
        <f>INT($L1397*Y1397*100+0.5)/100</f>
        <v>0</v>
      </c>
    </row>
    <row r="1398" spans="1:26" ht="15">
      <c r="A1398" s="250" t="s">
        <v>542</v>
      </c>
      <c r="B1398" s="251"/>
      <c r="C1398" s="540" t="s">
        <v>1928</v>
      </c>
      <c r="D1398" s="238" t="s">
        <v>1930</v>
      </c>
      <c r="E1398" s="251" t="s">
        <v>1901</v>
      </c>
      <c r="F1398" s="304">
        <f>M1398+O1398+Q1398+S1398+U1398+W1398+Y1398</f>
        <v>0</v>
      </c>
      <c r="G1398" s="253">
        <f t="shared" si="242"/>
        <v>3562.7999999999997</v>
      </c>
      <c r="H1398" s="254">
        <f>F1398*G1398</f>
        <v>0</v>
      </c>
      <c r="I1398" s="253">
        <f>N1398+P1398+R1398+T1398+V1398+X1398+Z1398</f>
        <v>0</v>
      </c>
      <c r="J1398" s="253"/>
      <c r="K1398" s="251" t="s">
        <v>1901</v>
      </c>
      <c r="L1398" s="666">
        <f>3020*0.95*1.2+2*2*30</f>
        <v>3562.7999999999997</v>
      </c>
      <c r="M1398" s="258">
        <v>0</v>
      </c>
      <c r="N1398" s="257">
        <f>INT($L1398*M1398*100+0.5)/100</f>
        <v>0</v>
      </c>
      <c r="O1398" s="258">
        <v>0</v>
      </c>
      <c r="P1398" s="257">
        <f>INT($L1398*O1398*100+0.5)/100</f>
        <v>0</v>
      </c>
      <c r="Q1398" s="258">
        <v>0</v>
      </c>
      <c r="R1398" s="257">
        <f>INT($L1398*Q1398*100+0.5)/100</f>
        <v>0</v>
      </c>
      <c r="S1398" s="258">
        <v>0</v>
      </c>
      <c r="T1398" s="257">
        <f>INT($L1398*S1398*100+0.5)/100</f>
        <v>0</v>
      </c>
      <c r="U1398" s="258">
        <v>0</v>
      </c>
      <c r="V1398" s="257">
        <f>INT($L1398*U1398*100+0.5)/100</f>
        <v>0</v>
      </c>
      <c r="W1398" s="258">
        <v>0</v>
      </c>
      <c r="X1398" s="257">
        <f>INT($L1398*W1398*100+0.5)/100</f>
        <v>0</v>
      </c>
      <c r="Y1398" s="258">
        <v>0</v>
      </c>
      <c r="Z1398" s="257">
        <f>INT($L1398*Y1398*100+0.5)/100</f>
        <v>0</v>
      </c>
    </row>
    <row r="1399" spans="1:26" ht="15">
      <c r="A1399" s="250"/>
      <c r="B1399" s="251"/>
      <c r="C1399" s="540"/>
      <c r="D1399" s="238"/>
      <c r="E1399" s="251"/>
      <c r="F1399" s="252"/>
      <c r="G1399" s="253"/>
      <c r="H1399" s="254"/>
      <c r="I1399" s="253"/>
      <c r="J1399" s="253"/>
      <c r="K1399" s="251"/>
      <c r="L1399" s="261"/>
      <c r="M1399" s="258"/>
      <c r="N1399" s="257"/>
      <c r="O1399" s="258"/>
      <c r="P1399" s="257"/>
      <c r="Q1399" s="258"/>
      <c r="R1399" s="257"/>
      <c r="S1399" s="258"/>
      <c r="T1399" s="257"/>
      <c r="U1399" s="258"/>
      <c r="V1399" s="257"/>
      <c r="W1399" s="258"/>
      <c r="X1399" s="257"/>
      <c r="Y1399" s="258"/>
      <c r="Z1399" s="257"/>
    </row>
    <row r="1400" spans="1:26" ht="15">
      <c r="A1400" s="250">
        <f>A1395+1</f>
        <v>247</v>
      </c>
      <c r="B1400" s="251"/>
      <c r="C1400" s="540" t="s">
        <v>1335</v>
      </c>
      <c r="D1400" s="532" t="s">
        <v>1404</v>
      </c>
      <c r="E1400" s="251"/>
      <c r="F1400" s="252"/>
      <c r="G1400" s="253"/>
      <c r="H1400" s="254"/>
      <c r="I1400" s="253"/>
      <c r="J1400" s="253"/>
      <c r="K1400" s="251"/>
      <c r="L1400" s="261"/>
      <c r="M1400" s="258"/>
      <c r="N1400" s="257"/>
      <c r="O1400" s="258"/>
      <c r="P1400" s="257"/>
      <c r="Q1400" s="258"/>
      <c r="R1400" s="257"/>
      <c r="S1400" s="258"/>
      <c r="T1400" s="257"/>
      <c r="U1400" s="258"/>
      <c r="V1400" s="257"/>
      <c r="W1400" s="258"/>
      <c r="X1400" s="257"/>
      <c r="Y1400" s="258"/>
      <c r="Z1400" s="257"/>
    </row>
    <row r="1401" spans="1:26" ht="15">
      <c r="A1401" s="250"/>
      <c r="B1401" s="251"/>
      <c r="C1401" s="540"/>
      <c r="D1401" s="532" t="s">
        <v>1403</v>
      </c>
      <c r="E1401" s="251"/>
      <c r="F1401" s="252"/>
      <c r="G1401" s="253"/>
      <c r="H1401" s="254"/>
      <c r="I1401" s="253"/>
      <c r="J1401" s="253"/>
      <c r="K1401" s="251"/>
      <c r="L1401" s="261"/>
      <c r="M1401" s="258"/>
      <c r="N1401" s="257"/>
      <c r="O1401" s="258"/>
      <c r="P1401" s="257"/>
      <c r="Q1401" s="258"/>
      <c r="R1401" s="257"/>
      <c r="S1401" s="258"/>
      <c r="T1401" s="257"/>
      <c r="U1401" s="258"/>
      <c r="V1401" s="257"/>
      <c r="W1401" s="258"/>
      <c r="X1401" s="257"/>
      <c r="Y1401" s="258"/>
      <c r="Z1401" s="257"/>
    </row>
    <row r="1402" spans="1:26" ht="15">
      <c r="A1402" s="331" t="s">
        <v>1903</v>
      </c>
      <c r="B1402" s="251"/>
      <c r="C1402" s="532" t="s">
        <v>1336</v>
      </c>
      <c r="D1402" s="532" t="s">
        <v>276</v>
      </c>
      <c r="E1402" s="251" t="s">
        <v>1901</v>
      </c>
      <c r="F1402" s="304">
        <f>M1402+O1402+Q1402+S1402+U1402+W1402+Y1402</f>
        <v>0</v>
      </c>
      <c r="G1402" s="253">
        <f t="shared" si="242"/>
        <v>180.42</v>
      </c>
      <c r="H1402" s="254">
        <f>F1402*G1402</f>
        <v>0</v>
      </c>
      <c r="I1402" s="253">
        <f>N1402+P1402+R1402+T1402+V1402+X1402+Z1402</f>
        <v>0</v>
      </c>
      <c r="J1402" s="253"/>
      <c r="K1402" s="251" t="s">
        <v>1901</v>
      </c>
      <c r="L1402" s="663">
        <v>180.42</v>
      </c>
      <c r="M1402" s="258">
        <v>0</v>
      </c>
      <c r="N1402" s="257">
        <f>INT($L1402*M1402*100+0.5)/100</f>
        <v>0</v>
      </c>
      <c r="O1402" s="258">
        <v>0</v>
      </c>
      <c r="P1402" s="257">
        <f>INT($L1402*O1402*100+0.5)/100</f>
        <v>0</v>
      </c>
      <c r="Q1402" s="258">
        <v>0</v>
      </c>
      <c r="R1402" s="257">
        <f>INT($L1402*Q1402*100+0.5)/100</f>
        <v>0</v>
      </c>
      <c r="S1402" s="258">
        <v>0</v>
      </c>
      <c r="T1402" s="257">
        <f>INT($L1402*S1402*100+0.5)/100</f>
        <v>0</v>
      </c>
      <c r="U1402" s="258">
        <v>0</v>
      </c>
      <c r="V1402" s="257">
        <f>INT($L1402*U1402*100+0.5)/100</f>
        <v>0</v>
      </c>
      <c r="W1402" s="258">
        <v>0</v>
      </c>
      <c r="X1402" s="257">
        <f>INT($L1402*W1402*100+0.5)/100</f>
        <v>0</v>
      </c>
      <c r="Y1402" s="258">
        <v>0</v>
      </c>
      <c r="Z1402" s="257">
        <f>INT($L1402*Y1402*100+0.5)/100</f>
        <v>0</v>
      </c>
    </row>
    <row r="1403" spans="1:26" ht="15">
      <c r="A1403" s="331" t="s">
        <v>1905</v>
      </c>
      <c r="B1403" s="251"/>
      <c r="C1403" s="532" t="s">
        <v>1337</v>
      </c>
      <c r="D1403" s="532" t="s">
        <v>277</v>
      </c>
      <c r="E1403" s="251" t="s">
        <v>1901</v>
      </c>
      <c r="F1403" s="304">
        <f>M1403+O1403+Q1403+S1403+U1403+W1403+Y1403</f>
        <v>0</v>
      </c>
      <c r="G1403" s="253">
        <f t="shared" si="242"/>
        <v>485.98</v>
      </c>
      <c r="H1403" s="254">
        <f>F1403*G1403</f>
        <v>0</v>
      </c>
      <c r="I1403" s="253">
        <f>N1403+P1403+R1403+T1403+V1403+X1403+Z1403</f>
        <v>0</v>
      </c>
      <c r="J1403" s="253"/>
      <c r="K1403" s="251" t="s">
        <v>1901</v>
      </c>
      <c r="L1403" s="663">
        <v>485.98</v>
      </c>
      <c r="M1403" s="258">
        <v>0</v>
      </c>
      <c r="N1403" s="257">
        <f>INT($L1403*M1403*100+0.5)/100</f>
        <v>0</v>
      </c>
      <c r="O1403" s="258">
        <v>0</v>
      </c>
      <c r="P1403" s="257">
        <f>INT($L1403*O1403*100+0.5)/100</f>
        <v>0</v>
      </c>
      <c r="Q1403" s="258">
        <v>0</v>
      </c>
      <c r="R1403" s="257">
        <f>INT($L1403*Q1403*100+0.5)/100</f>
        <v>0</v>
      </c>
      <c r="S1403" s="258">
        <v>0</v>
      </c>
      <c r="T1403" s="257">
        <f>INT($L1403*S1403*100+0.5)/100</f>
        <v>0</v>
      </c>
      <c r="U1403" s="258">
        <v>0</v>
      </c>
      <c r="V1403" s="257">
        <f>INT($L1403*U1403*100+0.5)/100</f>
        <v>0</v>
      </c>
      <c r="W1403" s="258">
        <v>0</v>
      </c>
      <c r="X1403" s="257">
        <f>INT($L1403*W1403*100+0.5)/100</f>
        <v>0</v>
      </c>
      <c r="Y1403" s="258">
        <v>0</v>
      </c>
      <c r="Z1403" s="257">
        <f>INT($L1403*Y1403*100+0.5)/100</f>
        <v>0</v>
      </c>
    </row>
    <row r="1404" spans="1:26" ht="15">
      <c r="A1404" s="331" t="s">
        <v>1906</v>
      </c>
      <c r="B1404" s="251"/>
      <c r="C1404" s="532" t="s">
        <v>1338</v>
      </c>
      <c r="D1404" s="532" t="s">
        <v>278</v>
      </c>
      <c r="E1404" s="251" t="s">
        <v>1901</v>
      </c>
      <c r="F1404" s="304">
        <f>M1404+O1404+Q1404+S1404+U1404+W1404+Y1404</f>
        <v>0</v>
      </c>
      <c r="G1404" s="253">
        <f t="shared" si="242"/>
        <v>499.31</v>
      </c>
      <c r="H1404" s="254">
        <f>F1404*G1404</f>
        <v>0</v>
      </c>
      <c r="I1404" s="253">
        <f>N1404+P1404+R1404+T1404+V1404+X1404+Z1404</f>
        <v>0</v>
      </c>
      <c r="J1404" s="253"/>
      <c r="K1404" s="251" t="s">
        <v>1901</v>
      </c>
      <c r="L1404" s="663">
        <v>499.31</v>
      </c>
      <c r="M1404" s="258">
        <v>0</v>
      </c>
      <c r="N1404" s="257">
        <f>INT($L1404*M1404*100+0.5)/100</f>
        <v>0</v>
      </c>
      <c r="O1404" s="258">
        <v>0</v>
      </c>
      <c r="P1404" s="257">
        <f>INT($L1404*O1404*100+0.5)/100</f>
        <v>0</v>
      </c>
      <c r="Q1404" s="258">
        <v>0</v>
      </c>
      <c r="R1404" s="257">
        <f>INT($L1404*Q1404*100+0.5)/100</f>
        <v>0</v>
      </c>
      <c r="S1404" s="258">
        <v>0</v>
      </c>
      <c r="T1404" s="257">
        <f>INT($L1404*S1404*100+0.5)/100</f>
        <v>0</v>
      </c>
      <c r="U1404" s="258">
        <v>0</v>
      </c>
      <c r="V1404" s="257">
        <f>INT($L1404*U1404*100+0.5)/100</f>
        <v>0</v>
      </c>
      <c r="W1404" s="258">
        <v>0</v>
      </c>
      <c r="X1404" s="257">
        <f>INT($L1404*W1404*100+0.5)/100</f>
        <v>0</v>
      </c>
      <c r="Y1404" s="258">
        <v>0</v>
      </c>
      <c r="Z1404" s="257">
        <f>INT($L1404*Y1404*100+0.5)/100</f>
        <v>0</v>
      </c>
    </row>
    <row r="1405" spans="1:26" ht="15">
      <c r="A1405" s="331" t="s">
        <v>544</v>
      </c>
      <c r="B1405" s="251"/>
      <c r="C1405" s="532" t="s">
        <v>1339</v>
      </c>
      <c r="D1405" s="532" t="s">
        <v>279</v>
      </c>
      <c r="E1405" s="251" t="s">
        <v>1901</v>
      </c>
      <c r="F1405" s="304">
        <f>M1405+O1405+Q1405+S1405+U1405+W1405+Y1405</f>
        <v>0</v>
      </c>
      <c r="G1405" s="253">
        <f t="shared" si="242"/>
        <v>181.1</v>
      </c>
      <c r="H1405" s="254">
        <f>F1405*G1405</f>
        <v>0</v>
      </c>
      <c r="I1405" s="253">
        <f>N1405+P1405+R1405+T1405+V1405+X1405+Z1405</f>
        <v>0</v>
      </c>
      <c r="J1405" s="253"/>
      <c r="K1405" s="251" t="s">
        <v>1901</v>
      </c>
      <c r="L1405" s="663">
        <v>181.1</v>
      </c>
      <c r="M1405" s="258">
        <v>0</v>
      </c>
      <c r="N1405" s="257">
        <f>INT($L1405*M1405*100+0.5)/100</f>
        <v>0</v>
      </c>
      <c r="O1405" s="258">
        <v>0</v>
      </c>
      <c r="P1405" s="257">
        <f>INT($L1405*O1405*100+0.5)/100</f>
        <v>0</v>
      </c>
      <c r="Q1405" s="258">
        <v>0</v>
      </c>
      <c r="R1405" s="257">
        <f>INT($L1405*Q1405*100+0.5)/100</f>
        <v>0</v>
      </c>
      <c r="S1405" s="258">
        <v>0</v>
      </c>
      <c r="T1405" s="257">
        <f>INT($L1405*S1405*100+0.5)/100</f>
        <v>0</v>
      </c>
      <c r="U1405" s="258">
        <v>0</v>
      </c>
      <c r="V1405" s="257">
        <f>INT($L1405*U1405*100+0.5)/100</f>
        <v>0</v>
      </c>
      <c r="W1405" s="258">
        <v>0</v>
      </c>
      <c r="X1405" s="257">
        <f>INT($L1405*W1405*100+0.5)/100</f>
        <v>0</v>
      </c>
      <c r="Y1405" s="258">
        <v>0</v>
      </c>
      <c r="Z1405" s="257">
        <f>INT($L1405*Y1405*100+0.5)/100</f>
        <v>0</v>
      </c>
    </row>
    <row r="1406" spans="1:26" ht="15">
      <c r="A1406" s="331" t="s">
        <v>2475</v>
      </c>
      <c r="B1406" s="251"/>
      <c r="C1406" s="532" t="s">
        <v>1340</v>
      </c>
      <c r="D1406" s="532" t="s">
        <v>280</v>
      </c>
      <c r="E1406" s="251" t="s">
        <v>1901</v>
      </c>
      <c r="F1406" s="304">
        <f>M1406+O1406+Q1406+S1406+U1406+W1406+Y1406</f>
        <v>0</v>
      </c>
      <c r="G1406" s="253">
        <f t="shared" si="242"/>
        <v>237.01</v>
      </c>
      <c r="H1406" s="254">
        <f>F1406*G1406</f>
        <v>0</v>
      </c>
      <c r="I1406" s="253">
        <f>N1406+P1406+R1406+T1406+V1406+X1406+Z1406</f>
        <v>0</v>
      </c>
      <c r="J1406" s="253"/>
      <c r="K1406" s="251" t="s">
        <v>1901</v>
      </c>
      <c r="L1406" s="663">
        <v>237.01</v>
      </c>
      <c r="M1406" s="258">
        <v>0</v>
      </c>
      <c r="N1406" s="257">
        <f>INT($L1406*M1406*100+0.5)/100</f>
        <v>0</v>
      </c>
      <c r="O1406" s="258">
        <v>0</v>
      </c>
      <c r="P1406" s="257">
        <f>INT($L1406*O1406*100+0.5)/100</f>
        <v>0</v>
      </c>
      <c r="Q1406" s="258">
        <v>0</v>
      </c>
      <c r="R1406" s="257">
        <f>INT($L1406*Q1406*100+0.5)/100</f>
        <v>0</v>
      </c>
      <c r="S1406" s="258">
        <v>0</v>
      </c>
      <c r="T1406" s="257">
        <f>INT($L1406*S1406*100+0.5)/100</f>
        <v>0</v>
      </c>
      <c r="U1406" s="258">
        <v>0</v>
      </c>
      <c r="V1406" s="257">
        <f>INT($L1406*U1406*100+0.5)/100</f>
        <v>0</v>
      </c>
      <c r="W1406" s="258">
        <v>0</v>
      </c>
      <c r="X1406" s="257">
        <f>INT($L1406*W1406*100+0.5)/100</f>
        <v>0</v>
      </c>
      <c r="Y1406" s="258">
        <v>0</v>
      </c>
      <c r="Z1406" s="257">
        <f>INT($L1406*Y1406*100+0.5)/100</f>
        <v>0</v>
      </c>
    </row>
    <row r="1407" spans="1:26" ht="15">
      <c r="A1407" s="331"/>
      <c r="B1407" s="251"/>
      <c r="C1407" s="540"/>
      <c r="D1407" s="238"/>
      <c r="E1407" s="251"/>
      <c r="F1407" s="252"/>
      <c r="G1407" s="253"/>
      <c r="H1407" s="254"/>
      <c r="I1407" s="253"/>
      <c r="J1407" s="253"/>
      <c r="K1407" s="251"/>
      <c r="L1407" s="261"/>
      <c r="M1407" s="258"/>
      <c r="N1407" s="257"/>
      <c r="O1407" s="258"/>
      <c r="P1407" s="257"/>
      <c r="Q1407" s="258"/>
      <c r="R1407" s="257"/>
      <c r="S1407" s="258"/>
      <c r="T1407" s="257"/>
      <c r="U1407" s="258"/>
      <c r="V1407" s="257"/>
      <c r="W1407" s="258"/>
      <c r="X1407" s="257"/>
      <c r="Y1407" s="258"/>
      <c r="Z1407" s="257"/>
    </row>
    <row r="1408" spans="1:26" ht="15" customHeight="1">
      <c r="A1408" s="250">
        <f>A1400+1</f>
        <v>248</v>
      </c>
      <c r="B1408" s="251"/>
      <c r="C1408" s="540" t="s">
        <v>581</v>
      </c>
      <c r="D1408" s="526" t="s">
        <v>914</v>
      </c>
      <c r="E1408" s="251"/>
      <c r="F1408" s="304"/>
      <c r="G1408" s="253"/>
      <c r="H1408" s="254"/>
      <c r="I1408" s="253"/>
      <c r="J1408" s="253"/>
      <c r="K1408" s="251"/>
      <c r="L1408" s="261"/>
      <c r="M1408" s="258"/>
      <c r="N1408" s="257"/>
      <c r="O1408" s="258"/>
      <c r="P1408" s="257"/>
      <c r="Q1408" s="258"/>
      <c r="R1408" s="257"/>
      <c r="S1408" s="258"/>
      <c r="T1408" s="257"/>
      <c r="U1408" s="258"/>
      <c r="V1408" s="257"/>
      <c r="W1408" s="258"/>
      <c r="X1408" s="257"/>
      <c r="Y1408" s="258"/>
      <c r="Z1408" s="257"/>
    </row>
    <row r="1409" spans="1:26" ht="15" customHeight="1">
      <c r="A1409" s="250"/>
      <c r="B1409" s="251"/>
      <c r="C1409" s="540"/>
      <c r="D1409" s="526" t="s">
        <v>913</v>
      </c>
      <c r="E1409" s="251"/>
      <c r="F1409" s="304"/>
      <c r="G1409" s="253"/>
      <c r="H1409" s="254"/>
      <c r="I1409" s="253"/>
      <c r="J1409" s="253"/>
      <c r="K1409" s="251"/>
      <c r="L1409" s="261"/>
      <c r="M1409" s="258"/>
      <c r="N1409" s="257"/>
      <c r="O1409" s="258"/>
      <c r="P1409" s="257"/>
      <c r="Q1409" s="258"/>
      <c r="R1409" s="257"/>
      <c r="S1409" s="258"/>
      <c r="T1409" s="257"/>
      <c r="U1409" s="258"/>
      <c r="V1409" s="257"/>
      <c r="W1409" s="258"/>
      <c r="X1409" s="257"/>
      <c r="Y1409" s="258"/>
      <c r="Z1409" s="257"/>
    </row>
    <row r="1410" spans="1:26" ht="15" customHeight="1">
      <c r="A1410" s="331" t="s">
        <v>1903</v>
      </c>
      <c r="B1410" s="251"/>
      <c r="C1410" s="540" t="s">
        <v>2402</v>
      </c>
      <c r="D1410" s="526" t="s">
        <v>915</v>
      </c>
      <c r="E1410" s="251" t="s">
        <v>1901</v>
      </c>
      <c r="F1410" s="304">
        <f>M1410+O1410+Q1410+S1410+U1410+W1410+Y1410</f>
        <v>0</v>
      </c>
      <c r="G1410" s="253">
        <f t="shared" si="242"/>
        <v>100.03</v>
      </c>
      <c r="H1410" s="254">
        <f>F1410*G1410</f>
        <v>0</v>
      </c>
      <c r="I1410" s="253">
        <f>N1410+P1410+R1410+T1410+V1410+X1410+Z1410</f>
        <v>0</v>
      </c>
      <c r="J1410" s="253"/>
      <c r="K1410" s="251" t="s">
        <v>1901</v>
      </c>
      <c r="L1410" s="666">
        <v>100.03</v>
      </c>
      <c r="M1410" s="258">
        <v>0</v>
      </c>
      <c r="N1410" s="257">
        <f>INT($L1410*M1410*100+0.5)/100</f>
        <v>0</v>
      </c>
      <c r="O1410" s="258">
        <v>0</v>
      </c>
      <c r="P1410" s="257">
        <f>INT($L1410*O1410*100+0.5)/100</f>
        <v>0</v>
      </c>
      <c r="Q1410" s="258">
        <v>0</v>
      </c>
      <c r="R1410" s="257">
        <f>INT($L1410*Q1410*100+0.5)/100</f>
        <v>0</v>
      </c>
      <c r="S1410" s="258">
        <v>0</v>
      </c>
      <c r="T1410" s="257">
        <f>INT($L1410*S1410*100+0.5)/100</f>
        <v>0</v>
      </c>
      <c r="U1410" s="258">
        <v>0</v>
      </c>
      <c r="V1410" s="257">
        <f>INT($L1410*U1410*100+0.5)/100</f>
        <v>0</v>
      </c>
      <c r="W1410" s="258">
        <v>0</v>
      </c>
      <c r="X1410" s="257">
        <f>INT($L1410*W1410*100+0.5)/100</f>
        <v>0</v>
      </c>
      <c r="Y1410" s="258">
        <v>0</v>
      </c>
      <c r="Z1410" s="257">
        <f>INT($L1410*Y1410*100+0.5)/100</f>
        <v>0</v>
      </c>
    </row>
    <row r="1411" spans="1:26" ht="15" customHeight="1">
      <c r="A1411" s="331" t="s">
        <v>1905</v>
      </c>
      <c r="B1411" s="251"/>
      <c r="C1411" s="540" t="s">
        <v>2403</v>
      </c>
      <c r="D1411" s="526" t="s">
        <v>916</v>
      </c>
      <c r="E1411" s="251" t="s">
        <v>1901</v>
      </c>
      <c r="F1411" s="304">
        <f>M1411+O1411+Q1411+S1411+U1411+W1411+Y1411</f>
        <v>0</v>
      </c>
      <c r="G1411" s="253">
        <f t="shared" si="242"/>
        <v>138.46</v>
      </c>
      <c r="H1411" s="254">
        <f>F1411*G1411</f>
        <v>0</v>
      </c>
      <c r="I1411" s="253">
        <f>N1411+P1411+R1411+T1411+V1411+X1411+Z1411</f>
        <v>0</v>
      </c>
      <c r="J1411" s="253"/>
      <c r="K1411" s="251" t="s">
        <v>1901</v>
      </c>
      <c r="L1411" s="666">
        <v>138.46</v>
      </c>
      <c r="M1411" s="258">
        <v>0</v>
      </c>
      <c r="N1411" s="257">
        <f>INT($L1411*M1411*100+0.5)/100</f>
        <v>0</v>
      </c>
      <c r="O1411" s="258">
        <v>0</v>
      </c>
      <c r="P1411" s="257">
        <f>INT($L1411*O1411*100+0.5)/100</f>
        <v>0</v>
      </c>
      <c r="Q1411" s="258">
        <v>0</v>
      </c>
      <c r="R1411" s="257">
        <f>INT($L1411*Q1411*100+0.5)/100</f>
        <v>0</v>
      </c>
      <c r="S1411" s="258">
        <v>0</v>
      </c>
      <c r="T1411" s="257">
        <f>INT($L1411*S1411*100+0.5)/100</f>
        <v>0</v>
      </c>
      <c r="U1411" s="258">
        <v>0</v>
      </c>
      <c r="V1411" s="257">
        <f>INT($L1411*U1411*100+0.5)/100</f>
        <v>0</v>
      </c>
      <c r="W1411" s="258">
        <v>0</v>
      </c>
      <c r="X1411" s="257">
        <f>INT($L1411*W1411*100+0.5)/100</f>
        <v>0</v>
      </c>
      <c r="Y1411" s="258">
        <v>0</v>
      </c>
      <c r="Z1411" s="257">
        <f>INT($L1411*Y1411*100+0.5)/100</f>
        <v>0</v>
      </c>
    </row>
    <row r="1412" spans="1:26" ht="15" customHeight="1">
      <c r="A1412" s="250"/>
      <c r="B1412" s="251"/>
      <c r="C1412" s="326"/>
      <c r="D1412" s="292"/>
      <c r="E1412" s="251"/>
      <c r="F1412" s="252"/>
      <c r="G1412" s="253"/>
      <c r="H1412" s="254"/>
      <c r="I1412" s="253"/>
      <c r="J1412" s="253"/>
      <c r="K1412" s="251"/>
      <c r="L1412" s="666"/>
      <c r="M1412" s="258"/>
      <c r="N1412" s="257"/>
      <c r="O1412" s="258"/>
      <c r="P1412" s="257"/>
      <c r="Q1412" s="258"/>
      <c r="R1412" s="257"/>
      <c r="S1412" s="258"/>
      <c r="T1412" s="257"/>
      <c r="U1412" s="258"/>
      <c r="V1412" s="257"/>
      <c r="W1412" s="258"/>
      <c r="X1412" s="257"/>
      <c r="Y1412" s="258"/>
      <c r="Z1412" s="257"/>
    </row>
    <row r="1413" spans="1:26" ht="15">
      <c r="A1413" s="250">
        <f>A1408+1</f>
        <v>249</v>
      </c>
      <c r="B1413" s="251"/>
      <c r="C1413" s="532" t="s">
        <v>334</v>
      </c>
      <c r="D1413" s="532" t="s">
        <v>209</v>
      </c>
      <c r="E1413" s="251"/>
      <c r="F1413" s="252"/>
      <c r="G1413" s="253"/>
      <c r="H1413" s="254"/>
      <c r="I1413" s="253"/>
      <c r="J1413" s="253"/>
      <c r="K1413" s="251"/>
      <c r="L1413" s="666"/>
      <c r="M1413" s="258"/>
      <c r="N1413" s="257"/>
      <c r="O1413" s="258"/>
      <c r="P1413" s="257"/>
      <c r="Q1413" s="258"/>
      <c r="R1413" s="257"/>
      <c r="S1413" s="258"/>
      <c r="T1413" s="257"/>
      <c r="U1413" s="258"/>
      <c r="V1413" s="257"/>
      <c r="W1413" s="258"/>
      <c r="X1413" s="257"/>
      <c r="Y1413" s="258"/>
      <c r="Z1413" s="257"/>
    </row>
    <row r="1414" spans="1:26" ht="25.5">
      <c r="A1414" s="250"/>
      <c r="B1414" s="251"/>
      <c r="C1414" s="326"/>
      <c r="D1414" s="532" t="s">
        <v>538</v>
      </c>
      <c r="E1414" s="251"/>
      <c r="F1414" s="252"/>
      <c r="G1414" s="253"/>
      <c r="H1414" s="254"/>
      <c r="I1414" s="253"/>
      <c r="J1414" s="253"/>
      <c r="K1414" s="251"/>
      <c r="L1414" s="666"/>
      <c r="M1414" s="258"/>
      <c r="N1414" s="257"/>
      <c r="O1414" s="258"/>
      <c r="P1414" s="257"/>
      <c r="Q1414" s="258"/>
      <c r="R1414" s="257"/>
      <c r="S1414" s="258"/>
      <c r="T1414" s="257"/>
      <c r="U1414" s="258"/>
      <c r="V1414" s="257"/>
      <c r="W1414" s="258"/>
      <c r="X1414" s="257"/>
      <c r="Y1414" s="258"/>
      <c r="Z1414" s="257"/>
    </row>
    <row r="1415" spans="1:26" ht="15" customHeight="1">
      <c r="A1415" s="250" t="s">
        <v>1903</v>
      </c>
      <c r="B1415" s="251"/>
      <c r="C1415" s="532" t="s">
        <v>894</v>
      </c>
      <c r="D1415" s="532" t="s">
        <v>281</v>
      </c>
      <c r="E1415" s="251" t="s">
        <v>1901</v>
      </c>
      <c r="F1415" s="304">
        <f t="shared" ref="F1415:F1421" si="243">M1415+O1415+Q1415+S1415+U1415+W1415+Y1415</f>
        <v>0</v>
      </c>
      <c r="G1415" s="253">
        <f t="shared" si="242"/>
        <v>460.58</v>
      </c>
      <c r="H1415" s="254">
        <f t="shared" ref="H1415:H1421" si="244">F1415*G1415</f>
        <v>0</v>
      </c>
      <c r="I1415" s="253">
        <f t="shared" ref="I1415:I1421" si="245">N1415+P1415+R1415+T1415+V1415+X1415+Z1415</f>
        <v>0</v>
      </c>
      <c r="J1415" s="253"/>
      <c r="K1415" s="251" t="s">
        <v>1901</v>
      </c>
      <c r="L1415" s="666">
        <f>430.58+30</f>
        <v>460.58</v>
      </c>
      <c r="M1415" s="258">
        <v>0</v>
      </c>
      <c r="N1415" s="257">
        <f t="shared" ref="N1415:N1421" si="246">INT($L1415*M1415*100+0.5)/100</f>
        <v>0</v>
      </c>
      <c r="O1415" s="258">
        <v>0</v>
      </c>
      <c r="P1415" s="257">
        <f t="shared" ref="P1415:P1421" si="247">INT($L1415*O1415*100+0.5)/100</f>
        <v>0</v>
      </c>
      <c r="Q1415" s="258">
        <v>0</v>
      </c>
      <c r="R1415" s="257">
        <f t="shared" ref="R1415:R1421" si="248">INT($L1415*Q1415*100+0.5)/100</f>
        <v>0</v>
      </c>
      <c r="S1415" s="258">
        <v>0</v>
      </c>
      <c r="T1415" s="257">
        <f t="shared" ref="T1415:T1421" si="249">INT($L1415*S1415*100+0.5)/100</f>
        <v>0</v>
      </c>
      <c r="U1415" s="258">
        <v>0</v>
      </c>
      <c r="V1415" s="257">
        <f t="shared" ref="V1415:V1421" si="250">INT($L1415*U1415*100+0.5)/100</f>
        <v>0</v>
      </c>
      <c r="W1415" s="258">
        <v>0</v>
      </c>
      <c r="X1415" s="257">
        <f t="shared" ref="X1415:X1421" si="251">INT($L1415*W1415*100+0.5)/100</f>
        <v>0</v>
      </c>
      <c r="Y1415" s="258">
        <v>0</v>
      </c>
      <c r="Z1415" s="257">
        <f t="shared" ref="Z1415:Z1421" si="252">INT($L1415*Y1415*100+0.5)/100</f>
        <v>0</v>
      </c>
    </row>
    <row r="1416" spans="1:26" ht="15" customHeight="1">
      <c r="A1416" s="250" t="s">
        <v>1905</v>
      </c>
      <c r="B1416" s="251"/>
      <c r="C1416" s="532" t="s">
        <v>895</v>
      </c>
      <c r="D1416" s="532" t="s">
        <v>282</v>
      </c>
      <c r="E1416" s="251" t="s">
        <v>1901</v>
      </c>
      <c r="F1416" s="304">
        <f t="shared" si="243"/>
        <v>0</v>
      </c>
      <c r="G1416" s="253">
        <f t="shared" si="242"/>
        <v>536.76</v>
      </c>
      <c r="H1416" s="254">
        <f t="shared" si="244"/>
        <v>0</v>
      </c>
      <c r="I1416" s="253">
        <f t="shared" si="245"/>
        <v>0</v>
      </c>
      <c r="J1416" s="253"/>
      <c r="K1416" s="251" t="s">
        <v>1901</v>
      </c>
      <c r="L1416" s="666">
        <f>506.76+30</f>
        <v>536.76</v>
      </c>
      <c r="M1416" s="258">
        <v>0</v>
      </c>
      <c r="N1416" s="257">
        <f t="shared" si="246"/>
        <v>0</v>
      </c>
      <c r="O1416" s="258">
        <v>0</v>
      </c>
      <c r="P1416" s="257">
        <f t="shared" si="247"/>
        <v>0</v>
      </c>
      <c r="Q1416" s="258">
        <v>0</v>
      </c>
      <c r="R1416" s="257">
        <f t="shared" si="248"/>
        <v>0</v>
      </c>
      <c r="S1416" s="258">
        <v>0</v>
      </c>
      <c r="T1416" s="257">
        <f t="shared" si="249"/>
        <v>0</v>
      </c>
      <c r="U1416" s="258">
        <v>0</v>
      </c>
      <c r="V1416" s="257">
        <f t="shared" si="250"/>
        <v>0</v>
      </c>
      <c r="W1416" s="258">
        <v>0</v>
      </c>
      <c r="X1416" s="257">
        <f t="shared" si="251"/>
        <v>0</v>
      </c>
      <c r="Y1416" s="258">
        <v>0</v>
      </c>
      <c r="Z1416" s="257">
        <f t="shared" si="252"/>
        <v>0</v>
      </c>
    </row>
    <row r="1417" spans="1:26" ht="15" customHeight="1">
      <c r="A1417" s="250" t="s">
        <v>1906</v>
      </c>
      <c r="B1417" s="251"/>
      <c r="C1417" s="532" t="s">
        <v>896</v>
      </c>
      <c r="D1417" s="532" t="s">
        <v>283</v>
      </c>
      <c r="E1417" s="251" t="s">
        <v>1901</v>
      </c>
      <c r="F1417" s="304">
        <f t="shared" si="243"/>
        <v>0</v>
      </c>
      <c r="G1417" s="253">
        <f t="shared" si="242"/>
        <v>636.12</v>
      </c>
      <c r="H1417" s="254">
        <f t="shared" si="244"/>
        <v>0</v>
      </c>
      <c r="I1417" s="253">
        <f t="shared" si="245"/>
        <v>0</v>
      </c>
      <c r="J1417" s="253"/>
      <c r="K1417" s="251" t="s">
        <v>1901</v>
      </c>
      <c r="L1417" s="666">
        <f>606.12+30</f>
        <v>636.12</v>
      </c>
      <c r="M1417" s="258">
        <v>0</v>
      </c>
      <c r="N1417" s="257">
        <f t="shared" si="246"/>
        <v>0</v>
      </c>
      <c r="O1417" s="258">
        <v>0</v>
      </c>
      <c r="P1417" s="257">
        <f t="shared" si="247"/>
        <v>0</v>
      </c>
      <c r="Q1417" s="258">
        <v>0</v>
      </c>
      <c r="R1417" s="257">
        <f t="shared" si="248"/>
        <v>0</v>
      </c>
      <c r="S1417" s="258">
        <v>0</v>
      </c>
      <c r="T1417" s="257">
        <f t="shared" si="249"/>
        <v>0</v>
      </c>
      <c r="U1417" s="258">
        <v>0</v>
      </c>
      <c r="V1417" s="257">
        <f t="shared" si="250"/>
        <v>0</v>
      </c>
      <c r="W1417" s="258">
        <v>0</v>
      </c>
      <c r="X1417" s="257">
        <f t="shared" si="251"/>
        <v>0</v>
      </c>
      <c r="Y1417" s="258">
        <v>0</v>
      </c>
      <c r="Z1417" s="257">
        <f t="shared" si="252"/>
        <v>0</v>
      </c>
    </row>
    <row r="1418" spans="1:26" ht="15" customHeight="1">
      <c r="A1418" s="250" t="s">
        <v>228</v>
      </c>
      <c r="B1418" s="251"/>
      <c r="C1418" s="532" t="s">
        <v>897</v>
      </c>
      <c r="D1418" s="532" t="s">
        <v>229</v>
      </c>
      <c r="E1418" s="251" t="s">
        <v>1901</v>
      </c>
      <c r="F1418" s="304">
        <f t="shared" si="243"/>
        <v>0</v>
      </c>
      <c r="G1418" s="253">
        <f t="shared" si="242"/>
        <v>780</v>
      </c>
      <c r="H1418" s="244">
        <f t="shared" si="244"/>
        <v>0</v>
      </c>
      <c r="I1418" s="253">
        <f t="shared" si="245"/>
        <v>0</v>
      </c>
      <c r="J1418" s="253"/>
      <c r="K1418" s="251" t="s">
        <v>1901</v>
      </c>
      <c r="L1418" s="666">
        <v>780</v>
      </c>
      <c r="M1418" s="258">
        <v>0</v>
      </c>
      <c r="N1418" s="257">
        <f t="shared" si="246"/>
        <v>0</v>
      </c>
      <c r="O1418" s="258">
        <v>0</v>
      </c>
      <c r="P1418" s="257">
        <f t="shared" si="247"/>
        <v>0</v>
      </c>
      <c r="Q1418" s="258">
        <v>0</v>
      </c>
      <c r="R1418" s="257">
        <f t="shared" si="248"/>
        <v>0</v>
      </c>
      <c r="S1418" s="258">
        <v>0</v>
      </c>
      <c r="T1418" s="257">
        <f t="shared" si="249"/>
        <v>0</v>
      </c>
      <c r="U1418" s="258">
        <v>0</v>
      </c>
      <c r="V1418" s="257">
        <f t="shared" si="250"/>
        <v>0</v>
      </c>
      <c r="W1418" s="258">
        <v>0</v>
      </c>
      <c r="X1418" s="257">
        <f t="shared" si="251"/>
        <v>0</v>
      </c>
      <c r="Y1418" s="258">
        <v>0</v>
      </c>
      <c r="Z1418" s="257">
        <f t="shared" si="252"/>
        <v>0</v>
      </c>
    </row>
    <row r="1419" spans="1:26" ht="15" customHeight="1">
      <c r="A1419" s="250" t="s">
        <v>901</v>
      </c>
      <c r="B1419" s="251"/>
      <c r="C1419" s="532" t="s">
        <v>898</v>
      </c>
      <c r="D1419" s="532" t="s">
        <v>1917</v>
      </c>
      <c r="E1419" s="251" t="s">
        <v>1901</v>
      </c>
      <c r="F1419" s="304">
        <f t="shared" si="243"/>
        <v>0</v>
      </c>
      <c r="G1419" s="253">
        <f t="shared" si="242"/>
        <v>1100</v>
      </c>
      <c r="H1419" s="244">
        <f>F1419*G1419</f>
        <v>0</v>
      </c>
      <c r="I1419" s="253">
        <f t="shared" si="245"/>
        <v>0</v>
      </c>
      <c r="J1419" s="253"/>
      <c r="K1419" s="251" t="s">
        <v>1901</v>
      </c>
      <c r="L1419" s="666">
        <v>1100</v>
      </c>
      <c r="M1419" s="258">
        <v>0</v>
      </c>
      <c r="N1419" s="257">
        <f t="shared" si="246"/>
        <v>0</v>
      </c>
      <c r="O1419" s="258">
        <v>0</v>
      </c>
      <c r="P1419" s="257">
        <f t="shared" si="247"/>
        <v>0</v>
      </c>
      <c r="Q1419" s="258">
        <v>0</v>
      </c>
      <c r="R1419" s="257">
        <f t="shared" si="248"/>
        <v>0</v>
      </c>
      <c r="S1419" s="258">
        <v>0</v>
      </c>
      <c r="T1419" s="257">
        <f t="shared" si="249"/>
        <v>0</v>
      </c>
      <c r="U1419" s="258">
        <v>0</v>
      </c>
      <c r="V1419" s="257">
        <f t="shared" si="250"/>
        <v>0</v>
      </c>
      <c r="W1419" s="258">
        <v>0</v>
      </c>
      <c r="X1419" s="257">
        <f t="shared" si="251"/>
        <v>0</v>
      </c>
      <c r="Y1419" s="258">
        <v>0</v>
      </c>
      <c r="Z1419" s="257">
        <f t="shared" si="252"/>
        <v>0</v>
      </c>
    </row>
    <row r="1420" spans="1:26" ht="15" customHeight="1">
      <c r="A1420" s="250" t="s">
        <v>1907</v>
      </c>
      <c r="B1420" s="251"/>
      <c r="C1420" s="532" t="s">
        <v>899</v>
      </c>
      <c r="D1420" s="532" t="s">
        <v>284</v>
      </c>
      <c r="E1420" s="251" t="s">
        <v>1901</v>
      </c>
      <c r="F1420" s="304">
        <f t="shared" si="243"/>
        <v>0</v>
      </c>
      <c r="G1420" s="253">
        <f t="shared" si="242"/>
        <v>884.53</v>
      </c>
      <c r="H1420" s="254">
        <f t="shared" si="244"/>
        <v>0</v>
      </c>
      <c r="I1420" s="253">
        <f t="shared" si="245"/>
        <v>0</v>
      </c>
      <c r="J1420" s="253"/>
      <c r="K1420" s="251" t="s">
        <v>1901</v>
      </c>
      <c r="L1420" s="666">
        <f>854.53+30</f>
        <v>884.53</v>
      </c>
      <c r="M1420" s="258">
        <v>0</v>
      </c>
      <c r="N1420" s="257">
        <f t="shared" si="246"/>
        <v>0</v>
      </c>
      <c r="O1420" s="258">
        <v>0</v>
      </c>
      <c r="P1420" s="257">
        <f t="shared" si="247"/>
        <v>0</v>
      </c>
      <c r="Q1420" s="258">
        <v>0</v>
      </c>
      <c r="R1420" s="257">
        <f t="shared" si="248"/>
        <v>0</v>
      </c>
      <c r="S1420" s="258">
        <v>0</v>
      </c>
      <c r="T1420" s="257">
        <f t="shared" si="249"/>
        <v>0</v>
      </c>
      <c r="U1420" s="258">
        <v>0</v>
      </c>
      <c r="V1420" s="257">
        <f t="shared" si="250"/>
        <v>0</v>
      </c>
      <c r="W1420" s="258">
        <v>0</v>
      </c>
      <c r="X1420" s="257">
        <f t="shared" si="251"/>
        <v>0</v>
      </c>
      <c r="Y1420" s="258">
        <v>0</v>
      </c>
      <c r="Z1420" s="257">
        <f t="shared" si="252"/>
        <v>0</v>
      </c>
    </row>
    <row r="1421" spans="1:26" ht="15" customHeight="1">
      <c r="A1421" s="250" t="s">
        <v>542</v>
      </c>
      <c r="B1421" s="251"/>
      <c r="C1421" s="532" t="s">
        <v>900</v>
      </c>
      <c r="D1421" s="532" t="s">
        <v>285</v>
      </c>
      <c r="E1421" s="251" t="s">
        <v>1901</v>
      </c>
      <c r="F1421" s="304">
        <f t="shared" si="243"/>
        <v>0</v>
      </c>
      <c r="G1421" s="253">
        <f t="shared" si="242"/>
        <v>1162.74</v>
      </c>
      <c r="H1421" s="254">
        <f t="shared" si="244"/>
        <v>0</v>
      </c>
      <c r="I1421" s="253">
        <f t="shared" si="245"/>
        <v>0</v>
      </c>
      <c r="J1421" s="253"/>
      <c r="K1421" s="251" t="s">
        <v>1901</v>
      </c>
      <c r="L1421" s="666">
        <f>1132.74+30</f>
        <v>1162.74</v>
      </c>
      <c r="M1421" s="258">
        <v>0</v>
      </c>
      <c r="N1421" s="257">
        <f t="shared" si="246"/>
        <v>0</v>
      </c>
      <c r="O1421" s="258">
        <v>0</v>
      </c>
      <c r="P1421" s="257">
        <f t="shared" si="247"/>
        <v>0</v>
      </c>
      <c r="Q1421" s="258">
        <v>0</v>
      </c>
      <c r="R1421" s="257">
        <f t="shared" si="248"/>
        <v>0</v>
      </c>
      <c r="S1421" s="258">
        <v>0</v>
      </c>
      <c r="T1421" s="257">
        <f t="shared" si="249"/>
        <v>0</v>
      </c>
      <c r="U1421" s="258">
        <v>0</v>
      </c>
      <c r="V1421" s="257">
        <f t="shared" si="250"/>
        <v>0</v>
      </c>
      <c r="W1421" s="258">
        <v>0</v>
      </c>
      <c r="X1421" s="257">
        <f t="shared" si="251"/>
        <v>0</v>
      </c>
      <c r="Y1421" s="258">
        <v>0</v>
      </c>
      <c r="Z1421" s="257">
        <f t="shared" si="252"/>
        <v>0</v>
      </c>
    </row>
    <row r="1422" spans="1:26" ht="15" customHeight="1">
      <c r="A1422" s="250"/>
      <c r="B1422" s="251"/>
      <c r="C1422" s="326"/>
      <c r="D1422" s="292"/>
      <c r="E1422" s="251"/>
      <c r="F1422" s="252"/>
      <c r="G1422" s="253"/>
      <c r="H1422" s="254"/>
      <c r="I1422" s="253"/>
      <c r="J1422" s="253"/>
      <c r="K1422" s="251"/>
      <c r="L1422" s="261"/>
      <c r="M1422" s="258"/>
      <c r="N1422" s="257"/>
      <c r="O1422" s="258"/>
      <c r="P1422" s="257"/>
      <c r="Q1422" s="258"/>
      <c r="R1422" s="257"/>
      <c r="S1422" s="258"/>
      <c r="T1422" s="257"/>
      <c r="U1422" s="258"/>
      <c r="V1422" s="257"/>
      <c r="W1422" s="258"/>
      <c r="X1422" s="257"/>
      <c r="Y1422" s="258"/>
      <c r="Z1422" s="257"/>
    </row>
    <row r="1423" spans="1:26" ht="15" customHeight="1">
      <c r="A1423" s="250">
        <f>A1413+1</f>
        <v>250</v>
      </c>
      <c r="B1423" s="251"/>
      <c r="C1423" s="540" t="s">
        <v>286</v>
      </c>
      <c r="D1423" s="526" t="s">
        <v>297</v>
      </c>
      <c r="E1423" s="251"/>
      <c r="F1423" s="252"/>
      <c r="G1423" s="253"/>
      <c r="H1423" s="254"/>
      <c r="I1423" s="253"/>
      <c r="J1423" s="253"/>
      <c r="K1423" s="251"/>
      <c r="L1423" s="261"/>
      <c r="M1423" s="258"/>
      <c r="N1423" s="257"/>
      <c r="O1423" s="258"/>
      <c r="P1423" s="257"/>
      <c r="Q1423" s="258"/>
      <c r="R1423" s="257"/>
      <c r="S1423" s="258"/>
      <c r="T1423" s="257"/>
      <c r="U1423" s="258"/>
      <c r="V1423" s="257"/>
      <c r="W1423" s="258"/>
      <c r="X1423" s="257"/>
      <c r="Y1423" s="258"/>
      <c r="Z1423" s="257"/>
    </row>
    <row r="1424" spans="1:26" ht="15" customHeight="1">
      <c r="A1424" s="250"/>
      <c r="B1424" s="251"/>
      <c r="C1424" s="326"/>
      <c r="D1424" s="526" t="s">
        <v>296</v>
      </c>
      <c r="E1424" s="251"/>
      <c r="F1424" s="252"/>
      <c r="G1424" s="253"/>
      <c r="H1424" s="254"/>
      <c r="I1424" s="253"/>
      <c r="J1424" s="253"/>
      <c r="K1424" s="251"/>
      <c r="L1424" s="261"/>
      <c r="M1424" s="258"/>
      <c r="N1424" s="257"/>
      <c r="O1424" s="258"/>
      <c r="P1424" s="257"/>
      <c r="Q1424" s="258"/>
      <c r="R1424" s="257"/>
      <c r="S1424" s="258"/>
      <c r="T1424" s="257"/>
      <c r="U1424" s="258"/>
      <c r="V1424" s="257"/>
      <c r="W1424" s="258"/>
      <c r="X1424" s="257"/>
      <c r="Y1424" s="258"/>
      <c r="Z1424" s="257"/>
    </row>
    <row r="1425" spans="1:26" ht="15" customHeight="1">
      <c r="A1425" s="250" t="s">
        <v>1903</v>
      </c>
      <c r="B1425" s="251"/>
      <c r="C1425" s="540" t="s">
        <v>904</v>
      </c>
      <c r="D1425" s="526" t="s">
        <v>295</v>
      </c>
      <c r="E1425" s="251" t="s">
        <v>1901</v>
      </c>
      <c r="F1425" s="304">
        <f>M1425+O1425+Q1425+S1425+U1425+W1425+Y1425</f>
        <v>0</v>
      </c>
      <c r="G1425" s="253">
        <f>L1425</f>
        <v>102.27</v>
      </c>
      <c r="H1425" s="254"/>
      <c r="I1425" s="253">
        <f>N1425+P1425+R1425+T1425+V1425+X1425+Z1425</f>
        <v>0</v>
      </c>
      <c r="J1425" s="253"/>
      <c r="K1425" s="251" t="s">
        <v>1901</v>
      </c>
      <c r="L1425" s="663">
        <v>102.27</v>
      </c>
      <c r="M1425" s="258">
        <v>0</v>
      </c>
      <c r="N1425" s="257">
        <f>INT($L1425*M1425*100+0.5)/100</f>
        <v>0</v>
      </c>
      <c r="O1425" s="258">
        <v>0</v>
      </c>
      <c r="P1425" s="257">
        <f>INT($L1425*O1425*100+0.5)/100</f>
        <v>0</v>
      </c>
      <c r="Q1425" s="258">
        <v>0</v>
      </c>
      <c r="R1425" s="257">
        <f>INT($L1425*Q1425*100+0.5)/100</f>
        <v>0</v>
      </c>
      <c r="S1425" s="258">
        <v>0</v>
      </c>
      <c r="T1425" s="257">
        <f>INT($L1425*S1425*100+0.5)/100</f>
        <v>0</v>
      </c>
      <c r="U1425" s="258">
        <v>0</v>
      </c>
      <c r="V1425" s="257">
        <f>INT($L1425*U1425*100+0.5)/100</f>
        <v>0</v>
      </c>
      <c r="W1425" s="258">
        <v>0</v>
      </c>
      <c r="X1425" s="257">
        <f>INT($L1425*W1425*100+0.5)/100</f>
        <v>0</v>
      </c>
      <c r="Y1425" s="258">
        <v>0</v>
      </c>
      <c r="Z1425" s="257">
        <f>INT($L1425*Y1425*100+0.5)/100</f>
        <v>0</v>
      </c>
    </row>
    <row r="1426" spans="1:26" ht="15" customHeight="1">
      <c r="A1426" s="250" t="s">
        <v>1907</v>
      </c>
      <c r="B1426" s="251"/>
      <c r="C1426" s="540" t="s">
        <v>905</v>
      </c>
      <c r="D1426" s="526" t="s">
        <v>298</v>
      </c>
      <c r="E1426" s="251" t="s">
        <v>1901</v>
      </c>
      <c r="F1426" s="304">
        <f>M1426+O1426+Q1426+S1426+U1426+W1426+Y1426</f>
        <v>0</v>
      </c>
      <c r="G1426" s="253">
        <f>L1426</f>
        <v>102.27</v>
      </c>
      <c r="H1426" s="254">
        <f>F1426*G1426</f>
        <v>0</v>
      </c>
      <c r="I1426" s="253">
        <f>N1426+P1426+R1426+T1426+V1426+X1426+Z1426</f>
        <v>0</v>
      </c>
      <c r="J1426" s="253"/>
      <c r="K1426" s="251" t="s">
        <v>1901</v>
      </c>
      <c r="L1426" s="663">
        <v>102.27</v>
      </c>
      <c r="M1426" s="258">
        <v>0</v>
      </c>
      <c r="N1426" s="257">
        <f>INT($L1426*M1426*100+0.5)/100</f>
        <v>0</v>
      </c>
      <c r="O1426" s="258">
        <v>0</v>
      </c>
      <c r="P1426" s="257">
        <f>INT($L1426*O1426*100+0.5)/100</f>
        <v>0</v>
      </c>
      <c r="Q1426" s="258">
        <v>0</v>
      </c>
      <c r="R1426" s="257">
        <f>INT($L1426*Q1426*100+0.5)/100</f>
        <v>0</v>
      </c>
      <c r="S1426" s="258">
        <v>0</v>
      </c>
      <c r="T1426" s="257">
        <f>INT($L1426*S1426*100+0.5)/100</f>
        <v>0</v>
      </c>
      <c r="U1426" s="258">
        <v>0</v>
      </c>
      <c r="V1426" s="257">
        <f>INT($L1426*U1426*100+0.5)/100</f>
        <v>0</v>
      </c>
      <c r="W1426" s="258">
        <v>0</v>
      </c>
      <c r="X1426" s="257">
        <f>INT($L1426*W1426*100+0.5)/100</f>
        <v>0</v>
      </c>
      <c r="Y1426" s="258">
        <v>0</v>
      </c>
      <c r="Z1426" s="257">
        <f>INT($L1426*Y1426*100+0.5)/100</f>
        <v>0</v>
      </c>
    </row>
    <row r="1427" spans="1:26" ht="15" customHeight="1">
      <c r="A1427" s="250"/>
      <c r="B1427" s="251"/>
      <c r="C1427" s="326"/>
      <c r="D1427" s="292"/>
      <c r="E1427" s="251"/>
      <c r="F1427" s="252"/>
      <c r="G1427" s="253"/>
      <c r="H1427" s="254"/>
      <c r="I1427" s="253"/>
      <c r="J1427" s="253"/>
      <c r="K1427" s="251"/>
      <c r="L1427" s="261"/>
      <c r="M1427" s="258"/>
      <c r="N1427" s="257"/>
      <c r="O1427" s="258"/>
      <c r="P1427" s="257"/>
      <c r="Q1427" s="258"/>
      <c r="R1427" s="257"/>
      <c r="S1427" s="258"/>
      <c r="T1427" s="257"/>
      <c r="U1427" s="258"/>
      <c r="V1427" s="257"/>
      <c r="W1427" s="258"/>
      <c r="X1427" s="257"/>
      <c r="Y1427" s="258"/>
      <c r="Z1427" s="257"/>
    </row>
    <row r="1428" spans="1:26" ht="15" customHeight="1">
      <c r="A1428" s="250">
        <f>A1423+1</f>
        <v>251</v>
      </c>
      <c r="B1428" s="251"/>
      <c r="C1428" s="540" t="s">
        <v>287</v>
      </c>
      <c r="D1428" s="238" t="s">
        <v>220</v>
      </c>
      <c r="E1428" s="251"/>
      <c r="F1428" s="252"/>
      <c r="G1428" s="253"/>
      <c r="H1428" s="254"/>
      <c r="I1428" s="253"/>
      <c r="J1428" s="253"/>
      <c r="K1428" s="251"/>
      <c r="L1428" s="261"/>
      <c r="M1428" s="258"/>
      <c r="N1428" s="257"/>
      <c r="O1428" s="258"/>
      <c r="P1428" s="257"/>
      <c r="Q1428" s="258"/>
      <c r="R1428" s="257"/>
      <c r="S1428" s="258"/>
      <c r="T1428" s="257"/>
      <c r="U1428" s="258"/>
      <c r="V1428" s="257"/>
      <c r="W1428" s="258"/>
      <c r="X1428" s="257"/>
      <c r="Y1428" s="258"/>
      <c r="Z1428" s="257"/>
    </row>
    <row r="1429" spans="1:26" ht="15" customHeight="1">
      <c r="A1429" s="250"/>
      <c r="B1429" s="251"/>
      <c r="C1429" s="540"/>
      <c r="D1429" s="238" t="s">
        <v>288</v>
      </c>
      <c r="E1429" s="251"/>
      <c r="F1429" s="252"/>
      <c r="G1429" s="253"/>
      <c r="H1429" s="254"/>
      <c r="I1429" s="253"/>
      <c r="J1429" s="253"/>
      <c r="K1429" s="251"/>
      <c r="L1429" s="261"/>
      <c r="M1429" s="258"/>
      <c r="N1429" s="257"/>
      <c r="O1429" s="258"/>
      <c r="P1429" s="257"/>
      <c r="Q1429" s="258"/>
      <c r="R1429" s="257"/>
      <c r="S1429" s="258"/>
      <c r="T1429" s="257"/>
      <c r="U1429" s="258"/>
      <c r="V1429" s="257"/>
      <c r="W1429" s="258"/>
      <c r="X1429" s="257"/>
      <c r="Y1429" s="258"/>
      <c r="Z1429" s="257"/>
    </row>
    <row r="1430" spans="1:26" ht="15" customHeight="1">
      <c r="A1430" s="250" t="s">
        <v>1905</v>
      </c>
      <c r="B1430" s="251"/>
      <c r="C1430" s="285" t="s">
        <v>1341</v>
      </c>
      <c r="D1430" s="238" t="s">
        <v>221</v>
      </c>
      <c r="E1430" s="251" t="s">
        <v>1901</v>
      </c>
      <c r="F1430" s="304">
        <f>M1430+O1430+Q1430+S1430+U1430+W1430+Y1430</f>
        <v>0</v>
      </c>
      <c r="G1430" s="253">
        <f>L1430</f>
        <v>458.75</v>
      </c>
      <c r="H1430" s="254">
        <f>F1430*G1430</f>
        <v>0</v>
      </c>
      <c r="I1430" s="253">
        <f>N1430+P1430+R1430+T1430+V1430+X1430+Z1430</f>
        <v>0</v>
      </c>
      <c r="J1430" s="253"/>
      <c r="K1430" s="251" t="s">
        <v>1901</v>
      </c>
      <c r="L1430" s="666">
        <v>458.75</v>
      </c>
      <c r="M1430" s="258">
        <v>0</v>
      </c>
      <c r="N1430" s="257">
        <f>INT($L1430*M1430*100+0.5)/100</f>
        <v>0</v>
      </c>
      <c r="O1430" s="258">
        <v>0</v>
      </c>
      <c r="P1430" s="257">
        <f>INT($L1430*O1430*100+0.5)/100</f>
        <v>0</v>
      </c>
      <c r="Q1430" s="258">
        <v>0</v>
      </c>
      <c r="R1430" s="257">
        <f>INT($L1430*Q1430*100+0.5)/100</f>
        <v>0</v>
      </c>
      <c r="S1430" s="258">
        <v>0</v>
      </c>
      <c r="T1430" s="257">
        <f>INT($L1430*S1430*100+0.5)/100</f>
        <v>0</v>
      </c>
      <c r="U1430" s="258">
        <v>0</v>
      </c>
      <c r="V1430" s="257">
        <f>INT($L1430*U1430*100+0.5)/100</f>
        <v>0</v>
      </c>
      <c r="W1430" s="258">
        <v>0</v>
      </c>
      <c r="X1430" s="257">
        <f>INT($L1430*W1430*100+0.5)/100</f>
        <v>0</v>
      </c>
      <c r="Y1430" s="258">
        <v>0</v>
      </c>
      <c r="Z1430" s="257">
        <f>INT($L1430*Y1430*100+0.5)/100</f>
        <v>0</v>
      </c>
    </row>
    <row r="1431" spans="1:26" ht="15" customHeight="1">
      <c r="A1431" s="250" t="s">
        <v>1906</v>
      </c>
      <c r="B1431" s="251"/>
      <c r="C1431" s="285" t="s">
        <v>1342</v>
      </c>
      <c r="D1431" s="238" t="s">
        <v>222</v>
      </c>
      <c r="E1431" s="251" t="s">
        <v>1901</v>
      </c>
      <c r="F1431" s="304">
        <f>M1431+O1431+Q1431+S1431+U1431+W1431+Y1431</f>
        <v>0</v>
      </c>
      <c r="G1431" s="253">
        <f>L1431</f>
        <v>497.28</v>
      </c>
      <c r="H1431" s="254">
        <f>F1431*G1431</f>
        <v>0</v>
      </c>
      <c r="I1431" s="253">
        <f>N1431+P1431+R1431+T1431+V1431+X1431+Z1431</f>
        <v>0</v>
      </c>
      <c r="J1431" s="253"/>
      <c r="K1431" s="251" t="s">
        <v>1901</v>
      </c>
      <c r="L1431" s="666">
        <v>497.28</v>
      </c>
      <c r="M1431" s="258">
        <v>0</v>
      </c>
      <c r="N1431" s="257">
        <f>INT($L1431*M1431*100+0.5)/100</f>
        <v>0</v>
      </c>
      <c r="O1431" s="258">
        <v>0</v>
      </c>
      <c r="P1431" s="257">
        <f>INT($L1431*O1431*100+0.5)/100</f>
        <v>0</v>
      </c>
      <c r="Q1431" s="258">
        <v>0</v>
      </c>
      <c r="R1431" s="257">
        <f>INT($L1431*Q1431*100+0.5)/100</f>
        <v>0</v>
      </c>
      <c r="S1431" s="258">
        <v>0</v>
      </c>
      <c r="T1431" s="257">
        <f>INT($L1431*S1431*100+0.5)/100</f>
        <v>0</v>
      </c>
      <c r="U1431" s="258">
        <v>0</v>
      </c>
      <c r="V1431" s="257">
        <f>INT($L1431*U1431*100+0.5)/100</f>
        <v>0</v>
      </c>
      <c r="W1431" s="258">
        <v>0</v>
      </c>
      <c r="X1431" s="257">
        <f>INT($L1431*W1431*100+0.5)/100</f>
        <v>0</v>
      </c>
      <c r="Y1431" s="258">
        <v>0</v>
      </c>
      <c r="Z1431" s="257">
        <f>INT($L1431*Y1431*100+0.5)/100</f>
        <v>0</v>
      </c>
    </row>
    <row r="1432" spans="1:26" ht="15" customHeight="1">
      <c r="A1432" s="250" t="s">
        <v>1907</v>
      </c>
      <c r="B1432" s="251"/>
      <c r="C1432" s="285" t="s">
        <v>1343</v>
      </c>
      <c r="D1432" s="238" t="s">
        <v>223</v>
      </c>
      <c r="E1432" s="251" t="s">
        <v>1901</v>
      </c>
      <c r="F1432" s="304">
        <f>M1432+O1432+Q1432+S1432+U1432+W1432+Y1432</f>
        <v>0</v>
      </c>
      <c r="G1432" s="253">
        <f>L1432</f>
        <v>727.3</v>
      </c>
      <c r="H1432" s="254">
        <f>F1432*G1432</f>
        <v>0</v>
      </c>
      <c r="I1432" s="253">
        <f>N1432+P1432+R1432+T1432+V1432+X1432+Z1432</f>
        <v>0</v>
      </c>
      <c r="J1432" s="253"/>
      <c r="K1432" s="251" t="s">
        <v>1901</v>
      </c>
      <c r="L1432" s="666">
        <v>727.3</v>
      </c>
      <c r="M1432" s="258">
        <v>0</v>
      </c>
      <c r="N1432" s="257">
        <f>INT($L1432*M1432*100+0.5)/100</f>
        <v>0</v>
      </c>
      <c r="O1432" s="258">
        <v>0</v>
      </c>
      <c r="P1432" s="257">
        <f>INT($L1432*O1432*100+0.5)/100</f>
        <v>0</v>
      </c>
      <c r="Q1432" s="258">
        <v>0</v>
      </c>
      <c r="R1432" s="257">
        <f>INT($L1432*Q1432*100+0.5)/100</f>
        <v>0</v>
      </c>
      <c r="S1432" s="258">
        <v>0</v>
      </c>
      <c r="T1432" s="257">
        <f>INT($L1432*S1432*100+0.5)/100</f>
        <v>0</v>
      </c>
      <c r="U1432" s="258">
        <v>0</v>
      </c>
      <c r="V1432" s="257">
        <f>INT($L1432*U1432*100+0.5)/100</f>
        <v>0</v>
      </c>
      <c r="W1432" s="258">
        <v>0</v>
      </c>
      <c r="X1432" s="257">
        <f>INT($L1432*W1432*100+0.5)/100</f>
        <v>0</v>
      </c>
      <c r="Y1432" s="258">
        <v>0</v>
      </c>
      <c r="Z1432" s="257">
        <f>INT($L1432*Y1432*100+0.5)/100</f>
        <v>0</v>
      </c>
    </row>
    <row r="1433" spans="1:26" ht="15" customHeight="1">
      <c r="A1433" s="250" t="s">
        <v>542</v>
      </c>
      <c r="B1433" s="251"/>
      <c r="C1433" s="285" t="s">
        <v>1344</v>
      </c>
      <c r="D1433" s="238" t="s">
        <v>224</v>
      </c>
      <c r="E1433" s="251" t="s">
        <v>1901</v>
      </c>
      <c r="F1433" s="304">
        <f>M1433+O1433+Q1433+S1433+U1433+W1433+Y1433</f>
        <v>0</v>
      </c>
      <c r="G1433" s="253">
        <f>L1433</f>
        <v>765.83</v>
      </c>
      <c r="H1433" s="254">
        <f>F1433*G1433</f>
        <v>0</v>
      </c>
      <c r="I1433" s="253">
        <f>N1433+P1433+R1433+T1433+V1433+X1433+Z1433</f>
        <v>0</v>
      </c>
      <c r="J1433" s="253"/>
      <c r="K1433" s="251" t="s">
        <v>1901</v>
      </c>
      <c r="L1433" s="666">
        <v>765.83</v>
      </c>
      <c r="M1433" s="258">
        <v>0</v>
      </c>
      <c r="N1433" s="257">
        <f>INT($L1433*M1433*100+0.5)/100</f>
        <v>0</v>
      </c>
      <c r="O1433" s="258">
        <v>0</v>
      </c>
      <c r="P1433" s="257">
        <f>INT($L1433*O1433*100+0.5)/100</f>
        <v>0</v>
      </c>
      <c r="Q1433" s="258">
        <v>0</v>
      </c>
      <c r="R1433" s="257">
        <f>INT($L1433*Q1433*100+0.5)/100</f>
        <v>0</v>
      </c>
      <c r="S1433" s="258">
        <v>0</v>
      </c>
      <c r="T1433" s="257">
        <f>INT($L1433*S1433*100+0.5)/100</f>
        <v>0</v>
      </c>
      <c r="U1433" s="258">
        <v>0</v>
      </c>
      <c r="V1433" s="257">
        <f>INT($L1433*U1433*100+0.5)/100</f>
        <v>0</v>
      </c>
      <c r="W1433" s="258">
        <v>0</v>
      </c>
      <c r="X1433" s="257">
        <f>INT($L1433*W1433*100+0.5)/100</f>
        <v>0</v>
      </c>
      <c r="Y1433" s="258">
        <v>0</v>
      </c>
      <c r="Z1433" s="257">
        <f>INT($L1433*Y1433*100+0.5)/100</f>
        <v>0</v>
      </c>
    </row>
    <row r="1434" spans="1:26" ht="15" customHeight="1">
      <c r="A1434" s="250"/>
      <c r="B1434" s="251"/>
      <c r="C1434" s="540"/>
      <c r="D1434" s="238"/>
      <c r="E1434" s="251"/>
      <c r="F1434" s="252"/>
      <c r="G1434" s="253"/>
      <c r="H1434" s="254"/>
      <c r="I1434" s="253"/>
      <c r="J1434" s="253"/>
      <c r="K1434" s="251"/>
      <c r="L1434" s="666"/>
      <c r="M1434" s="258"/>
      <c r="N1434" s="257"/>
      <c r="O1434" s="258"/>
      <c r="P1434" s="257"/>
      <c r="Q1434" s="258"/>
      <c r="R1434" s="257"/>
      <c r="S1434" s="258"/>
      <c r="T1434" s="257"/>
      <c r="U1434" s="258"/>
      <c r="V1434" s="257"/>
      <c r="W1434" s="258"/>
      <c r="X1434" s="257"/>
      <c r="Y1434" s="258"/>
      <c r="Z1434" s="257"/>
    </row>
    <row r="1435" spans="1:26" ht="15" customHeight="1">
      <c r="A1435" s="250">
        <f>A1428+1</f>
        <v>252</v>
      </c>
      <c r="B1435" s="251"/>
      <c r="C1435" s="285" t="s">
        <v>227</v>
      </c>
      <c r="D1435" s="238" t="s">
        <v>226</v>
      </c>
      <c r="E1435" s="251"/>
      <c r="F1435" s="252"/>
      <c r="G1435" s="253"/>
      <c r="H1435" s="254"/>
      <c r="I1435" s="253"/>
      <c r="J1435" s="253"/>
      <c r="K1435" s="251"/>
      <c r="L1435" s="666"/>
      <c r="M1435" s="258"/>
      <c r="N1435" s="257"/>
      <c r="O1435" s="258"/>
      <c r="P1435" s="257"/>
      <c r="Q1435" s="258"/>
      <c r="R1435" s="257"/>
      <c r="S1435" s="258"/>
      <c r="T1435" s="257"/>
      <c r="U1435" s="258"/>
      <c r="V1435" s="257"/>
      <c r="W1435" s="258"/>
      <c r="X1435" s="257"/>
      <c r="Y1435" s="258"/>
      <c r="Z1435" s="257"/>
    </row>
    <row r="1436" spans="1:26" ht="15" customHeight="1">
      <c r="A1436" s="250"/>
      <c r="B1436" s="251"/>
      <c r="C1436" s="540"/>
      <c r="D1436" s="238" t="s">
        <v>225</v>
      </c>
      <c r="E1436" s="251"/>
      <c r="F1436" s="252"/>
      <c r="G1436" s="253"/>
      <c r="H1436" s="254"/>
      <c r="I1436" s="253"/>
      <c r="J1436" s="253"/>
      <c r="K1436" s="251"/>
      <c r="L1436" s="666"/>
      <c r="M1436" s="258"/>
      <c r="N1436" s="257"/>
      <c r="O1436" s="258"/>
      <c r="P1436" s="257"/>
      <c r="Q1436" s="258"/>
      <c r="R1436" s="257"/>
      <c r="S1436" s="258"/>
      <c r="T1436" s="257"/>
      <c r="U1436" s="258"/>
      <c r="V1436" s="257"/>
      <c r="W1436" s="258"/>
      <c r="X1436" s="257"/>
      <c r="Y1436" s="258"/>
      <c r="Z1436" s="257"/>
    </row>
    <row r="1437" spans="1:26" ht="15" customHeight="1">
      <c r="A1437" s="250" t="s">
        <v>1905</v>
      </c>
      <c r="B1437" s="251"/>
      <c r="C1437" s="285" t="s">
        <v>1345</v>
      </c>
      <c r="D1437" s="292" t="s">
        <v>1398</v>
      </c>
      <c r="E1437" s="251" t="s">
        <v>1901</v>
      </c>
      <c r="F1437" s="304">
        <f>M1437+O1437+Q1437+S1437+U1437+W1437+Y1437</f>
        <v>0</v>
      </c>
      <c r="G1437" s="253">
        <f>L1437</f>
        <v>458.75</v>
      </c>
      <c r="H1437" s="254">
        <f>F1437*G1437</f>
        <v>0</v>
      </c>
      <c r="I1437" s="253">
        <f>N1437+P1437+R1437+T1437+V1437+X1437+Z1437</f>
        <v>0</v>
      </c>
      <c r="J1437" s="253"/>
      <c r="K1437" s="251" t="s">
        <v>1901</v>
      </c>
      <c r="L1437" s="666">
        <v>458.75</v>
      </c>
      <c r="M1437" s="258">
        <v>0</v>
      </c>
      <c r="N1437" s="257">
        <f>INT($L1437*M1437*100+0.5)/100</f>
        <v>0</v>
      </c>
      <c r="O1437" s="258">
        <v>0</v>
      </c>
      <c r="P1437" s="257">
        <f>INT($L1437*O1437*100+0.5)/100</f>
        <v>0</v>
      </c>
      <c r="Q1437" s="258">
        <v>0</v>
      </c>
      <c r="R1437" s="257">
        <f>INT($L1437*Q1437*100+0.5)/100</f>
        <v>0</v>
      </c>
      <c r="S1437" s="258">
        <v>0</v>
      </c>
      <c r="T1437" s="257">
        <f>INT($L1437*S1437*100+0.5)/100</f>
        <v>0</v>
      </c>
      <c r="U1437" s="258">
        <v>0</v>
      </c>
      <c r="V1437" s="257">
        <f>INT($L1437*U1437*100+0.5)/100</f>
        <v>0</v>
      </c>
      <c r="W1437" s="258">
        <v>0</v>
      </c>
      <c r="X1437" s="257">
        <f>INT($L1437*W1437*100+0.5)/100</f>
        <v>0</v>
      </c>
      <c r="Y1437" s="258">
        <v>0</v>
      </c>
      <c r="Z1437" s="257">
        <f>INT($L1437*Y1437*100+0.5)/100</f>
        <v>0</v>
      </c>
    </row>
    <row r="1438" spans="1:26" ht="15" customHeight="1">
      <c r="A1438" s="250" t="s">
        <v>1906</v>
      </c>
      <c r="B1438" s="251"/>
      <c r="C1438" s="285" t="s">
        <v>1346</v>
      </c>
      <c r="D1438" s="292" t="s">
        <v>1399</v>
      </c>
      <c r="E1438" s="251" t="s">
        <v>1901</v>
      </c>
      <c r="F1438" s="304">
        <f>M1438+O1438+Q1438+S1438+U1438+W1438+Y1438</f>
        <v>0</v>
      </c>
      <c r="G1438" s="253">
        <f>L1438</f>
        <v>497.28</v>
      </c>
      <c r="H1438" s="254">
        <f>F1438*G1438</f>
        <v>0</v>
      </c>
      <c r="I1438" s="253">
        <f>N1438+P1438+R1438+T1438+V1438+X1438+Z1438</f>
        <v>0</v>
      </c>
      <c r="J1438" s="253"/>
      <c r="K1438" s="251" t="s">
        <v>1901</v>
      </c>
      <c r="L1438" s="666">
        <v>497.28</v>
      </c>
      <c r="M1438" s="258">
        <v>0</v>
      </c>
      <c r="N1438" s="257">
        <f>INT($L1438*M1438*100+0.5)/100</f>
        <v>0</v>
      </c>
      <c r="O1438" s="258">
        <v>0</v>
      </c>
      <c r="P1438" s="257">
        <f>INT($L1438*O1438*100+0.5)/100</f>
        <v>0</v>
      </c>
      <c r="Q1438" s="258">
        <v>0</v>
      </c>
      <c r="R1438" s="257">
        <f>INT($L1438*Q1438*100+0.5)/100</f>
        <v>0</v>
      </c>
      <c r="S1438" s="258">
        <v>0</v>
      </c>
      <c r="T1438" s="257">
        <f>INT($L1438*S1438*100+0.5)/100</f>
        <v>0</v>
      </c>
      <c r="U1438" s="258">
        <v>0</v>
      </c>
      <c r="V1438" s="257">
        <f>INT($L1438*U1438*100+0.5)/100</f>
        <v>0</v>
      </c>
      <c r="W1438" s="258">
        <v>0</v>
      </c>
      <c r="X1438" s="257">
        <f>INT($L1438*W1438*100+0.5)/100</f>
        <v>0</v>
      </c>
      <c r="Y1438" s="258">
        <v>0</v>
      </c>
      <c r="Z1438" s="257">
        <f>INT($L1438*Y1438*100+0.5)/100</f>
        <v>0</v>
      </c>
    </row>
    <row r="1439" spans="1:26" ht="15" customHeight="1">
      <c r="A1439" s="250" t="s">
        <v>1907</v>
      </c>
      <c r="B1439" s="251"/>
      <c r="C1439" s="285" t="s">
        <v>1347</v>
      </c>
      <c r="D1439" s="292" t="s">
        <v>1400</v>
      </c>
      <c r="E1439" s="251" t="s">
        <v>1901</v>
      </c>
      <c r="F1439" s="304">
        <f>M1439+O1439+Q1439+S1439+U1439+W1439+Y1439</f>
        <v>0</v>
      </c>
      <c r="G1439" s="253">
        <f>L1439</f>
        <v>727.3</v>
      </c>
      <c r="H1439" s="254">
        <f>F1439*G1439</f>
        <v>0</v>
      </c>
      <c r="I1439" s="253">
        <f>N1439+P1439+R1439+T1439+V1439+X1439+Z1439</f>
        <v>0</v>
      </c>
      <c r="J1439" s="253"/>
      <c r="K1439" s="251" t="s">
        <v>1901</v>
      </c>
      <c r="L1439" s="666">
        <v>727.3</v>
      </c>
      <c r="M1439" s="258">
        <v>0</v>
      </c>
      <c r="N1439" s="257">
        <f>INT($L1439*M1439*100+0.5)/100</f>
        <v>0</v>
      </c>
      <c r="O1439" s="258">
        <v>0</v>
      </c>
      <c r="P1439" s="257">
        <f>INT($L1439*O1439*100+0.5)/100</f>
        <v>0</v>
      </c>
      <c r="Q1439" s="258">
        <v>0</v>
      </c>
      <c r="R1439" s="257">
        <f>INT($L1439*Q1439*100+0.5)/100</f>
        <v>0</v>
      </c>
      <c r="S1439" s="258">
        <v>0</v>
      </c>
      <c r="T1439" s="257">
        <f>INT($L1439*S1439*100+0.5)/100</f>
        <v>0</v>
      </c>
      <c r="U1439" s="258">
        <v>0</v>
      </c>
      <c r="V1439" s="257">
        <f>INT($L1439*U1439*100+0.5)/100</f>
        <v>0</v>
      </c>
      <c r="W1439" s="258">
        <v>0</v>
      </c>
      <c r="X1439" s="257">
        <f>INT($L1439*W1439*100+0.5)/100</f>
        <v>0</v>
      </c>
      <c r="Y1439" s="258">
        <v>0</v>
      </c>
      <c r="Z1439" s="257">
        <f>INT($L1439*Y1439*100+0.5)/100</f>
        <v>0</v>
      </c>
    </row>
    <row r="1440" spans="1:26" ht="15" customHeight="1">
      <c r="A1440" s="250" t="s">
        <v>542</v>
      </c>
      <c r="B1440" s="251"/>
      <c r="C1440" s="285" t="s">
        <v>1348</v>
      </c>
      <c r="D1440" s="292" t="s">
        <v>1401</v>
      </c>
      <c r="E1440" s="251" t="s">
        <v>1901</v>
      </c>
      <c r="F1440" s="304">
        <f>M1440+O1440+Q1440+S1440+U1440+W1440+Y1440</f>
        <v>0</v>
      </c>
      <c r="G1440" s="253">
        <f>L1440</f>
        <v>765.83</v>
      </c>
      <c r="H1440" s="254">
        <f>F1440*G1440</f>
        <v>0</v>
      </c>
      <c r="I1440" s="253">
        <f>N1440+P1440+R1440+T1440+V1440+X1440+Z1440</f>
        <v>0</v>
      </c>
      <c r="J1440" s="253"/>
      <c r="K1440" s="251" t="s">
        <v>1901</v>
      </c>
      <c r="L1440" s="666">
        <v>765.83</v>
      </c>
      <c r="M1440" s="258">
        <v>0</v>
      </c>
      <c r="N1440" s="257">
        <f>INT($L1440*M1440*100+0.5)/100</f>
        <v>0</v>
      </c>
      <c r="O1440" s="258">
        <v>0</v>
      </c>
      <c r="P1440" s="257">
        <f>INT($L1440*O1440*100+0.5)/100</f>
        <v>0</v>
      </c>
      <c r="Q1440" s="258">
        <v>0</v>
      </c>
      <c r="R1440" s="257">
        <f>INT($L1440*Q1440*100+0.5)/100</f>
        <v>0</v>
      </c>
      <c r="S1440" s="258">
        <v>0</v>
      </c>
      <c r="T1440" s="257">
        <f>INT($L1440*S1440*100+0.5)/100</f>
        <v>0</v>
      </c>
      <c r="U1440" s="258">
        <v>0</v>
      </c>
      <c r="V1440" s="257">
        <f>INT($L1440*U1440*100+0.5)/100</f>
        <v>0</v>
      </c>
      <c r="W1440" s="258">
        <v>0</v>
      </c>
      <c r="X1440" s="257">
        <f>INT($L1440*W1440*100+0.5)/100</f>
        <v>0</v>
      </c>
      <c r="Y1440" s="258">
        <v>0</v>
      </c>
      <c r="Z1440" s="257">
        <f>INT($L1440*Y1440*100+0.5)/100</f>
        <v>0</v>
      </c>
    </row>
    <row r="1441" spans="1:26" ht="15" customHeight="1">
      <c r="A1441" s="250"/>
      <c r="B1441" s="251"/>
      <c r="C1441" s="540"/>
      <c r="D1441" s="292"/>
      <c r="E1441" s="251"/>
      <c r="F1441" s="252"/>
      <c r="G1441" s="253"/>
      <c r="H1441" s="254"/>
      <c r="I1441" s="253"/>
      <c r="J1441" s="253"/>
      <c r="K1441" s="251"/>
      <c r="L1441" s="262"/>
      <c r="M1441" s="258"/>
      <c r="N1441" s="257"/>
      <c r="O1441" s="258"/>
      <c r="P1441" s="257"/>
      <c r="Q1441" s="258"/>
      <c r="R1441" s="257"/>
      <c r="S1441" s="258"/>
      <c r="T1441" s="257"/>
      <c r="U1441" s="258"/>
      <c r="V1441" s="257"/>
      <c r="W1441" s="258"/>
      <c r="X1441" s="257"/>
      <c r="Y1441" s="258"/>
      <c r="Z1441" s="257"/>
    </row>
    <row r="1442" spans="1:26" ht="15" customHeight="1">
      <c r="A1442" s="250">
        <f>A1435+1</f>
        <v>253</v>
      </c>
      <c r="B1442" s="251"/>
      <c r="C1442" s="540" t="s">
        <v>301</v>
      </c>
      <c r="D1442" s="526" t="s">
        <v>300</v>
      </c>
      <c r="E1442" s="251" t="s">
        <v>1901</v>
      </c>
      <c r="F1442" s="304">
        <f>M1442+O1442+Q1442+S1442+U1442+W1442+Y1442</f>
        <v>0</v>
      </c>
      <c r="G1442" s="253">
        <f>L1442</f>
        <v>1377.28</v>
      </c>
      <c r="H1442" s="254">
        <f>F1442*G1442</f>
        <v>0</v>
      </c>
      <c r="I1442" s="253">
        <f>N1442+P1442+R1442+T1442+V1442+X1442+Z1442</f>
        <v>0</v>
      </c>
      <c r="J1442" s="253"/>
      <c r="K1442" s="251" t="s">
        <v>1901</v>
      </c>
      <c r="L1442" s="663">
        <v>1377.28</v>
      </c>
      <c r="M1442" s="258">
        <v>0</v>
      </c>
      <c r="N1442" s="257">
        <f>INT($L1442*M1442*100+0.5)/100</f>
        <v>0</v>
      </c>
      <c r="O1442" s="258">
        <v>0</v>
      </c>
      <c r="P1442" s="257">
        <f>INT($L1442*O1442*100+0.5)/100</f>
        <v>0</v>
      </c>
      <c r="Q1442" s="258">
        <v>0</v>
      </c>
      <c r="R1442" s="257">
        <f>INT($L1442*Q1442*100+0.5)/100</f>
        <v>0</v>
      </c>
      <c r="S1442" s="258">
        <v>0</v>
      </c>
      <c r="T1442" s="257">
        <f>INT($L1442*S1442*100+0.5)/100</f>
        <v>0</v>
      </c>
      <c r="U1442" s="258">
        <v>0</v>
      </c>
      <c r="V1442" s="257">
        <f>INT($L1442*U1442*100+0.5)/100</f>
        <v>0</v>
      </c>
      <c r="W1442" s="258">
        <v>0</v>
      </c>
      <c r="X1442" s="257">
        <f>INT($L1442*W1442*100+0.5)/100</f>
        <v>0</v>
      </c>
      <c r="Y1442" s="258">
        <v>0</v>
      </c>
      <c r="Z1442" s="257">
        <f>INT($L1442*Y1442*100+0.5)/100</f>
        <v>0</v>
      </c>
    </row>
    <row r="1443" spans="1:26" ht="15" customHeight="1">
      <c r="A1443" s="250"/>
      <c r="B1443" s="251"/>
      <c r="C1443" s="540"/>
      <c r="D1443" s="526" t="s">
        <v>299</v>
      </c>
      <c r="E1443" s="251"/>
      <c r="F1443" s="252"/>
      <c r="G1443" s="253"/>
      <c r="H1443" s="254"/>
      <c r="I1443" s="253"/>
      <c r="J1443" s="253"/>
      <c r="K1443" s="251"/>
      <c r="L1443" s="261"/>
      <c r="M1443" s="258"/>
      <c r="N1443" s="257"/>
      <c r="O1443" s="258"/>
      <c r="P1443" s="257"/>
      <c r="Q1443" s="258"/>
      <c r="R1443" s="257"/>
      <c r="S1443" s="258"/>
      <c r="T1443" s="257"/>
      <c r="U1443" s="258"/>
      <c r="V1443" s="257"/>
      <c r="W1443" s="258"/>
      <c r="X1443" s="257"/>
      <c r="Y1443" s="258"/>
      <c r="Z1443" s="257"/>
    </row>
    <row r="1444" spans="1:26" ht="15" customHeight="1">
      <c r="A1444" s="250"/>
      <c r="B1444" s="251"/>
      <c r="C1444" s="540"/>
      <c r="D1444" s="292"/>
      <c r="E1444" s="251"/>
      <c r="F1444" s="252"/>
      <c r="G1444" s="253"/>
      <c r="H1444" s="254"/>
      <c r="I1444" s="253"/>
      <c r="J1444" s="253"/>
      <c r="K1444" s="251"/>
      <c r="L1444" s="261"/>
      <c r="M1444" s="258"/>
      <c r="N1444" s="257"/>
      <c r="O1444" s="258"/>
      <c r="P1444" s="257"/>
      <c r="Q1444" s="258"/>
      <c r="R1444" s="257"/>
      <c r="S1444" s="258"/>
      <c r="T1444" s="257"/>
      <c r="U1444" s="258"/>
      <c r="V1444" s="257"/>
      <c r="W1444" s="258"/>
      <c r="X1444" s="257"/>
      <c r="Y1444" s="258"/>
      <c r="Z1444" s="257"/>
    </row>
    <row r="1445" spans="1:26" ht="15" customHeight="1">
      <c r="A1445" s="250">
        <f>A1442+1</f>
        <v>254</v>
      </c>
      <c r="B1445" s="251"/>
      <c r="C1445" s="535" t="s">
        <v>925</v>
      </c>
      <c r="D1445" s="532"/>
      <c r="E1445" s="251" t="s">
        <v>1901</v>
      </c>
      <c r="F1445" s="304">
        <f>M1445+O1445+Q1445+S1445+U1445+W1445+Y1445</f>
        <v>0</v>
      </c>
      <c r="G1445" s="253">
        <f>L1445</f>
        <v>83</v>
      </c>
      <c r="H1445" s="254">
        <f>INT(F1445*G1445*100+0.5)/100</f>
        <v>0</v>
      </c>
      <c r="I1445" s="253">
        <f>N1445+P1445+R1445+T1445+V1445+X1445+Z1445</f>
        <v>0</v>
      </c>
      <c r="J1445" s="253"/>
      <c r="K1445" s="251" t="s">
        <v>1901</v>
      </c>
      <c r="L1445" s="262">
        <v>83</v>
      </c>
      <c r="M1445" s="258">
        <v>0</v>
      </c>
      <c r="N1445" s="257">
        <f>INT($L1445*M1445*100+0.5)/100</f>
        <v>0</v>
      </c>
      <c r="O1445" s="258">
        <v>0</v>
      </c>
      <c r="P1445" s="257">
        <f>INT($L1445*O1445*100+0.5)/100</f>
        <v>0</v>
      </c>
      <c r="Q1445" s="258">
        <v>0</v>
      </c>
      <c r="R1445" s="257">
        <f>INT($L1445*Q1445*100+0.5)/100</f>
        <v>0</v>
      </c>
      <c r="S1445" s="258">
        <v>0</v>
      </c>
      <c r="T1445" s="257">
        <f>INT($L1445*S1445*100+0.5)/100</f>
        <v>0</v>
      </c>
      <c r="U1445" s="258">
        <v>0</v>
      </c>
      <c r="V1445" s="257">
        <f>INT($L1445*U1445*100+0.5)/100</f>
        <v>0</v>
      </c>
      <c r="W1445" s="258">
        <v>0</v>
      </c>
      <c r="X1445" s="257">
        <f>INT($L1445*W1445*100+0.5)/100</f>
        <v>0</v>
      </c>
      <c r="Y1445" s="258">
        <v>0</v>
      </c>
      <c r="Z1445" s="257">
        <f>INT($L1445*Y1445*100+0.5)/100</f>
        <v>0</v>
      </c>
    </row>
    <row r="1446" spans="1:26" ht="15" customHeight="1">
      <c r="A1446" s="250"/>
      <c r="B1446" s="251"/>
      <c r="C1446" s="526"/>
      <c r="D1446" s="532" t="s">
        <v>926</v>
      </c>
      <c r="E1446" s="251"/>
      <c r="F1446" s="252"/>
      <c r="G1446" s="253"/>
      <c r="H1446" s="254"/>
      <c r="I1446" s="253"/>
      <c r="J1446" s="253"/>
      <c r="K1446" s="251"/>
      <c r="L1446" s="261"/>
      <c r="M1446" s="258"/>
      <c r="N1446" s="257"/>
      <c r="O1446" s="258"/>
      <c r="P1446" s="257"/>
      <c r="Q1446" s="258"/>
      <c r="R1446" s="257"/>
      <c r="S1446" s="258"/>
      <c r="T1446" s="257"/>
      <c r="U1446" s="258"/>
      <c r="V1446" s="257"/>
      <c r="W1446" s="258"/>
      <c r="X1446" s="257"/>
      <c r="Y1446" s="258"/>
      <c r="Z1446" s="257"/>
    </row>
    <row r="1447" spans="1:26" ht="15" customHeight="1">
      <c r="A1447" s="250"/>
      <c r="B1447" s="251"/>
      <c r="C1447" s="526"/>
      <c r="D1447" s="292"/>
      <c r="E1447" s="251"/>
      <c r="F1447" s="252"/>
      <c r="G1447" s="253"/>
      <c r="H1447" s="254"/>
      <c r="I1447" s="253"/>
      <c r="J1447" s="253"/>
      <c r="K1447" s="251"/>
      <c r="L1447" s="261"/>
      <c r="M1447" s="258"/>
      <c r="N1447" s="257"/>
      <c r="O1447" s="258"/>
      <c r="P1447" s="257"/>
      <c r="Q1447" s="258"/>
      <c r="R1447" s="257"/>
      <c r="S1447" s="258"/>
      <c r="T1447" s="257"/>
      <c r="U1447" s="258"/>
      <c r="V1447" s="257"/>
      <c r="W1447" s="258"/>
      <c r="X1447" s="257"/>
      <c r="Y1447" s="258"/>
      <c r="Z1447" s="257"/>
    </row>
    <row r="1448" spans="1:26" ht="25.5">
      <c r="A1448" s="250">
        <f>A1445+1</f>
        <v>255</v>
      </c>
      <c r="B1448" s="251"/>
      <c r="C1448" s="540" t="s">
        <v>597</v>
      </c>
      <c r="D1448" s="526" t="s">
        <v>231</v>
      </c>
      <c r="E1448" s="251" t="s">
        <v>1898</v>
      </c>
      <c r="F1448" s="304">
        <f>M1448+O1448+Q1448+S1448+U1448+W1448+Y1448</f>
        <v>0</v>
      </c>
      <c r="G1448" s="253">
        <f>L1448</f>
        <v>834.43</v>
      </c>
      <c r="H1448" s="254">
        <f>F1448*G1448</f>
        <v>0</v>
      </c>
      <c r="I1448" s="253">
        <f>N1448+P1448+R1448+T1448+V1448+X1448+Z1448</f>
        <v>0</v>
      </c>
      <c r="J1448" s="253"/>
      <c r="K1448" s="251" t="s">
        <v>1898</v>
      </c>
      <c r="L1448" s="666">
        <v>834.43</v>
      </c>
      <c r="M1448" s="258">
        <v>0</v>
      </c>
      <c r="N1448" s="257">
        <f>INT($L1448*M1448*100+0.5)/100</f>
        <v>0</v>
      </c>
      <c r="O1448" s="258">
        <v>0</v>
      </c>
      <c r="P1448" s="257">
        <f>INT($L1448*O1448*100+0.5)/100</f>
        <v>0</v>
      </c>
      <c r="Q1448" s="258">
        <v>0</v>
      </c>
      <c r="R1448" s="257">
        <f>INT($L1448*Q1448*100+0.5)/100</f>
        <v>0</v>
      </c>
      <c r="S1448" s="258">
        <v>0</v>
      </c>
      <c r="T1448" s="257">
        <f>INT($L1448*S1448*100+0.5)/100</f>
        <v>0</v>
      </c>
      <c r="U1448" s="258">
        <v>0</v>
      </c>
      <c r="V1448" s="257">
        <f>INT($L1448*U1448*100+0.5)/100</f>
        <v>0</v>
      </c>
      <c r="W1448" s="258">
        <v>0</v>
      </c>
      <c r="X1448" s="257">
        <f>INT($L1448*W1448*100+0.5)/100</f>
        <v>0</v>
      </c>
      <c r="Y1448" s="258">
        <v>0</v>
      </c>
      <c r="Z1448" s="257">
        <f>INT($L1448*Y1448*100+0.5)/100</f>
        <v>0</v>
      </c>
    </row>
    <row r="1449" spans="1:26" ht="25.5">
      <c r="A1449" s="250"/>
      <c r="B1449" s="251"/>
      <c r="C1449" s="540"/>
      <c r="D1449" s="532" t="s">
        <v>232</v>
      </c>
      <c r="E1449" s="251"/>
      <c r="F1449" s="252"/>
      <c r="G1449" s="253"/>
      <c r="H1449" s="254"/>
      <c r="I1449" s="253"/>
      <c r="J1449" s="253"/>
      <c r="K1449" s="251"/>
      <c r="L1449" s="666"/>
      <c r="M1449" s="258"/>
      <c r="N1449" s="257"/>
      <c r="O1449" s="258"/>
      <c r="P1449" s="257"/>
      <c r="Q1449" s="258"/>
      <c r="R1449" s="257"/>
      <c r="S1449" s="258"/>
      <c r="T1449" s="257"/>
      <c r="U1449" s="258"/>
      <c r="V1449" s="257"/>
      <c r="W1449" s="258"/>
      <c r="X1449" s="257"/>
      <c r="Y1449" s="258"/>
      <c r="Z1449" s="257"/>
    </row>
    <row r="1450" spans="1:26" ht="15">
      <c r="A1450" s="250"/>
      <c r="B1450" s="251"/>
      <c r="C1450" s="540"/>
      <c r="D1450" s="292"/>
      <c r="E1450" s="251"/>
      <c r="F1450" s="252"/>
      <c r="G1450" s="253"/>
      <c r="H1450" s="254"/>
      <c r="I1450" s="253"/>
      <c r="J1450" s="253"/>
      <c r="K1450" s="251"/>
      <c r="L1450" s="666"/>
      <c r="M1450" s="258"/>
      <c r="N1450" s="257"/>
      <c r="O1450" s="258"/>
      <c r="P1450" s="257"/>
      <c r="Q1450" s="258"/>
      <c r="R1450" s="257"/>
      <c r="S1450" s="258"/>
      <c r="T1450" s="257"/>
      <c r="U1450" s="258"/>
      <c r="V1450" s="257"/>
      <c r="W1450" s="258"/>
      <c r="X1450" s="257"/>
      <c r="Y1450" s="258"/>
      <c r="Z1450" s="257"/>
    </row>
    <row r="1451" spans="1:26" ht="15">
      <c r="A1451" s="250">
        <f>A1448+1</f>
        <v>256</v>
      </c>
      <c r="B1451" s="251"/>
      <c r="C1451" s="540" t="s">
        <v>596</v>
      </c>
      <c r="D1451" s="526" t="s">
        <v>451</v>
      </c>
      <c r="E1451" s="251"/>
      <c r="F1451" s="252"/>
      <c r="G1451" s="253"/>
      <c r="H1451" s="254"/>
      <c r="I1451" s="253"/>
      <c r="J1451" s="253"/>
      <c r="K1451" s="251"/>
      <c r="L1451" s="666"/>
      <c r="M1451" s="258"/>
      <c r="N1451" s="257"/>
      <c r="O1451" s="258"/>
      <c r="P1451" s="257"/>
      <c r="Q1451" s="258"/>
      <c r="R1451" s="257"/>
      <c r="S1451" s="258"/>
      <c r="T1451" s="257"/>
      <c r="U1451" s="258"/>
      <c r="V1451" s="257"/>
      <c r="W1451" s="258"/>
      <c r="X1451" s="257"/>
      <c r="Y1451" s="258"/>
      <c r="Z1451" s="257"/>
    </row>
    <row r="1452" spans="1:26" ht="15">
      <c r="A1452" s="250"/>
      <c r="B1452" s="251"/>
      <c r="C1452" s="540"/>
      <c r="D1452" s="526" t="s">
        <v>450</v>
      </c>
      <c r="E1452" s="251"/>
      <c r="F1452" s="252"/>
      <c r="G1452" s="253"/>
      <c r="H1452" s="254"/>
      <c r="I1452" s="253"/>
      <c r="J1452" s="253"/>
      <c r="K1452" s="251"/>
      <c r="L1452" s="666"/>
      <c r="M1452" s="258"/>
      <c r="N1452" s="257"/>
      <c r="O1452" s="258"/>
      <c r="P1452" s="257"/>
      <c r="Q1452" s="258"/>
      <c r="R1452" s="257"/>
      <c r="S1452" s="258"/>
      <c r="T1452" s="257"/>
      <c r="U1452" s="258"/>
      <c r="V1452" s="257"/>
      <c r="W1452" s="258"/>
      <c r="X1452" s="257"/>
      <c r="Y1452" s="258"/>
      <c r="Z1452" s="257"/>
    </row>
    <row r="1453" spans="1:26" ht="15">
      <c r="A1453" s="250" t="s">
        <v>542</v>
      </c>
      <c r="B1453" s="251"/>
      <c r="C1453" s="540" t="s">
        <v>1984</v>
      </c>
      <c r="D1453" s="292" t="s">
        <v>2174</v>
      </c>
      <c r="E1453" s="251" t="s">
        <v>1901</v>
      </c>
      <c r="F1453" s="304">
        <f>M1453+O1453+Q1453+S1453+U1453+W1453+Y1453</f>
        <v>0</v>
      </c>
      <c r="G1453" s="253">
        <f>L1453</f>
        <v>90</v>
      </c>
      <c r="H1453" s="254">
        <f>F1453*G1453</f>
        <v>0</v>
      </c>
      <c r="I1453" s="253">
        <f>N1453+P1453+R1453+T1453+V1453+X1453+Z1453</f>
        <v>0</v>
      </c>
      <c r="J1453" s="253"/>
      <c r="K1453" s="251" t="s">
        <v>1901</v>
      </c>
      <c r="L1453" s="666">
        <v>90</v>
      </c>
      <c r="M1453" s="258">
        <v>0</v>
      </c>
      <c r="N1453" s="257">
        <f>INT($L1453*M1453*100+0.5)/100</f>
        <v>0</v>
      </c>
      <c r="O1453" s="258">
        <v>0</v>
      </c>
      <c r="P1453" s="257">
        <f>INT($L1453*O1453*100+0.5)/100</f>
        <v>0</v>
      </c>
      <c r="Q1453" s="258">
        <v>0</v>
      </c>
      <c r="R1453" s="257">
        <f>INT($L1453*Q1453*100+0.5)/100</f>
        <v>0</v>
      </c>
      <c r="S1453" s="258">
        <v>0</v>
      </c>
      <c r="T1453" s="257">
        <f>INT($L1453*S1453*100+0.5)/100</f>
        <v>0</v>
      </c>
      <c r="U1453" s="258">
        <v>0</v>
      </c>
      <c r="V1453" s="257">
        <f>INT($L1453*U1453*100+0.5)/100</f>
        <v>0</v>
      </c>
      <c r="W1453" s="258">
        <v>0</v>
      </c>
      <c r="X1453" s="257">
        <f>INT($L1453*W1453*100+0.5)/100</f>
        <v>0</v>
      </c>
      <c r="Y1453" s="258">
        <v>0</v>
      </c>
      <c r="Z1453" s="257">
        <f>INT($L1453*Y1453*100+0.5)/100</f>
        <v>0</v>
      </c>
    </row>
    <row r="1454" spans="1:26" ht="15">
      <c r="A1454" s="250"/>
      <c r="B1454" s="251"/>
      <c r="C1454" s="540"/>
      <c r="D1454" s="292"/>
      <c r="E1454" s="251"/>
      <c r="F1454" s="252"/>
      <c r="G1454" s="253"/>
      <c r="H1454" s="254"/>
      <c r="I1454" s="253"/>
      <c r="J1454" s="253"/>
      <c r="K1454" s="251"/>
      <c r="L1454" s="666"/>
      <c r="M1454" s="258"/>
      <c r="N1454" s="257"/>
      <c r="O1454" s="258"/>
      <c r="P1454" s="257"/>
      <c r="Q1454" s="258"/>
      <c r="R1454" s="257"/>
      <c r="S1454" s="258"/>
      <c r="T1454" s="257"/>
      <c r="U1454" s="258"/>
      <c r="V1454" s="257"/>
      <c r="W1454" s="258"/>
      <c r="X1454" s="257"/>
      <c r="Y1454" s="258"/>
      <c r="Z1454" s="257"/>
    </row>
    <row r="1455" spans="1:26" ht="25.5">
      <c r="A1455" s="250">
        <f>A1451+1</f>
        <v>257</v>
      </c>
      <c r="B1455" s="251"/>
      <c r="C1455" s="532" t="s">
        <v>237</v>
      </c>
      <c r="D1455" s="532" t="s">
        <v>234</v>
      </c>
      <c r="E1455" s="251"/>
      <c r="F1455" s="252"/>
      <c r="G1455" s="253"/>
      <c r="H1455" s="254"/>
      <c r="I1455" s="253"/>
      <c r="J1455" s="253"/>
      <c r="K1455" s="251"/>
      <c r="L1455" s="666"/>
      <c r="M1455" s="258"/>
      <c r="N1455" s="257"/>
      <c r="O1455" s="258"/>
      <c r="P1455" s="257"/>
      <c r="Q1455" s="258"/>
      <c r="R1455" s="257"/>
      <c r="S1455" s="258"/>
      <c r="T1455" s="257"/>
      <c r="U1455" s="258"/>
      <c r="V1455" s="257"/>
      <c r="W1455" s="258"/>
      <c r="X1455" s="257"/>
      <c r="Y1455" s="258"/>
      <c r="Z1455" s="257"/>
    </row>
    <row r="1456" spans="1:26" ht="15">
      <c r="A1456" s="250"/>
      <c r="B1456" s="251"/>
      <c r="C1456" s="540"/>
      <c r="D1456" s="532" t="s">
        <v>233</v>
      </c>
      <c r="E1456" s="251"/>
      <c r="F1456" s="252"/>
      <c r="G1456" s="253"/>
      <c r="H1456" s="254"/>
      <c r="I1456" s="253"/>
      <c r="J1456" s="253"/>
      <c r="K1456" s="251"/>
      <c r="L1456" s="666"/>
      <c r="M1456" s="258"/>
      <c r="N1456" s="257"/>
      <c r="O1456" s="258"/>
      <c r="P1456" s="257"/>
      <c r="Q1456" s="258"/>
      <c r="R1456" s="257"/>
      <c r="S1456" s="258"/>
      <c r="T1456" s="257"/>
      <c r="U1456" s="258"/>
      <c r="V1456" s="257"/>
      <c r="W1456" s="258"/>
      <c r="X1456" s="257"/>
      <c r="Y1456" s="258"/>
      <c r="Z1456" s="257"/>
    </row>
    <row r="1457" spans="1:26" ht="15">
      <c r="A1457" s="250" t="s">
        <v>1906</v>
      </c>
      <c r="B1457" s="251"/>
      <c r="C1457" s="532" t="s">
        <v>1985</v>
      </c>
      <c r="D1457" s="532" t="s">
        <v>223</v>
      </c>
      <c r="E1457" s="251" t="s">
        <v>1901</v>
      </c>
      <c r="F1457" s="304">
        <f>M1457+O1457+Q1457+S1457+U1457+W1457+Y1457</f>
        <v>0</v>
      </c>
      <c r="G1457" s="253">
        <f>L1457</f>
        <v>232.51</v>
      </c>
      <c r="H1457" s="254">
        <f>F1457*G1457</f>
        <v>0</v>
      </c>
      <c r="I1457" s="253">
        <f>N1457+P1457+R1457+T1457+V1457+X1457+Z1457</f>
        <v>0</v>
      </c>
      <c r="J1457" s="253"/>
      <c r="K1457" s="251" t="s">
        <v>1901</v>
      </c>
      <c r="L1457" s="666">
        <v>232.51</v>
      </c>
      <c r="M1457" s="258">
        <v>0</v>
      </c>
      <c r="N1457" s="257">
        <f>INT($L1457*M1457*100+0.5)/100</f>
        <v>0</v>
      </c>
      <c r="O1457" s="258">
        <v>0</v>
      </c>
      <c r="P1457" s="257">
        <f>INT($L1457*O1457*100+0.5)/100</f>
        <v>0</v>
      </c>
      <c r="Q1457" s="258">
        <v>0</v>
      </c>
      <c r="R1457" s="257">
        <f>INT($L1457*Q1457*100+0.5)/100</f>
        <v>0</v>
      </c>
      <c r="S1457" s="258">
        <v>0</v>
      </c>
      <c r="T1457" s="257">
        <f>INT($L1457*S1457*100+0.5)/100</f>
        <v>0</v>
      </c>
      <c r="U1457" s="258">
        <v>0</v>
      </c>
      <c r="V1457" s="257">
        <f>INT($L1457*U1457*100+0.5)/100</f>
        <v>0</v>
      </c>
      <c r="W1457" s="258">
        <v>0</v>
      </c>
      <c r="X1457" s="257">
        <f>INT($L1457*W1457*100+0.5)/100</f>
        <v>0</v>
      </c>
      <c r="Y1457" s="258">
        <v>0</v>
      </c>
      <c r="Z1457" s="257">
        <f>INT($L1457*Y1457*100+0.5)/100</f>
        <v>0</v>
      </c>
    </row>
    <row r="1458" spans="1:26" ht="15">
      <c r="A1458" s="250" t="s">
        <v>1907</v>
      </c>
      <c r="B1458" s="251"/>
      <c r="C1458" s="532" t="s">
        <v>1986</v>
      </c>
      <c r="D1458" s="532" t="s">
        <v>224</v>
      </c>
      <c r="E1458" s="251" t="s">
        <v>1901</v>
      </c>
      <c r="F1458" s="304">
        <f>M1458+O1458+Q1458+S1458+U1458+W1458+Y1458</f>
        <v>0</v>
      </c>
      <c r="G1458" s="253">
        <f>L1458</f>
        <v>275.58</v>
      </c>
      <c r="H1458" s="254">
        <f>F1458*G1458</f>
        <v>0</v>
      </c>
      <c r="I1458" s="253">
        <f>N1458+P1458+R1458+T1458+V1458+X1458+Z1458</f>
        <v>0</v>
      </c>
      <c r="J1458" s="253"/>
      <c r="K1458" s="251" t="s">
        <v>1901</v>
      </c>
      <c r="L1458" s="666">
        <v>275.58</v>
      </c>
      <c r="M1458" s="258">
        <v>0</v>
      </c>
      <c r="N1458" s="257">
        <f>INT($L1458*M1458*100+0.5)/100</f>
        <v>0</v>
      </c>
      <c r="O1458" s="258">
        <v>0</v>
      </c>
      <c r="P1458" s="257">
        <f>INT($L1458*O1458*100+0.5)/100</f>
        <v>0</v>
      </c>
      <c r="Q1458" s="258">
        <v>0</v>
      </c>
      <c r="R1458" s="257">
        <f>INT($L1458*Q1458*100+0.5)/100</f>
        <v>0</v>
      </c>
      <c r="S1458" s="258">
        <v>0</v>
      </c>
      <c r="T1458" s="257">
        <f>INT($L1458*S1458*100+0.5)/100</f>
        <v>0</v>
      </c>
      <c r="U1458" s="258">
        <v>0</v>
      </c>
      <c r="V1458" s="257">
        <f>INT($L1458*U1458*100+0.5)/100</f>
        <v>0</v>
      </c>
      <c r="W1458" s="258">
        <v>0</v>
      </c>
      <c r="X1458" s="257">
        <f>INT($L1458*W1458*100+0.5)/100</f>
        <v>0</v>
      </c>
      <c r="Y1458" s="258">
        <v>0</v>
      </c>
      <c r="Z1458" s="257">
        <f>INT($L1458*Y1458*100+0.5)/100</f>
        <v>0</v>
      </c>
    </row>
    <row r="1459" spans="1:26" ht="15">
      <c r="A1459" s="250" t="s">
        <v>542</v>
      </c>
      <c r="B1459" s="251"/>
      <c r="C1459" s="532" t="s">
        <v>1987</v>
      </c>
      <c r="D1459" s="532" t="s">
        <v>235</v>
      </c>
      <c r="E1459" s="251" t="s">
        <v>1901</v>
      </c>
      <c r="F1459" s="304">
        <f>M1459+O1459+Q1459+S1459+U1459+W1459+Y1459</f>
        <v>0</v>
      </c>
      <c r="G1459" s="253">
        <f>L1459</f>
        <v>325.26</v>
      </c>
      <c r="H1459" s="254">
        <f>F1459*G1459</f>
        <v>0</v>
      </c>
      <c r="I1459" s="253">
        <f>N1459+P1459+R1459+T1459+V1459+X1459+Z1459</f>
        <v>0</v>
      </c>
      <c r="J1459" s="253"/>
      <c r="K1459" s="251" t="s">
        <v>1901</v>
      </c>
      <c r="L1459" s="666">
        <v>325.26</v>
      </c>
      <c r="M1459" s="258">
        <v>0</v>
      </c>
      <c r="N1459" s="257">
        <f>INT($L1459*M1459*100+0.5)/100</f>
        <v>0</v>
      </c>
      <c r="O1459" s="258">
        <v>0</v>
      </c>
      <c r="P1459" s="257">
        <f>INT($L1459*O1459*100+0.5)/100</f>
        <v>0</v>
      </c>
      <c r="Q1459" s="258">
        <v>0</v>
      </c>
      <c r="R1459" s="257">
        <f>INT($L1459*Q1459*100+0.5)/100</f>
        <v>0</v>
      </c>
      <c r="S1459" s="258">
        <v>0</v>
      </c>
      <c r="T1459" s="257">
        <f>INT($L1459*S1459*100+0.5)/100</f>
        <v>0</v>
      </c>
      <c r="U1459" s="258">
        <v>0</v>
      </c>
      <c r="V1459" s="257">
        <f>INT($L1459*U1459*100+0.5)/100</f>
        <v>0</v>
      </c>
      <c r="W1459" s="258">
        <v>0</v>
      </c>
      <c r="X1459" s="257">
        <f>INT($L1459*W1459*100+0.5)/100</f>
        <v>0</v>
      </c>
      <c r="Y1459" s="258">
        <v>0</v>
      </c>
      <c r="Z1459" s="257">
        <f>INT($L1459*Y1459*100+0.5)/100</f>
        <v>0</v>
      </c>
    </row>
    <row r="1460" spans="1:26" ht="15">
      <c r="A1460" s="250" t="s">
        <v>543</v>
      </c>
      <c r="B1460" s="251"/>
      <c r="C1460" s="532" t="s">
        <v>1988</v>
      </c>
      <c r="D1460" s="532" t="s">
        <v>236</v>
      </c>
      <c r="E1460" s="251" t="s">
        <v>1901</v>
      </c>
      <c r="F1460" s="304">
        <f>M1460+O1460+Q1460+S1460+U1460+W1460+Y1460</f>
        <v>0</v>
      </c>
      <c r="G1460" s="253">
        <f>L1460</f>
        <v>397.45</v>
      </c>
      <c r="H1460" s="254">
        <f>F1460*G1460</f>
        <v>0</v>
      </c>
      <c r="I1460" s="253">
        <f>N1460+P1460+R1460+T1460+V1460+X1460+Z1460</f>
        <v>0</v>
      </c>
      <c r="J1460" s="253"/>
      <c r="K1460" s="251" t="s">
        <v>1901</v>
      </c>
      <c r="L1460" s="666">
        <v>397.45</v>
      </c>
      <c r="M1460" s="258">
        <v>0</v>
      </c>
      <c r="N1460" s="257">
        <f>INT($L1460*M1460*100+0.5)/100</f>
        <v>0</v>
      </c>
      <c r="O1460" s="258">
        <v>0</v>
      </c>
      <c r="P1460" s="257">
        <f>INT($L1460*O1460*100+0.5)/100</f>
        <v>0</v>
      </c>
      <c r="Q1460" s="258">
        <v>0</v>
      </c>
      <c r="R1460" s="257">
        <f>INT($L1460*Q1460*100+0.5)/100</f>
        <v>0</v>
      </c>
      <c r="S1460" s="258">
        <v>0</v>
      </c>
      <c r="T1460" s="257">
        <f>INT($L1460*S1460*100+0.5)/100</f>
        <v>0</v>
      </c>
      <c r="U1460" s="258">
        <v>0</v>
      </c>
      <c r="V1460" s="257">
        <f>INT($L1460*U1460*100+0.5)/100</f>
        <v>0</v>
      </c>
      <c r="W1460" s="258">
        <v>0</v>
      </c>
      <c r="X1460" s="257">
        <f>INT($L1460*W1460*100+0.5)/100</f>
        <v>0</v>
      </c>
      <c r="Y1460" s="258">
        <v>0</v>
      </c>
      <c r="Z1460" s="257">
        <f>INT($L1460*Y1460*100+0.5)/100</f>
        <v>0</v>
      </c>
    </row>
    <row r="1461" spans="1:26" ht="15">
      <c r="A1461" s="250" t="s">
        <v>544</v>
      </c>
      <c r="B1461" s="251"/>
      <c r="C1461" s="532" t="s">
        <v>1989</v>
      </c>
      <c r="D1461" s="532" t="s">
        <v>241</v>
      </c>
      <c r="E1461" s="251" t="s">
        <v>1901</v>
      </c>
      <c r="F1461" s="304">
        <f>M1461+O1461+Q1461+S1461+U1461+W1461+Y1461</f>
        <v>0</v>
      </c>
      <c r="G1461" s="253">
        <f>L1461</f>
        <v>494.01</v>
      </c>
      <c r="H1461" s="244">
        <f>F1461*G1461</f>
        <v>0</v>
      </c>
      <c r="I1461" s="253">
        <f>N1461+P1461+R1461+T1461+V1461+X1461+Z1461</f>
        <v>0</v>
      </c>
      <c r="J1461" s="253"/>
      <c r="K1461" s="251" t="s">
        <v>1901</v>
      </c>
      <c r="L1461" s="666">
        <v>494.01</v>
      </c>
      <c r="M1461" s="258">
        <v>0</v>
      </c>
      <c r="N1461" s="257">
        <f>INT($L1461*M1461*100+0.5)/100</f>
        <v>0</v>
      </c>
      <c r="O1461" s="258">
        <v>0</v>
      </c>
      <c r="P1461" s="257">
        <f>INT($L1461*O1461*100+0.5)/100</f>
        <v>0</v>
      </c>
      <c r="Q1461" s="258">
        <v>0</v>
      </c>
      <c r="R1461" s="257">
        <f>INT($L1461*Q1461*100+0.5)/100</f>
        <v>0</v>
      </c>
      <c r="S1461" s="258">
        <v>0</v>
      </c>
      <c r="T1461" s="257">
        <f>INT($L1461*S1461*100+0.5)/100</f>
        <v>0</v>
      </c>
      <c r="U1461" s="258">
        <v>0</v>
      </c>
      <c r="V1461" s="257">
        <f>INT($L1461*U1461*100+0.5)/100</f>
        <v>0</v>
      </c>
      <c r="W1461" s="258">
        <v>0</v>
      </c>
      <c r="X1461" s="257">
        <f>INT($L1461*W1461*100+0.5)/100</f>
        <v>0</v>
      </c>
      <c r="Y1461" s="258">
        <v>0</v>
      </c>
      <c r="Z1461" s="257">
        <f>INT($L1461*Y1461*100+0.5)/100</f>
        <v>0</v>
      </c>
    </row>
    <row r="1462" spans="1:26" ht="15">
      <c r="A1462" s="250"/>
      <c r="B1462" s="251"/>
      <c r="C1462" s="540"/>
      <c r="D1462" s="292"/>
      <c r="E1462" s="251"/>
      <c r="F1462" s="252"/>
      <c r="G1462" s="253"/>
      <c r="H1462" s="254"/>
      <c r="I1462" s="253"/>
      <c r="J1462" s="253"/>
      <c r="K1462" s="251"/>
      <c r="L1462" s="666"/>
      <c r="M1462" s="258"/>
      <c r="N1462" s="257"/>
      <c r="O1462" s="258"/>
      <c r="P1462" s="257"/>
      <c r="Q1462" s="258"/>
      <c r="R1462" s="257"/>
      <c r="S1462" s="258"/>
      <c r="T1462" s="257"/>
      <c r="U1462" s="258"/>
      <c r="V1462" s="257"/>
      <c r="W1462" s="258"/>
      <c r="X1462" s="257"/>
      <c r="Y1462" s="258"/>
      <c r="Z1462" s="257"/>
    </row>
    <row r="1463" spans="1:26" ht="15">
      <c r="A1463" s="250">
        <f>A1455+1</f>
        <v>258</v>
      </c>
      <c r="B1463" s="251"/>
      <c r="C1463" s="532" t="s">
        <v>240</v>
      </c>
      <c r="D1463" s="532" t="s">
        <v>239</v>
      </c>
      <c r="E1463" s="251"/>
      <c r="F1463" s="252"/>
      <c r="G1463" s="253"/>
      <c r="H1463" s="254"/>
      <c r="I1463" s="253"/>
      <c r="J1463" s="253"/>
      <c r="K1463" s="251"/>
      <c r="L1463" s="666"/>
      <c r="M1463" s="258"/>
      <c r="N1463" s="257"/>
      <c r="O1463" s="258"/>
      <c r="P1463" s="257"/>
      <c r="Q1463" s="258"/>
      <c r="R1463" s="257"/>
      <c r="S1463" s="258"/>
      <c r="T1463" s="257"/>
      <c r="U1463" s="258"/>
      <c r="V1463" s="257"/>
      <c r="W1463" s="258"/>
      <c r="X1463" s="257"/>
      <c r="Y1463" s="258"/>
      <c r="Z1463" s="257"/>
    </row>
    <row r="1464" spans="1:26" ht="15">
      <c r="A1464" s="250"/>
      <c r="B1464" s="251"/>
      <c r="C1464" s="540"/>
      <c r="D1464" s="532" t="s">
        <v>238</v>
      </c>
      <c r="E1464" s="251"/>
      <c r="F1464" s="252"/>
      <c r="G1464" s="253"/>
      <c r="H1464" s="254"/>
      <c r="I1464" s="253"/>
      <c r="J1464" s="253"/>
      <c r="K1464" s="251"/>
      <c r="L1464" s="666"/>
      <c r="M1464" s="258"/>
      <c r="N1464" s="257"/>
      <c r="O1464" s="258"/>
      <c r="P1464" s="257"/>
      <c r="Q1464" s="258"/>
      <c r="R1464" s="257"/>
      <c r="S1464" s="258"/>
      <c r="T1464" s="257"/>
      <c r="U1464" s="258"/>
      <c r="V1464" s="257"/>
      <c r="W1464" s="258"/>
      <c r="X1464" s="257"/>
      <c r="Y1464" s="258"/>
      <c r="Z1464" s="257"/>
    </row>
    <row r="1465" spans="1:26" ht="15">
      <c r="A1465" s="250"/>
      <c r="B1465" s="251"/>
      <c r="C1465" s="532" t="s">
        <v>1990</v>
      </c>
      <c r="D1465" s="532" t="s">
        <v>224</v>
      </c>
      <c r="E1465" s="251" t="s">
        <v>1901</v>
      </c>
      <c r="F1465" s="304">
        <f>M1465+O1465+Q1465+S1465+U1465+W1465+Y1465</f>
        <v>0</v>
      </c>
      <c r="G1465" s="253">
        <f>L1465</f>
        <v>145.74</v>
      </c>
      <c r="H1465" s="254">
        <f t="shared" ref="H1465:H1473" si="253">F1465*G1465</f>
        <v>0</v>
      </c>
      <c r="I1465" s="253">
        <f>N1465+P1465+R1465+T1465+V1465+X1465+Z1465</f>
        <v>0</v>
      </c>
      <c r="J1465" s="253"/>
      <c r="K1465" s="251" t="s">
        <v>1901</v>
      </c>
      <c r="L1465" s="666">
        <v>145.74</v>
      </c>
      <c r="M1465" s="258">
        <v>0</v>
      </c>
      <c r="N1465" s="257">
        <f>INT($L1465*M1465*100+0.5)/100</f>
        <v>0</v>
      </c>
      <c r="O1465" s="258">
        <v>0</v>
      </c>
      <c r="P1465" s="257">
        <f>INT($L1465*O1465*100+0.5)/100</f>
        <v>0</v>
      </c>
      <c r="Q1465" s="258">
        <v>0</v>
      </c>
      <c r="R1465" s="257">
        <f>INT($L1465*Q1465*100+0.5)/100</f>
        <v>0</v>
      </c>
      <c r="S1465" s="258">
        <v>0</v>
      </c>
      <c r="T1465" s="257">
        <f>INT($L1465*S1465*100+0.5)/100</f>
        <v>0</v>
      </c>
      <c r="U1465" s="258">
        <v>0</v>
      </c>
      <c r="V1465" s="257">
        <f>INT($L1465*U1465*100+0.5)/100</f>
        <v>0</v>
      </c>
      <c r="W1465" s="258">
        <v>0</v>
      </c>
      <c r="X1465" s="257">
        <f>INT($L1465*W1465*100+0.5)/100</f>
        <v>0</v>
      </c>
      <c r="Y1465" s="258">
        <v>0</v>
      </c>
      <c r="Z1465" s="257">
        <f>INT($L1465*Y1465*100+0.5)/100</f>
        <v>0</v>
      </c>
    </row>
    <row r="1466" spans="1:26" ht="15">
      <c r="A1466" s="250"/>
      <c r="B1466" s="251"/>
      <c r="C1466" s="532" t="s">
        <v>1991</v>
      </c>
      <c r="D1466" s="532" t="s">
        <v>235</v>
      </c>
      <c r="E1466" s="251" t="s">
        <v>1901</v>
      </c>
      <c r="F1466" s="304">
        <f>M1466+O1466+Q1466+S1466+U1466+W1466+Y1466</f>
        <v>0</v>
      </c>
      <c r="G1466" s="253">
        <f>L1466</f>
        <v>155.68</v>
      </c>
      <c r="H1466" s="254">
        <f t="shared" si="253"/>
        <v>0</v>
      </c>
      <c r="I1466" s="253">
        <f>N1466+P1466+R1466+T1466+V1466+X1466+Z1466</f>
        <v>0</v>
      </c>
      <c r="J1466" s="253"/>
      <c r="K1466" s="251" t="s">
        <v>1901</v>
      </c>
      <c r="L1466" s="666">
        <v>155.68</v>
      </c>
      <c r="M1466" s="258">
        <v>0</v>
      </c>
      <c r="N1466" s="257">
        <f>INT($L1466*M1466*100+0.5)/100</f>
        <v>0</v>
      </c>
      <c r="O1466" s="258">
        <v>0</v>
      </c>
      <c r="P1466" s="257">
        <f>INT($L1466*O1466*100+0.5)/100</f>
        <v>0</v>
      </c>
      <c r="Q1466" s="258">
        <v>0</v>
      </c>
      <c r="R1466" s="257">
        <f>INT($L1466*Q1466*100+0.5)/100</f>
        <v>0</v>
      </c>
      <c r="S1466" s="258">
        <v>0</v>
      </c>
      <c r="T1466" s="257">
        <f>INT($L1466*S1466*100+0.5)/100</f>
        <v>0</v>
      </c>
      <c r="U1466" s="258">
        <v>0</v>
      </c>
      <c r="V1466" s="257">
        <f>INT($L1466*U1466*100+0.5)/100</f>
        <v>0</v>
      </c>
      <c r="W1466" s="258">
        <v>0</v>
      </c>
      <c r="X1466" s="257">
        <f>INT($L1466*W1466*100+0.5)/100</f>
        <v>0</v>
      </c>
      <c r="Y1466" s="258">
        <v>0</v>
      </c>
      <c r="Z1466" s="257">
        <f>INT($L1466*Y1466*100+0.5)/100</f>
        <v>0</v>
      </c>
    </row>
    <row r="1467" spans="1:26" ht="15">
      <c r="A1467" s="250"/>
      <c r="B1467" s="251"/>
      <c r="C1467" s="532" t="s">
        <v>1992</v>
      </c>
      <c r="D1467" s="532" t="s">
        <v>236</v>
      </c>
      <c r="E1467" s="251" t="s">
        <v>1901</v>
      </c>
      <c r="F1467" s="304">
        <f>M1467+O1467+Q1467+S1467+U1467+W1467+Y1467</f>
        <v>0</v>
      </c>
      <c r="G1467" s="253">
        <f>L1467</f>
        <v>181.47</v>
      </c>
      <c r="H1467" s="254">
        <f t="shared" si="253"/>
        <v>0</v>
      </c>
      <c r="I1467" s="253">
        <f>N1467+P1467+R1467+T1467+V1467+X1467+Z1467</f>
        <v>0</v>
      </c>
      <c r="J1467" s="253"/>
      <c r="K1467" s="251" t="s">
        <v>1901</v>
      </c>
      <c r="L1467" s="666">
        <v>181.47</v>
      </c>
      <c r="M1467" s="258">
        <v>0</v>
      </c>
      <c r="N1467" s="257">
        <f>INT($L1467*M1467*100+0.5)/100</f>
        <v>0</v>
      </c>
      <c r="O1467" s="258">
        <v>0</v>
      </c>
      <c r="P1467" s="257">
        <f>INT($L1467*O1467*100+0.5)/100</f>
        <v>0</v>
      </c>
      <c r="Q1467" s="258">
        <v>0</v>
      </c>
      <c r="R1467" s="257">
        <f>INT($L1467*Q1467*100+0.5)/100</f>
        <v>0</v>
      </c>
      <c r="S1467" s="258">
        <v>0</v>
      </c>
      <c r="T1467" s="257">
        <f>INT($L1467*S1467*100+0.5)/100</f>
        <v>0</v>
      </c>
      <c r="U1467" s="258">
        <v>0</v>
      </c>
      <c r="V1467" s="257">
        <f>INT($L1467*U1467*100+0.5)/100</f>
        <v>0</v>
      </c>
      <c r="W1467" s="258">
        <v>0</v>
      </c>
      <c r="X1467" s="257">
        <f>INT($L1467*W1467*100+0.5)/100</f>
        <v>0</v>
      </c>
      <c r="Y1467" s="258">
        <v>0</v>
      </c>
      <c r="Z1467" s="257">
        <f>INT($L1467*Y1467*100+0.5)/100</f>
        <v>0</v>
      </c>
    </row>
    <row r="1468" spans="1:26" ht="15">
      <c r="A1468" s="250"/>
      <c r="B1468" s="251"/>
      <c r="C1468" s="532" t="s">
        <v>1993</v>
      </c>
      <c r="D1468" s="532" t="s">
        <v>241</v>
      </c>
      <c r="E1468" s="251" t="s">
        <v>1901</v>
      </c>
      <c r="F1468" s="304">
        <f>M1468+O1468+Q1468+S1468+U1468+W1468+Y1468</f>
        <v>0</v>
      </c>
      <c r="G1468" s="253">
        <f>L1468</f>
        <v>204.32</v>
      </c>
      <c r="H1468" s="254">
        <f t="shared" si="253"/>
        <v>0</v>
      </c>
      <c r="I1468" s="253">
        <f>N1468+P1468+R1468+T1468+V1468+X1468+Z1468</f>
        <v>0</v>
      </c>
      <c r="J1468" s="253"/>
      <c r="K1468" s="251" t="s">
        <v>1901</v>
      </c>
      <c r="L1468" s="666">
        <v>204.32</v>
      </c>
      <c r="M1468" s="258">
        <v>0</v>
      </c>
      <c r="N1468" s="257">
        <f>INT($L1468*M1468*100+0.5)/100</f>
        <v>0</v>
      </c>
      <c r="O1468" s="258">
        <v>0</v>
      </c>
      <c r="P1468" s="257">
        <f>INT($L1468*O1468*100+0.5)/100</f>
        <v>0</v>
      </c>
      <c r="Q1468" s="258">
        <v>0</v>
      </c>
      <c r="R1468" s="257">
        <f>INT($L1468*Q1468*100+0.5)/100</f>
        <v>0</v>
      </c>
      <c r="S1468" s="258">
        <v>0</v>
      </c>
      <c r="T1468" s="257">
        <f>INT($L1468*S1468*100+0.5)/100</f>
        <v>0</v>
      </c>
      <c r="U1468" s="258">
        <v>0</v>
      </c>
      <c r="V1468" s="257">
        <f>INT($L1468*U1468*100+0.5)/100</f>
        <v>0</v>
      </c>
      <c r="W1468" s="258">
        <v>0</v>
      </c>
      <c r="X1468" s="257">
        <f>INT($L1468*W1468*100+0.5)/100</f>
        <v>0</v>
      </c>
      <c r="Y1468" s="258">
        <v>0</v>
      </c>
      <c r="Z1468" s="257">
        <f>INT($L1468*Y1468*100+0.5)/100</f>
        <v>0</v>
      </c>
    </row>
    <row r="1469" spans="1:26" ht="15">
      <c r="A1469" s="250"/>
      <c r="B1469" s="251"/>
      <c r="C1469" s="540"/>
      <c r="D1469" s="292"/>
      <c r="E1469" s="251"/>
      <c r="F1469" s="252"/>
      <c r="G1469" s="253"/>
      <c r="H1469" s="254"/>
      <c r="I1469" s="253"/>
      <c r="J1469" s="253"/>
      <c r="K1469" s="251"/>
      <c r="L1469" s="666"/>
      <c r="M1469" s="258"/>
      <c r="N1469" s="257"/>
      <c r="O1469" s="258"/>
      <c r="P1469" s="257"/>
      <c r="Q1469" s="258"/>
      <c r="R1469" s="257"/>
      <c r="S1469" s="258"/>
      <c r="T1469" s="257"/>
      <c r="U1469" s="258"/>
      <c r="V1469" s="257"/>
      <c r="W1469" s="258"/>
      <c r="X1469" s="257"/>
      <c r="Y1469" s="258"/>
      <c r="Z1469" s="257"/>
    </row>
    <row r="1470" spans="1:26" ht="15">
      <c r="A1470" s="250">
        <f>A1463+1</f>
        <v>259</v>
      </c>
      <c r="B1470" s="251"/>
      <c r="C1470" s="532" t="s">
        <v>244</v>
      </c>
      <c r="D1470" s="532" t="s">
        <v>243</v>
      </c>
      <c r="E1470" s="251"/>
      <c r="F1470" s="304">
        <f>M1470+O1470+Q1470+S1470+U1470+W1470+Y1470</f>
        <v>0</v>
      </c>
      <c r="G1470" s="253">
        <f>L1470</f>
        <v>124.54</v>
      </c>
      <c r="H1470" s="254">
        <f>F1470*G1470</f>
        <v>0</v>
      </c>
      <c r="I1470" s="253">
        <f>N1470+P1470+R1470+T1470+V1470+X1470+Z1470</f>
        <v>0</v>
      </c>
      <c r="J1470" s="253"/>
      <c r="K1470" s="251"/>
      <c r="L1470" s="666">
        <v>124.54</v>
      </c>
      <c r="M1470" s="258">
        <v>0</v>
      </c>
      <c r="N1470" s="257">
        <f>INT($L1470*M1470*100+0.5)/100</f>
        <v>0</v>
      </c>
      <c r="O1470" s="258">
        <v>0</v>
      </c>
      <c r="P1470" s="257">
        <f>INT($L1470*O1470*100+0.5)/100</f>
        <v>0</v>
      </c>
      <c r="Q1470" s="258">
        <v>0</v>
      </c>
      <c r="R1470" s="257">
        <f>INT($L1470*Q1470*100+0.5)/100</f>
        <v>0</v>
      </c>
      <c r="S1470" s="258">
        <v>0</v>
      </c>
      <c r="T1470" s="257">
        <f>INT($L1470*S1470*100+0.5)/100</f>
        <v>0</v>
      </c>
      <c r="U1470" s="258">
        <v>0</v>
      </c>
      <c r="V1470" s="257">
        <f>INT($L1470*U1470*100+0.5)/100</f>
        <v>0</v>
      </c>
      <c r="W1470" s="258">
        <v>0</v>
      </c>
      <c r="X1470" s="257">
        <f>INT($L1470*W1470*100+0.5)/100</f>
        <v>0</v>
      </c>
      <c r="Y1470" s="258">
        <v>0</v>
      </c>
      <c r="Z1470" s="257">
        <f>INT($L1470*Y1470*100+0.5)/100</f>
        <v>0</v>
      </c>
    </row>
    <row r="1471" spans="1:26" ht="15">
      <c r="A1471" s="250"/>
      <c r="B1471" s="251"/>
      <c r="C1471" s="540"/>
      <c r="D1471" s="532" t="s">
        <v>242</v>
      </c>
      <c r="E1471" s="251"/>
      <c r="F1471" s="252"/>
      <c r="G1471" s="253"/>
      <c r="H1471" s="254"/>
      <c r="I1471" s="253"/>
      <c r="J1471" s="253"/>
      <c r="K1471" s="251"/>
      <c r="L1471" s="666"/>
      <c r="M1471" s="258"/>
      <c r="N1471" s="257"/>
      <c r="O1471" s="258"/>
      <c r="P1471" s="257"/>
      <c r="Q1471" s="258"/>
      <c r="R1471" s="257"/>
      <c r="S1471" s="258"/>
      <c r="T1471" s="257"/>
      <c r="U1471" s="258"/>
      <c r="V1471" s="257"/>
      <c r="W1471" s="258"/>
      <c r="X1471" s="257"/>
      <c r="Y1471" s="258"/>
      <c r="Z1471" s="257"/>
    </row>
    <row r="1472" spans="1:26" ht="15">
      <c r="A1472" s="250"/>
      <c r="B1472" s="251"/>
      <c r="C1472" s="540"/>
      <c r="D1472" s="292"/>
      <c r="E1472" s="251"/>
      <c r="F1472" s="252"/>
      <c r="G1472" s="253"/>
      <c r="H1472" s="254"/>
      <c r="I1472" s="253"/>
      <c r="J1472" s="253"/>
      <c r="K1472" s="251"/>
      <c r="L1472" s="666"/>
      <c r="M1472" s="258"/>
      <c r="N1472" s="257"/>
      <c r="O1472" s="258"/>
      <c r="P1472" s="257"/>
      <c r="Q1472" s="258"/>
      <c r="R1472" s="257"/>
      <c r="S1472" s="258"/>
      <c r="T1472" s="257"/>
      <c r="U1472" s="258"/>
      <c r="V1472" s="257"/>
      <c r="W1472" s="258"/>
      <c r="X1472" s="257"/>
      <c r="Y1472" s="258"/>
      <c r="Z1472" s="257"/>
    </row>
    <row r="1473" spans="1:26" ht="15">
      <c r="A1473" s="250">
        <f>A1470+1</f>
        <v>260</v>
      </c>
      <c r="B1473" s="251"/>
      <c r="C1473" s="532" t="s">
        <v>454</v>
      </c>
      <c r="D1473" s="532" t="s">
        <v>455</v>
      </c>
      <c r="E1473" s="251" t="s">
        <v>1901</v>
      </c>
      <c r="F1473" s="304">
        <f>M1473+O1473+Q1473+S1473+U1473+W1473+Y1473</f>
        <v>0</v>
      </c>
      <c r="G1473" s="253">
        <f>L1473</f>
        <v>500</v>
      </c>
      <c r="H1473" s="254">
        <f t="shared" si="253"/>
        <v>0</v>
      </c>
      <c r="I1473" s="253">
        <f>N1473+P1473+R1473+T1473+V1473+X1473+Z1473</f>
        <v>0</v>
      </c>
      <c r="J1473" s="253"/>
      <c r="K1473" s="251" t="s">
        <v>1901</v>
      </c>
      <c r="L1473" s="666">
        <v>500</v>
      </c>
      <c r="M1473" s="258">
        <v>0</v>
      </c>
      <c r="N1473" s="257">
        <f>INT($L1473*M1473*100+0.5)/100</f>
        <v>0</v>
      </c>
      <c r="O1473" s="258">
        <v>0</v>
      </c>
      <c r="P1473" s="257">
        <f>INT($L1473*O1473*100+0.5)/100</f>
        <v>0</v>
      </c>
      <c r="Q1473" s="258">
        <v>0</v>
      </c>
      <c r="R1473" s="257">
        <f>INT($L1473*Q1473*100+0.5)/100</f>
        <v>0</v>
      </c>
      <c r="S1473" s="258">
        <v>0</v>
      </c>
      <c r="T1473" s="257">
        <f>INT($L1473*S1473*100+0.5)/100</f>
        <v>0</v>
      </c>
      <c r="U1473" s="258">
        <v>0</v>
      </c>
      <c r="V1473" s="257">
        <f>INT($L1473*U1473*100+0.5)/100</f>
        <v>0</v>
      </c>
      <c r="W1473" s="258">
        <v>0</v>
      </c>
      <c r="X1473" s="257">
        <f>INT($L1473*W1473*100+0.5)/100</f>
        <v>0</v>
      </c>
      <c r="Y1473" s="258">
        <v>0</v>
      </c>
      <c r="Z1473" s="257">
        <f>INT($L1473*Y1473*100+0.5)/100</f>
        <v>0</v>
      </c>
    </row>
    <row r="1474" spans="1:26" ht="15">
      <c r="A1474" s="250"/>
      <c r="B1474" s="251"/>
      <c r="C1474" s="540"/>
      <c r="D1474" s="532" t="s">
        <v>456</v>
      </c>
      <c r="E1474" s="251"/>
      <c r="F1474" s="252"/>
      <c r="G1474" s="253"/>
      <c r="H1474" s="254"/>
      <c r="I1474" s="253"/>
      <c r="J1474" s="253"/>
      <c r="K1474" s="251"/>
      <c r="L1474" s="666"/>
      <c r="M1474" s="258"/>
      <c r="N1474" s="257"/>
      <c r="O1474" s="258"/>
      <c r="P1474" s="257"/>
      <c r="Q1474" s="258"/>
      <c r="R1474" s="257"/>
      <c r="S1474" s="258"/>
      <c r="T1474" s="257"/>
      <c r="U1474" s="258"/>
      <c r="V1474" s="257"/>
      <c r="W1474" s="258"/>
      <c r="X1474" s="257"/>
      <c r="Y1474" s="258"/>
      <c r="Z1474" s="257"/>
    </row>
    <row r="1475" spans="1:26" ht="15">
      <c r="A1475" s="250"/>
      <c r="B1475" s="251"/>
      <c r="C1475" s="540"/>
      <c r="D1475" s="292"/>
      <c r="E1475" s="251"/>
      <c r="F1475" s="252"/>
      <c r="G1475" s="253"/>
      <c r="H1475" s="254"/>
      <c r="I1475" s="253"/>
      <c r="J1475" s="253"/>
      <c r="K1475" s="251"/>
      <c r="L1475" s="666"/>
      <c r="M1475" s="258"/>
      <c r="N1475" s="257"/>
      <c r="O1475" s="258"/>
      <c r="P1475" s="257"/>
      <c r="Q1475" s="258"/>
      <c r="R1475" s="257"/>
      <c r="S1475" s="258"/>
      <c r="T1475" s="257"/>
      <c r="U1475" s="258"/>
      <c r="V1475" s="257"/>
      <c r="W1475" s="258"/>
      <c r="X1475" s="257"/>
      <c r="Y1475" s="258"/>
      <c r="Z1475" s="257"/>
    </row>
    <row r="1476" spans="1:26" ht="15">
      <c r="A1476" s="250">
        <f>A1473+1</f>
        <v>261</v>
      </c>
      <c r="B1476" s="251"/>
      <c r="C1476" s="532" t="s">
        <v>1996</v>
      </c>
      <c r="D1476" s="532" t="s">
        <v>1882</v>
      </c>
      <c r="E1476" s="251" t="s">
        <v>1439</v>
      </c>
      <c r="F1476" s="304">
        <f>M1476+O1476+Q1476+S1476+U1476+W1476+Y1476</f>
        <v>0</v>
      </c>
      <c r="G1476" s="253">
        <f>L1476</f>
        <v>5.3</v>
      </c>
      <c r="H1476" s="254">
        <f>F1476*G1476</f>
        <v>0</v>
      </c>
      <c r="I1476" s="253">
        <f>N1476+P1476+R1476+T1476+V1476+X1476+Z1476</f>
        <v>0</v>
      </c>
      <c r="J1476" s="253"/>
      <c r="K1476" s="251" t="s">
        <v>1439</v>
      </c>
      <c r="L1476" s="666">
        <v>5.3</v>
      </c>
      <c r="M1476" s="258">
        <v>0</v>
      </c>
      <c r="N1476" s="257">
        <f>INT($L1476*M1476*100+0.5)/100</f>
        <v>0</v>
      </c>
      <c r="O1476" s="258">
        <v>0</v>
      </c>
      <c r="P1476" s="257">
        <f>INT($L1476*O1476*100+0.5)/100</f>
        <v>0</v>
      </c>
      <c r="Q1476" s="258">
        <v>0</v>
      </c>
      <c r="R1476" s="257">
        <f>INT($L1476*Q1476*100+0.5)/100</f>
        <v>0</v>
      </c>
      <c r="S1476" s="258">
        <v>0</v>
      </c>
      <c r="T1476" s="257">
        <f>INT($L1476*S1476*100+0.5)/100</f>
        <v>0</v>
      </c>
      <c r="U1476" s="258">
        <v>0</v>
      </c>
      <c r="V1476" s="257">
        <f>INT($L1476*U1476*100+0.5)/100</f>
        <v>0</v>
      </c>
      <c r="W1476" s="258">
        <v>0</v>
      </c>
      <c r="X1476" s="257">
        <f>INT($L1476*W1476*100+0.5)/100</f>
        <v>0</v>
      </c>
      <c r="Y1476" s="258">
        <v>0</v>
      </c>
      <c r="Z1476" s="257">
        <f>INT($L1476*Y1476*100+0.5)/100</f>
        <v>0</v>
      </c>
    </row>
    <row r="1477" spans="1:26" ht="15">
      <c r="A1477" s="250"/>
      <c r="B1477" s="251"/>
      <c r="C1477" s="540"/>
      <c r="D1477" s="532" t="s">
        <v>1883</v>
      </c>
      <c r="E1477" s="251"/>
      <c r="F1477" s="252"/>
      <c r="G1477" s="253"/>
      <c r="H1477" s="254"/>
      <c r="I1477" s="253"/>
      <c r="J1477" s="253"/>
      <c r="K1477" s="251"/>
      <c r="L1477" s="666"/>
      <c r="M1477" s="258"/>
      <c r="N1477" s="257"/>
      <c r="O1477" s="258"/>
      <c r="P1477" s="257"/>
      <c r="Q1477" s="258"/>
      <c r="R1477" s="257"/>
      <c r="S1477" s="258"/>
      <c r="T1477" s="257"/>
      <c r="U1477" s="258"/>
      <c r="V1477" s="257"/>
      <c r="W1477" s="258"/>
      <c r="X1477" s="257"/>
      <c r="Y1477" s="258"/>
      <c r="Z1477" s="257"/>
    </row>
    <row r="1478" spans="1:26" ht="15">
      <c r="A1478" s="250"/>
      <c r="B1478" s="251"/>
      <c r="C1478" s="540"/>
      <c r="D1478" s="292"/>
      <c r="E1478" s="307"/>
      <c r="F1478" s="304"/>
      <c r="G1478" s="253"/>
      <c r="H1478" s="254"/>
      <c r="I1478" s="253"/>
      <c r="J1478" s="253"/>
      <c r="K1478" s="307"/>
      <c r="L1478" s="666"/>
      <c r="M1478" s="258"/>
      <c r="N1478" s="257"/>
      <c r="O1478" s="258"/>
      <c r="P1478" s="257"/>
      <c r="Q1478" s="258"/>
      <c r="R1478" s="257"/>
      <c r="S1478" s="258"/>
      <c r="T1478" s="257"/>
      <c r="U1478" s="258"/>
      <c r="V1478" s="257"/>
      <c r="W1478" s="258"/>
      <c r="X1478" s="257"/>
      <c r="Y1478" s="258"/>
      <c r="Z1478" s="257"/>
    </row>
    <row r="1479" spans="1:26" ht="15">
      <c r="A1479" s="250">
        <f>A1476+1</f>
        <v>262</v>
      </c>
      <c r="B1479" s="251"/>
      <c r="C1479" s="532" t="s">
        <v>1995</v>
      </c>
      <c r="D1479" s="532" t="s">
        <v>246</v>
      </c>
      <c r="E1479" s="251" t="s">
        <v>1439</v>
      </c>
      <c r="F1479" s="304">
        <f>M1479+O1479+Q1479+S1479+U1479+W1479+Y1479</f>
        <v>0</v>
      </c>
      <c r="G1479" s="253">
        <f>L1479</f>
        <v>26.04</v>
      </c>
      <c r="H1479" s="254">
        <f>F1479*G1479</f>
        <v>0</v>
      </c>
      <c r="I1479" s="253">
        <f>N1479+P1479+R1479+T1479+V1479+X1479+Z1479</f>
        <v>0</v>
      </c>
      <c r="J1479" s="253"/>
      <c r="K1479" s="251" t="s">
        <v>1439</v>
      </c>
      <c r="L1479" s="666">
        <v>26.04</v>
      </c>
      <c r="M1479" s="258">
        <v>0</v>
      </c>
      <c r="N1479" s="257">
        <f>INT($L1479*M1479*100+0.5)/100</f>
        <v>0</v>
      </c>
      <c r="O1479" s="258">
        <v>0</v>
      </c>
      <c r="P1479" s="257">
        <f>INT($L1479*O1479*100+0.5)/100</f>
        <v>0</v>
      </c>
      <c r="Q1479" s="258">
        <v>0</v>
      </c>
      <c r="R1479" s="257">
        <f>INT($L1479*Q1479*100+0.5)/100</f>
        <v>0</v>
      </c>
      <c r="S1479" s="258">
        <v>0</v>
      </c>
      <c r="T1479" s="257">
        <f>INT($L1479*S1479*100+0.5)/100</f>
        <v>0</v>
      </c>
      <c r="U1479" s="258">
        <v>0</v>
      </c>
      <c r="V1479" s="257">
        <f>INT($L1479*U1479*100+0.5)/100</f>
        <v>0</v>
      </c>
      <c r="W1479" s="258">
        <v>0</v>
      </c>
      <c r="X1479" s="257">
        <f>INT($L1479*W1479*100+0.5)/100</f>
        <v>0</v>
      </c>
      <c r="Y1479" s="258">
        <v>0</v>
      </c>
      <c r="Z1479" s="257">
        <f>INT($L1479*Y1479*100+0.5)/100</f>
        <v>0</v>
      </c>
    </row>
    <row r="1480" spans="1:26" ht="15">
      <c r="A1480" s="250"/>
      <c r="B1480" s="251"/>
      <c r="C1480" s="540"/>
      <c r="D1480" s="532" t="s">
        <v>245</v>
      </c>
      <c r="E1480" s="251"/>
      <c r="F1480" s="252"/>
      <c r="G1480" s="253"/>
      <c r="H1480" s="254"/>
      <c r="I1480" s="253"/>
      <c r="J1480" s="253"/>
      <c r="K1480" s="251"/>
      <c r="L1480" s="666"/>
      <c r="M1480" s="258"/>
      <c r="N1480" s="257"/>
      <c r="O1480" s="258"/>
      <c r="P1480" s="257"/>
      <c r="Q1480" s="258"/>
      <c r="R1480" s="257"/>
      <c r="S1480" s="258"/>
      <c r="T1480" s="257"/>
      <c r="U1480" s="258"/>
      <c r="V1480" s="257"/>
      <c r="W1480" s="258"/>
      <c r="X1480" s="257"/>
      <c r="Y1480" s="258"/>
      <c r="Z1480" s="257"/>
    </row>
    <row r="1481" spans="1:26" ht="15">
      <c r="A1481" s="250"/>
      <c r="B1481" s="251"/>
      <c r="C1481" s="540"/>
      <c r="D1481" s="292"/>
      <c r="E1481" s="251"/>
      <c r="F1481" s="252"/>
      <c r="G1481" s="253"/>
      <c r="H1481" s="254"/>
      <c r="I1481" s="253"/>
      <c r="J1481" s="253"/>
      <c r="K1481" s="251"/>
      <c r="L1481" s="666"/>
      <c r="M1481" s="258"/>
      <c r="N1481" s="257"/>
      <c r="O1481" s="258"/>
      <c r="P1481" s="257"/>
      <c r="Q1481" s="258"/>
      <c r="R1481" s="257"/>
      <c r="S1481" s="258"/>
      <c r="T1481" s="257"/>
      <c r="U1481" s="258"/>
      <c r="V1481" s="257"/>
      <c r="W1481" s="258"/>
      <c r="X1481" s="257"/>
      <c r="Y1481" s="258"/>
      <c r="Z1481" s="257"/>
    </row>
    <row r="1482" spans="1:26" ht="15">
      <c r="A1482" s="250">
        <f>A1479+1</f>
        <v>263</v>
      </c>
      <c r="B1482" s="251"/>
      <c r="C1482" s="532" t="s">
        <v>1994</v>
      </c>
      <c r="D1482" s="532" t="s">
        <v>248</v>
      </c>
      <c r="E1482" s="251" t="s">
        <v>1439</v>
      </c>
      <c r="F1482" s="304">
        <f>M1482+O1482+Q1482+S1482+U1482+W1482+Y1482</f>
        <v>0</v>
      </c>
      <c r="G1482" s="253">
        <f>L1482</f>
        <v>20.87</v>
      </c>
      <c r="H1482" s="254">
        <f>F1482*G1482</f>
        <v>0</v>
      </c>
      <c r="I1482" s="253">
        <f>N1482+P1482+R1482+T1482+V1482+X1482+Z1482</f>
        <v>0</v>
      </c>
      <c r="J1482" s="253"/>
      <c r="K1482" s="251" t="s">
        <v>1439</v>
      </c>
      <c r="L1482" s="666">
        <v>20.87</v>
      </c>
      <c r="M1482" s="258">
        <v>0</v>
      </c>
      <c r="N1482" s="257">
        <f>INT($L1482*M1482*100+0.5)/100</f>
        <v>0</v>
      </c>
      <c r="O1482" s="258">
        <v>0</v>
      </c>
      <c r="P1482" s="257">
        <f>INT($L1482*O1482*100+0.5)/100</f>
        <v>0</v>
      </c>
      <c r="Q1482" s="258">
        <v>0</v>
      </c>
      <c r="R1482" s="257">
        <f>INT($L1482*Q1482*100+0.5)/100</f>
        <v>0</v>
      </c>
      <c r="S1482" s="258">
        <v>0</v>
      </c>
      <c r="T1482" s="257">
        <f>INT($L1482*S1482*100+0.5)/100</f>
        <v>0</v>
      </c>
      <c r="U1482" s="258">
        <v>0</v>
      </c>
      <c r="V1482" s="257">
        <f>INT($L1482*U1482*100+0.5)/100</f>
        <v>0</v>
      </c>
      <c r="W1482" s="258">
        <v>0</v>
      </c>
      <c r="X1482" s="257">
        <f>INT($L1482*W1482*100+0.5)/100</f>
        <v>0</v>
      </c>
      <c r="Y1482" s="258">
        <v>0</v>
      </c>
      <c r="Z1482" s="257">
        <f>INT($L1482*Y1482*100+0.5)/100</f>
        <v>0</v>
      </c>
    </row>
    <row r="1483" spans="1:26" ht="15">
      <c r="A1483" s="250"/>
      <c r="B1483" s="251"/>
      <c r="C1483" s="540"/>
      <c r="D1483" s="532" t="s">
        <v>247</v>
      </c>
      <c r="E1483" s="251"/>
      <c r="F1483" s="252"/>
      <c r="G1483" s="253"/>
      <c r="H1483" s="254"/>
      <c r="I1483" s="253"/>
      <c r="J1483" s="253"/>
      <c r="K1483" s="251"/>
      <c r="L1483" s="666"/>
      <c r="M1483" s="258"/>
      <c r="N1483" s="257"/>
      <c r="O1483" s="258"/>
      <c r="P1483" s="257"/>
      <c r="Q1483" s="258"/>
      <c r="R1483" s="257"/>
      <c r="S1483" s="258"/>
      <c r="T1483" s="257"/>
      <c r="U1483" s="258"/>
      <c r="V1483" s="257"/>
      <c r="W1483" s="258"/>
      <c r="X1483" s="257"/>
      <c r="Y1483" s="258"/>
      <c r="Z1483" s="257"/>
    </row>
    <row r="1484" spans="1:26" ht="15">
      <c r="A1484" s="250"/>
      <c r="B1484" s="251"/>
      <c r="C1484" s="540"/>
      <c r="D1484" s="292"/>
      <c r="E1484" s="251"/>
      <c r="F1484" s="252"/>
      <c r="G1484" s="253"/>
      <c r="H1484" s="254"/>
      <c r="I1484" s="253"/>
      <c r="J1484" s="253"/>
      <c r="K1484" s="251"/>
      <c r="L1484" s="666"/>
      <c r="M1484" s="258"/>
      <c r="N1484" s="257"/>
      <c r="O1484" s="258"/>
      <c r="P1484" s="257"/>
      <c r="Q1484" s="258"/>
      <c r="R1484" s="257"/>
      <c r="S1484" s="258"/>
      <c r="T1484" s="257"/>
      <c r="U1484" s="258"/>
      <c r="V1484" s="257"/>
      <c r="W1484" s="258"/>
      <c r="X1484" s="257"/>
      <c r="Y1484" s="258"/>
      <c r="Z1484" s="257"/>
    </row>
    <row r="1485" spans="1:26" ht="15">
      <c r="A1485" s="250">
        <f>A1482+1</f>
        <v>264</v>
      </c>
      <c r="B1485" s="251"/>
      <c r="C1485" s="540" t="s">
        <v>582</v>
      </c>
      <c r="D1485" s="526" t="s">
        <v>2115</v>
      </c>
      <c r="E1485" s="251"/>
      <c r="F1485" s="252"/>
      <c r="G1485" s="253"/>
      <c r="H1485" s="254"/>
      <c r="I1485" s="253"/>
      <c r="J1485" s="253"/>
      <c r="K1485" s="251"/>
      <c r="L1485" s="666"/>
      <c r="M1485" s="258"/>
      <c r="N1485" s="257"/>
      <c r="O1485" s="258"/>
      <c r="P1485" s="257"/>
      <c r="Q1485" s="258"/>
      <c r="R1485" s="257"/>
      <c r="S1485" s="258"/>
      <c r="T1485" s="257"/>
      <c r="U1485" s="258"/>
      <c r="V1485" s="257"/>
      <c r="W1485" s="258"/>
      <c r="X1485" s="257"/>
      <c r="Y1485" s="258"/>
      <c r="Z1485" s="257"/>
    </row>
    <row r="1486" spans="1:26" ht="15">
      <c r="A1486" s="250"/>
      <c r="B1486" s="251"/>
      <c r="C1486" s="540"/>
      <c r="D1486" s="526" t="s">
        <v>2116</v>
      </c>
      <c r="E1486" s="251"/>
      <c r="F1486" s="252"/>
      <c r="G1486" s="253"/>
      <c r="H1486" s="254"/>
      <c r="I1486" s="253"/>
      <c r="J1486" s="253"/>
      <c r="K1486" s="251"/>
      <c r="L1486" s="666"/>
      <c r="M1486" s="258"/>
      <c r="N1486" s="257"/>
      <c r="O1486" s="258"/>
      <c r="P1486" s="257"/>
      <c r="Q1486" s="258"/>
      <c r="R1486" s="257"/>
      <c r="S1486" s="258"/>
      <c r="T1486" s="257"/>
      <c r="U1486" s="258"/>
      <c r="V1486" s="257"/>
      <c r="W1486" s="258"/>
      <c r="X1486" s="257"/>
      <c r="Y1486" s="258"/>
      <c r="Z1486" s="257"/>
    </row>
    <row r="1487" spans="1:26" ht="15">
      <c r="A1487" s="250" t="s">
        <v>1905</v>
      </c>
      <c r="B1487" s="251"/>
      <c r="C1487" s="540" t="s">
        <v>2000</v>
      </c>
      <c r="D1487" s="292" t="s">
        <v>2009</v>
      </c>
      <c r="E1487" s="251" t="s">
        <v>2475</v>
      </c>
      <c r="F1487" s="304">
        <f t="shared" ref="F1487:F1497" si="254">M1487+O1487+Q1487+S1487+U1487+W1487+Y1487</f>
        <v>0</v>
      </c>
      <c r="G1487" s="253">
        <f>L1487</f>
        <v>17.22</v>
      </c>
      <c r="H1487" s="254">
        <f t="shared" ref="H1487:H1497" si="255">F1487*G1487</f>
        <v>0</v>
      </c>
      <c r="I1487" s="253">
        <f t="shared" ref="I1487:I1497" si="256">N1487+P1487+R1487+T1487+V1487+X1487+Z1487</f>
        <v>0</v>
      </c>
      <c r="J1487" s="253"/>
      <c r="K1487" s="251" t="s">
        <v>2475</v>
      </c>
      <c r="L1487" s="666">
        <v>17.22</v>
      </c>
      <c r="M1487" s="258">
        <v>0</v>
      </c>
      <c r="N1487" s="257">
        <f t="shared" ref="N1487:N1497" si="257">INT($L1487*M1487*100+0.5)/100</f>
        <v>0</v>
      </c>
      <c r="O1487" s="258">
        <v>0</v>
      </c>
      <c r="P1487" s="257">
        <f t="shared" ref="P1487:P1497" si="258">INT($L1487*O1487*100+0.5)/100</f>
        <v>0</v>
      </c>
      <c r="Q1487" s="258">
        <v>0</v>
      </c>
      <c r="R1487" s="257">
        <f t="shared" ref="R1487:R1497" si="259">INT($L1487*Q1487*100+0.5)/100</f>
        <v>0</v>
      </c>
      <c r="S1487" s="258">
        <v>0</v>
      </c>
      <c r="T1487" s="257">
        <f t="shared" ref="T1487:T1497" si="260">INT($L1487*S1487*100+0.5)/100</f>
        <v>0</v>
      </c>
      <c r="U1487" s="258">
        <v>0</v>
      </c>
      <c r="V1487" s="257">
        <f t="shared" ref="V1487:V1497" si="261">INT($L1487*U1487*100+0.5)/100</f>
        <v>0</v>
      </c>
      <c r="W1487" s="258">
        <v>0</v>
      </c>
      <c r="X1487" s="257">
        <f t="shared" ref="X1487:X1497" si="262">INT($L1487*W1487*100+0.5)/100</f>
        <v>0</v>
      </c>
      <c r="Y1487" s="258">
        <v>0</v>
      </c>
      <c r="Z1487" s="257">
        <f t="shared" ref="Z1487:Z1497" si="263">INT($L1487*Y1487*100+0.5)/100</f>
        <v>0</v>
      </c>
    </row>
    <row r="1488" spans="1:26" ht="15">
      <c r="A1488" s="250" t="s">
        <v>1906</v>
      </c>
      <c r="B1488" s="251"/>
      <c r="C1488" s="540" t="s">
        <v>1997</v>
      </c>
      <c r="D1488" s="292" t="s">
        <v>2010</v>
      </c>
      <c r="E1488" s="251" t="s">
        <v>2475</v>
      </c>
      <c r="F1488" s="304">
        <f t="shared" si="254"/>
        <v>0</v>
      </c>
      <c r="G1488" s="253">
        <f>L1488</f>
        <v>20.07</v>
      </c>
      <c r="H1488" s="254">
        <f t="shared" si="255"/>
        <v>0</v>
      </c>
      <c r="I1488" s="253">
        <f t="shared" si="256"/>
        <v>0</v>
      </c>
      <c r="J1488" s="253"/>
      <c r="K1488" s="251" t="s">
        <v>2475</v>
      </c>
      <c r="L1488" s="666">
        <v>20.07</v>
      </c>
      <c r="M1488" s="258">
        <v>0</v>
      </c>
      <c r="N1488" s="257">
        <f t="shared" si="257"/>
        <v>0</v>
      </c>
      <c r="O1488" s="258">
        <v>0</v>
      </c>
      <c r="P1488" s="257">
        <f t="shared" si="258"/>
        <v>0</v>
      </c>
      <c r="Q1488" s="258">
        <v>0</v>
      </c>
      <c r="R1488" s="257">
        <f t="shared" si="259"/>
        <v>0</v>
      </c>
      <c r="S1488" s="258">
        <v>0</v>
      </c>
      <c r="T1488" s="257">
        <f t="shared" si="260"/>
        <v>0</v>
      </c>
      <c r="U1488" s="258">
        <v>0</v>
      </c>
      <c r="V1488" s="257">
        <f t="shared" si="261"/>
        <v>0</v>
      </c>
      <c r="W1488" s="258">
        <v>0</v>
      </c>
      <c r="X1488" s="257">
        <f t="shared" si="262"/>
        <v>0</v>
      </c>
      <c r="Y1488" s="258">
        <v>0</v>
      </c>
      <c r="Z1488" s="257">
        <f t="shared" si="263"/>
        <v>0</v>
      </c>
    </row>
    <row r="1489" spans="1:26" ht="15">
      <c r="A1489" s="250" t="s">
        <v>1907</v>
      </c>
      <c r="B1489" s="251"/>
      <c r="C1489" s="540" t="s">
        <v>1998</v>
      </c>
      <c r="D1489" s="292" t="s">
        <v>2011</v>
      </c>
      <c r="E1489" s="251" t="s">
        <v>2475</v>
      </c>
      <c r="F1489" s="304">
        <f t="shared" si="254"/>
        <v>0</v>
      </c>
      <c r="G1489" s="253">
        <f t="shared" ref="G1489:G1546" si="264">L1489</f>
        <v>22.6</v>
      </c>
      <c r="H1489" s="254">
        <f t="shared" si="255"/>
        <v>0</v>
      </c>
      <c r="I1489" s="253">
        <f t="shared" si="256"/>
        <v>0</v>
      </c>
      <c r="J1489" s="253"/>
      <c r="K1489" s="251" t="s">
        <v>2475</v>
      </c>
      <c r="L1489" s="666">
        <v>22.6</v>
      </c>
      <c r="M1489" s="258">
        <v>0</v>
      </c>
      <c r="N1489" s="257">
        <f t="shared" si="257"/>
        <v>0</v>
      </c>
      <c r="O1489" s="258">
        <v>0</v>
      </c>
      <c r="P1489" s="257">
        <f t="shared" si="258"/>
        <v>0</v>
      </c>
      <c r="Q1489" s="258">
        <v>0</v>
      </c>
      <c r="R1489" s="257">
        <f t="shared" si="259"/>
        <v>0</v>
      </c>
      <c r="S1489" s="258">
        <v>0</v>
      </c>
      <c r="T1489" s="257">
        <f t="shared" si="260"/>
        <v>0</v>
      </c>
      <c r="U1489" s="258">
        <v>0</v>
      </c>
      <c r="V1489" s="257">
        <f t="shared" si="261"/>
        <v>0</v>
      </c>
      <c r="W1489" s="258">
        <v>0</v>
      </c>
      <c r="X1489" s="257">
        <f t="shared" si="262"/>
        <v>0</v>
      </c>
      <c r="Y1489" s="258">
        <v>0</v>
      </c>
      <c r="Z1489" s="257">
        <f t="shared" si="263"/>
        <v>0</v>
      </c>
    </row>
    <row r="1490" spans="1:26" ht="15">
      <c r="A1490" s="250" t="s">
        <v>542</v>
      </c>
      <c r="B1490" s="251"/>
      <c r="C1490" s="540" t="s">
        <v>1999</v>
      </c>
      <c r="D1490" s="292" t="s">
        <v>2012</v>
      </c>
      <c r="E1490" s="251" t="s">
        <v>2475</v>
      </c>
      <c r="F1490" s="304">
        <f t="shared" si="254"/>
        <v>0</v>
      </c>
      <c r="G1490" s="253">
        <f t="shared" si="264"/>
        <v>27.1</v>
      </c>
      <c r="H1490" s="254">
        <f t="shared" si="255"/>
        <v>0</v>
      </c>
      <c r="I1490" s="253">
        <f t="shared" si="256"/>
        <v>0</v>
      </c>
      <c r="J1490" s="253"/>
      <c r="K1490" s="251" t="s">
        <v>2475</v>
      </c>
      <c r="L1490" s="666">
        <v>27.1</v>
      </c>
      <c r="M1490" s="258">
        <v>0</v>
      </c>
      <c r="N1490" s="257">
        <f t="shared" si="257"/>
        <v>0</v>
      </c>
      <c r="O1490" s="258">
        <v>0</v>
      </c>
      <c r="P1490" s="257">
        <f t="shared" si="258"/>
        <v>0</v>
      </c>
      <c r="Q1490" s="258">
        <v>0</v>
      </c>
      <c r="R1490" s="257">
        <f t="shared" si="259"/>
        <v>0</v>
      </c>
      <c r="S1490" s="258">
        <v>0</v>
      </c>
      <c r="T1490" s="257">
        <f t="shared" si="260"/>
        <v>0</v>
      </c>
      <c r="U1490" s="258">
        <v>0</v>
      </c>
      <c r="V1490" s="257">
        <f t="shared" si="261"/>
        <v>0</v>
      </c>
      <c r="W1490" s="258">
        <v>0</v>
      </c>
      <c r="X1490" s="257">
        <f t="shared" si="262"/>
        <v>0</v>
      </c>
      <c r="Y1490" s="258">
        <v>0</v>
      </c>
      <c r="Z1490" s="257">
        <f t="shared" si="263"/>
        <v>0</v>
      </c>
    </row>
    <row r="1491" spans="1:26" ht="15">
      <c r="A1491" s="250" t="s">
        <v>543</v>
      </c>
      <c r="B1491" s="251"/>
      <c r="C1491" s="540" t="s">
        <v>2001</v>
      </c>
      <c r="D1491" s="292" t="s">
        <v>2013</v>
      </c>
      <c r="E1491" s="251" t="s">
        <v>2475</v>
      </c>
      <c r="F1491" s="304">
        <f t="shared" si="254"/>
        <v>0</v>
      </c>
      <c r="G1491" s="253">
        <f t="shared" si="264"/>
        <v>35.44</v>
      </c>
      <c r="H1491" s="254">
        <f t="shared" si="255"/>
        <v>0</v>
      </c>
      <c r="I1491" s="253">
        <f t="shared" si="256"/>
        <v>0</v>
      </c>
      <c r="J1491" s="253"/>
      <c r="K1491" s="251" t="s">
        <v>2475</v>
      </c>
      <c r="L1491" s="666">
        <v>35.44</v>
      </c>
      <c r="M1491" s="258">
        <v>0</v>
      </c>
      <c r="N1491" s="257">
        <f t="shared" si="257"/>
        <v>0</v>
      </c>
      <c r="O1491" s="258">
        <v>0</v>
      </c>
      <c r="P1491" s="257">
        <f t="shared" si="258"/>
        <v>0</v>
      </c>
      <c r="Q1491" s="258">
        <v>0</v>
      </c>
      <c r="R1491" s="257">
        <f t="shared" si="259"/>
        <v>0</v>
      </c>
      <c r="S1491" s="258">
        <v>0</v>
      </c>
      <c r="T1491" s="257">
        <f t="shared" si="260"/>
        <v>0</v>
      </c>
      <c r="U1491" s="258">
        <v>0</v>
      </c>
      <c r="V1491" s="257">
        <f t="shared" si="261"/>
        <v>0</v>
      </c>
      <c r="W1491" s="258">
        <v>0</v>
      </c>
      <c r="X1491" s="257">
        <f t="shared" si="262"/>
        <v>0</v>
      </c>
      <c r="Y1491" s="258">
        <v>0</v>
      </c>
      <c r="Z1491" s="257">
        <f t="shared" si="263"/>
        <v>0</v>
      </c>
    </row>
    <row r="1492" spans="1:26" ht="15">
      <c r="A1492" s="250" t="s">
        <v>544</v>
      </c>
      <c r="B1492" s="251"/>
      <c r="C1492" s="540" t="s">
        <v>2002</v>
      </c>
      <c r="D1492" s="292" t="s">
        <v>2014</v>
      </c>
      <c r="E1492" s="251" t="s">
        <v>2475</v>
      </c>
      <c r="F1492" s="304">
        <f t="shared" si="254"/>
        <v>0</v>
      </c>
      <c r="G1492" s="253">
        <f t="shared" si="264"/>
        <v>45.05</v>
      </c>
      <c r="H1492" s="254">
        <f t="shared" si="255"/>
        <v>0</v>
      </c>
      <c r="I1492" s="253">
        <f t="shared" si="256"/>
        <v>0</v>
      </c>
      <c r="J1492" s="253"/>
      <c r="K1492" s="251" t="s">
        <v>2475</v>
      </c>
      <c r="L1492" s="666">
        <v>45.05</v>
      </c>
      <c r="M1492" s="258">
        <v>0</v>
      </c>
      <c r="N1492" s="257">
        <f t="shared" si="257"/>
        <v>0</v>
      </c>
      <c r="O1492" s="258">
        <v>0</v>
      </c>
      <c r="P1492" s="257">
        <f t="shared" si="258"/>
        <v>0</v>
      </c>
      <c r="Q1492" s="258">
        <v>0</v>
      </c>
      <c r="R1492" s="257">
        <f t="shared" si="259"/>
        <v>0</v>
      </c>
      <c r="S1492" s="258">
        <v>0</v>
      </c>
      <c r="T1492" s="257">
        <f t="shared" si="260"/>
        <v>0</v>
      </c>
      <c r="U1492" s="258">
        <v>0</v>
      </c>
      <c r="V1492" s="257">
        <f t="shared" si="261"/>
        <v>0</v>
      </c>
      <c r="W1492" s="258">
        <v>0</v>
      </c>
      <c r="X1492" s="257">
        <f t="shared" si="262"/>
        <v>0</v>
      </c>
      <c r="Y1492" s="258">
        <v>0</v>
      </c>
      <c r="Z1492" s="257">
        <f t="shared" si="263"/>
        <v>0</v>
      </c>
    </row>
    <row r="1493" spans="1:26" ht="15">
      <c r="A1493" s="250" t="s">
        <v>545</v>
      </c>
      <c r="B1493" s="251"/>
      <c r="C1493" s="540" t="s">
        <v>2003</v>
      </c>
      <c r="D1493" s="292" t="s">
        <v>2008</v>
      </c>
      <c r="E1493" s="251" t="s">
        <v>2475</v>
      </c>
      <c r="F1493" s="304">
        <f t="shared" si="254"/>
        <v>0</v>
      </c>
      <c r="G1493" s="253">
        <f t="shared" si="264"/>
        <v>51.35</v>
      </c>
      <c r="H1493" s="254">
        <f t="shared" si="255"/>
        <v>0</v>
      </c>
      <c r="I1493" s="253">
        <f t="shared" si="256"/>
        <v>0</v>
      </c>
      <c r="J1493" s="253"/>
      <c r="K1493" s="251" t="s">
        <v>2475</v>
      </c>
      <c r="L1493" s="666">
        <v>51.35</v>
      </c>
      <c r="M1493" s="258">
        <v>0</v>
      </c>
      <c r="N1493" s="257">
        <f t="shared" si="257"/>
        <v>0</v>
      </c>
      <c r="O1493" s="258">
        <v>0</v>
      </c>
      <c r="P1493" s="257">
        <f t="shared" si="258"/>
        <v>0</v>
      </c>
      <c r="Q1493" s="258">
        <v>0</v>
      </c>
      <c r="R1493" s="257">
        <f t="shared" si="259"/>
        <v>0</v>
      </c>
      <c r="S1493" s="258">
        <v>0</v>
      </c>
      <c r="T1493" s="257">
        <f t="shared" si="260"/>
        <v>0</v>
      </c>
      <c r="U1493" s="258">
        <v>0</v>
      </c>
      <c r="V1493" s="257">
        <f t="shared" si="261"/>
        <v>0</v>
      </c>
      <c r="W1493" s="258">
        <v>0</v>
      </c>
      <c r="X1493" s="257">
        <f t="shared" si="262"/>
        <v>0</v>
      </c>
      <c r="Y1493" s="258">
        <v>0</v>
      </c>
      <c r="Z1493" s="257">
        <f t="shared" si="263"/>
        <v>0</v>
      </c>
    </row>
    <row r="1494" spans="1:26" ht="15">
      <c r="A1494" s="250" t="s">
        <v>2105</v>
      </c>
      <c r="B1494" s="251"/>
      <c r="C1494" s="540" t="s">
        <v>2004</v>
      </c>
      <c r="D1494" s="292" t="s">
        <v>2015</v>
      </c>
      <c r="E1494" s="251" t="s">
        <v>2475</v>
      </c>
      <c r="F1494" s="304">
        <f t="shared" si="254"/>
        <v>0</v>
      </c>
      <c r="G1494" s="253">
        <f t="shared" si="264"/>
        <v>61.61</v>
      </c>
      <c r="H1494" s="254">
        <f t="shared" si="255"/>
        <v>0</v>
      </c>
      <c r="I1494" s="253">
        <f t="shared" si="256"/>
        <v>0</v>
      </c>
      <c r="J1494" s="253"/>
      <c r="K1494" s="251" t="s">
        <v>2475</v>
      </c>
      <c r="L1494" s="666">
        <v>61.61</v>
      </c>
      <c r="M1494" s="258">
        <v>0</v>
      </c>
      <c r="N1494" s="257">
        <f t="shared" si="257"/>
        <v>0</v>
      </c>
      <c r="O1494" s="258">
        <v>0</v>
      </c>
      <c r="P1494" s="257">
        <f t="shared" si="258"/>
        <v>0</v>
      </c>
      <c r="Q1494" s="258">
        <v>0</v>
      </c>
      <c r="R1494" s="257">
        <f t="shared" si="259"/>
        <v>0</v>
      </c>
      <c r="S1494" s="258">
        <v>0</v>
      </c>
      <c r="T1494" s="257">
        <f t="shared" si="260"/>
        <v>0</v>
      </c>
      <c r="U1494" s="258">
        <v>0</v>
      </c>
      <c r="V1494" s="257">
        <f t="shared" si="261"/>
        <v>0</v>
      </c>
      <c r="W1494" s="258">
        <v>0</v>
      </c>
      <c r="X1494" s="257">
        <f t="shared" si="262"/>
        <v>0</v>
      </c>
      <c r="Y1494" s="258">
        <v>0</v>
      </c>
      <c r="Z1494" s="257">
        <f t="shared" si="263"/>
        <v>0</v>
      </c>
    </row>
    <row r="1495" spans="1:26" ht="15">
      <c r="A1495" s="250" t="s">
        <v>2106</v>
      </c>
      <c r="B1495" s="251"/>
      <c r="C1495" s="540" t="s">
        <v>2005</v>
      </c>
      <c r="D1495" s="292" t="s">
        <v>2016</v>
      </c>
      <c r="E1495" s="251" t="s">
        <v>2475</v>
      </c>
      <c r="F1495" s="304">
        <f t="shared" si="254"/>
        <v>0</v>
      </c>
      <c r="G1495" s="253">
        <f t="shared" si="264"/>
        <v>76.180000000000007</v>
      </c>
      <c r="H1495" s="254">
        <f t="shared" si="255"/>
        <v>0</v>
      </c>
      <c r="I1495" s="253">
        <f t="shared" si="256"/>
        <v>0</v>
      </c>
      <c r="J1495" s="253"/>
      <c r="K1495" s="251" t="s">
        <v>2475</v>
      </c>
      <c r="L1495" s="666">
        <v>76.180000000000007</v>
      </c>
      <c r="M1495" s="258">
        <v>0</v>
      </c>
      <c r="N1495" s="257">
        <f t="shared" si="257"/>
        <v>0</v>
      </c>
      <c r="O1495" s="258">
        <v>0</v>
      </c>
      <c r="P1495" s="257">
        <f t="shared" si="258"/>
        <v>0</v>
      </c>
      <c r="Q1495" s="258">
        <v>0</v>
      </c>
      <c r="R1495" s="257">
        <f t="shared" si="259"/>
        <v>0</v>
      </c>
      <c r="S1495" s="258">
        <v>0</v>
      </c>
      <c r="T1495" s="257">
        <f t="shared" si="260"/>
        <v>0</v>
      </c>
      <c r="U1495" s="258">
        <v>0</v>
      </c>
      <c r="V1495" s="257">
        <f t="shared" si="261"/>
        <v>0</v>
      </c>
      <c r="W1495" s="258">
        <v>0</v>
      </c>
      <c r="X1495" s="257">
        <f t="shared" si="262"/>
        <v>0</v>
      </c>
      <c r="Y1495" s="258">
        <v>0</v>
      </c>
      <c r="Z1495" s="257">
        <f t="shared" si="263"/>
        <v>0</v>
      </c>
    </row>
    <row r="1496" spans="1:26" ht="15">
      <c r="A1496" s="250" t="s">
        <v>583</v>
      </c>
      <c r="B1496" s="251"/>
      <c r="C1496" s="540" t="s">
        <v>2006</v>
      </c>
      <c r="D1496" s="292" t="s">
        <v>2017</v>
      </c>
      <c r="E1496" s="251" t="s">
        <v>2475</v>
      </c>
      <c r="F1496" s="304">
        <f t="shared" si="254"/>
        <v>0</v>
      </c>
      <c r="G1496" s="253">
        <f t="shared" si="264"/>
        <v>111.95</v>
      </c>
      <c r="H1496" s="254">
        <f t="shared" si="255"/>
        <v>0</v>
      </c>
      <c r="I1496" s="253">
        <f t="shared" si="256"/>
        <v>0</v>
      </c>
      <c r="J1496" s="253"/>
      <c r="K1496" s="251" t="s">
        <v>2475</v>
      </c>
      <c r="L1496" s="666">
        <v>111.95</v>
      </c>
      <c r="M1496" s="258">
        <v>0</v>
      </c>
      <c r="N1496" s="257">
        <f t="shared" si="257"/>
        <v>0</v>
      </c>
      <c r="O1496" s="258">
        <v>0</v>
      </c>
      <c r="P1496" s="257">
        <f t="shared" si="258"/>
        <v>0</v>
      </c>
      <c r="Q1496" s="258">
        <v>0</v>
      </c>
      <c r="R1496" s="257">
        <f t="shared" si="259"/>
        <v>0</v>
      </c>
      <c r="S1496" s="258">
        <v>0</v>
      </c>
      <c r="T1496" s="257">
        <f t="shared" si="260"/>
        <v>0</v>
      </c>
      <c r="U1496" s="258">
        <v>0</v>
      </c>
      <c r="V1496" s="257">
        <f t="shared" si="261"/>
        <v>0</v>
      </c>
      <c r="W1496" s="258">
        <v>0</v>
      </c>
      <c r="X1496" s="257">
        <f t="shared" si="262"/>
        <v>0</v>
      </c>
      <c r="Y1496" s="258">
        <v>0</v>
      </c>
      <c r="Z1496" s="257">
        <f t="shared" si="263"/>
        <v>0</v>
      </c>
    </row>
    <row r="1497" spans="1:26" ht="15">
      <c r="A1497" s="250" t="s">
        <v>2475</v>
      </c>
      <c r="B1497" s="251"/>
      <c r="C1497" s="540" t="s">
        <v>2007</v>
      </c>
      <c r="D1497" s="292" t="s">
        <v>2018</v>
      </c>
      <c r="E1497" s="251" t="s">
        <v>2475</v>
      </c>
      <c r="F1497" s="304">
        <f t="shared" si="254"/>
        <v>0</v>
      </c>
      <c r="G1497" s="253">
        <f t="shared" si="264"/>
        <v>147.06</v>
      </c>
      <c r="H1497" s="254">
        <f t="shared" si="255"/>
        <v>0</v>
      </c>
      <c r="I1497" s="253">
        <f t="shared" si="256"/>
        <v>0</v>
      </c>
      <c r="J1497" s="253"/>
      <c r="K1497" s="251" t="s">
        <v>2475</v>
      </c>
      <c r="L1497" s="666">
        <v>147.06</v>
      </c>
      <c r="M1497" s="258">
        <v>0</v>
      </c>
      <c r="N1497" s="257">
        <f t="shared" si="257"/>
        <v>0</v>
      </c>
      <c r="O1497" s="258">
        <v>0</v>
      </c>
      <c r="P1497" s="257">
        <f t="shared" si="258"/>
        <v>0</v>
      </c>
      <c r="Q1497" s="258">
        <v>0</v>
      </c>
      <c r="R1497" s="257">
        <f t="shared" si="259"/>
        <v>0</v>
      </c>
      <c r="S1497" s="258">
        <v>0</v>
      </c>
      <c r="T1497" s="257">
        <f t="shared" si="260"/>
        <v>0</v>
      </c>
      <c r="U1497" s="258">
        <v>0</v>
      </c>
      <c r="V1497" s="257">
        <f t="shared" si="261"/>
        <v>0</v>
      </c>
      <c r="W1497" s="258">
        <v>0</v>
      </c>
      <c r="X1497" s="257">
        <f t="shared" si="262"/>
        <v>0</v>
      </c>
      <c r="Y1497" s="258">
        <v>0</v>
      </c>
      <c r="Z1497" s="257">
        <f t="shared" si="263"/>
        <v>0</v>
      </c>
    </row>
    <row r="1498" spans="1:26" ht="15">
      <c r="A1498" s="250"/>
      <c r="B1498" s="251"/>
      <c r="C1498" s="540"/>
      <c r="D1498" s="292"/>
      <c r="E1498" s="251"/>
      <c r="F1498" s="252"/>
      <c r="G1498" s="253"/>
      <c r="H1498" s="254"/>
      <c r="I1498" s="253"/>
      <c r="J1498" s="253"/>
      <c r="K1498" s="251"/>
      <c r="L1498" s="666"/>
      <c r="M1498" s="258"/>
      <c r="N1498" s="257"/>
      <c r="O1498" s="258"/>
      <c r="P1498" s="257"/>
      <c r="Q1498" s="258"/>
      <c r="R1498" s="257"/>
      <c r="S1498" s="258"/>
      <c r="T1498" s="257"/>
      <c r="U1498" s="258"/>
      <c r="V1498" s="257"/>
      <c r="W1498" s="258"/>
      <c r="X1498" s="257"/>
      <c r="Y1498" s="258"/>
      <c r="Z1498" s="257"/>
    </row>
    <row r="1499" spans="1:26" ht="15">
      <c r="A1499" s="250">
        <f>A1485+1</f>
        <v>265</v>
      </c>
      <c r="B1499" s="251"/>
      <c r="C1499" s="540" t="s">
        <v>594</v>
      </c>
      <c r="D1499" s="526" t="s">
        <v>2117</v>
      </c>
      <c r="E1499" s="251"/>
      <c r="F1499" s="252"/>
      <c r="G1499" s="253"/>
      <c r="H1499" s="254"/>
      <c r="I1499" s="253"/>
      <c r="J1499" s="253"/>
      <c r="K1499" s="251"/>
      <c r="L1499" s="666"/>
      <c r="M1499" s="258"/>
      <c r="N1499" s="257"/>
      <c r="O1499" s="258"/>
      <c r="P1499" s="257"/>
      <c r="Q1499" s="258"/>
      <c r="R1499" s="257"/>
      <c r="S1499" s="258"/>
      <c r="T1499" s="257"/>
      <c r="U1499" s="258"/>
      <c r="V1499" s="257"/>
      <c r="W1499" s="258"/>
      <c r="X1499" s="257"/>
      <c r="Y1499" s="258"/>
      <c r="Z1499" s="257"/>
    </row>
    <row r="1500" spans="1:26" ht="15">
      <c r="A1500" s="250"/>
      <c r="B1500" s="251"/>
      <c r="C1500" s="540"/>
      <c r="D1500" s="526" t="s">
        <v>2118</v>
      </c>
      <c r="E1500" s="251"/>
      <c r="F1500" s="252"/>
      <c r="G1500" s="253"/>
      <c r="H1500" s="254"/>
      <c r="I1500" s="253"/>
      <c r="J1500" s="253"/>
      <c r="K1500" s="251"/>
      <c r="L1500" s="666"/>
      <c r="M1500" s="258"/>
      <c r="N1500" s="257"/>
      <c r="O1500" s="258"/>
      <c r="P1500" s="257"/>
      <c r="Q1500" s="258"/>
      <c r="R1500" s="257"/>
      <c r="S1500" s="258"/>
      <c r="T1500" s="257"/>
      <c r="U1500" s="258"/>
      <c r="V1500" s="257"/>
      <c r="W1500" s="258"/>
      <c r="X1500" s="257"/>
      <c r="Y1500" s="258"/>
      <c r="Z1500" s="257"/>
    </row>
    <row r="1501" spans="1:26" ht="15.75" customHeight="1">
      <c r="A1501" s="250" t="s">
        <v>1905</v>
      </c>
      <c r="B1501" s="251"/>
      <c r="C1501" s="540" t="s">
        <v>193</v>
      </c>
      <c r="D1501" s="292" t="s">
        <v>2009</v>
      </c>
      <c r="E1501" s="251" t="s">
        <v>1901</v>
      </c>
      <c r="F1501" s="304">
        <f t="shared" ref="F1501:F1511" si="265">M1501+O1501+Q1501+S1501+U1501+W1501+Y1501</f>
        <v>0</v>
      </c>
      <c r="G1501" s="253">
        <f t="shared" si="264"/>
        <v>18</v>
      </c>
      <c r="H1501" s="254">
        <f>F1501*G1501</f>
        <v>0</v>
      </c>
      <c r="I1501" s="253">
        <f t="shared" ref="I1501:I1511" si="266">N1501+P1501+R1501+T1501+V1501+X1501+Z1501</f>
        <v>0</v>
      </c>
      <c r="J1501" s="253"/>
      <c r="K1501" s="251" t="s">
        <v>1901</v>
      </c>
      <c r="L1501" s="666">
        <v>18</v>
      </c>
      <c r="M1501" s="258">
        <v>0</v>
      </c>
      <c r="N1501" s="257">
        <f t="shared" ref="N1501:N1511" si="267">INT($L1501*M1501*100+0.5)/100</f>
        <v>0</v>
      </c>
      <c r="O1501" s="258">
        <v>0</v>
      </c>
      <c r="P1501" s="257">
        <f t="shared" ref="P1501:P1511" si="268">INT($L1501*O1501*100+0.5)/100</f>
        <v>0</v>
      </c>
      <c r="Q1501" s="258">
        <v>0</v>
      </c>
      <c r="R1501" s="257">
        <f t="shared" ref="R1501:R1511" si="269">INT($L1501*Q1501*100+0.5)/100</f>
        <v>0</v>
      </c>
      <c r="S1501" s="258">
        <v>0</v>
      </c>
      <c r="T1501" s="257">
        <f t="shared" ref="T1501:T1511" si="270">INT($L1501*S1501*100+0.5)/100</f>
        <v>0</v>
      </c>
      <c r="U1501" s="258">
        <v>0</v>
      </c>
      <c r="V1501" s="257">
        <f t="shared" ref="V1501:V1511" si="271">INT($L1501*U1501*100+0.5)/100</f>
        <v>0</v>
      </c>
      <c r="W1501" s="258">
        <v>0</v>
      </c>
      <c r="X1501" s="257">
        <f t="shared" ref="X1501:X1511" si="272">INT($L1501*W1501*100+0.5)/100</f>
        <v>0</v>
      </c>
      <c r="Y1501" s="258">
        <v>0</v>
      </c>
      <c r="Z1501" s="257">
        <f t="shared" ref="Z1501:Z1511" si="273">INT($L1501*Y1501*100+0.5)/100</f>
        <v>0</v>
      </c>
    </row>
    <row r="1502" spans="1:26" ht="15.75" customHeight="1">
      <c r="A1502" s="250" t="s">
        <v>1906</v>
      </c>
      <c r="B1502" s="251"/>
      <c r="C1502" s="540" t="s">
        <v>2019</v>
      </c>
      <c r="D1502" s="292" t="s">
        <v>2010</v>
      </c>
      <c r="E1502" s="251" t="s">
        <v>1901</v>
      </c>
      <c r="F1502" s="304">
        <f t="shared" si="265"/>
        <v>0</v>
      </c>
      <c r="G1502" s="253">
        <f t="shared" si="264"/>
        <v>28</v>
      </c>
      <c r="H1502" s="254">
        <f>F1502*G1502</f>
        <v>0</v>
      </c>
      <c r="I1502" s="253">
        <f t="shared" si="266"/>
        <v>0</v>
      </c>
      <c r="J1502" s="253"/>
      <c r="K1502" s="251" t="s">
        <v>1901</v>
      </c>
      <c r="L1502" s="666">
        <v>28</v>
      </c>
      <c r="M1502" s="258">
        <v>0</v>
      </c>
      <c r="N1502" s="257">
        <f t="shared" si="267"/>
        <v>0</v>
      </c>
      <c r="O1502" s="258">
        <v>0</v>
      </c>
      <c r="P1502" s="257">
        <f t="shared" si="268"/>
        <v>0</v>
      </c>
      <c r="Q1502" s="258">
        <v>0</v>
      </c>
      <c r="R1502" s="257">
        <f t="shared" si="269"/>
        <v>0</v>
      </c>
      <c r="S1502" s="258">
        <v>0</v>
      </c>
      <c r="T1502" s="257">
        <f t="shared" si="270"/>
        <v>0</v>
      </c>
      <c r="U1502" s="258">
        <v>0</v>
      </c>
      <c r="V1502" s="257">
        <f t="shared" si="271"/>
        <v>0</v>
      </c>
      <c r="W1502" s="258">
        <v>0</v>
      </c>
      <c r="X1502" s="257">
        <f t="shared" si="272"/>
        <v>0</v>
      </c>
      <c r="Y1502" s="258">
        <v>0</v>
      </c>
      <c r="Z1502" s="257">
        <f t="shared" si="273"/>
        <v>0</v>
      </c>
    </row>
    <row r="1503" spans="1:26" ht="15.75" customHeight="1">
      <c r="A1503" s="250" t="s">
        <v>1907</v>
      </c>
      <c r="B1503" s="251"/>
      <c r="C1503" s="540" t="s">
        <v>194</v>
      </c>
      <c r="D1503" s="292" t="s">
        <v>2011</v>
      </c>
      <c r="E1503" s="251" t="s">
        <v>1901</v>
      </c>
      <c r="F1503" s="304">
        <f t="shared" si="265"/>
        <v>0</v>
      </c>
      <c r="G1503" s="253">
        <f t="shared" si="264"/>
        <v>35</v>
      </c>
      <c r="H1503" s="254">
        <f>F1503*G1503</f>
        <v>0</v>
      </c>
      <c r="I1503" s="253">
        <f t="shared" si="266"/>
        <v>0</v>
      </c>
      <c r="J1503" s="253"/>
      <c r="K1503" s="251" t="s">
        <v>1901</v>
      </c>
      <c r="L1503" s="666">
        <v>35</v>
      </c>
      <c r="M1503" s="258">
        <v>0</v>
      </c>
      <c r="N1503" s="257">
        <f t="shared" si="267"/>
        <v>0</v>
      </c>
      <c r="O1503" s="258">
        <v>0</v>
      </c>
      <c r="P1503" s="257">
        <f t="shared" si="268"/>
        <v>0</v>
      </c>
      <c r="Q1503" s="258">
        <v>0</v>
      </c>
      <c r="R1503" s="257">
        <f t="shared" si="269"/>
        <v>0</v>
      </c>
      <c r="S1503" s="258">
        <v>0</v>
      </c>
      <c r="T1503" s="257">
        <f t="shared" si="270"/>
        <v>0</v>
      </c>
      <c r="U1503" s="258">
        <v>0</v>
      </c>
      <c r="V1503" s="257">
        <f t="shared" si="271"/>
        <v>0</v>
      </c>
      <c r="W1503" s="258">
        <v>0</v>
      </c>
      <c r="X1503" s="257">
        <f t="shared" si="272"/>
        <v>0</v>
      </c>
      <c r="Y1503" s="258">
        <v>0</v>
      </c>
      <c r="Z1503" s="257">
        <f t="shared" si="273"/>
        <v>0</v>
      </c>
    </row>
    <row r="1504" spans="1:26" ht="15.75" customHeight="1">
      <c r="A1504" s="250" t="s">
        <v>542</v>
      </c>
      <c r="B1504" s="251"/>
      <c r="C1504" s="540" t="s">
        <v>195</v>
      </c>
      <c r="D1504" s="292" t="s">
        <v>2012</v>
      </c>
      <c r="E1504" s="251" t="s">
        <v>1901</v>
      </c>
      <c r="F1504" s="304">
        <f t="shared" si="265"/>
        <v>0</v>
      </c>
      <c r="G1504" s="253">
        <f t="shared" si="264"/>
        <v>35</v>
      </c>
      <c r="H1504" s="254">
        <f>F1504*G1504</f>
        <v>0</v>
      </c>
      <c r="I1504" s="253">
        <f t="shared" si="266"/>
        <v>0</v>
      </c>
      <c r="J1504" s="253"/>
      <c r="K1504" s="251" t="s">
        <v>1901</v>
      </c>
      <c r="L1504" s="666">
        <v>35</v>
      </c>
      <c r="M1504" s="258">
        <v>0</v>
      </c>
      <c r="N1504" s="257">
        <f t="shared" si="267"/>
        <v>0</v>
      </c>
      <c r="O1504" s="258">
        <v>0</v>
      </c>
      <c r="P1504" s="257">
        <f t="shared" si="268"/>
        <v>0</v>
      </c>
      <c r="Q1504" s="258">
        <v>0</v>
      </c>
      <c r="R1504" s="257">
        <f t="shared" si="269"/>
        <v>0</v>
      </c>
      <c r="S1504" s="258">
        <v>0</v>
      </c>
      <c r="T1504" s="257">
        <f t="shared" si="270"/>
        <v>0</v>
      </c>
      <c r="U1504" s="258">
        <v>0</v>
      </c>
      <c r="V1504" s="257">
        <f t="shared" si="271"/>
        <v>0</v>
      </c>
      <c r="W1504" s="258">
        <v>0</v>
      </c>
      <c r="X1504" s="257">
        <f t="shared" si="272"/>
        <v>0</v>
      </c>
      <c r="Y1504" s="258">
        <v>0</v>
      </c>
      <c r="Z1504" s="257">
        <f t="shared" si="273"/>
        <v>0</v>
      </c>
    </row>
    <row r="1505" spans="1:26" ht="15.75" customHeight="1">
      <c r="A1505" s="250" t="s">
        <v>543</v>
      </c>
      <c r="B1505" s="251"/>
      <c r="C1505" s="540" t="s">
        <v>196</v>
      </c>
      <c r="D1505" s="292" t="s">
        <v>2013</v>
      </c>
      <c r="E1505" s="251" t="s">
        <v>1901</v>
      </c>
      <c r="F1505" s="304">
        <f t="shared" si="265"/>
        <v>0</v>
      </c>
      <c r="G1505" s="253">
        <f t="shared" si="264"/>
        <v>49.25</v>
      </c>
      <c r="H1505" s="254">
        <f t="shared" ref="H1505:H1511" si="274">F1505*G1505</f>
        <v>0</v>
      </c>
      <c r="I1505" s="253">
        <f t="shared" si="266"/>
        <v>0</v>
      </c>
      <c r="J1505" s="253"/>
      <c r="K1505" s="251" t="s">
        <v>1901</v>
      </c>
      <c r="L1505" s="666">
        <v>49.25</v>
      </c>
      <c r="M1505" s="258">
        <v>0</v>
      </c>
      <c r="N1505" s="257">
        <f t="shared" si="267"/>
        <v>0</v>
      </c>
      <c r="O1505" s="258">
        <v>0</v>
      </c>
      <c r="P1505" s="257">
        <f t="shared" si="268"/>
        <v>0</v>
      </c>
      <c r="Q1505" s="258">
        <v>0</v>
      </c>
      <c r="R1505" s="257">
        <f t="shared" si="269"/>
        <v>0</v>
      </c>
      <c r="S1505" s="258">
        <v>0</v>
      </c>
      <c r="T1505" s="257">
        <f t="shared" si="270"/>
        <v>0</v>
      </c>
      <c r="U1505" s="258">
        <v>0</v>
      </c>
      <c r="V1505" s="257">
        <f t="shared" si="271"/>
        <v>0</v>
      </c>
      <c r="W1505" s="258">
        <v>0</v>
      </c>
      <c r="X1505" s="257">
        <f t="shared" si="272"/>
        <v>0</v>
      </c>
      <c r="Y1505" s="258">
        <v>0</v>
      </c>
      <c r="Z1505" s="257">
        <f t="shared" si="273"/>
        <v>0</v>
      </c>
    </row>
    <row r="1506" spans="1:26" ht="15.75" customHeight="1">
      <c r="A1506" s="250" t="s">
        <v>544</v>
      </c>
      <c r="B1506" s="251"/>
      <c r="C1506" s="540" t="s">
        <v>197</v>
      </c>
      <c r="D1506" s="292" t="s">
        <v>2014</v>
      </c>
      <c r="E1506" s="251" t="s">
        <v>1901</v>
      </c>
      <c r="F1506" s="304">
        <f t="shared" si="265"/>
        <v>0</v>
      </c>
      <c r="G1506" s="253">
        <f t="shared" si="264"/>
        <v>80</v>
      </c>
      <c r="H1506" s="254">
        <f t="shared" si="274"/>
        <v>0</v>
      </c>
      <c r="I1506" s="253">
        <f t="shared" si="266"/>
        <v>0</v>
      </c>
      <c r="J1506" s="253"/>
      <c r="K1506" s="251" t="s">
        <v>1901</v>
      </c>
      <c r="L1506" s="666">
        <v>80</v>
      </c>
      <c r="M1506" s="258">
        <v>0</v>
      </c>
      <c r="N1506" s="257">
        <f t="shared" si="267"/>
        <v>0</v>
      </c>
      <c r="O1506" s="258">
        <v>0</v>
      </c>
      <c r="P1506" s="257">
        <f t="shared" si="268"/>
        <v>0</v>
      </c>
      <c r="Q1506" s="258">
        <v>0</v>
      </c>
      <c r="R1506" s="257">
        <f t="shared" si="269"/>
        <v>0</v>
      </c>
      <c r="S1506" s="258">
        <v>0</v>
      </c>
      <c r="T1506" s="257">
        <f t="shared" si="270"/>
        <v>0</v>
      </c>
      <c r="U1506" s="258">
        <v>0</v>
      </c>
      <c r="V1506" s="257">
        <f t="shared" si="271"/>
        <v>0</v>
      </c>
      <c r="W1506" s="258">
        <v>0</v>
      </c>
      <c r="X1506" s="257">
        <f t="shared" si="272"/>
        <v>0</v>
      </c>
      <c r="Y1506" s="258">
        <v>0</v>
      </c>
      <c r="Z1506" s="257">
        <f t="shared" si="273"/>
        <v>0</v>
      </c>
    </row>
    <row r="1507" spans="1:26" ht="15.75" customHeight="1">
      <c r="A1507" s="250" t="s">
        <v>545</v>
      </c>
      <c r="B1507" s="251"/>
      <c r="C1507" s="540" t="s">
        <v>198</v>
      </c>
      <c r="D1507" s="292" t="s">
        <v>2008</v>
      </c>
      <c r="E1507" s="251" t="s">
        <v>1901</v>
      </c>
      <c r="F1507" s="304">
        <f t="shared" si="265"/>
        <v>0</v>
      </c>
      <c r="G1507" s="253">
        <f t="shared" si="264"/>
        <v>71.34</v>
      </c>
      <c r="H1507" s="254">
        <f t="shared" si="274"/>
        <v>0</v>
      </c>
      <c r="I1507" s="253">
        <f t="shared" si="266"/>
        <v>0</v>
      </c>
      <c r="J1507" s="253"/>
      <c r="K1507" s="251" t="s">
        <v>1901</v>
      </c>
      <c r="L1507" s="666">
        <v>71.34</v>
      </c>
      <c r="M1507" s="258">
        <v>0</v>
      </c>
      <c r="N1507" s="257">
        <f t="shared" si="267"/>
        <v>0</v>
      </c>
      <c r="O1507" s="258">
        <v>0</v>
      </c>
      <c r="P1507" s="257">
        <f t="shared" si="268"/>
        <v>0</v>
      </c>
      <c r="Q1507" s="258">
        <v>0</v>
      </c>
      <c r="R1507" s="257">
        <f t="shared" si="269"/>
        <v>0</v>
      </c>
      <c r="S1507" s="258">
        <v>0</v>
      </c>
      <c r="T1507" s="257">
        <f t="shared" si="270"/>
        <v>0</v>
      </c>
      <c r="U1507" s="258">
        <v>0</v>
      </c>
      <c r="V1507" s="257">
        <f t="shared" si="271"/>
        <v>0</v>
      </c>
      <c r="W1507" s="258">
        <v>0</v>
      </c>
      <c r="X1507" s="257">
        <f t="shared" si="272"/>
        <v>0</v>
      </c>
      <c r="Y1507" s="258">
        <v>0</v>
      </c>
      <c r="Z1507" s="257">
        <f t="shared" si="273"/>
        <v>0</v>
      </c>
    </row>
    <row r="1508" spans="1:26" ht="15.75" customHeight="1">
      <c r="A1508" s="250" t="s">
        <v>2105</v>
      </c>
      <c r="B1508" s="251"/>
      <c r="C1508" s="540" t="s">
        <v>199</v>
      </c>
      <c r="D1508" s="292" t="s">
        <v>2015</v>
      </c>
      <c r="E1508" s="251" t="s">
        <v>1901</v>
      </c>
      <c r="F1508" s="304">
        <f t="shared" si="265"/>
        <v>0</v>
      </c>
      <c r="G1508" s="253">
        <f t="shared" si="264"/>
        <v>85.59</v>
      </c>
      <c r="H1508" s="254">
        <f t="shared" si="274"/>
        <v>0</v>
      </c>
      <c r="I1508" s="253">
        <f t="shared" si="266"/>
        <v>0</v>
      </c>
      <c r="J1508" s="253"/>
      <c r="K1508" s="251" t="s">
        <v>1901</v>
      </c>
      <c r="L1508" s="666">
        <v>85.59</v>
      </c>
      <c r="M1508" s="258">
        <v>0</v>
      </c>
      <c r="N1508" s="257">
        <f t="shared" si="267"/>
        <v>0</v>
      </c>
      <c r="O1508" s="258">
        <v>0</v>
      </c>
      <c r="P1508" s="257">
        <f t="shared" si="268"/>
        <v>0</v>
      </c>
      <c r="Q1508" s="258">
        <v>0</v>
      </c>
      <c r="R1508" s="257">
        <f t="shared" si="269"/>
        <v>0</v>
      </c>
      <c r="S1508" s="258">
        <v>0</v>
      </c>
      <c r="T1508" s="257">
        <f t="shared" si="270"/>
        <v>0</v>
      </c>
      <c r="U1508" s="258">
        <v>0</v>
      </c>
      <c r="V1508" s="257">
        <f t="shared" si="271"/>
        <v>0</v>
      </c>
      <c r="W1508" s="258">
        <v>0</v>
      </c>
      <c r="X1508" s="257">
        <f t="shared" si="272"/>
        <v>0</v>
      </c>
      <c r="Y1508" s="258">
        <v>0</v>
      </c>
      <c r="Z1508" s="257">
        <f t="shared" si="273"/>
        <v>0</v>
      </c>
    </row>
    <row r="1509" spans="1:26" ht="15.75" customHeight="1">
      <c r="A1509" s="250" t="s">
        <v>2106</v>
      </c>
      <c r="B1509" s="251"/>
      <c r="C1509" s="540" t="s">
        <v>200</v>
      </c>
      <c r="D1509" s="292" t="s">
        <v>2016</v>
      </c>
      <c r="E1509" s="251" t="s">
        <v>1901</v>
      </c>
      <c r="F1509" s="304">
        <f t="shared" si="265"/>
        <v>0</v>
      </c>
      <c r="G1509" s="253">
        <f t="shared" si="264"/>
        <v>105.84</v>
      </c>
      <c r="H1509" s="254">
        <f t="shared" si="274"/>
        <v>0</v>
      </c>
      <c r="I1509" s="253">
        <f t="shared" si="266"/>
        <v>0</v>
      </c>
      <c r="J1509" s="253"/>
      <c r="K1509" s="251" t="s">
        <v>1901</v>
      </c>
      <c r="L1509" s="666">
        <v>105.84</v>
      </c>
      <c r="M1509" s="258">
        <v>0</v>
      </c>
      <c r="N1509" s="257">
        <f t="shared" si="267"/>
        <v>0</v>
      </c>
      <c r="O1509" s="258">
        <v>0</v>
      </c>
      <c r="P1509" s="257">
        <f t="shared" si="268"/>
        <v>0</v>
      </c>
      <c r="Q1509" s="258">
        <v>0</v>
      </c>
      <c r="R1509" s="257">
        <f t="shared" si="269"/>
        <v>0</v>
      </c>
      <c r="S1509" s="258">
        <v>0</v>
      </c>
      <c r="T1509" s="257">
        <f t="shared" si="270"/>
        <v>0</v>
      </c>
      <c r="U1509" s="258">
        <v>0</v>
      </c>
      <c r="V1509" s="257">
        <f t="shared" si="271"/>
        <v>0</v>
      </c>
      <c r="W1509" s="258">
        <v>0</v>
      </c>
      <c r="X1509" s="257">
        <f t="shared" si="272"/>
        <v>0</v>
      </c>
      <c r="Y1509" s="258">
        <v>0</v>
      </c>
      <c r="Z1509" s="257">
        <f t="shared" si="273"/>
        <v>0</v>
      </c>
    </row>
    <row r="1510" spans="1:26" ht="15.75" customHeight="1">
      <c r="A1510" s="250" t="s">
        <v>583</v>
      </c>
      <c r="B1510" s="251"/>
      <c r="C1510" s="540" t="s">
        <v>201</v>
      </c>
      <c r="D1510" s="292" t="s">
        <v>2017</v>
      </c>
      <c r="E1510" s="251" t="s">
        <v>1901</v>
      </c>
      <c r="F1510" s="304">
        <f t="shared" si="265"/>
        <v>0</v>
      </c>
      <c r="G1510" s="253">
        <f t="shared" si="264"/>
        <v>130</v>
      </c>
      <c r="H1510" s="254">
        <f t="shared" si="274"/>
        <v>0</v>
      </c>
      <c r="I1510" s="253">
        <f t="shared" si="266"/>
        <v>0</v>
      </c>
      <c r="J1510" s="253"/>
      <c r="K1510" s="251" t="s">
        <v>1901</v>
      </c>
      <c r="L1510" s="666">
        <v>130</v>
      </c>
      <c r="M1510" s="258">
        <v>0</v>
      </c>
      <c r="N1510" s="257">
        <f t="shared" si="267"/>
        <v>0</v>
      </c>
      <c r="O1510" s="258">
        <v>0</v>
      </c>
      <c r="P1510" s="257">
        <f t="shared" si="268"/>
        <v>0</v>
      </c>
      <c r="Q1510" s="258">
        <v>0</v>
      </c>
      <c r="R1510" s="257">
        <f t="shared" si="269"/>
        <v>0</v>
      </c>
      <c r="S1510" s="258">
        <v>0</v>
      </c>
      <c r="T1510" s="257">
        <f t="shared" si="270"/>
        <v>0</v>
      </c>
      <c r="U1510" s="258">
        <v>0</v>
      </c>
      <c r="V1510" s="257">
        <f t="shared" si="271"/>
        <v>0</v>
      </c>
      <c r="W1510" s="258">
        <v>0</v>
      </c>
      <c r="X1510" s="257">
        <f t="shared" si="272"/>
        <v>0</v>
      </c>
      <c r="Y1510" s="258">
        <v>0</v>
      </c>
      <c r="Z1510" s="257">
        <f t="shared" si="273"/>
        <v>0</v>
      </c>
    </row>
    <row r="1511" spans="1:26" ht="15.75" customHeight="1">
      <c r="A1511" s="250" t="s">
        <v>2475</v>
      </c>
      <c r="B1511" s="251"/>
      <c r="C1511" s="540" t="s">
        <v>202</v>
      </c>
      <c r="D1511" s="292" t="s">
        <v>2018</v>
      </c>
      <c r="E1511" s="251" t="s">
        <v>1901</v>
      </c>
      <c r="F1511" s="304">
        <f t="shared" si="265"/>
        <v>0</v>
      </c>
      <c r="G1511" s="253">
        <f t="shared" si="264"/>
        <v>170</v>
      </c>
      <c r="H1511" s="254">
        <f t="shared" si="274"/>
        <v>0</v>
      </c>
      <c r="I1511" s="253">
        <f t="shared" si="266"/>
        <v>0</v>
      </c>
      <c r="J1511" s="253"/>
      <c r="K1511" s="251" t="s">
        <v>1901</v>
      </c>
      <c r="L1511" s="666">
        <v>170</v>
      </c>
      <c r="M1511" s="258">
        <v>0</v>
      </c>
      <c r="N1511" s="257">
        <f t="shared" si="267"/>
        <v>0</v>
      </c>
      <c r="O1511" s="258">
        <v>0</v>
      </c>
      <c r="P1511" s="257">
        <f t="shared" si="268"/>
        <v>0</v>
      </c>
      <c r="Q1511" s="258">
        <v>0</v>
      </c>
      <c r="R1511" s="257">
        <f t="shared" si="269"/>
        <v>0</v>
      </c>
      <c r="S1511" s="258">
        <v>0</v>
      </c>
      <c r="T1511" s="257">
        <f t="shared" si="270"/>
        <v>0</v>
      </c>
      <c r="U1511" s="258">
        <v>0</v>
      </c>
      <c r="V1511" s="257">
        <f t="shared" si="271"/>
        <v>0</v>
      </c>
      <c r="W1511" s="258">
        <v>0</v>
      </c>
      <c r="X1511" s="257">
        <f t="shared" si="272"/>
        <v>0</v>
      </c>
      <c r="Y1511" s="258">
        <v>0</v>
      </c>
      <c r="Z1511" s="257">
        <f t="shared" si="273"/>
        <v>0</v>
      </c>
    </row>
    <row r="1512" spans="1:26" ht="15.75" customHeight="1">
      <c r="A1512" s="250"/>
      <c r="B1512" s="251"/>
      <c r="C1512" s="540"/>
      <c r="D1512" s="529"/>
      <c r="E1512" s="251"/>
      <c r="F1512" s="252"/>
      <c r="G1512" s="253"/>
      <c r="H1512" s="254"/>
      <c r="I1512" s="253"/>
      <c r="J1512" s="253"/>
      <c r="K1512" s="251"/>
      <c r="L1512" s="666"/>
      <c r="M1512" s="258"/>
      <c r="N1512" s="257"/>
      <c r="O1512" s="258"/>
      <c r="P1512" s="257"/>
      <c r="Q1512" s="258"/>
      <c r="R1512" s="257"/>
      <c r="S1512" s="258"/>
      <c r="T1512" s="257"/>
      <c r="U1512" s="258"/>
      <c r="V1512" s="257"/>
      <c r="W1512" s="258"/>
      <c r="X1512" s="257"/>
      <c r="Y1512" s="258"/>
      <c r="Z1512" s="257"/>
    </row>
    <row r="1513" spans="1:26" ht="15.75" customHeight="1">
      <c r="A1513" s="250">
        <f>A1499+1</f>
        <v>266</v>
      </c>
      <c r="B1513" s="251"/>
      <c r="C1513" s="540" t="s">
        <v>595</v>
      </c>
      <c r="D1513" s="526" t="s">
        <v>447</v>
      </c>
      <c r="E1513" s="251"/>
      <c r="F1513" s="252"/>
      <c r="G1513" s="253"/>
      <c r="H1513" s="254"/>
      <c r="I1513" s="253"/>
      <c r="J1513" s="253"/>
      <c r="K1513" s="251"/>
      <c r="L1513" s="666"/>
      <c r="M1513" s="258"/>
      <c r="N1513" s="257"/>
      <c r="O1513" s="258"/>
      <c r="P1513" s="257"/>
      <c r="Q1513" s="258"/>
      <c r="R1513" s="257"/>
      <c r="S1513" s="258"/>
      <c r="T1513" s="257"/>
      <c r="U1513" s="258"/>
      <c r="V1513" s="257"/>
      <c r="W1513" s="258"/>
      <c r="X1513" s="257"/>
      <c r="Y1513" s="258"/>
      <c r="Z1513" s="257"/>
    </row>
    <row r="1514" spans="1:26" ht="15.75" customHeight="1">
      <c r="A1514" s="250"/>
      <c r="B1514" s="251"/>
      <c r="C1514" s="540"/>
      <c r="D1514" s="526" t="s">
        <v>2119</v>
      </c>
      <c r="E1514" s="251"/>
      <c r="F1514" s="252"/>
      <c r="G1514" s="253"/>
      <c r="H1514" s="254"/>
      <c r="I1514" s="253"/>
      <c r="J1514" s="253"/>
      <c r="K1514" s="251"/>
      <c r="L1514" s="666"/>
      <c r="M1514" s="258"/>
      <c r="N1514" s="257"/>
      <c r="O1514" s="258"/>
      <c r="P1514" s="257"/>
      <c r="Q1514" s="258"/>
      <c r="R1514" s="257"/>
      <c r="S1514" s="258"/>
      <c r="T1514" s="257"/>
      <c r="U1514" s="258"/>
      <c r="V1514" s="257"/>
      <c r="W1514" s="258"/>
      <c r="X1514" s="257"/>
      <c r="Y1514" s="258"/>
      <c r="Z1514" s="257"/>
    </row>
    <row r="1515" spans="1:26" ht="15.75" customHeight="1">
      <c r="A1515" s="250" t="s">
        <v>1903</v>
      </c>
      <c r="B1515" s="251"/>
      <c r="C1515" s="540" t="s">
        <v>203</v>
      </c>
      <c r="D1515" s="292" t="s">
        <v>2013</v>
      </c>
      <c r="E1515" s="251" t="s">
        <v>1901</v>
      </c>
      <c r="F1515" s="304">
        <f t="shared" ref="F1515:F1521" si="275">M1515+O1515+Q1515+S1515+U1515+W1515+Y1515</f>
        <v>0</v>
      </c>
      <c r="G1515" s="253">
        <f t="shared" si="264"/>
        <v>65.66</v>
      </c>
      <c r="H1515" s="254">
        <f>F1515*G1515</f>
        <v>0</v>
      </c>
      <c r="I1515" s="253">
        <f t="shared" ref="I1515:I1521" si="276">N1515+P1515+R1515+T1515+V1515+X1515+Z1515</f>
        <v>0</v>
      </c>
      <c r="J1515" s="253"/>
      <c r="K1515" s="251" t="s">
        <v>1901</v>
      </c>
      <c r="L1515" s="666">
        <v>65.66</v>
      </c>
      <c r="M1515" s="258">
        <v>0</v>
      </c>
      <c r="N1515" s="257">
        <f t="shared" ref="N1515:N1521" si="277">INT($L1515*M1515*100+0.5)/100</f>
        <v>0</v>
      </c>
      <c r="O1515" s="258">
        <v>0</v>
      </c>
      <c r="P1515" s="257">
        <f t="shared" ref="P1515:P1521" si="278">INT($L1515*O1515*100+0.5)/100</f>
        <v>0</v>
      </c>
      <c r="Q1515" s="258">
        <v>0</v>
      </c>
      <c r="R1515" s="257">
        <f t="shared" ref="R1515:R1521" si="279">INT($L1515*Q1515*100+0.5)/100</f>
        <v>0</v>
      </c>
      <c r="S1515" s="258">
        <v>0</v>
      </c>
      <c r="T1515" s="257">
        <f t="shared" ref="T1515:T1521" si="280">INT($L1515*S1515*100+0.5)/100</f>
        <v>0</v>
      </c>
      <c r="U1515" s="258">
        <v>0</v>
      </c>
      <c r="V1515" s="257">
        <f t="shared" ref="V1515:V1521" si="281">INT($L1515*U1515*100+0.5)/100</f>
        <v>0</v>
      </c>
      <c r="W1515" s="258">
        <v>0</v>
      </c>
      <c r="X1515" s="257">
        <f t="shared" ref="X1515:X1521" si="282">INT($L1515*W1515*100+0.5)/100</f>
        <v>0</v>
      </c>
      <c r="Y1515" s="258">
        <v>0</v>
      </c>
      <c r="Z1515" s="257">
        <f t="shared" ref="Z1515:Z1521" si="283">INT($L1515*Y1515*100+0.5)/100</f>
        <v>0</v>
      </c>
    </row>
    <row r="1516" spans="1:26" ht="15.75" customHeight="1">
      <c r="A1516" s="250" t="s">
        <v>1905</v>
      </c>
      <c r="B1516" s="251"/>
      <c r="C1516" s="540" t="s">
        <v>204</v>
      </c>
      <c r="D1516" s="292" t="s">
        <v>2014</v>
      </c>
      <c r="E1516" s="251" t="s">
        <v>1901</v>
      </c>
      <c r="F1516" s="304">
        <f t="shared" si="275"/>
        <v>0</v>
      </c>
      <c r="G1516" s="253">
        <f t="shared" si="264"/>
        <v>80</v>
      </c>
      <c r="H1516" s="254">
        <f t="shared" ref="H1516:H1521" si="284">F1516*G1516</f>
        <v>0</v>
      </c>
      <c r="I1516" s="253">
        <f t="shared" si="276"/>
        <v>0</v>
      </c>
      <c r="J1516" s="253"/>
      <c r="K1516" s="251" t="s">
        <v>1901</v>
      </c>
      <c r="L1516" s="666">
        <v>80</v>
      </c>
      <c r="M1516" s="258">
        <v>0</v>
      </c>
      <c r="N1516" s="257">
        <f t="shared" si="277"/>
        <v>0</v>
      </c>
      <c r="O1516" s="258">
        <v>0</v>
      </c>
      <c r="P1516" s="257">
        <f t="shared" si="278"/>
        <v>0</v>
      </c>
      <c r="Q1516" s="258">
        <v>0</v>
      </c>
      <c r="R1516" s="257">
        <f t="shared" si="279"/>
        <v>0</v>
      </c>
      <c r="S1516" s="258">
        <v>0</v>
      </c>
      <c r="T1516" s="257">
        <f t="shared" si="280"/>
        <v>0</v>
      </c>
      <c r="U1516" s="258">
        <v>0</v>
      </c>
      <c r="V1516" s="257">
        <f t="shared" si="281"/>
        <v>0</v>
      </c>
      <c r="W1516" s="258">
        <v>0</v>
      </c>
      <c r="X1516" s="257">
        <f t="shared" si="282"/>
        <v>0</v>
      </c>
      <c r="Y1516" s="258">
        <v>0</v>
      </c>
      <c r="Z1516" s="257">
        <f t="shared" si="283"/>
        <v>0</v>
      </c>
    </row>
    <row r="1517" spans="1:26" ht="15.75" customHeight="1">
      <c r="A1517" s="250" t="s">
        <v>1906</v>
      </c>
      <c r="B1517" s="251"/>
      <c r="C1517" s="540" t="s">
        <v>205</v>
      </c>
      <c r="D1517" s="292" t="s">
        <v>2008</v>
      </c>
      <c r="E1517" s="251" t="s">
        <v>1901</v>
      </c>
      <c r="F1517" s="304">
        <f t="shared" si="275"/>
        <v>0</v>
      </c>
      <c r="G1517" s="253">
        <f t="shared" si="264"/>
        <v>95.12</v>
      </c>
      <c r="H1517" s="254">
        <f t="shared" si="284"/>
        <v>0</v>
      </c>
      <c r="I1517" s="253">
        <f t="shared" si="276"/>
        <v>0</v>
      </c>
      <c r="J1517" s="253"/>
      <c r="K1517" s="251" t="s">
        <v>1901</v>
      </c>
      <c r="L1517" s="666">
        <v>95.12</v>
      </c>
      <c r="M1517" s="258">
        <v>0</v>
      </c>
      <c r="N1517" s="257">
        <f t="shared" si="277"/>
        <v>0</v>
      </c>
      <c r="O1517" s="258">
        <v>0</v>
      </c>
      <c r="P1517" s="257">
        <f t="shared" si="278"/>
        <v>0</v>
      </c>
      <c r="Q1517" s="258">
        <v>0</v>
      </c>
      <c r="R1517" s="257">
        <f t="shared" si="279"/>
        <v>0</v>
      </c>
      <c r="S1517" s="258">
        <v>0</v>
      </c>
      <c r="T1517" s="257">
        <f t="shared" si="280"/>
        <v>0</v>
      </c>
      <c r="U1517" s="258">
        <v>0</v>
      </c>
      <c r="V1517" s="257">
        <f t="shared" si="281"/>
        <v>0</v>
      </c>
      <c r="W1517" s="258">
        <v>0</v>
      </c>
      <c r="X1517" s="257">
        <f t="shared" si="282"/>
        <v>0</v>
      </c>
      <c r="Y1517" s="258">
        <v>0</v>
      </c>
      <c r="Z1517" s="257">
        <f t="shared" si="283"/>
        <v>0</v>
      </c>
    </row>
    <row r="1518" spans="1:26" ht="15.75" customHeight="1">
      <c r="A1518" s="250" t="s">
        <v>1907</v>
      </c>
      <c r="B1518" s="251"/>
      <c r="C1518" s="540" t="s">
        <v>206</v>
      </c>
      <c r="D1518" s="292" t="s">
        <v>2015</v>
      </c>
      <c r="E1518" s="251" t="s">
        <v>1901</v>
      </c>
      <c r="F1518" s="304">
        <f t="shared" si="275"/>
        <v>0</v>
      </c>
      <c r="G1518" s="253">
        <f t="shared" si="264"/>
        <v>114.12</v>
      </c>
      <c r="H1518" s="254">
        <f t="shared" si="284"/>
        <v>0</v>
      </c>
      <c r="I1518" s="253">
        <f t="shared" si="276"/>
        <v>0</v>
      </c>
      <c r="J1518" s="253"/>
      <c r="K1518" s="251" t="s">
        <v>1901</v>
      </c>
      <c r="L1518" s="666">
        <v>114.12</v>
      </c>
      <c r="M1518" s="258">
        <v>0</v>
      </c>
      <c r="N1518" s="257">
        <f t="shared" si="277"/>
        <v>0</v>
      </c>
      <c r="O1518" s="258">
        <v>0</v>
      </c>
      <c r="P1518" s="257">
        <f t="shared" si="278"/>
        <v>0</v>
      </c>
      <c r="Q1518" s="258">
        <v>0</v>
      </c>
      <c r="R1518" s="257">
        <f t="shared" si="279"/>
        <v>0</v>
      </c>
      <c r="S1518" s="258">
        <v>0</v>
      </c>
      <c r="T1518" s="257">
        <f t="shared" si="280"/>
        <v>0</v>
      </c>
      <c r="U1518" s="258">
        <v>0</v>
      </c>
      <c r="V1518" s="257">
        <f t="shared" si="281"/>
        <v>0</v>
      </c>
      <c r="W1518" s="258">
        <v>0</v>
      </c>
      <c r="X1518" s="257">
        <f t="shared" si="282"/>
        <v>0</v>
      </c>
      <c r="Y1518" s="258">
        <v>0</v>
      </c>
      <c r="Z1518" s="257">
        <f t="shared" si="283"/>
        <v>0</v>
      </c>
    </row>
    <row r="1519" spans="1:26" ht="15.75" customHeight="1">
      <c r="A1519" s="250" t="s">
        <v>542</v>
      </c>
      <c r="B1519" s="251"/>
      <c r="C1519" s="540" t="s">
        <v>207</v>
      </c>
      <c r="D1519" s="292" t="s">
        <v>2016</v>
      </c>
      <c r="E1519" s="251" t="s">
        <v>1901</v>
      </c>
      <c r="F1519" s="304">
        <f t="shared" si="275"/>
        <v>0</v>
      </c>
      <c r="G1519" s="253">
        <f t="shared" si="264"/>
        <v>141.12</v>
      </c>
      <c r="H1519" s="254">
        <f t="shared" si="284"/>
        <v>0</v>
      </c>
      <c r="I1519" s="253">
        <f t="shared" si="276"/>
        <v>0</v>
      </c>
      <c r="J1519" s="253"/>
      <c r="K1519" s="251" t="s">
        <v>1901</v>
      </c>
      <c r="L1519" s="666">
        <v>141.12</v>
      </c>
      <c r="M1519" s="258">
        <v>0</v>
      </c>
      <c r="N1519" s="257">
        <f t="shared" si="277"/>
        <v>0</v>
      </c>
      <c r="O1519" s="258">
        <v>0</v>
      </c>
      <c r="P1519" s="257">
        <f t="shared" si="278"/>
        <v>0</v>
      </c>
      <c r="Q1519" s="258">
        <v>0</v>
      </c>
      <c r="R1519" s="257">
        <f t="shared" si="279"/>
        <v>0</v>
      </c>
      <c r="S1519" s="258">
        <v>0</v>
      </c>
      <c r="T1519" s="257">
        <f t="shared" si="280"/>
        <v>0</v>
      </c>
      <c r="U1519" s="258">
        <v>0</v>
      </c>
      <c r="V1519" s="257">
        <f t="shared" si="281"/>
        <v>0</v>
      </c>
      <c r="W1519" s="258">
        <v>0</v>
      </c>
      <c r="X1519" s="257">
        <f t="shared" si="282"/>
        <v>0</v>
      </c>
      <c r="Y1519" s="258">
        <v>0</v>
      </c>
      <c r="Z1519" s="257">
        <f t="shared" si="283"/>
        <v>0</v>
      </c>
    </row>
    <row r="1520" spans="1:26" ht="15.75" customHeight="1">
      <c r="A1520" s="250" t="s">
        <v>543</v>
      </c>
      <c r="B1520" s="251"/>
      <c r="C1520" s="540" t="s">
        <v>208</v>
      </c>
      <c r="D1520" s="292" t="s">
        <v>2017</v>
      </c>
      <c r="E1520" s="251" t="s">
        <v>1901</v>
      </c>
      <c r="F1520" s="304">
        <f t="shared" si="275"/>
        <v>0</v>
      </c>
      <c r="G1520" s="253">
        <f t="shared" si="264"/>
        <v>170</v>
      </c>
      <c r="H1520" s="254">
        <f t="shared" si="284"/>
        <v>0</v>
      </c>
      <c r="I1520" s="253">
        <f t="shared" si="276"/>
        <v>0</v>
      </c>
      <c r="J1520" s="253"/>
      <c r="K1520" s="251" t="s">
        <v>1901</v>
      </c>
      <c r="L1520" s="666">
        <v>170</v>
      </c>
      <c r="M1520" s="258">
        <v>0</v>
      </c>
      <c r="N1520" s="257">
        <f t="shared" si="277"/>
        <v>0</v>
      </c>
      <c r="O1520" s="258">
        <v>0</v>
      </c>
      <c r="P1520" s="257">
        <f t="shared" si="278"/>
        <v>0</v>
      </c>
      <c r="Q1520" s="258">
        <v>0</v>
      </c>
      <c r="R1520" s="257">
        <f t="shared" si="279"/>
        <v>0</v>
      </c>
      <c r="S1520" s="258">
        <v>0</v>
      </c>
      <c r="T1520" s="257">
        <f t="shared" si="280"/>
        <v>0</v>
      </c>
      <c r="U1520" s="258">
        <v>0</v>
      </c>
      <c r="V1520" s="257">
        <f t="shared" si="281"/>
        <v>0</v>
      </c>
      <c r="W1520" s="258">
        <v>0</v>
      </c>
      <c r="X1520" s="257">
        <f t="shared" si="282"/>
        <v>0</v>
      </c>
      <c r="Y1520" s="258">
        <v>0</v>
      </c>
      <c r="Z1520" s="257">
        <f t="shared" si="283"/>
        <v>0</v>
      </c>
    </row>
    <row r="1521" spans="1:26" ht="15.75" customHeight="1">
      <c r="A1521" s="250" t="s">
        <v>544</v>
      </c>
      <c r="B1521" s="251"/>
      <c r="C1521" s="540" t="s">
        <v>197</v>
      </c>
      <c r="D1521" s="292" t="s">
        <v>2018</v>
      </c>
      <c r="E1521" s="251" t="s">
        <v>1901</v>
      </c>
      <c r="F1521" s="304">
        <f t="shared" si="275"/>
        <v>0</v>
      </c>
      <c r="G1521" s="253">
        <f t="shared" si="264"/>
        <v>190</v>
      </c>
      <c r="H1521" s="254">
        <f t="shared" si="284"/>
        <v>0</v>
      </c>
      <c r="I1521" s="253">
        <f t="shared" si="276"/>
        <v>0</v>
      </c>
      <c r="J1521" s="253"/>
      <c r="K1521" s="251" t="s">
        <v>1901</v>
      </c>
      <c r="L1521" s="666">
        <v>190</v>
      </c>
      <c r="M1521" s="258">
        <v>0</v>
      </c>
      <c r="N1521" s="257">
        <f t="shared" si="277"/>
        <v>0</v>
      </c>
      <c r="O1521" s="258">
        <v>0</v>
      </c>
      <c r="P1521" s="257">
        <f t="shared" si="278"/>
        <v>0</v>
      </c>
      <c r="Q1521" s="258">
        <v>0</v>
      </c>
      <c r="R1521" s="257">
        <f t="shared" si="279"/>
        <v>0</v>
      </c>
      <c r="S1521" s="258">
        <v>0</v>
      </c>
      <c r="T1521" s="257">
        <f t="shared" si="280"/>
        <v>0</v>
      </c>
      <c r="U1521" s="258">
        <v>0</v>
      </c>
      <c r="V1521" s="257">
        <f t="shared" si="281"/>
        <v>0</v>
      </c>
      <c r="W1521" s="258">
        <v>0</v>
      </c>
      <c r="X1521" s="257">
        <f t="shared" si="282"/>
        <v>0</v>
      </c>
      <c r="Y1521" s="258">
        <v>0</v>
      </c>
      <c r="Z1521" s="257">
        <f t="shared" si="283"/>
        <v>0</v>
      </c>
    </row>
    <row r="1522" spans="1:26" ht="15.75" customHeight="1">
      <c r="A1522" s="250"/>
      <c r="B1522" s="251"/>
      <c r="C1522" s="540"/>
      <c r="D1522" s="292"/>
      <c r="E1522" s="251"/>
      <c r="F1522" s="252"/>
      <c r="G1522" s="253"/>
      <c r="H1522" s="254"/>
      <c r="I1522" s="253"/>
      <c r="J1522" s="253"/>
      <c r="K1522" s="251"/>
      <c r="L1522" s="666"/>
      <c r="M1522" s="258"/>
      <c r="N1522" s="257"/>
      <c r="O1522" s="258"/>
      <c r="P1522" s="257"/>
      <c r="Q1522" s="258"/>
      <c r="R1522" s="257"/>
      <c r="S1522" s="258"/>
      <c r="T1522" s="257"/>
      <c r="U1522" s="258"/>
      <c r="V1522" s="257"/>
      <c r="W1522" s="258"/>
      <c r="X1522" s="257"/>
      <c r="Y1522" s="258"/>
      <c r="Z1522" s="257"/>
    </row>
    <row r="1523" spans="1:26" ht="15" customHeight="1">
      <c r="A1523" s="250">
        <f>A1513+1</f>
        <v>267</v>
      </c>
      <c r="B1523" s="251"/>
      <c r="C1523" s="526" t="s">
        <v>2195</v>
      </c>
      <c r="D1523" s="532" t="s">
        <v>1419</v>
      </c>
      <c r="E1523" s="251" t="s">
        <v>1901</v>
      </c>
      <c r="F1523" s="304">
        <f>M1523+O1523+Q1523+S1523+U1523+W1523+Y1523</f>
        <v>0</v>
      </c>
      <c r="G1523" s="253">
        <f t="shared" si="264"/>
        <v>53.18</v>
      </c>
      <c r="H1523" s="254">
        <f>INT(F1523*G1523*100+0.5)/100</f>
        <v>0</v>
      </c>
      <c r="I1523" s="253">
        <f>N1523+P1523+R1523+T1523+V1523+X1523+Z1523</f>
        <v>0</v>
      </c>
      <c r="J1523" s="253"/>
      <c r="K1523" s="251" t="s">
        <v>1901</v>
      </c>
      <c r="L1523" s="666">
        <v>53.18</v>
      </c>
      <c r="M1523" s="258">
        <v>0</v>
      </c>
      <c r="N1523" s="257">
        <f>INT($L1523*M1523*100+0.5)/100</f>
        <v>0</v>
      </c>
      <c r="O1523" s="258">
        <v>0</v>
      </c>
      <c r="P1523" s="257">
        <f>INT($L1523*O1523*100+0.5)/100</f>
        <v>0</v>
      </c>
      <c r="Q1523" s="258">
        <v>0</v>
      </c>
      <c r="R1523" s="257">
        <f>INT($L1523*Q1523*100+0.5)/100</f>
        <v>0</v>
      </c>
      <c r="S1523" s="258">
        <v>0</v>
      </c>
      <c r="T1523" s="257">
        <f>INT($L1523*S1523*100+0.5)/100</f>
        <v>0</v>
      </c>
      <c r="U1523" s="258">
        <v>0</v>
      </c>
      <c r="V1523" s="257">
        <f>INT($L1523*U1523*100+0.5)/100</f>
        <v>0</v>
      </c>
      <c r="W1523" s="258">
        <v>0</v>
      </c>
      <c r="X1523" s="257">
        <f>INT($L1523*W1523*100+0.5)/100</f>
        <v>0</v>
      </c>
      <c r="Y1523" s="258">
        <v>0</v>
      </c>
      <c r="Z1523" s="257">
        <f>INT($L1523*Y1523*100+0.5)/100</f>
        <v>0</v>
      </c>
    </row>
    <row r="1524" spans="1:26" ht="15" customHeight="1">
      <c r="A1524" s="250"/>
      <c r="B1524" s="251"/>
      <c r="C1524" s="526"/>
      <c r="D1524" s="532" t="s">
        <v>1418</v>
      </c>
      <c r="E1524" s="251"/>
      <c r="F1524" s="252"/>
      <c r="G1524" s="253"/>
      <c r="H1524" s="254"/>
      <c r="I1524" s="253"/>
      <c r="J1524" s="253"/>
      <c r="K1524" s="251"/>
      <c r="L1524" s="261"/>
      <c r="M1524" s="258"/>
      <c r="N1524" s="257"/>
      <c r="O1524" s="258"/>
      <c r="P1524" s="257"/>
      <c r="Q1524" s="258"/>
      <c r="R1524" s="257"/>
      <c r="S1524" s="258"/>
      <c r="T1524" s="257"/>
      <c r="U1524" s="258"/>
      <c r="V1524" s="257"/>
      <c r="W1524" s="258"/>
      <c r="X1524" s="257"/>
      <c r="Y1524" s="258"/>
      <c r="Z1524" s="257"/>
    </row>
    <row r="1525" spans="1:26" ht="15" customHeight="1">
      <c r="A1525" s="250"/>
      <c r="B1525" s="251"/>
      <c r="C1525" s="526"/>
      <c r="D1525" s="532"/>
      <c r="E1525" s="251"/>
      <c r="F1525" s="252"/>
      <c r="G1525" s="253"/>
      <c r="H1525" s="254"/>
      <c r="I1525" s="253"/>
      <c r="J1525" s="253"/>
      <c r="K1525" s="251"/>
      <c r="L1525" s="261"/>
      <c r="M1525" s="258"/>
      <c r="N1525" s="257"/>
      <c r="O1525" s="258"/>
      <c r="P1525" s="257"/>
      <c r="Q1525" s="258"/>
      <c r="R1525" s="257"/>
      <c r="S1525" s="258"/>
      <c r="T1525" s="257"/>
      <c r="U1525" s="258"/>
      <c r="V1525" s="257"/>
      <c r="W1525" s="258"/>
      <c r="X1525" s="257"/>
      <c r="Y1525" s="258"/>
      <c r="Z1525" s="257"/>
    </row>
    <row r="1526" spans="1:26" s="303" customFormat="1" ht="15" customHeight="1">
      <c r="A1526" s="298"/>
      <c r="B1526" s="299"/>
      <c r="C1526" s="332">
        <v>80</v>
      </c>
      <c r="D1526" s="333" t="s">
        <v>2208</v>
      </c>
      <c r="E1526" s="299"/>
      <c r="F1526" s="301"/>
      <c r="G1526" s="273"/>
      <c r="H1526" s="273"/>
      <c r="I1526" s="272">
        <f>N1526+P1526+R1526+T1526+V1526+X1526+Z1526</f>
        <v>0</v>
      </c>
      <c r="J1526" s="269">
        <f>SUM(N1526:Z1526)</f>
        <v>0</v>
      </c>
      <c r="K1526" s="299"/>
      <c r="L1526" s="271"/>
      <c r="M1526" s="273"/>
      <c r="N1526" s="273">
        <f>SUM(N1318:N1525)</f>
        <v>0</v>
      </c>
      <c r="O1526" s="273"/>
      <c r="P1526" s="273">
        <f>SUM(P1318:P1525)</f>
        <v>0</v>
      </c>
      <c r="Q1526" s="273"/>
      <c r="R1526" s="273">
        <f>SUM(R1318:R1525)</f>
        <v>0</v>
      </c>
      <c r="S1526" s="273"/>
      <c r="T1526" s="273">
        <f>SUM(T1318:T1525)</f>
        <v>0</v>
      </c>
      <c r="U1526" s="273"/>
      <c r="V1526" s="273">
        <f>SUM(V1318:V1525)</f>
        <v>0</v>
      </c>
      <c r="W1526" s="273"/>
      <c r="X1526" s="273">
        <f>SUM(X1318:X1525)</f>
        <v>0</v>
      </c>
      <c r="Y1526" s="273"/>
      <c r="Z1526" s="273">
        <f>SUM(Z1318:Z1525)</f>
        <v>0</v>
      </c>
    </row>
    <row r="1527" spans="1:26" ht="15" customHeight="1">
      <c r="A1527" s="250"/>
      <c r="B1527" s="251"/>
      <c r="C1527" s="329"/>
      <c r="D1527" s="330"/>
      <c r="E1527" s="251"/>
      <c r="F1527" s="252"/>
      <c r="G1527" s="253"/>
      <c r="H1527" s="254"/>
      <c r="I1527" s="253"/>
      <c r="J1527" s="253"/>
      <c r="K1527" s="251"/>
      <c r="L1527" s="261"/>
      <c r="M1527" s="258"/>
      <c r="N1527" s="494">
        <f>N1526/$N$1928</f>
        <v>0</v>
      </c>
      <c r="O1527" s="258"/>
      <c r="P1527" s="257"/>
      <c r="Q1527" s="258"/>
      <c r="R1527" s="257"/>
      <c r="S1527" s="258"/>
      <c r="T1527" s="257"/>
      <c r="U1527" s="258"/>
      <c r="V1527" s="257"/>
      <c r="W1527" s="258"/>
      <c r="X1527" s="257"/>
      <c r="Y1527" s="258"/>
      <c r="Z1527" s="257"/>
    </row>
    <row r="1528" spans="1:26" ht="15" customHeight="1">
      <c r="A1528" s="250"/>
      <c r="B1528" s="251"/>
      <c r="C1528" s="329">
        <v>85</v>
      </c>
      <c r="D1528" s="330" t="s">
        <v>1582</v>
      </c>
      <c r="E1528" s="251"/>
      <c r="F1528" s="252"/>
      <c r="G1528" s="253"/>
      <c r="H1528" s="254"/>
      <c r="I1528" s="253"/>
      <c r="J1528" s="253"/>
      <c r="K1528" s="251"/>
      <c r="L1528" s="261"/>
      <c r="M1528" s="258"/>
      <c r="N1528" s="257"/>
      <c r="O1528" s="258"/>
      <c r="P1528" s="257"/>
      <c r="Q1528" s="258"/>
      <c r="R1528" s="257"/>
      <c r="S1528" s="258"/>
      <c r="T1528" s="257"/>
      <c r="U1528" s="258"/>
      <c r="V1528" s="257"/>
      <c r="W1528" s="258"/>
      <c r="X1528" s="257"/>
      <c r="Y1528" s="258"/>
      <c r="Z1528" s="257"/>
    </row>
    <row r="1529" spans="1:26" ht="15" customHeight="1">
      <c r="A1529" s="250">
        <f>A1523+1</f>
        <v>268</v>
      </c>
      <c r="B1529" s="251"/>
      <c r="C1529" s="657" t="s">
        <v>1587</v>
      </c>
      <c r="D1529" s="526" t="s">
        <v>2057</v>
      </c>
      <c r="E1529" s="251" t="s">
        <v>1898</v>
      </c>
      <c r="F1529" s="304">
        <f>M1529+O1529+Q1529+S1529+U1529+W1529+Y1529</f>
        <v>0</v>
      </c>
      <c r="G1529" s="253">
        <f t="shared" si="264"/>
        <v>0.86</v>
      </c>
      <c r="H1529" s="254">
        <f>INT(F1529*G1529*100+0.5)/100</f>
        <v>0</v>
      </c>
      <c r="I1529" s="253">
        <f>N1529+P1529+R1529+T1529+V1529+X1529+Z1529</f>
        <v>0</v>
      </c>
      <c r="J1529" s="253"/>
      <c r="K1529" s="251" t="s">
        <v>1898</v>
      </c>
      <c r="L1529" s="663">
        <v>0.86</v>
      </c>
      <c r="M1529" s="258">
        <f>M366*0.2</f>
        <v>0</v>
      </c>
      <c r="N1529" s="257">
        <f>INT($L1529*M1529*100+0.5)/100</f>
        <v>0</v>
      </c>
      <c r="O1529" s="258">
        <f>O366*0.2</f>
        <v>0</v>
      </c>
      <c r="P1529" s="257">
        <f>INT($L1529*O1529*100+0.5)/100</f>
        <v>0</v>
      </c>
      <c r="Q1529" s="258">
        <f>Q366*0.2</f>
        <v>0</v>
      </c>
      <c r="R1529" s="257">
        <f>INT($L1529*Q1529*100+0.5)/100</f>
        <v>0</v>
      </c>
      <c r="S1529" s="258">
        <f>S366*0.2</f>
        <v>0</v>
      </c>
      <c r="T1529" s="257">
        <f>INT($L1529*S1529*100+0.5)/100</f>
        <v>0</v>
      </c>
      <c r="U1529" s="258">
        <f>U366*0.2</f>
        <v>0</v>
      </c>
      <c r="V1529" s="257">
        <f>INT($L1529*U1529*100+0.5)/100</f>
        <v>0</v>
      </c>
      <c r="W1529" s="258">
        <f>W366*0.2</f>
        <v>0</v>
      </c>
      <c r="X1529" s="257">
        <f>INT($L1529*W1529*100+0.5)/100</f>
        <v>0</v>
      </c>
      <c r="Y1529" s="258">
        <f>Y366*0.2</f>
        <v>0</v>
      </c>
      <c r="Z1529" s="257">
        <f>INT($L1529*Y1529*100+0.5)/100</f>
        <v>0</v>
      </c>
    </row>
    <row r="1530" spans="1:26" ht="15" customHeight="1">
      <c r="A1530" s="250"/>
      <c r="B1530" s="251"/>
      <c r="C1530" s="647"/>
      <c r="D1530" s="526" t="s">
        <v>2058</v>
      </c>
      <c r="E1530" s="251"/>
      <c r="F1530" s="252"/>
      <c r="G1530" s="253"/>
      <c r="H1530" s="254"/>
      <c r="I1530" s="253"/>
      <c r="J1530" s="253"/>
      <c r="K1530" s="251"/>
      <c r="L1530" s="261"/>
      <c r="M1530" s="258"/>
      <c r="N1530" s="257"/>
      <c r="O1530" s="258"/>
      <c r="P1530" s="257"/>
      <c r="Q1530" s="258"/>
      <c r="R1530" s="257"/>
      <c r="S1530" s="258"/>
      <c r="T1530" s="257"/>
      <c r="U1530" s="258"/>
      <c r="V1530" s="257"/>
      <c r="W1530" s="258"/>
      <c r="X1530" s="257"/>
      <c r="Y1530" s="258"/>
      <c r="Z1530" s="257"/>
    </row>
    <row r="1531" spans="1:26" ht="15" customHeight="1">
      <c r="A1531" s="250"/>
      <c r="B1531" s="251"/>
      <c r="C1531" s="669"/>
      <c r="D1531" s="292"/>
      <c r="E1531" s="251"/>
      <c r="F1531" s="252"/>
      <c r="G1531" s="253"/>
      <c r="H1531" s="254"/>
      <c r="I1531" s="253"/>
      <c r="J1531" s="253"/>
      <c r="K1531" s="251"/>
      <c r="L1531" s="261"/>
      <c r="M1531" s="258"/>
      <c r="N1531" s="257"/>
      <c r="O1531" s="258"/>
      <c r="P1531" s="257"/>
      <c r="Q1531" s="258"/>
      <c r="R1531" s="257"/>
      <c r="S1531" s="258"/>
      <c r="T1531" s="257"/>
      <c r="U1531" s="258"/>
      <c r="V1531" s="257"/>
      <c r="W1531" s="258"/>
      <c r="X1531" s="257"/>
      <c r="Y1531" s="258"/>
      <c r="Z1531" s="257"/>
    </row>
    <row r="1532" spans="1:26" ht="15" customHeight="1">
      <c r="A1532" s="250">
        <f>A1529+1</f>
        <v>269</v>
      </c>
      <c r="B1532" s="251"/>
      <c r="C1532" s="647" t="s">
        <v>436</v>
      </c>
      <c r="D1532" s="526" t="s">
        <v>437</v>
      </c>
      <c r="E1532" s="251" t="s">
        <v>1898</v>
      </c>
      <c r="F1532" s="244">
        <f>M1532+O1532+Q1532+S1532+U1532+W1532+Y1532</f>
        <v>5689.55</v>
      </c>
      <c r="G1532" s="253">
        <f t="shared" si="264"/>
        <v>0.86</v>
      </c>
      <c r="H1532" s="254">
        <f>INT(F1532*G1532*100+0.5)/100</f>
        <v>4893.01</v>
      </c>
      <c r="I1532" s="253">
        <f>N1532+P1532+R1532+T1532+V1532+X1532+Z1532</f>
        <v>4893.01</v>
      </c>
      <c r="J1532" s="253"/>
      <c r="K1532" s="251" t="s">
        <v>1898</v>
      </c>
      <c r="L1532" s="255">
        <v>0.86</v>
      </c>
      <c r="M1532" s="258">
        <f>M386</f>
        <v>294.5</v>
      </c>
      <c r="N1532" s="257">
        <f>INT($L1532*M1532*100+0.5)/100</f>
        <v>253.27</v>
      </c>
      <c r="O1532" s="258">
        <f>O386</f>
        <v>597.20000000000005</v>
      </c>
      <c r="P1532" s="257">
        <f>INT($L1532*O1532*100+0.5)/100</f>
        <v>513.59</v>
      </c>
      <c r="Q1532" s="258">
        <f>Q386</f>
        <v>593.04999999999995</v>
      </c>
      <c r="R1532" s="257">
        <f>INT($L1532*Q1532*100+0.5)/100</f>
        <v>510.02</v>
      </c>
      <c r="S1532" s="258">
        <f>S376*0.2</f>
        <v>0</v>
      </c>
      <c r="T1532" s="257">
        <f>INT($L1532*S1532*100+0.5)/100</f>
        <v>0</v>
      </c>
      <c r="U1532" s="258">
        <f>U374</f>
        <v>4204.8</v>
      </c>
      <c r="V1532" s="257">
        <f>INT($L1532*U1532*100+0.5)/100</f>
        <v>3616.13</v>
      </c>
      <c r="W1532" s="258">
        <f>W376*0.2</f>
        <v>0</v>
      </c>
      <c r="X1532" s="257">
        <f>INT($L1532*W1532*100+0.5)/100</f>
        <v>0</v>
      </c>
      <c r="Y1532" s="258">
        <f>Y376*0.2</f>
        <v>0</v>
      </c>
      <c r="Z1532" s="257">
        <f>INT($L1532*Y1532*100+0.5)/100</f>
        <v>0</v>
      </c>
    </row>
    <row r="1533" spans="1:26" ht="15" customHeight="1">
      <c r="A1533" s="250"/>
      <c r="B1533" s="251"/>
      <c r="C1533" s="647"/>
      <c r="D1533" s="526" t="s">
        <v>438</v>
      </c>
      <c r="E1533" s="251"/>
      <c r="F1533" s="252"/>
      <c r="G1533" s="253"/>
      <c r="H1533" s="254"/>
      <c r="I1533" s="253"/>
      <c r="J1533" s="253"/>
      <c r="K1533" s="251"/>
      <c r="L1533" s="261"/>
      <c r="M1533" s="258"/>
      <c r="N1533" s="257"/>
      <c r="O1533" s="258"/>
      <c r="P1533" s="257"/>
      <c r="Q1533" s="258"/>
      <c r="R1533" s="257"/>
      <c r="S1533" s="258"/>
      <c r="T1533" s="257"/>
      <c r="U1533" s="258"/>
      <c r="V1533" s="257"/>
      <c r="W1533" s="258"/>
      <c r="X1533" s="257"/>
      <c r="Y1533" s="258"/>
      <c r="Z1533" s="257"/>
    </row>
    <row r="1534" spans="1:26" ht="15" customHeight="1">
      <c r="A1534" s="250"/>
      <c r="B1534" s="251"/>
      <c r="C1534" s="647"/>
      <c r="D1534" s="292"/>
      <c r="E1534" s="251"/>
      <c r="F1534" s="252"/>
      <c r="G1534" s="253"/>
      <c r="H1534" s="254"/>
      <c r="I1534" s="253"/>
      <c r="J1534" s="253"/>
      <c r="K1534" s="251"/>
      <c r="L1534" s="261"/>
      <c r="M1534" s="258"/>
      <c r="N1534" s="257"/>
      <c r="O1534" s="258"/>
      <c r="P1534" s="257"/>
      <c r="Q1534" s="258"/>
      <c r="R1534" s="257"/>
      <c r="S1534" s="258"/>
      <c r="T1534" s="257"/>
      <c r="U1534" s="258"/>
      <c r="V1534" s="257"/>
      <c r="W1534" s="258"/>
      <c r="X1534" s="257"/>
      <c r="Y1534" s="258"/>
      <c r="Z1534" s="257"/>
    </row>
    <row r="1535" spans="1:26" ht="25.5">
      <c r="A1535" s="250">
        <f>A1532+1</f>
        <v>270</v>
      </c>
      <c r="B1535" s="251"/>
      <c r="C1535" s="647" t="s">
        <v>850</v>
      </c>
      <c r="D1535" s="526" t="s">
        <v>2127</v>
      </c>
      <c r="E1535" s="251" t="s">
        <v>2471</v>
      </c>
      <c r="F1535" s="304">
        <f>M1535+O1535+Q1535+S1535+U1535+W1535+Y1535</f>
        <v>0</v>
      </c>
      <c r="G1535" s="253">
        <f t="shared" si="264"/>
        <v>1.71</v>
      </c>
      <c r="H1535" s="254">
        <f>INT(F1535*G1535*100+0.5)/100</f>
        <v>0</v>
      </c>
      <c r="I1535" s="253">
        <f>N1535+P1535+R1535+T1535+V1535+X1535+Z1535</f>
        <v>0</v>
      </c>
      <c r="J1535" s="253"/>
      <c r="K1535" s="251" t="s">
        <v>2471</v>
      </c>
      <c r="L1535" s="255">
        <v>1.71</v>
      </c>
      <c r="M1535" s="258">
        <f>M440*8</f>
        <v>0</v>
      </c>
      <c r="N1535" s="257">
        <f>INT($L1535*M1535*100+0.5)/100</f>
        <v>0</v>
      </c>
      <c r="O1535" s="258">
        <f>O440*8</f>
        <v>0</v>
      </c>
      <c r="P1535" s="257">
        <f>INT($L1535*O1535*100+0.5)/100</f>
        <v>0</v>
      </c>
      <c r="Q1535" s="258">
        <f>Q440*8</f>
        <v>0</v>
      </c>
      <c r="R1535" s="257">
        <f>INT($L1535*Q1535*100+0.5)/100</f>
        <v>0</v>
      </c>
      <c r="S1535" s="258">
        <f>S440*8</f>
        <v>0</v>
      </c>
      <c r="T1535" s="257">
        <f>INT($L1535*S1535*100+0.5)/100</f>
        <v>0</v>
      </c>
      <c r="U1535" s="258">
        <f>U440*8</f>
        <v>0</v>
      </c>
      <c r="V1535" s="257">
        <f>INT($L1535*U1535*100+0.5)/100</f>
        <v>0</v>
      </c>
      <c r="W1535" s="258">
        <f>W440*8</f>
        <v>0</v>
      </c>
      <c r="X1535" s="257">
        <f>INT($L1535*W1535*100+0.5)/100</f>
        <v>0</v>
      </c>
      <c r="Y1535" s="258">
        <f>Y440*8</f>
        <v>0</v>
      </c>
      <c r="Z1535" s="257">
        <f>INT($L1535*Y1535*100+0.5)/100</f>
        <v>0</v>
      </c>
    </row>
    <row r="1536" spans="1:26" ht="25.5">
      <c r="A1536" s="250"/>
      <c r="B1536" s="251"/>
      <c r="C1536" s="647"/>
      <c r="D1536" s="526" t="s">
        <v>2126</v>
      </c>
      <c r="E1536" s="251"/>
      <c r="F1536" s="252"/>
      <c r="G1536" s="253"/>
      <c r="H1536" s="254"/>
      <c r="I1536" s="253"/>
      <c r="J1536" s="253"/>
      <c r="K1536" s="251"/>
      <c r="L1536" s="261"/>
      <c r="M1536" s="258"/>
      <c r="N1536" s="257"/>
      <c r="O1536" s="258"/>
      <c r="P1536" s="257"/>
      <c r="Q1536" s="258"/>
      <c r="R1536" s="257"/>
      <c r="S1536" s="258"/>
      <c r="T1536" s="257"/>
      <c r="U1536" s="258"/>
      <c r="V1536" s="257"/>
      <c r="W1536" s="258"/>
      <c r="X1536" s="257"/>
      <c r="Y1536" s="258"/>
      <c r="Z1536" s="257"/>
    </row>
    <row r="1537" spans="1:26" ht="15" customHeight="1">
      <c r="A1537" s="250"/>
      <c r="B1537" s="251"/>
      <c r="C1537" s="647"/>
      <c r="D1537" s="292"/>
      <c r="E1537" s="251"/>
      <c r="F1537" s="252"/>
      <c r="G1537" s="253"/>
      <c r="H1537" s="254"/>
      <c r="I1537" s="253"/>
      <c r="J1537" s="253"/>
      <c r="K1537" s="251"/>
      <c r="L1537" s="261"/>
      <c r="M1537" s="258"/>
      <c r="N1537" s="257"/>
      <c r="O1537" s="258"/>
      <c r="P1537" s="257"/>
      <c r="Q1537" s="258"/>
      <c r="R1537" s="257"/>
      <c r="S1537" s="258"/>
      <c r="T1537" s="257"/>
      <c r="U1537" s="258"/>
      <c r="V1537" s="257"/>
      <c r="W1537" s="258"/>
      <c r="X1537" s="257"/>
      <c r="Y1537" s="258"/>
      <c r="Z1537" s="257"/>
    </row>
    <row r="1538" spans="1:26" ht="25.5">
      <c r="A1538" s="250">
        <f>A1535+1</f>
        <v>271</v>
      </c>
      <c r="B1538" s="251"/>
      <c r="C1538" s="647" t="s">
        <v>2196</v>
      </c>
      <c r="D1538" s="526" t="s">
        <v>2129</v>
      </c>
      <c r="E1538" s="251" t="s">
        <v>2471</v>
      </c>
      <c r="F1538" s="252"/>
      <c r="G1538" s="253"/>
      <c r="H1538" s="254"/>
      <c r="I1538" s="253"/>
      <c r="J1538" s="253"/>
      <c r="K1538" s="251" t="s">
        <v>2471</v>
      </c>
      <c r="L1538" s="255"/>
      <c r="M1538" s="258"/>
      <c r="N1538" s="257"/>
      <c r="O1538" s="258"/>
      <c r="P1538" s="257"/>
      <c r="Q1538" s="258"/>
      <c r="R1538" s="257"/>
      <c r="S1538" s="258"/>
      <c r="T1538" s="257"/>
      <c r="U1538" s="258"/>
      <c r="V1538" s="257"/>
      <c r="W1538" s="258"/>
      <c r="X1538" s="257"/>
      <c r="Y1538" s="258"/>
      <c r="Z1538" s="257"/>
    </row>
    <row r="1539" spans="1:26" ht="25.5">
      <c r="A1539" s="250"/>
      <c r="B1539" s="251"/>
      <c r="C1539" s="647"/>
      <c r="D1539" s="526" t="s">
        <v>2128</v>
      </c>
      <c r="E1539" s="251"/>
      <c r="F1539" s="252"/>
      <c r="G1539" s="253"/>
      <c r="H1539" s="254"/>
      <c r="I1539" s="253"/>
      <c r="J1539" s="253"/>
      <c r="K1539" s="251"/>
      <c r="L1539" s="261"/>
      <c r="M1539" s="258"/>
      <c r="N1539" s="257"/>
      <c r="O1539" s="258"/>
      <c r="P1539" s="257"/>
      <c r="Q1539" s="258"/>
      <c r="R1539" s="257"/>
      <c r="S1539" s="258"/>
      <c r="T1539" s="257"/>
      <c r="U1539" s="258"/>
      <c r="V1539" s="257"/>
      <c r="W1539" s="258"/>
      <c r="X1539" s="257"/>
      <c r="Y1539" s="258"/>
      <c r="Z1539" s="257"/>
    </row>
    <row r="1540" spans="1:26" ht="15" customHeight="1">
      <c r="A1540" s="250"/>
      <c r="B1540" s="251"/>
      <c r="C1540" s="648"/>
      <c r="D1540" s="292" t="s">
        <v>993</v>
      </c>
      <c r="E1540" s="251"/>
      <c r="F1540" s="252"/>
      <c r="H1540" s="254"/>
      <c r="I1540" s="253"/>
      <c r="J1540" s="253"/>
      <c r="K1540" s="251"/>
      <c r="L1540" s="255"/>
      <c r="M1540" s="258">
        <f>(172-10.5)*(0.5)*8</f>
        <v>646</v>
      </c>
      <c r="N1540" s="257"/>
      <c r="O1540" s="258"/>
      <c r="P1540" s="257"/>
      <c r="Q1540" s="258">
        <f>(172-10.5)*(0.85)*8</f>
        <v>1098.2</v>
      </c>
      <c r="R1540" s="257"/>
      <c r="S1540" s="258"/>
      <c r="T1540" s="257"/>
      <c r="U1540" s="509">
        <f>U368*5</f>
        <v>4902</v>
      </c>
      <c r="V1540" s="257"/>
      <c r="W1540" s="258"/>
      <c r="X1540" s="257"/>
      <c r="Y1540" s="509">
        <f>Y378*8</f>
        <v>9122.4</v>
      </c>
      <c r="Z1540" s="257"/>
    </row>
    <row r="1541" spans="1:26" ht="15" customHeight="1">
      <c r="A1541" s="250"/>
      <c r="B1541" s="251"/>
      <c r="C1541" s="648"/>
      <c r="D1541" s="292" t="s">
        <v>995</v>
      </c>
      <c r="E1541" s="251"/>
      <c r="F1541" s="252"/>
      <c r="H1541" s="254"/>
      <c r="I1541" s="253"/>
      <c r="J1541" s="253"/>
      <c r="K1541" s="251"/>
      <c r="L1541" s="255"/>
      <c r="M1541" s="258">
        <f>(250-12-10.5)*(0.5)*8</f>
        <v>910</v>
      </c>
      <c r="N1541" s="257"/>
      <c r="O1541" s="258">
        <f>(250-12-10.5)*(1.3)*8</f>
        <v>2366</v>
      </c>
      <c r="P1541" s="257"/>
      <c r="Q1541" s="258">
        <f>(250-12-10.5)*(0.85)*8</f>
        <v>1547</v>
      </c>
      <c r="R1541" s="257"/>
      <c r="S1541" s="258"/>
      <c r="T1541" s="257"/>
      <c r="U1541" s="509">
        <f>U369*5</f>
        <v>8100</v>
      </c>
      <c r="V1541" s="257"/>
      <c r="W1541" s="258"/>
      <c r="X1541" s="257"/>
      <c r="Y1541" s="509">
        <f>Y379*8</f>
        <v>10940.8</v>
      </c>
      <c r="Z1541" s="257"/>
    </row>
    <row r="1542" spans="1:26" ht="15" customHeight="1">
      <c r="A1542" s="250"/>
      <c r="B1542" s="251"/>
      <c r="C1542" s="648"/>
      <c r="D1542" s="292" t="s">
        <v>994</v>
      </c>
      <c r="E1542" s="251"/>
      <c r="F1542" s="252"/>
      <c r="G1542" s="253"/>
      <c r="H1542" s="254"/>
      <c r="I1542" s="253"/>
      <c r="J1542" s="253"/>
      <c r="K1542" s="251"/>
      <c r="L1542" s="255"/>
      <c r="M1542" s="258">
        <f>(251-14-18-18)*(0.5)*8</f>
        <v>804</v>
      </c>
      <c r="N1542" s="257"/>
      <c r="O1542" s="258">
        <f>(251-97-18-18)*(1.3)*8</f>
        <v>1227.2</v>
      </c>
      <c r="P1542" s="257"/>
      <c r="Q1542" s="258">
        <f>(251-14-18-18)*(0.85)*8</f>
        <v>1366.8</v>
      </c>
      <c r="R1542" s="257"/>
      <c r="S1542" s="258"/>
      <c r="T1542" s="257"/>
      <c r="U1542" s="509">
        <f>U370*5</f>
        <v>8970</v>
      </c>
      <c r="V1542" s="257"/>
      <c r="W1542" s="258"/>
      <c r="X1542" s="257"/>
      <c r="Y1542" s="509">
        <f>Y380*8</f>
        <v>7176</v>
      </c>
      <c r="Z1542" s="257"/>
    </row>
    <row r="1543" spans="1:26" ht="15" customHeight="1">
      <c r="A1543" s="250"/>
      <c r="B1543" s="251"/>
      <c r="C1543" s="648"/>
      <c r="D1543" s="292" t="s">
        <v>2446</v>
      </c>
      <c r="E1543" s="251"/>
      <c r="F1543" s="252"/>
      <c r="G1543" s="253"/>
      <c r="H1543" s="254"/>
      <c r="I1543" s="253"/>
      <c r="J1543" s="253"/>
      <c r="K1543" s="251"/>
      <c r="L1543" s="255"/>
      <c r="M1543" s="258">
        <f>21*(0.5)*(3.5*5)+21*(0.5)*1.5*8+11*(0.5)*4.5*8+11*(0.5)*3.5*5</f>
        <v>604</v>
      </c>
      <c r="N1543" s="257"/>
      <c r="O1543" s="258">
        <f>200*1.3*8</f>
        <v>2080</v>
      </c>
      <c r="P1543" s="257"/>
      <c r="Q1543" s="258">
        <f>(35*5+35*2)*0.8*8</f>
        <v>1568</v>
      </c>
      <c r="R1543" s="257"/>
      <c r="S1543" s="258"/>
      <c r="T1543" s="257"/>
      <c r="U1543" s="509">
        <f>U371*5</f>
        <v>-948</v>
      </c>
      <c r="V1543" s="257"/>
      <c r="W1543" s="258"/>
      <c r="X1543" s="257"/>
      <c r="Y1543" s="509">
        <f>Y383*8</f>
        <v>-4886.8</v>
      </c>
      <c r="Z1543" s="257"/>
    </row>
    <row r="1544" spans="1:26" ht="15" customHeight="1">
      <c r="A1544" s="250"/>
      <c r="B1544" s="251"/>
      <c r="C1544" s="648"/>
      <c r="D1544" s="292" t="s">
        <v>2451</v>
      </c>
      <c r="E1544" s="251"/>
      <c r="F1544" s="252"/>
      <c r="G1544" s="253"/>
      <c r="H1544" s="254"/>
      <c r="I1544" s="253"/>
      <c r="J1544" s="253"/>
      <c r="K1544" s="251"/>
      <c r="L1544" s="256">
        <f>(180+45+70+40)*2.1*8</f>
        <v>5628</v>
      </c>
      <c r="M1544" s="256"/>
      <c r="N1544" s="257"/>
      <c r="O1544" s="258"/>
      <c r="P1544" s="257"/>
      <c r="Q1544" s="258"/>
      <c r="R1544" s="257"/>
      <c r="S1544" s="258"/>
      <c r="T1544" s="257"/>
      <c r="U1544" s="258"/>
      <c r="V1544" s="257"/>
      <c r="W1544" s="258"/>
      <c r="X1544" s="257"/>
      <c r="Y1544" s="258"/>
      <c r="Z1544" s="257"/>
    </row>
    <row r="1545" spans="1:26" ht="15" customHeight="1">
      <c r="A1545" s="250"/>
      <c r="B1545" s="251"/>
      <c r="C1545" s="648"/>
      <c r="D1545" s="292" t="s">
        <v>2446</v>
      </c>
      <c r="E1545" s="251"/>
      <c r="F1545" s="252"/>
      <c r="G1545" s="253"/>
      <c r="H1545" s="254"/>
      <c r="I1545" s="253"/>
      <c r="J1545" s="253"/>
      <c r="K1545" s="251"/>
      <c r="L1545" s="256">
        <f>50*2*8</f>
        <v>800</v>
      </c>
      <c r="M1545" s="297"/>
      <c r="N1545" s="294"/>
      <c r="O1545" s="293"/>
      <c r="P1545" s="294"/>
      <c r="Q1545" s="293"/>
      <c r="R1545" s="294"/>
      <c r="S1545" s="293"/>
      <c r="T1545" s="294"/>
      <c r="U1545" s="293"/>
      <c r="V1545" s="294"/>
      <c r="W1545" s="293"/>
      <c r="X1545" s="294"/>
      <c r="Y1545" s="293"/>
      <c r="Z1545" s="294"/>
    </row>
    <row r="1546" spans="1:26" ht="15" customHeight="1">
      <c r="A1546" s="250"/>
      <c r="B1546" s="251"/>
      <c r="C1546" s="648"/>
      <c r="D1546" s="292" t="s">
        <v>575</v>
      </c>
      <c r="E1546" s="251"/>
      <c r="F1546" s="244">
        <f>M1546+O1546+Q1546+S1546+U1546+W1546+Y1546</f>
        <v>57593.599999999991</v>
      </c>
      <c r="G1546" s="253">
        <f t="shared" si="264"/>
        <v>1.78</v>
      </c>
      <c r="H1546" s="254">
        <f>INT(F1546*G1546*100+0.5)/100</f>
        <v>102516.61</v>
      </c>
      <c r="I1546" s="253">
        <f>N1546+P1546+R1546+T1546+V1546+X1546+Z1546</f>
        <v>102516.60999999999</v>
      </c>
      <c r="J1546" s="253"/>
      <c r="K1546" s="251"/>
      <c r="L1546" s="255">
        <v>1.78</v>
      </c>
      <c r="M1546" s="258">
        <f>SUM(M1540:M1545)</f>
        <v>2964</v>
      </c>
      <c r="N1546" s="257">
        <f>INT($L1546*M1546*100+0.5)/100</f>
        <v>5275.92</v>
      </c>
      <c r="O1546" s="258">
        <f>SUM(O1540:O1545)</f>
        <v>5673.2</v>
      </c>
      <c r="P1546" s="257">
        <f>INT($L1546*O1546*100+0.5)/100</f>
        <v>10098.299999999999</v>
      </c>
      <c r="Q1546" s="258">
        <f>SUM(Q1540:Q1545)</f>
        <v>5580</v>
      </c>
      <c r="R1546" s="257">
        <f>INT($L1546*Q1546*100+0.5)/100</f>
        <v>9932.4</v>
      </c>
      <c r="S1546" s="258">
        <f>SUM(S1540:S1545)</f>
        <v>0</v>
      </c>
      <c r="T1546" s="257">
        <f>INT($L1546*S1546*100+0.5)/100</f>
        <v>0</v>
      </c>
      <c r="U1546" s="258">
        <f>SUM(U1540:U1545)</f>
        <v>21024</v>
      </c>
      <c r="V1546" s="257">
        <f>INT($L1546*U1546*100+0.5)/100</f>
        <v>37422.720000000001</v>
      </c>
      <c r="W1546" s="258">
        <f>SUM(W1540:W1545)</f>
        <v>0</v>
      </c>
      <c r="X1546" s="257">
        <f>INT($L1546*W1546*100+0.5)/100</f>
        <v>0</v>
      </c>
      <c r="Y1546" s="258">
        <f>SUM(Y1540:Y1545)</f>
        <v>22352.399999999998</v>
      </c>
      <c r="Z1546" s="257">
        <f>INT($L1546*Y1546*100+0.5)/100</f>
        <v>39787.269999999997</v>
      </c>
    </row>
    <row r="1547" spans="1:26" ht="15" customHeight="1">
      <c r="A1547" s="250"/>
      <c r="B1547" s="251"/>
      <c r="C1547" s="647"/>
      <c r="D1547" s="292"/>
      <c r="E1547" s="251"/>
      <c r="F1547" s="252"/>
      <c r="G1547" s="253"/>
      <c r="H1547" s="254"/>
      <c r="I1547" s="253"/>
      <c r="J1547" s="253"/>
      <c r="K1547" s="251"/>
      <c r="L1547" s="261"/>
      <c r="M1547" s="258"/>
      <c r="N1547" s="257"/>
      <c r="O1547" s="258"/>
      <c r="P1547" s="257"/>
      <c r="Q1547" s="258"/>
      <c r="R1547" s="257"/>
      <c r="S1547" s="258"/>
      <c r="T1547" s="257"/>
      <c r="U1547" s="258"/>
      <c r="V1547" s="257"/>
      <c r="W1547" s="258"/>
      <c r="X1547" s="257"/>
      <c r="Y1547" s="258"/>
      <c r="Z1547" s="257"/>
    </row>
    <row r="1548" spans="1:26" ht="25.5">
      <c r="A1548" s="250">
        <f>A1538+1</f>
        <v>272</v>
      </c>
      <c r="B1548" s="251"/>
      <c r="C1548" s="647" t="s">
        <v>851</v>
      </c>
      <c r="D1548" s="532" t="s">
        <v>928</v>
      </c>
      <c r="E1548" s="251" t="s">
        <v>1898</v>
      </c>
      <c r="F1548" s="304">
        <f>M1548+O1548+Q1548+S1548+U1548+W1548+Y1548</f>
        <v>0</v>
      </c>
      <c r="G1548" s="253">
        <f>L1548</f>
        <v>6.65</v>
      </c>
      <c r="H1548" s="254"/>
      <c r="I1548" s="253">
        <f>N1548+P1548+R1548+T1548+V1548+X1548+Z1548</f>
        <v>0</v>
      </c>
      <c r="J1548" s="253"/>
      <c r="K1548" s="251" t="s">
        <v>1898</v>
      </c>
      <c r="L1548" s="255">
        <v>6.65</v>
      </c>
      <c r="M1548" s="258">
        <v>0</v>
      </c>
      <c r="N1548" s="257">
        <f>INT($L1548*M1548*100+0.5)/100</f>
        <v>0</v>
      </c>
      <c r="O1548" s="258">
        <v>0</v>
      </c>
      <c r="P1548" s="257">
        <f>INT($L1548*O1548*100+0.5)/100</f>
        <v>0</v>
      </c>
      <c r="Q1548" s="258">
        <v>0</v>
      </c>
      <c r="R1548" s="257">
        <f>INT($L1548*Q1548*100+0.5)/100</f>
        <v>0</v>
      </c>
      <c r="S1548" s="258">
        <v>0</v>
      </c>
      <c r="T1548" s="257">
        <f>INT($L1548*S1548*100+0.5)/100</f>
        <v>0</v>
      </c>
      <c r="U1548" s="258">
        <v>0</v>
      </c>
      <c r="V1548" s="257">
        <f>INT($L1548*U1548*100+0.5)/100</f>
        <v>0</v>
      </c>
      <c r="W1548" s="258">
        <v>0</v>
      </c>
      <c r="X1548" s="257">
        <f>INT($L1548*W1548*100+0.5)/100</f>
        <v>0</v>
      </c>
      <c r="Y1548" s="258">
        <v>0</v>
      </c>
      <c r="Z1548" s="257">
        <f>INT($L1548*Y1548*100+0.5)/100</f>
        <v>0</v>
      </c>
    </row>
    <row r="1549" spans="1:26" ht="25.5">
      <c r="A1549" s="250"/>
      <c r="B1549" s="251"/>
      <c r="C1549" s="647"/>
      <c r="D1549" s="532" t="s">
        <v>929</v>
      </c>
      <c r="E1549" s="251"/>
      <c r="F1549" s="252"/>
      <c r="G1549" s="253"/>
      <c r="H1549" s="254"/>
      <c r="I1549" s="253"/>
      <c r="J1549" s="253"/>
      <c r="K1549" s="251"/>
      <c r="L1549" s="261"/>
      <c r="M1549" s="258"/>
      <c r="N1549" s="257"/>
      <c r="O1549" s="258"/>
      <c r="P1549" s="257"/>
      <c r="Q1549" s="258"/>
      <c r="R1549" s="257"/>
      <c r="S1549" s="258"/>
      <c r="T1549" s="257"/>
      <c r="U1549" s="258"/>
      <c r="V1549" s="257"/>
      <c r="W1549" s="258"/>
      <c r="X1549" s="257"/>
      <c r="Y1549" s="258"/>
      <c r="Z1549" s="257"/>
    </row>
    <row r="1550" spans="1:26" ht="15" customHeight="1">
      <c r="A1550" s="250"/>
      <c r="B1550" s="251"/>
      <c r="C1550" s="647"/>
      <c r="D1550" s="292"/>
      <c r="E1550" s="251"/>
      <c r="F1550" s="252"/>
      <c r="G1550" s="253"/>
      <c r="H1550" s="254"/>
      <c r="I1550" s="253"/>
      <c r="J1550" s="253"/>
      <c r="K1550" s="251"/>
      <c r="L1550" s="261"/>
      <c r="M1550" s="258"/>
      <c r="N1550" s="257"/>
      <c r="O1550" s="258"/>
      <c r="P1550" s="257"/>
      <c r="Q1550" s="258"/>
      <c r="R1550" s="257"/>
      <c r="S1550" s="258"/>
      <c r="T1550" s="257"/>
      <c r="U1550" s="258"/>
      <c r="V1550" s="257"/>
      <c r="W1550" s="258"/>
      <c r="X1550" s="257"/>
      <c r="Y1550" s="258"/>
      <c r="Z1550" s="257"/>
    </row>
    <row r="1551" spans="1:26" ht="25.5">
      <c r="A1551" s="250">
        <f>A1548+1</f>
        <v>273</v>
      </c>
      <c r="B1551" s="251"/>
      <c r="C1551" s="647" t="s">
        <v>852</v>
      </c>
      <c r="D1551" s="526" t="s">
        <v>2131</v>
      </c>
      <c r="E1551" s="251" t="s">
        <v>1898</v>
      </c>
      <c r="F1551" s="304">
        <f>M1551+O1551+Q1551+S1551+U1551+W1551+Y1551</f>
        <v>0</v>
      </c>
      <c r="G1551" s="253">
        <f>L1551</f>
        <v>7.08</v>
      </c>
      <c r="H1551" s="254">
        <f>INT(F1551*G1551*100+0.5)/100</f>
        <v>0</v>
      </c>
      <c r="I1551" s="253">
        <f>N1551+P1551+R1551+T1551+V1551+X1551+Z1551</f>
        <v>0</v>
      </c>
      <c r="J1551" s="253"/>
      <c r="K1551" s="251" t="s">
        <v>1898</v>
      </c>
      <c r="L1551" s="255">
        <v>7.08</v>
      </c>
      <c r="M1551" s="258">
        <v>0</v>
      </c>
      <c r="N1551" s="257">
        <f>INT($L1551*M1551*100+0.5)/100</f>
        <v>0</v>
      </c>
      <c r="O1551" s="258">
        <v>0</v>
      </c>
      <c r="P1551" s="257">
        <f>INT($L1551*O1551*100+0.5)/100</f>
        <v>0</v>
      </c>
      <c r="Q1551" s="258">
        <v>0</v>
      </c>
      <c r="R1551" s="257">
        <f>INT($L1551*Q1551*100+0.5)/100</f>
        <v>0</v>
      </c>
      <c r="S1551" s="258">
        <v>0</v>
      </c>
      <c r="T1551" s="257">
        <f>INT($L1551*S1551*100+0.5)/100</f>
        <v>0</v>
      </c>
      <c r="U1551" s="258">
        <v>0</v>
      </c>
      <c r="V1551" s="257">
        <f>INT($L1551*U1551*100+0.5)/100</f>
        <v>0</v>
      </c>
      <c r="W1551" s="258">
        <v>0</v>
      </c>
      <c r="X1551" s="257">
        <f>INT($L1551*W1551*100+0.5)/100</f>
        <v>0</v>
      </c>
      <c r="Y1551" s="258">
        <v>0</v>
      </c>
      <c r="Z1551" s="257">
        <f>INT($L1551*Y1551*100+0.5)/100</f>
        <v>0</v>
      </c>
    </row>
    <row r="1552" spans="1:26" ht="25.5">
      <c r="A1552" s="250"/>
      <c r="B1552" s="251"/>
      <c r="C1552" s="647"/>
      <c r="D1552" s="526" t="s">
        <v>2130</v>
      </c>
      <c r="E1552" s="251"/>
      <c r="F1552" s="252"/>
      <c r="G1552" s="253"/>
      <c r="H1552" s="254"/>
      <c r="I1552" s="253"/>
      <c r="J1552" s="253"/>
      <c r="K1552" s="251"/>
      <c r="L1552" s="261"/>
      <c r="M1552" s="258"/>
      <c r="N1552" s="257"/>
      <c r="O1552" s="258"/>
      <c r="P1552" s="257"/>
      <c r="Q1552" s="258"/>
      <c r="R1552" s="257"/>
      <c r="S1552" s="258"/>
      <c r="T1552" s="257"/>
      <c r="U1552" s="258"/>
      <c r="V1552" s="257"/>
      <c r="W1552" s="258"/>
      <c r="X1552" s="257"/>
      <c r="Y1552" s="258"/>
      <c r="Z1552" s="257"/>
    </row>
    <row r="1553" spans="1:26" ht="15" customHeight="1">
      <c r="A1553" s="250"/>
      <c r="B1553" s="251"/>
      <c r="C1553" s="647"/>
      <c r="D1553" s="292"/>
      <c r="E1553" s="251"/>
      <c r="F1553" s="252"/>
      <c r="G1553" s="253"/>
      <c r="H1553" s="254"/>
      <c r="I1553" s="253"/>
      <c r="J1553" s="253"/>
      <c r="K1553" s="251"/>
      <c r="L1553" s="261"/>
      <c r="M1553" s="258"/>
      <c r="N1553" s="257"/>
      <c r="O1553" s="258"/>
      <c r="P1553" s="257"/>
      <c r="Q1553" s="258"/>
      <c r="R1553" s="257"/>
      <c r="S1553" s="258"/>
      <c r="T1553" s="257"/>
      <c r="U1553" s="258"/>
      <c r="V1553" s="257"/>
      <c r="W1553" s="258"/>
      <c r="X1553" s="257"/>
      <c r="Y1553" s="258"/>
      <c r="Z1553" s="257"/>
    </row>
    <row r="1554" spans="1:26" ht="25.5">
      <c r="A1554" s="250">
        <f>A1551+1</f>
        <v>274</v>
      </c>
      <c r="B1554" s="251"/>
      <c r="C1554" s="647" t="s">
        <v>852</v>
      </c>
      <c r="D1554" s="526" t="s">
        <v>2059</v>
      </c>
      <c r="E1554" s="251" t="s">
        <v>1898</v>
      </c>
      <c r="F1554" s="304">
        <f>M1554+O1554+Q1554+S1554+U1554+W1554+Y1554</f>
        <v>0</v>
      </c>
      <c r="G1554" s="253">
        <f>L1554</f>
        <v>7.43</v>
      </c>
      <c r="H1554" s="254">
        <f>INT(F1554*G1554*100+0.5)/100</f>
        <v>0</v>
      </c>
      <c r="I1554" s="253">
        <f>N1554+P1554+R1554+T1554+V1554+X1554+Z1554</f>
        <v>0</v>
      </c>
      <c r="J1554" s="253"/>
      <c r="K1554" s="251" t="s">
        <v>1898</v>
      </c>
      <c r="L1554" s="255">
        <v>7.43</v>
      </c>
      <c r="M1554" s="258">
        <v>0</v>
      </c>
      <c r="N1554" s="257">
        <f>INT($L1554*M1554*100+0.5)/100</f>
        <v>0</v>
      </c>
      <c r="O1554" s="258">
        <v>0</v>
      </c>
      <c r="P1554" s="257">
        <f>INT($L1554*O1554*100+0.5)/100</f>
        <v>0</v>
      </c>
      <c r="Q1554" s="258">
        <v>0</v>
      </c>
      <c r="R1554" s="257">
        <f>INT($L1554*Q1554*100+0.5)/100</f>
        <v>0</v>
      </c>
      <c r="S1554" s="258">
        <v>0</v>
      </c>
      <c r="T1554" s="257">
        <f>INT($L1554*S1554*100+0.5)/100</f>
        <v>0</v>
      </c>
      <c r="U1554" s="258">
        <v>0</v>
      </c>
      <c r="V1554" s="257">
        <f>INT($L1554*U1554*100+0.5)/100</f>
        <v>0</v>
      </c>
      <c r="W1554" s="258">
        <v>0</v>
      </c>
      <c r="X1554" s="257">
        <f>INT($L1554*W1554*100+0.5)/100</f>
        <v>0</v>
      </c>
      <c r="Y1554" s="258">
        <v>0</v>
      </c>
      <c r="Z1554" s="257">
        <f>INT($L1554*Y1554*100+0.5)/100</f>
        <v>0</v>
      </c>
    </row>
    <row r="1555" spans="1:26" ht="25.5">
      <c r="A1555" s="250"/>
      <c r="B1555" s="251"/>
      <c r="C1555" s="647"/>
      <c r="D1555" s="526" t="s">
        <v>2060</v>
      </c>
      <c r="E1555" s="251"/>
      <c r="F1555" s="252"/>
      <c r="G1555" s="253"/>
      <c r="H1555" s="254"/>
      <c r="I1555" s="253"/>
      <c r="J1555" s="253"/>
      <c r="K1555" s="251"/>
      <c r="L1555" s="261"/>
      <c r="M1555" s="258"/>
      <c r="N1555" s="257"/>
      <c r="O1555" s="258"/>
      <c r="P1555" s="257"/>
      <c r="Q1555" s="258"/>
      <c r="R1555" s="257"/>
      <c r="S1555" s="258"/>
      <c r="T1555" s="257"/>
      <c r="U1555" s="258"/>
      <c r="V1555" s="257"/>
      <c r="W1555" s="258"/>
      <c r="X1555" s="257"/>
      <c r="Y1555" s="258"/>
      <c r="Z1555" s="257"/>
    </row>
    <row r="1556" spans="1:26" ht="15" customHeight="1">
      <c r="A1556" s="250"/>
      <c r="B1556" s="251"/>
      <c r="C1556" s="647"/>
      <c r="D1556" s="292"/>
      <c r="E1556" s="251"/>
      <c r="F1556" s="252"/>
      <c r="G1556" s="253"/>
      <c r="H1556" s="254"/>
      <c r="I1556" s="253"/>
      <c r="J1556" s="253"/>
      <c r="K1556" s="251"/>
      <c r="L1556" s="261"/>
      <c r="M1556" s="258"/>
      <c r="N1556" s="257"/>
      <c r="O1556" s="258"/>
      <c r="P1556" s="257"/>
      <c r="Q1556" s="258"/>
      <c r="R1556" s="257"/>
      <c r="S1556" s="258"/>
      <c r="T1556" s="257"/>
      <c r="U1556" s="258"/>
      <c r="V1556" s="257"/>
      <c r="W1556" s="258"/>
      <c r="X1556" s="257"/>
      <c r="Y1556" s="258"/>
      <c r="Z1556" s="257"/>
    </row>
    <row r="1557" spans="1:26" ht="25.5">
      <c r="A1557" s="250">
        <f>A1554+1</f>
        <v>275</v>
      </c>
      <c r="B1557" s="251"/>
      <c r="C1557" s="647" t="s">
        <v>2509</v>
      </c>
      <c r="D1557" s="526" t="s">
        <v>319</v>
      </c>
      <c r="E1557" s="251" t="s">
        <v>591</v>
      </c>
      <c r="F1557" s="252"/>
      <c r="G1557" s="253"/>
      <c r="H1557" s="254"/>
      <c r="I1557" s="253"/>
      <c r="J1557" s="253"/>
      <c r="K1557" s="251" t="s">
        <v>591</v>
      </c>
      <c r="L1557" s="255"/>
      <c r="M1557" s="258"/>
      <c r="N1557" s="257"/>
      <c r="O1557" s="258"/>
      <c r="P1557" s="257"/>
      <c r="Q1557" s="258"/>
      <c r="R1557" s="257"/>
      <c r="S1557" s="258"/>
      <c r="T1557" s="257"/>
      <c r="U1557" s="258"/>
      <c r="V1557" s="257"/>
      <c r="W1557" s="258"/>
      <c r="X1557" s="257"/>
      <c r="Y1557" s="258"/>
      <c r="Z1557" s="257"/>
    </row>
    <row r="1558" spans="1:26" ht="25.5">
      <c r="A1558" s="250"/>
      <c r="B1558" s="251"/>
      <c r="C1558" s="647"/>
      <c r="D1558" s="526" t="s">
        <v>318</v>
      </c>
      <c r="E1558" s="251"/>
      <c r="F1558" s="252"/>
      <c r="G1558" s="253"/>
      <c r="H1558" s="254"/>
      <c r="I1558" s="253"/>
      <c r="J1558" s="253"/>
      <c r="K1558" s="251"/>
      <c r="L1558" s="261"/>
      <c r="M1558" s="258"/>
      <c r="N1558" s="257"/>
      <c r="O1558" s="258"/>
      <c r="P1558" s="257"/>
      <c r="Q1558" s="258"/>
      <c r="R1558" s="257"/>
      <c r="S1558" s="258"/>
      <c r="T1558" s="257"/>
      <c r="U1558" s="258"/>
      <c r="V1558" s="257"/>
      <c r="W1558" s="258"/>
      <c r="X1558" s="257"/>
      <c r="Y1558" s="258"/>
      <c r="Z1558" s="257"/>
    </row>
    <row r="1559" spans="1:26" ht="15" customHeight="1">
      <c r="A1559" s="250"/>
      <c r="B1559" s="251"/>
      <c r="C1559" s="648"/>
      <c r="D1559" s="238" t="s">
        <v>993</v>
      </c>
      <c r="E1559" s="251"/>
      <c r="F1559" s="252"/>
      <c r="G1559" s="253"/>
      <c r="H1559" s="254"/>
      <c r="I1559" s="253"/>
      <c r="J1559" s="253"/>
      <c r="K1559" s="251"/>
      <c r="L1559" s="255"/>
      <c r="M1559" s="258">
        <f>(172-10)*(0.8)*4*24/1000</f>
        <v>12.441599999999999</v>
      </c>
      <c r="N1559" s="257"/>
      <c r="O1559" s="258"/>
      <c r="P1559" s="257"/>
      <c r="Q1559" s="258">
        <f>(172-10.5)*(0.85)*4*24/1000</f>
        <v>13.178400000000002</v>
      </c>
      <c r="R1559" s="257"/>
      <c r="S1559" s="258"/>
      <c r="T1559" s="257"/>
      <c r="U1559" s="509">
        <f>U368*3*24/1000</f>
        <v>70.588800000000006</v>
      </c>
      <c r="V1559" s="257"/>
      <c r="W1559" s="509"/>
      <c r="X1559" s="257"/>
      <c r="Y1559" s="509">
        <f>Y378*4*24/1000</f>
        <v>109.46879999999999</v>
      </c>
      <c r="Z1559" s="257"/>
    </row>
    <row r="1560" spans="1:26" ht="15" customHeight="1">
      <c r="A1560" s="250"/>
      <c r="B1560" s="251"/>
      <c r="C1560" s="648"/>
      <c r="D1560" s="238" t="s">
        <v>995</v>
      </c>
      <c r="E1560" s="251"/>
      <c r="F1560" s="252"/>
      <c r="G1560" s="253"/>
      <c r="H1560" s="254"/>
      <c r="I1560" s="253"/>
      <c r="J1560" s="253"/>
      <c r="K1560" s="251"/>
      <c r="L1560" s="255"/>
      <c r="M1560" s="258">
        <f>(250-10-16)*(0.8)*4*24/1000</f>
        <v>17.203200000000002</v>
      </c>
      <c r="N1560" s="257"/>
      <c r="O1560" s="258">
        <f>(250-16)*(1.6)*4*24/1000</f>
        <v>35.942399999999999</v>
      </c>
      <c r="P1560" s="257"/>
      <c r="Q1560" s="258">
        <f>(250-12-10.5)*(0.85)*4*24/1000</f>
        <v>18.564</v>
      </c>
      <c r="R1560" s="257"/>
      <c r="S1560" s="258"/>
      <c r="T1560" s="257"/>
      <c r="U1560" s="509">
        <f>U369*3*24/1000</f>
        <v>116.64</v>
      </c>
      <c r="V1560" s="257"/>
      <c r="W1560" s="509"/>
      <c r="X1560" s="257"/>
      <c r="Y1560" s="509">
        <f>Y379*4*24/1000</f>
        <v>131.28959999999998</v>
      </c>
      <c r="Z1560" s="257"/>
    </row>
    <row r="1561" spans="1:26" ht="15" customHeight="1">
      <c r="A1561" s="250"/>
      <c r="B1561" s="251"/>
      <c r="C1561" s="648"/>
      <c r="D1561" s="238" t="s">
        <v>994</v>
      </c>
      <c r="E1561" s="251"/>
      <c r="F1561" s="252"/>
      <c r="G1561" s="253"/>
      <c r="H1561" s="254"/>
      <c r="I1561" s="253"/>
      <c r="J1561" s="253"/>
      <c r="K1561" s="251"/>
      <c r="L1561" s="255"/>
      <c r="M1561" s="258">
        <f>(250-16)*(0.8)*4*24/1000</f>
        <v>17.9712</v>
      </c>
      <c r="N1561" s="257"/>
      <c r="O1561" s="258">
        <f>(250-16)*(1.6)*4*24/1000</f>
        <v>35.942399999999999</v>
      </c>
      <c r="P1561" s="257"/>
      <c r="Q1561" s="258">
        <f>(251-14-18-18)*(0.85)*4*24/1000</f>
        <v>16.401599999999998</v>
      </c>
      <c r="R1561" s="257"/>
      <c r="S1561" s="258"/>
      <c r="T1561" s="257"/>
      <c r="U1561" s="509">
        <f>U370*3*24/1000</f>
        <v>129.16800000000001</v>
      </c>
      <c r="V1561" s="257"/>
      <c r="W1561" s="509"/>
      <c r="X1561" s="257"/>
      <c r="Y1561" s="509">
        <f>Y380*4*24/1000</f>
        <v>86.111999999999995</v>
      </c>
      <c r="Z1561" s="257"/>
    </row>
    <row r="1562" spans="1:26" ht="15" customHeight="1">
      <c r="A1562" s="250"/>
      <c r="B1562" s="251"/>
      <c r="C1562" s="648"/>
      <c r="D1562" s="238" t="s">
        <v>2446</v>
      </c>
      <c r="E1562" s="251"/>
      <c r="F1562" s="252"/>
      <c r="G1562" s="253"/>
      <c r="H1562" s="254"/>
      <c r="I1562" s="253"/>
      <c r="J1562" s="253"/>
      <c r="K1562" s="251"/>
      <c r="L1562" s="255"/>
      <c r="M1562" s="258">
        <f>21*(0.8)*(3.5)*2*24/1000+21*(0.8)*1.5*4*24/1000+11*(0.8)*4.5*4*24/1000+11*(0.8)*3.5*2*24/1000</f>
        <v>10.521600000000001</v>
      </c>
      <c r="N1562" s="257"/>
      <c r="O1562" s="258">
        <f>100*1.5*4*24/1000</f>
        <v>14.4</v>
      </c>
      <c r="P1562" s="257"/>
      <c r="Q1562" s="258">
        <f>(35*5+35*2)*0.8*4*24/1000</f>
        <v>18.815999999999999</v>
      </c>
      <c r="R1562" s="257"/>
      <c r="S1562" s="258"/>
      <c r="T1562" s="257"/>
      <c r="U1562" s="509">
        <f>U371*3*24/1000</f>
        <v>-13.651199999999999</v>
      </c>
      <c r="V1562" s="257"/>
      <c r="W1562" s="509">
        <f>W371*3*24/1000</f>
        <v>13.651199999999999</v>
      </c>
      <c r="X1562" s="257"/>
      <c r="Y1562" s="509">
        <f>Y383*4*24/1000</f>
        <v>-58.641600000000004</v>
      </c>
      <c r="Z1562" s="257"/>
    </row>
    <row r="1563" spans="1:26" ht="15" customHeight="1">
      <c r="A1563" s="250"/>
      <c r="B1563" s="251"/>
      <c r="C1563" s="648"/>
      <c r="D1563" s="238" t="s">
        <v>2451</v>
      </c>
      <c r="E1563" s="251"/>
      <c r="F1563" s="252"/>
      <c r="G1563" s="253"/>
      <c r="H1563" s="254"/>
      <c r="I1563" s="253"/>
      <c r="J1563" s="253"/>
      <c r="K1563" s="251"/>
      <c r="L1563" s="256">
        <f>(180+45+70+40)*3</f>
        <v>1005</v>
      </c>
      <c r="M1563" s="256"/>
      <c r="N1563" s="257"/>
      <c r="O1563" s="258"/>
      <c r="P1563" s="257"/>
      <c r="Q1563" s="258"/>
      <c r="R1563" s="257"/>
      <c r="S1563" s="258"/>
      <c r="T1563" s="257"/>
      <c r="U1563" s="258"/>
      <c r="V1563" s="257"/>
      <c r="W1563" s="258"/>
      <c r="X1563" s="257"/>
      <c r="Y1563" s="258"/>
      <c r="Z1563" s="257"/>
    </row>
    <row r="1564" spans="1:26" ht="15" customHeight="1">
      <c r="A1564" s="250"/>
      <c r="B1564" s="251"/>
      <c r="C1564" s="648"/>
      <c r="D1564" s="238" t="s">
        <v>927</v>
      </c>
      <c r="E1564" s="251"/>
      <c r="F1564" s="252"/>
      <c r="G1564" s="253"/>
      <c r="H1564" s="254"/>
      <c r="I1564" s="253"/>
      <c r="J1564" s="253"/>
      <c r="K1564" s="251"/>
      <c r="L1564" s="256">
        <v>0</v>
      </c>
      <c r="M1564" s="297"/>
      <c r="N1564" s="294"/>
      <c r="O1564" s="293"/>
      <c r="P1564" s="294"/>
      <c r="Q1564" s="293"/>
      <c r="R1564" s="294"/>
      <c r="S1564" s="293"/>
      <c r="T1564" s="294"/>
      <c r="U1564" s="293"/>
      <c r="V1564" s="294"/>
      <c r="W1564" s="293"/>
      <c r="X1564" s="294"/>
      <c r="Y1564" s="293"/>
      <c r="Z1564" s="294"/>
    </row>
    <row r="1565" spans="1:26" ht="15" customHeight="1">
      <c r="A1565" s="250"/>
      <c r="B1565" s="251"/>
      <c r="C1565" s="648"/>
      <c r="D1565" s="238" t="s">
        <v>575</v>
      </c>
      <c r="E1565" s="251"/>
      <c r="F1565" s="304">
        <f>M1565+O1565+Q1565+S1565+U1565+W1565+Y1565</f>
        <v>796.00799999999992</v>
      </c>
      <c r="G1565" s="253">
        <f>L1565</f>
        <v>95.13</v>
      </c>
      <c r="H1565" s="254">
        <f>INT(F1565*G1565*100+0.5)/100</f>
        <v>75724.240000000005</v>
      </c>
      <c r="I1565" s="253">
        <f>N1565+P1565+R1565+T1565+V1565+X1565+Z1565</f>
        <v>75724.240000000005</v>
      </c>
      <c r="J1565" s="253"/>
      <c r="K1565" s="251"/>
      <c r="L1565" s="255">
        <v>95.13</v>
      </c>
      <c r="M1565" s="258">
        <f>SUM(M1559:M1564)</f>
        <v>58.137599999999999</v>
      </c>
      <c r="N1565" s="257">
        <f>INT($L1565*M1565*100+0.5)/100</f>
        <v>5530.63</v>
      </c>
      <c r="O1565" s="258">
        <f>SUM(O1559:O1564)</f>
        <v>86.284800000000004</v>
      </c>
      <c r="P1565" s="257">
        <f>INT($L1565*O1565*100+0.5)/100</f>
        <v>8208.27</v>
      </c>
      <c r="Q1565" s="258">
        <f>SUM(Q1559:Q1564)</f>
        <v>66.960000000000008</v>
      </c>
      <c r="R1565" s="257">
        <f>INT($L1565*Q1565*100+0.5)/100</f>
        <v>6369.9</v>
      </c>
      <c r="S1565" s="258">
        <f>SUM(S1559:S1564)</f>
        <v>0</v>
      </c>
      <c r="T1565" s="257">
        <f>INT($L1565*S1565*100+0.5)/100</f>
        <v>0</v>
      </c>
      <c r="U1565" s="258">
        <f>SUM(U1559:U1564)</f>
        <v>302.74559999999997</v>
      </c>
      <c r="V1565" s="257">
        <f>INT($L1565*U1565*100+0.5)/100</f>
        <v>28800.19</v>
      </c>
      <c r="W1565" s="258">
        <f>SUM(W1559:W1564)</f>
        <v>13.651199999999999</v>
      </c>
      <c r="X1565" s="257">
        <f>INT($L1565*W1565*100+0.5)/100</f>
        <v>1298.6400000000001</v>
      </c>
      <c r="Y1565" s="258">
        <f>SUM(Y1559:Y1564)</f>
        <v>268.22879999999998</v>
      </c>
      <c r="Z1565" s="257">
        <f>INT($L1565*Y1565*100+0.5)/100</f>
        <v>25516.61</v>
      </c>
    </row>
    <row r="1566" spans="1:26" ht="15" customHeight="1">
      <c r="A1566" s="250"/>
      <c r="B1566" s="251"/>
      <c r="C1566" s="647"/>
      <c r="D1566" s="292"/>
      <c r="E1566" s="251"/>
      <c r="F1566" s="252"/>
      <c r="G1566" s="253"/>
      <c r="H1566" s="254"/>
      <c r="I1566" s="253"/>
      <c r="J1566" s="253"/>
      <c r="K1566" s="251"/>
      <c r="L1566" s="261"/>
      <c r="M1566" s="258"/>
      <c r="N1566" s="257"/>
      <c r="O1566" s="258"/>
      <c r="P1566" s="257"/>
      <c r="Q1566" s="258"/>
      <c r="R1566" s="257"/>
      <c r="S1566" s="258"/>
      <c r="T1566" s="257"/>
      <c r="U1566" s="258"/>
      <c r="V1566" s="257"/>
      <c r="W1566" s="258"/>
      <c r="X1566" s="257"/>
      <c r="Y1566" s="258"/>
      <c r="Z1566" s="257"/>
    </row>
    <row r="1567" spans="1:26" ht="25.5">
      <c r="A1567" s="250">
        <f>A1557+1</f>
        <v>276</v>
      </c>
      <c r="B1567" s="251"/>
      <c r="C1567" s="647" t="s">
        <v>854</v>
      </c>
      <c r="D1567" s="526" t="s">
        <v>1047</v>
      </c>
      <c r="E1567" s="251" t="s">
        <v>1898</v>
      </c>
      <c r="F1567" s="304">
        <f>M1567+O1567+Q1567+S1567+U1567+W1567+Y1567</f>
        <v>0</v>
      </c>
      <c r="G1567" s="253">
        <f>L1567</f>
        <v>6.93</v>
      </c>
      <c r="H1567" s="254">
        <f>INT(F1567*G1567*100+0.5)/100</f>
        <v>0</v>
      </c>
      <c r="I1567" s="253">
        <f>N1567+P1567+R1567+T1567+V1567+X1567+Z1567</f>
        <v>0</v>
      </c>
      <c r="J1567" s="253"/>
      <c r="K1567" s="251" t="s">
        <v>1898</v>
      </c>
      <c r="L1567" s="255">
        <v>6.93</v>
      </c>
      <c r="M1567" s="258">
        <v>0</v>
      </c>
      <c r="N1567" s="257">
        <f>INT($L1567*M1567*100+0.5)/100</f>
        <v>0</v>
      </c>
      <c r="O1567" s="258">
        <v>0</v>
      </c>
      <c r="P1567" s="257">
        <f>INT($L1567*O1567*100+0.5)/100</f>
        <v>0</v>
      </c>
      <c r="Q1567" s="258">
        <v>0</v>
      </c>
      <c r="R1567" s="257">
        <f>INT($L1567*Q1567*100+0.5)/100</f>
        <v>0</v>
      </c>
      <c r="S1567" s="258">
        <f>SUM(S1561:S1566)</f>
        <v>0</v>
      </c>
      <c r="T1567" s="257">
        <f>INT($L1567*S1567*100+0.5)/100</f>
        <v>0</v>
      </c>
      <c r="U1567" s="258">
        <v>0</v>
      </c>
      <c r="V1567" s="257">
        <f>INT($L1567*U1567*100+0.5)/100</f>
        <v>0</v>
      </c>
      <c r="W1567" s="258">
        <v>0</v>
      </c>
      <c r="X1567" s="257">
        <f>INT($L1567*W1567*100+0.5)/100</f>
        <v>0</v>
      </c>
      <c r="Y1567" s="258">
        <v>0</v>
      </c>
      <c r="Z1567" s="257">
        <f>INT($L1567*Y1567*100+0.5)/100</f>
        <v>0</v>
      </c>
    </row>
    <row r="1568" spans="1:26" ht="25.5">
      <c r="A1568" s="250"/>
      <c r="B1568" s="251"/>
      <c r="C1568" s="647"/>
      <c r="D1568" s="526" t="s">
        <v>1048</v>
      </c>
      <c r="E1568" s="251"/>
      <c r="F1568" s="252"/>
      <c r="G1568" s="253"/>
      <c r="H1568" s="254"/>
      <c r="I1568" s="253"/>
      <c r="J1568" s="253"/>
      <c r="K1568" s="251"/>
      <c r="L1568" s="261"/>
      <c r="M1568" s="258"/>
      <c r="N1568" s="257"/>
      <c r="O1568" s="258"/>
      <c r="P1568" s="257"/>
      <c r="Q1568" s="258"/>
      <c r="R1568" s="257"/>
      <c r="S1568" s="258"/>
      <c r="T1568" s="257"/>
      <c r="U1568" s="258"/>
      <c r="V1568" s="257"/>
      <c r="W1568" s="258"/>
      <c r="X1568" s="257"/>
      <c r="Y1568" s="258"/>
      <c r="Z1568" s="257"/>
    </row>
    <row r="1569" spans="1:26" ht="15" customHeight="1">
      <c r="A1569" s="250"/>
      <c r="B1569" s="251"/>
      <c r="C1569" s="647"/>
      <c r="D1569" s="238"/>
      <c r="E1569" s="251"/>
      <c r="F1569" s="252"/>
      <c r="G1569" s="253"/>
      <c r="H1569" s="254"/>
      <c r="I1569" s="253"/>
      <c r="J1569" s="253"/>
      <c r="K1569" s="251"/>
      <c r="L1569" s="261"/>
      <c r="M1569" s="258"/>
      <c r="N1569" s="257"/>
      <c r="O1569" s="258"/>
      <c r="P1569" s="257"/>
      <c r="Q1569" s="258"/>
      <c r="R1569" s="257"/>
      <c r="S1569" s="258"/>
      <c r="T1569" s="257"/>
      <c r="U1569" s="258"/>
      <c r="V1569" s="257"/>
      <c r="W1569" s="258"/>
      <c r="X1569" s="257"/>
      <c r="Y1569" s="258"/>
      <c r="Z1569" s="257"/>
    </row>
    <row r="1570" spans="1:26" ht="25.5">
      <c r="A1570" s="250">
        <f>A1567+1</f>
        <v>277</v>
      </c>
      <c r="B1570" s="251"/>
      <c r="C1570" s="647" t="s">
        <v>855</v>
      </c>
      <c r="D1570" s="553" t="s">
        <v>320</v>
      </c>
      <c r="E1570" s="251" t="s">
        <v>591</v>
      </c>
      <c r="F1570" s="304">
        <f>M1570+O1570+Q1570+S1570+U1570+W1570+Y1570</f>
        <v>0</v>
      </c>
      <c r="G1570" s="253">
        <f>L1570</f>
        <v>88.78</v>
      </c>
      <c r="H1570" s="254">
        <f>INT(F1570*G1570*100+0.5)/100</f>
        <v>0</v>
      </c>
      <c r="I1570" s="253">
        <f>N1570+P1570+R1570+T1570+V1570+X1570+Z1570</f>
        <v>0</v>
      </c>
      <c r="J1570" s="253"/>
      <c r="K1570" s="251" t="s">
        <v>591</v>
      </c>
      <c r="L1570" s="255">
        <v>88.78</v>
      </c>
      <c r="M1570" s="258">
        <v>0</v>
      </c>
      <c r="N1570" s="257">
        <f>INT($L1570*M1570*100+0.5)/100</f>
        <v>0</v>
      </c>
      <c r="O1570" s="258">
        <v>0</v>
      </c>
      <c r="P1570" s="257">
        <f>INT($L1570*O1570*100+0.5)/100</f>
        <v>0</v>
      </c>
      <c r="Q1570" s="258">
        <v>0</v>
      </c>
      <c r="R1570" s="257">
        <f>INT($L1570*Q1570*100+0.5)/100</f>
        <v>0</v>
      </c>
      <c r="S1570" s="258">
        <v>0</v>
      </c>
      <c r="T1570" s="257">
        <f>INT($L1570*S1570*100+0.5)/100</f>
        <v>0</v>
      </c>
      <c r="U1570" s="258">
        <v>0</v>
      </c>
      <c r="V1570" s="257">
        <f>INT($L1570*U1570*100+0.5)/100</f>
        <v>0</v>
      </c>
      <c r="W1570" s="258">
        <v>0</v>
      </c>
      <c r="X1570" s="257">
        <f>INT($L1570*W1570*100+0.5)/100</f>
        <v>0</v>
      </c>
      <c r="Y1570" s="258">
        <v>0</v>
      </c>
      <c r="Z1570" s="257">
        <f>INT($L1570*Y1570*100+0.5)/100</f>
        <v>0</v>
      </c>
    </row>
    <row r="1571" spans="1:26" ht="25.5">
      <c r="A1571" s="250"/>
      <c r="B1571" s="251"/>
      <c r="C1571" s="647"/>
      <c r="D1571" s="553" t="s">
        <v>321</v>
      </c>
      <c r="E1571" s="251"/>
      <c r="F1571" s="252"/>
      <c r="G1571" s="253"/>
      <c r="H1571" s="254"/>
      <c r="I1571" s="253"/>
      <c r="J1571" s="253"/>
      <c r="K1571" s="251"/>
      <c r="L1571" s="261"/>
      <c r="M1571" s="258"/>
      <c r="N1571" s="257"/>
      <c r="O1571" s="258"/>
      <c r="P1571" s="257"/>
      <c r="Q1571" s="258"/>
      <c r="R1571" s="257"/>
      <c r="S1571" s="258"/>
      <c r="T1571" s="257"/>
      <c r="U1571" s="258"/>
      <c r="V1571" s="257"/>
      <c r="W1571" s="258"/>
      <c r="X1571" s="257"/>
      <c r="Y1571" s="258"/>
      <c r="Z1571" s="257"/>
    </row>
    <row r="1572" spans="1:26" ht="15" customHeight="1">
      <c r="A1572" s="250"/>
      <c r="B1572" s="251"/>
      <c r="C1572" s="647"/>
      <c r="D1572" s="238"/>
      <c r="E1572" s="251"/>
      <c r="F1572" s="252"/>
      <c r="G1572" s="253"/>
      <c r="H1572" s="254"/>
      <c r="I1572" s="253"/>
      <c r="J1572" s="253"/>
      <c r="K1572" s="251"/>
      <c r="L1572" s="261"/>
      <c r="M1572" s="258"/>
      <c r="N1572" s="257"/>
      <c r="O1572" s="258"/>
      <c r="P1572" s="257"/>
      <c r="Q1572" s="258"/>
      <c r="R1572" s="257"/>
      <c r="S1572" s="258"/>
      <c r="T1572" s="257"/>
      <c r="U1572" s="258"/>
      <c r="V1572" s="257"/>
      <c r="W1572" s="258"/>
      <c r="X1572" s="257"/>
      <c r="Y1572" s="258"/>
      <c r="Z1572" s="257"/>
    </row>
    <row r="1573" spans="1:26" ht="25.5">
      <c r="A1573" s="250">
        <f>A1570+1</f>
        <v>278</v>
      </c>
      <c r="B1573" s="251"/>
      <c r="C1573" s="647" t="s">
        <v>856</v>
      </c>
      <c r="D1573" s="526" t="s">
        <v>1541</v>
      </c>
      <c r="E1573" s="251" t="s">
        <v>1898</v>
      </c>
      <c r="F1573" s="304">
        <f>M1573+O1573+Q1573+S1573+U1573+W1573+Y1573</f>
        <v>600</v>
      </c>
      <c r="G1573" s="253">
        <f>L1573</f>
        <v>3.75</v>
      </c>
      <c r="H1573" s="254">
        <f>INT(F1573*G1573*100+0.5)/100</f>
        <v>2250</v>
      </c>
      <c r="I1573" s="253">
        <f>N1573+P1573+R1573+T1573+V1573+X1573+Z1573</f>
        <v>2250</v>
      </c>
      <c r="J1573" s="253"/>
      <c r="K1573" s="251" t="s">
        <v>1898</v>
      </c>
      <c r="L1573" s="255">
        <v>3.75</v>
      </c>
      <c r="M1573" s="258">
        <f>300*2</f>
        <v>600</v>
      </c>
      <c r="N1573" s="257">
        <f>INT($L1573*M1573*100+0.5)/100</f>
        <v>2250</v>
      </c>
      <c r="O1573" s="258">
        <v>0</v>
      </c>
      <c r="P1573" s="257">
        <f>INT($L1573*O1573*100+0.5)/100</f>
        <v>0</v>
      </c>
      <c r="Q1573" s="258">
        <v>0</v>
      </c>
      <c r="R1573" s="257">
        <f>INT($L1573*Q1573*100+0.5)/100</f>
        <v>0</v>
      </c>
      <c r="S1573" s="258">
        <v>0</v>
      </c>
      <c r="T1573" s="257">
        <f>INT($L1573*S1573*100+0.5)/100</f>
        <v>0</v>
      </c>
      <c r="U1573" s="258">
        <v>0</v>
      </c>
      <c r="V1573" s="257">
        <f>INT($L1573*U1573*100+0.5)/100</f>
        <v>0</v>
      </c>
      <c r="W1573" s="258">
        <v>0</v>
      </c>
      <c r="X1573" s="257">
        <f>INT($L1573*W1573*100+0.5)/100</f>
        <v>0</v>
      </c>
      <c r="Y1573" s="258">
        <v>0</v>
      </c>
      <c r="Z1573" s="257">
        <f>INT($L1573*Y1573*100+0.5)/100</f>
        <v>0</v>
      </c>
    </row>
    <row r="1574" spans="1:26" ht="25.5">
      <c r="A1574" s="250"/>
      <c r="B1574" s="251"/>
      <c r="C1574" s="647"/>
      <c r="D1574" s="526" t="s">
        <v>1542</v>
      </c>
      <c r="E1574" s="251"/>
      <c r="F1574" s="252"/>
      <c r="G1574" s="253"/>
      <c r="H1574" s="254"/>
      <c r="I1574" s="253"/>
      <c r="J1574" s="253"/>
      <c r="K1574" s="251"/>
      <c r="L1574" s="261"/>
      <c r="M1574" s="258"/>
      <c r="N1574" s="257"/>
      <c r="O1574" s="258"/>
      <c r="P1574" s="257"/>
      <c r="Q1574" s="258"/>
      <c r="R1574" s="257"/>
      <c r="S1574" s="258"/>
      <c r="T1574" s="257"/>
      <c r="U1574" s="258"/>
      <c r="V1574" s="257"/>
      <c r="W1574" s="258"/>
      <c r="X1574" s="257"/>
      <c r="Y1574" s="258"/>
      <c r="Z1574" s="257"/>
    </row>
    <row r="1575" spans="1:26" ht="15" customHeight="1">
      <c r="A1575" s="250"/>
      <c r="B1575" s="251"/>
      <c r="C1575" s="647"/>
      <c r="D1575" s="526"/>
      <c r="E1575" s="251"/>
      <c r="F1575" s="252"/>
      <c r="G1575" s="253"/>
      <c r="H1575" s="254"/>
      <c r="I1575" s="253"/>
      <c r="J1575" s="253"/>
      <c r="K1575" s="251"/>
      <c r="L1575" s="261"/>
      <c r="M1575" s="258"/>
      <c r="N1575" s="257"/>
      <c r="O1575" s="258"/>
      <c r="P1575" s="257"/>
      <c r="Q1575" s="258"/>
      <c r="R1575" s="257"/>
      <c r="S1575" s="258"/>
      <c r="T1575" s="257"/>
      <c r="U1575" s="258"/>
      <c r="V1575" s="257"/>
      <c r="W1575" s="258"/>
      <c r="X1575" s="257"/>
      <c r="Y1575" s="258"/>
      <c r="Z1575" s="257"/>
    </row>
    <row r="1576" spans="1:26" ht="15" customHeight="1">
      <c r="A1576" s="250">
        <f>A1573+1</f>
        <v>279</v>
      </c>
      <c r="B1576" s="251"/>
      <c r="C1576" s="647" t="s">
        <v>1044</v>
      </c>
      <c r="D1576" s="526" t="s">
        <v>1046</v>
      </c>
      <c r="E1576" s="251" t="s">
        <v>1898</v>
      </c>
      <c r="F1576" s="304">
        <f>M1576+O1576+Q1576+S1576+U1576+W1576+Y1576</f>
        <v>955.6</v>
      </c>
      <c r="G1576" s="253">
        <f>L1576</f>
        <v>30.41</v>
      </c>
      <c r="H1576" s="254">
        <f>INT(F1576*G1576*100+0.5)/100</f>
        <v>29059.8</v>
      </c>
      <c r="I1576" s="253">
        <f>N1576+P1576+R1576+T1576+V1576+X1576+Z1576</f>
        <v>29059.81</v>
      </c>
      <c r="J1576" s="253"/>
      <c r="K1576" s="251" t="s">
        <v>1898</v>
      </c>
      <c r="L1576" s="255">
        <v>30.41</v>
      </c>
      <c r="M1576" s="258">
        <f>M395</f>
        <v>61.5</v>
      </c>
      <c r="N1576" s="257">
        <f>INT($L1576*M1576*100+0.5)/100</f>
        <v>1870.22</v>
      </c>
      <c r="O1576" s="258">
        <f>O395</f>
        <v>102.7</v>
      </c>
      <c r="P1576" s="257">
        <f>INT($L1576*O1576*100+0.5)/100</f>
        <v>3123.11</v>
      </c>
      <c r="Q1576" s="258">
        <f>Q395</f>
        <v>104.55</v>
      </c>
      <c r="R1576" s="257">
        <f>INT($L1576*Q1576*100+0.5)/100</f>
        <v>3179.37</v>
      </c>
      <c r="S1576" s="258">
        <f>S395</f>
        <v>0</v>
      </c>
      <c r="T1576" s="257">
        <f>INT($L1576*S1576*100+0.5)/100</f>
        <v>0</v>
      </c>
      <c r="U1576" s="258">
        <f>U395</f>
        <v>76</v>
      </c>
      <c r="V1576" s="257">
        <f>INT($L1576*U1576*100+0.5)/100</f>
        <v>2311.16</v>
      </c>
      <c r="W1576" s="258">
        <v>0</v>
      </c>
      <c r="X1576" s="257">
        <f>INT($L1576*W1576*100+0.5)/100</f>
        <v>0</v>
      </c>
      <c r="Y1576" s="258">
        <f>Y395</f>
        <v>610.85</v>
      </c>
      <c r="Z1576" s="257">
        <f>INT($L1576*Y1576*100+0.5)/100</f>
        <v>18575.95</v>
      </c>
    </row>
    <row r="1577" spans="1:26" ht="15" customHeight="1">
      <c r="A1577" s="250"/>
      <c r="B1577" s="251"/>
      <c r="C1577" s="647"/>
      <c r="D1577" s="526" t="s">
        <v>1045</v>
      </c>
      <c r="E1577" s="251"/>
      <c r="F1577" s="252"/>
      <c r="G1577" s="253"/>
      <c r="H1577" s="254"/>
      <c r="I1577" s="253"/>
      <c r="J1577" s="253"/>
      <c r="K1577" s="251"/>
      <c r="L1577" s="261"/>
      <c r="M1577" s="258"/>
      <c r="N1577" s="257"/>
      <c r="O1577" s="258"/>
      <c r="P1577" s="257"/>
      <c r="Q1577" s="258"/>
      <c r="R1577" s="257"/>
      <c r="S1577" s="258"/>
      <c r="T1577" s="257"/>
      <c r="U1577" s="258"/>
      <c r="V1577" s="257"/>
      <c r="W1577" s="258"/>
      <c r="X1577" s="257"/>
      <c r="Y1577" s="258"/>
      <c r="Z1577" s="257"/>
    </row>
    <row r="1578" spans="1:26" ht="15" customHeight="1">
      <c r="A1578" s="250"/>
      <c r="B1578" s="251"/>
      <c r="C1578" s="647"/>
      <c r="D1578" s="526"/>
      <c r="E1578" s="251"/>
      <c r="F1578" s="252"/>
      <c r="G1578" s="253"/>
      <c r="H1578" s="254"/>
      <c r="I1578" s="253"/>
      <c r="J1578" s="253"/>
      <c r="K1578" s="251"/>
      <c r="L1578" s="261"/>
      <c r="M1578" s="258"/>
      <c r="N1578" s="257"/>
      <c r="O1578" s="258"/>
      <c r="P1578" s="257"/>
      <c r="Q1578" s="258"/>
      <c r="R1578" s="257"/>
      <c r="S1578" s="258"/>
      <c r="T1578" s="257"/>
      <c r="U1578" s="258"/>
      <c r="V1578" s="257"/>
      <c r="W1578" s="258"/>
      <c r="X1578" s="257"/>
      <c r="Y1578" s="258"/>
      <c r="Z1578" s="257"/>
    </row>
    <row r="1579" spans="1:26" s="247" customFormat="1" ht="15" customHeight="1">
      <c r="A1579" s="284">
        <f>A1576+1</f>
        <v>280</v>
      </c>
      <c r="B1579" s="237"/>
      <c r="C1579" s="652" t="s">
        <v>1550</v>
      </c>
      <c r="D1579" s="532" t="s">
        <v>1549</v>
      </c>
      <c r="E1579" s="237" t="s">
        <v>2475</v>
      </c>
      <c r="F1579" s="304"/>
      <c r="G1579" s="240"/>
      <c r="H1579" s="244"/>
      <c r="I1579" s="240"/>
      <c r="J1579" s="240"/>
      <c r="K1579" s="237" t="s">
        <v>2475</v>
      </c>
      <c r="L1579" s="306"/>
      <c r="M1579" s="289"/>
      <c r="N1579" s="245"/>
      <c r="O1579" s="289"/>
      <c r="P1579" s="245"/>
      <c r="Q1579" s="289"/>
      <c r="R1579" s="245"/>
      <c r="S1579" s="289"/>
      <c r="T1579" s="245"/>
      <c r="U1579" s="289"/>
      <c r="V1579" s="245"/>
      <c r="W1579" s="289"/>
      <c r="X1579" s="245"/>
      <c r="Y1579" s="289"/>
      <c r="Z1579" s="245"/>
    </row>
    <row r="1580" spans="1:26" s="247" customFormat="1" ht="15" customHeight="1">
      <c r="A1580" s="284"/>
      <c r="B1580" s="237"/>
      <c r="C1580" s="654"/>
      <c r="D1580" s="532" t="s">
        <v>1551</v>
      </c>
      <c r="E1580" s="237"/>
      <c r="F1580" s="304"/>
      <c r="G1580" s="240"/>
      <c r="H1580" s="244"/>
      <c r="I1580" s="240"/>
      <c r="J1580" s="240"/>
      <c r="K1580" s="237"/>
      <c r="L1580" s="243"/>
      <c r="M1580" s="289"/>
      <c r="N1580" s="245"/>
      <c r="O1580" s="289"/>
      <c r="P1580" s="245"/>
      <c r="Q1580" s="289"/>
      <c r="R1580" s="245"/>
      <c r="S1580" s="289"/>
      <c r="T1580" s="245"/>
      <c r="U1580" s="289"/>
      <c r="V1580" s="245"/>
      <c r="W1580" s="289"/>
      <c r="X1580" s="245"/>
      <c r="Y1580" s="289"/>
      <c r="Z1580" s="245"/>
    </row>
    <row r="1581" spans="1:26" s="247" customFormat="1" ht="15" customHeight="1">
      <c r="A1581" s="284"/>
      <c r="B1581" s="237"/>
      <c r="C1581" s="653"/>
      <c r="D1581" s="238" t="s">
        <v>993</v>
      </c>
      <c r="E1581" s="237"/>
      <c r="F1581" s="304"/>
      <c r="G1581" s="240"/>
      <c r="H1581" s="244"/>
      <c r="I1581" s="240"/>
      <c r="J1581" s="240"/>
      <c r="K1581" s="237"/>
      <c r="L1581" s="306"/>
      <c r="M1581" s="289">
        <v>0</v>
      </c>
      <c r="N1581" s="245"/>
      <c r="O1581" s="289">
        <v>0</v>
      </c>
      <c r="P1581" s="245"/>
      <c r="Q1581" s="289">
        <v>0</v>
      </c>
      <c r="R1581" s="245"/>
      <c r="S1581" s="289"/>
      <c r="T1581" s="245"/>
      <c r="U1581" s="289">
        <v>0</v>
      </c>
      <c r="V1581" s="245"/>
      <c r="W1581" s="289"/>
      <c r="X1581" s="245"/>
      <c r="Y1581" s="289">
        <v>0</v>
      </c>
      <c r="Z1581" s="245"/>
    </row>
    <row r="1582" spans="1:26" s="247" customFormat="1" ht="15" customHeight="1">
      <c r="A1582" s="284"/>
      <c r="B1582" s="237"/>
      <c r="C1582" s="653"/>
      <c r="D1582" s="238" t="s">
        <v>995</v>
      </c>
      <c r="E1582" s="237"/>
      <c r="F1582" s="304"/>
      <c r="G1582" s="240"/>
      <c r="H1582" s="244"/>
      <c r="I1582" s="240"/>
      <c r="J1582" s="240"/>
      <c r="K1582" s="237"/>
      <c r="L1582" s="306"/>
      <c r="M1582" s="289">
        <v>0</v>
      </c>
      <c r="N1582" s="245"/>
      <c r="O1582" s="289">
        <v>0</v>
      </c>
      <c r="P1582" s="245"/>
      <c r="Q1582" s="289">
        <v>0</v>
      </c>
      <c r="R1582" s="245"/>
      <c r="S1582" s="289"/>
      <c r="T1582" s="245"/>
      <c r="U1582" s="289">
        <v>0</v>
      </c>
      <c r="V1582" s="245"/>
      <c r="W1582" s="289"/>
      <c r="X1582" s="245"/>
      <c r="Y1582" s="289">
        <v>0</v>
      </c>
      <c r="Z1582" s="245"/>
    </row>
    <row r="1583" spans="1:26" s="247" customFormat="1" ht="15" customHeight="1">
      <c r="A1583" s="284"/>
      <c r="B1583" s="237"/>
      <c r="C1583" s="653"/>
      <c r="D1583" s="238" t="s">
        <v>994</v>
      </c>
      <c r="E1583" s="237"/>
      <c r="F1583" s="304"/>
      <c r="G1583" s="240"/>
      <c r="H1583" s="244"/>
      <c r="I1583" s="240"/>
      <c r="J1583" s="240"/>
      <c r="K1583" s="237"/>
      <c r="L1583" s="306"/>
      <c r="M1583" s="289">
        <v>0</v>
      </c>
      <c r="N1583" s="245"/>
      <c r="O1583" s="289">
        <v>0</v>
      </c>
      <c r="P1583" s="245"/>
      <c r="Q1583" s="289">
        <v>0</v>
      </c>
      <c r="R1583" s="245"/>
      <c r="S1583" s="289"/>
      <c r="T1583" s="245"/>
      <c r="U1583" s="289">
        <v>0</v>
      </c>
      <c r="V1583" s="245"/>
      <c r="W1583" s="289"/>
      <c r="X1583" s="245"/>
      <c r="Y1583" s="289">
        <v>0</v>
      </c>
      <c r="Z1583" s="245"/>
    </row>
    <row r="1584" spans="1:26" s="247" customFormat="1" ht="15" customHeight="1">
      <c r="A1584" s="284"/>
      <c r="B1584" s="237"/>
      <c r="C1584" s="653"/>
      <c r="D1584" s="238" t="s">
        <v>1453</v>
      </c>
      <c r="E1584" s="237"/>
      <c r="F1584" s="304"/>
      <c r="G1584" s="240"/>
      <c r="H1584" s="244"/>
      <c r="I1584" s="240"/>
      <c r="J1584" s="240"/>
      <c r="K1584" s="237"/>
      <c r="L1584" s="306"/>
      <c r="M1584" s="289">
        <v>0</v>
      </c>
      <c r="N1584" s="245"/>
      <c r="O1584" s="289">
        <v>0</v>
      </c>
      <c r="P1584" s="245"/>
      <c r="Q1584" s="289">
        <v>0</v>
      </c>
      <c r="R1584" s="245"/>
      <c r="S1584" s="289"/>
      <c r="T1584" s="245"/>
      <c r="U1584" s="289">
        <v>100</v>
      </c>
      <c r="V1584" s="245"/>
      <c r="W1584" s="289">
        <f>158*(2+1+1)+18</f>
        <v>650</v>
      </c>
      <c r="X1584" s="245"/>
      <c r="Y1584" s="289"/>
      <c r="Z1584" s="245"/>
    </row>
    <row r="1585" spans="1:26" s="247" customFormat="1" ht="15" customHeight="1">
      <c r="A1585" s="284"/>
      <c r="B1585" s="237"/>
      <c r="C1585" s="653"/>
      <c r="D1585" s="238" t="s">
        <v>2451</v>
      </c>
      <c r="E1585" s="237"/>
      <c r="F1585" s="304"/>
      <c r="G1585" s="240"/>
      <c r="H1585" s="244"/>
      <c r="I1585" s="240"/>
      <c r="J1585" s="240"/>
      <c r="K1585" s="237"/>
      <c r="L1585" s="288">
        <v>0</v>
      </c>
      <c r="M1585" s="288"/>
      <c r="N1585" s="245"/>
      <c r="O1585" s="289"/>
      <c r="P1585" s="245"/>
      <c r="Q1585" s="289"/>
      <c r="R1585" s="245"/>
      <c r="S1585" s="289"/>
      <c r="T1585" s="245"/>
      <c r="U1585" s="289"/>
      <c r="V1585" s="245"/>
      <c r="W1585" s="289"/>
      <c r="X1585" s="245"/>
      <c r="Y1585" s="289"/>
      <c r="Z1585" s="245"/>
    </row>
    <row r="1586" spans="1:26" s="247" customFormat="1" ht="15" customHeight="1">
      <c r="A1586" s="284"/>
      <c r="B1586" s="237"/>
      <c r="C1586" s="653"/>
      <c r="D1586" s="238" t="s">
        <v>2446</v>
      </c>
      <c r="E1586" s="237"/>
      <c r="F1586" s="304"/>
      <c r="G1586" s="240"/>
      <c r="H1586" s="244"/>
      <c r="I1586" s="240"/>
      <c r="J1586" s="240"/>
      <c r="K1586" s="237"/>
      <c r="L1586" s="288">
        <v>0</v>
      </c>
      <c r="M1586" s="491"/>
      <c r="N1586" s="296"/>
      <c r="O1586" s="291"/>
      <c r="P1586" s="296"/>
      <c r="Q1586" s="291"/>
      <c r="R1586" s="296"/>
      <c r="S1586" s="291"/>
      <c r="T1586" s="296"/>
      <c r="U1586" s="291"/>
      <c r="V1586" s="296"/>
      <c r="W1586" s="291"/>
      <c r="X1586" s="296"/>
      <c r="Y1586" s="291"/>
      <c r="Z1586" s="296"/>
    </row>
    <row r="1587" spans="1:26" s="247" customFormat="1" ht="15" customHeight="1">
      <c r="A1587" s="284"/>
      <c r="B1587" s="237"/>
      <c r="C1587" s="653"/>
      <c r="D1587" s="238" t="s">
        <v>1900</v>
      </c>
      <c r="E1587" s="237"/>
      <c r="F1587" s="304">
        <f>M1587+O1587+Q1587+S1587+U1587+W1587+Y1587</f>
        <v>750</v>
      </c>
      <c r="G1587" s="240">
        <f>L1587</f>
        <v>25.18</v>
      </c>
      <c r="H1587" s="244">
        <f>INT(F1587*G1587*100+0.5)/100</f>
        <v>18885</v>
      </c>
      <c r="I1587" s="253">
        <f>N1587+P1587+R1587+T1587+V1587+X1587+Z1587</f>
        <v>18885</v>
      </c>
      <c r="J1587" s="240"/>
      <c r="K1587" s="237"/>
      <c r="L1587" s="306">
        <v>25.18</v>
      </c>
      <c r="M1587" s="289">
        <f>SUM(M1581:M1586)</f>
        <v>0</v>
      </c>
      <c r="N1587" s="245">
        <f>INT($L1587*M1587*100+0.5)/100</f>
        <v>0</v>
      </c>
      <c r="O1587" s="289">
        <f>SUM(O1581:O1586)</f>
        <v>0</v>
      </c>
      <c r="P1587" s="245">
        <f>INT($L1587*O1587*100+0.5)/100</f>
        <v>0</v>
      </c>
      <c r="Q1587" s="289">
        <f>SUM(Q1581:Q1586)</f>
        <v>0</v>
      </c>
      <c r="R1587" s="245">
        <f>INT($L1587*Q1587*100+0.5)/100</f>
        <v>0</v>
      </c>
      <c r="S1587" s="289">
        <f>SUM(S1581:S1586)</f>
        <v>0</v>
      </c>
      <c r="T1587" s="245">
        <f>INT($L1587*S1587*100+0.5)/100</f>
        <v>0</v>
      </c>
      <c r="U1587" s="289">
        <f>SUM(U1581:U1586)</f>
        <v>100</v>
      </c>
      <c r="V1587" s="245">
        <f>INT($L1587*U1587*100+0.5)/100</f>
        <v>2518</v>
      </c>
      <c r="W1587" s="289">
        <f>SUM(W1581:W1586)</f>
        <v>650</v>
      </c>
      <c r="X1587" s="245">
        <f>INT($L1587*W1587*100+0.5)/100</f>
        <v>16367</v>
      </c>
      <c r="Y1587" s="289">
        <f>SUM(Y1581:Y1586)</f>
        <v>0</v>
      </c>
      <c r="Z1587" s="245">
        <f>INT($L1587*Y1587*100+0.5)/100</f>
        <v>0</v>
      </c>
    </row>
    <row r="1588" spans="1:26" s="247" customFormat="1" ht="15" customHeight="1">
      <c r="A1588" s="284"/>
      <c r="B1588" s="237"/>
      <c r="C1588" s="237"/>
      <c r="D1588" s="238"/>
      <c r="E1588" s="237"/>
      <c r="F1588" s="304"/>
      <c r="G1588" s="240"/>
      <c r="H1588" s="244"/>
      <c r="I1588" s="240"/>
      <c r="J1588" s="240"/>
      <c r="K1588" s="237"/>
      <c r="L1588" s="306"/>
      <c r="M1588" s="289"/>
      <c r="N1588" s="245"/>
      <c r="O1588" s="289"/>
      <c r="P1588" s="245"/>
      <c r="Q1588" s="289"/>
      <c r="R1588" s="245"/>
      <c r="S1588" s="289"/>
      <c r="T1588" s="245"/>
      <c r="U1588" s="289"/>
      <c r="V1588" s="245"/>
      <c r="W1588" s="289"/>
      <c r="X1588" s="245"/>
      <c r="Y1588" s="289"/>
      <c r="Z1588" s="245"/>
    </row>
    <row r="1589" spans="1:26" ht="15" customHeight="1">
      <c r="A1589" s="250"/>
      <c r="B1589" s="251"/>
      <c r="C1589" s="526"/>
      <c r="D1589" s="526"/>
      <c r="E1589" s="251"/>
      <c r="F1589" s="252"/>
      <c r="G1589" s="253"/>
      <c r="H1589" s="254"/>
      <c r="I1589" s="253"/>
      <c r="J1589" s="253"/>
      <c r="K1589" s="251"/>
      <c r="L1589" s="261"/>
      <c r="M1589" s="258"/>
      <c r="N1589" s="257"/>
      <c r="O1589" s="258"/>
      <c r="P1589" s="257"/>
      <c r="Q1589" s="258"/>
      <c r="R1589" s="257"/>
      <c r="S1589" s="258"/>
      <c r="T1589" s="257"/>
      <c r="U1589" s="258"/>
      <c r="V1589" s="257"/>
      <c r="W1589" s="258"/>
      <c r="X1589" s="257"/>
      <c r="Y1589" s="258"/>
      <c r="Z1589" s="257"/>
    </row>
    <row r="1590" spans="1:26" s="303" customFormat="1" ht="15" customHeight="1">
      <c r="A1590" s="298"/>
      <c r="B1590" s="299"/>
      <c r="C1590" s="332">
        <v>85</v>
      </c>
      <c r="D1590" s="333" t="s">
        <v>1582</v>
      </c>
      <c r="E1590" s="299"/>
      <c r="F1590" s="301"/>
      <c r="G1590" s="273"/>
      <c r="H1590" s="273"/>
      <c r="I1590" s="272">
        <f>N1590+P1590+R1590+T1590+V1590+X1590+Z1590</f>
        <v>233328.67000000004</v>
      </c>
      <c r="J1590" s="269">
        <f>SUM(N1590:Z1590)</f>
        <v>233328.67000000004</v>
      </c>
      <c r="K1590" s="299"/>
      <c r="L1590" s="271"/>
      <c r="M1590" s="273"/>
      <c r="N1590" s="273">
        <f>SUM(N1529:N1589)</f>
        <v>15180.039999999999</v>
      </c>
      <c r="O1590" s="273"/>
      <c r="P1590" s="273">
        <f>SUM(P1529:P1589)</f>
        <v>21943.27</v>
      </c>
      <c r="Q1590" s="273"/>
      <c r="R1590" s="273">
        <f>SUM(R1529:R1589)</f>
        <v>19991.689999999999</v>
      </c>
      <c r="S1590" s="273"/>
      <c r="T1590" s="273">
        <f>SUM(T1529:T1589)</f>
        <v>0</v>
      </c>
      <c r="U1590" s="273"/>
      <c r="V1590" s="273">
        <f>SUM(V1529:V1589)</f>
        <v>74668.2</v>
      </c>
      <c r="W1590" s="273"/>
      <c r="X1590" s="273">
        <f>SUM(X1529:X1589)</f>
        <v>17665.64</v>
      </c>
      <c r="Y1590" s="273"/>
      <c r="Z1590" s="273">
        <f>SUM(Z1529:Z1589)</f>
        <v>83879.83</v>
      </c>
    </row>
    <row r="1591" spans="1:26" ht="15" customHeight="1">
      <c r="A1591" s="250"/>
      <c r="B1591" s="251"/>
      <c r="C1591" s="329"/>
      <c r="D1591" s="330"/>
      <c r="E1591" s="251"/>
      <c r="F1591" s="252"/>
      <c r="G1591" s="253"/>
      <c r="H1591" s="254"/>
      <c r="I1591" s="253"/>
      <c r="J1591" s="253"/>
      <c r="K1591" s="251"/>
      <c r="L1591" s="261"/>
      <c r="M1591" s="258"/>
      <c r="N1591" s="494">
        <f>N1590/$N$1928</f>
        <v>7.5606468868446075E-2</v>
      </c>
      <c r="O1591" s="258"/>
      <c r="P1591" s="257"/>
      <c r="Q1591" s="258"/>
      <c r="R1591" s="257"/>
      <c r="S1591" s="258"/>
      <c r="T1591" s="257"/>
      <c r="U1591" s="258"/>
      <c r="V1591" s="257"/>
      <c r="W1591" s="258"/>
      <c r="X1591" s="257"/>
      <c r="Y1591" s="258"/>
      <c r="Z1591" s="257"/>
    </row>
    <row r="1592" spans="1:26" ht="34.5" customHeight="1">
      <c r="A1592" s="250"/>
      <c r="B1592" s="251"/>
      <c r="C1592" s="329">
        <v>86</v>
      </c>
      <c r="D1592" s="330" t="s">
        <v>933</v>
      </c>
      <c r="E1592" s="251"/>
      <c r="F1592" s="252"/>
      <c r="G1592" s="253"/>
      <c r="H1592" s="254"/>
      <c r="I1592" s="253"/>
      <c r="J1592" s="253"/>
      <c r="K1592" s="251"/>
      <c r="L1592" s="261"/>
      <c r="M1592" s="258"/>
      <c r="N1592" s="257"/>
      <c r="O1592" s="258"/>
      <c r="P1592" s="257"/>
      <c r="Q1592" s="258"/>
      <c r="R1592" s="257"/>
      <c r="S1592" s="258"/>
      <c r="T1592" s="257"/>
      <c r="U1592" s="258"/>
      <c r="V1592" s="257"/>
      <c r="W1592" s="258"/>
      <c r="X1592" s="257"/>
      <c r="Y1592" s="258"/>
      <c r="Z1592" s="257"/>
    </row>
    <row r="1593" spans="1:26" s="247" customFormat="1" ht="15" customHeight="1">
      <c r="A1593" s="284">
        <f>A1579+1</f>
        <v>281</v>
      </c>
      <c r="B1593" s="237"/>
      <c r="C1593" s="654" t="s">
        <v>857</v>
      </c>
      <c r="D1593" s="532" t="s">
        <v>1049</v>
      </c>
      <c r="E1593" s="237" t="s">
        <v>2475</v>
      </c>
      <c r="F1593" s="304"/>
      <c r="G1593" s="240"/>
      <c r="H1593" s="244"/>
      <c r="I1593" s="240"/>
      <c r="J1593" s="240"/>
      <c r="K1593" s="237" t="s">
        <v>2475</v>
      </c>
      <c r="L1593" s="306"/>
      <c r="M1593" s="289"/>
      <c r="N1593" s="245"/>
      <c r="O1593" s="289"/>
      <c r="P1593" s="245"/>
      <c r="Q1593" s="289"/>
      <c r="R1593" s="245"/>
      <c r="S1593" s="289"/>
      <c r="T1593" s="245"/>
      <c r="U1593" s="289"/>
      <c r="V1593" s="245"/>
      <c r="W1593" s="289"/>
      <c r="X1593" s="245"/>
      <c r="Y1593" s="289"/>
      <c r="Z1593" s="245"/>
    </row>
    <row r="1594" spans="1:26" s="247" customFormat="1" ht="15" customHeight="1">
      <c r="A1594" s="284"/>
      <c r="B1594" s="237"/>
      <c r="C1594" s="654"/>
      <c r="D1594" s="532" t="s">
        <v>1050</v>
      </c>
      <c r="E1594" s="237"/>
      <c r="F1594" s="304"/>
      <c r="G1594" s="240"/>
      <c r="H1594" s="244"/>
      <c r="I1594" s="240"/>
      <c r="J1594" s="240"/>
      <c r="K1594" s="237"/>
      <c r="L1594" s="243"/>
      <c r="M1594" s="289"/>
      <c r="N1594" s="245"/>
      <c r="O1594" s="289"/>
      <c r="P1594" s="245"/>
      <c r="Q1594" s="289"/>
      <c r="R1594" s="245"/>
      <c r="S1594" s="289"/>
      <c r="T1594" s="245"/>
      <c r="U1594" s="289"/>
      <c r="V1594" s="245"/>
      <c r="W1594" s="289"/>
      <c r="X1594" s="245"/>
      <c r="Y1594" s="289"/>
      <c r="Z1594" s="245"/>
    </row>
    <row r="1595" spans="1:26" s="247" customFormat="1" ht="15" customHeight="1">
      <c r="A1595" s="284"/>
      <c r="B1595" s="237"/>
      <c r="C1595" s="653"/>
      <c r="D1595" s="238" t="s">
        <v>993</v>
      </c>
      <c r="E1595" s="237"/>
      <c r="F1595" s="304"/>
      <c r="G1595" s="240"/>
      <c r="H1595" s="244"/>
      <c r="I1595" s="240"/>
      <c r="J1595" s="240"/>
      <c r="K1595" s="237"/>
      <c r="L1595" s="306"/>
      <c r="M1595" s="289">
        <v>0</v>
      </c>
      <c r="N1595" s="245"/>
      <c r="O1595" s="289">
        <v>0</v>
      </c>
      <c r="P1595" s="245"/>
      <c r="Q1595" s="289">
        <v>0</v>
      </c>
      <c r="R1595" s="245"/>
      <c r="S1595" s="289"/>
      <c r="T1595" s="245"/>
      <c r="U1595" s="289">
        <f>(172+10)*2</f>
        <v>364</v>
      </c>
      <c r="V1595" s="245"/>
      <c r="W1595" s="289"/>
      <c r="X1595" s="245"/>
      <c r="Y1595" s="289">
        <v>0</v>
      </c>
      <c r="Z1595" s="245"/>
    </row>
    <row r="1596" spans="1:26" s="247" customFormat="1" ht="15" customHeight="1">
      <c r="A1596" s="284"/>
      <c r="B1596" s="237"/>
      <c r="C1596" s="653"/>
      <c r="D1596" s="238" t="s">
        <v>995</v>
      </c>
      <c r="E1596" s="237"/>
      <c r="F1596" s="304"/>
      <c r="G1596" s="240"/>
      <c r="H1596" s="244"/>
      <c r="I1596" s="240"/>
      <c r="J1596" s="240"/>
      <c r="K1596" s="237"/>
      <c r="L1596" s="306"/>
      <c r="M1596" s="289">
        <v>0</v>
      </c>
      <c r="N1596" s="245"/>
      <c r="O1596" s="289">
        <v>0</v>
      </c>
      <c r="P1596" s="245"/>
      <c r="Q1596" s="289">
        <v>0</v>
      </c>
      <c r="R1596" s="245"/>
      <c r="S1596" s="289"/>
      <c r="T1596" s="245"/>
      <c r="U1596" s="289">
        <f>(10+250+10)*2</f>
        <v>540</v>
      </c>
      <c r="V1596" s="245"/>
      <c r="W1596" s="289"/>
      <c r="X1596" s="245"/>
      <c r="Y1596" s="289">
        <v>0</v>
      </c>
      <c r="Z1596" s="245"/>
    </row>
    <row r="1597" spans="1:26" s="247" customFormat="1" ht="15" customHeight="1">
      <c r="A1597" s="284"/>
      <c r="B1597" s="237"/>
      <c r="C1597" s="653"/>
      <c r="D1597" s="238" t="s">
        <v>994</v>
      </c>
      <c r="E1597" s="237"/>
      <c r="F1597" s="304"/>
      <c r="G1597" s="240"/>
      <c r="H1597" s="244"/>
      <c r="I1597" s="240"/>
      <c r="J1597" s="240"/>
      <c r="K1597" s="237"/>
      <c r="L1597" s="306"/>
      <c r="M1597" s="289">
        <v>0</v>
      </c>
      <c r="N1597" s="245"/>
      <c r="O1597" s="289">
        <v>0</v>
      </c>
      <c r="P1597" s="245"/>
      <c r="Q1597" s="289">
        <v>0</v>
      </c>
      <c r="R1597" s="245"/>
      <c r="S1597" s="289"/>
      <c r="T1597" s="245"/>
      <c r="U1597" s="289">
        <f>(250+10)*2</f>
        <v>520</v>
      </c>
      <c r="V1597" s="245"/>
      <c r="W1597" s="289"/>
      <c r="X1597" s="245"/>
      <c r="Y1597" s="289">
        <v>0</v>
      </c>
      <c r="Z1597" s="245"/>
    </row>
    <row r="1598" spans="1:26" s="247" customFormat="1" ht="15" customHeight="1">
      <c r="A1598" s="284"/>
      <c r="B1598" s="237"/>
      <c r="C1598" s="653"/>
      <c r="D1598" s="238" t="s">
        <v>1453</v>
      </c>
      <c r="E1598" s="237"/>
      <c r="F1598" s="304"/>
      <c r="G1598" s="240"/>
      <c r="H1598" s="244"/>
      <c r="I1598" s="240"/>
      <c r="J1598" s="240"/>
      <c r="K1598" s="237"/>
      <c r="L1598" s="306"/>
      <c r="M1598" s="289">
        <v>0</v>
      </c>
      <c r="N1598" s="245"/>
      <c r="O1598" s="289">
        <v>0</v>
      </c>
      <c r="P1598" s="245"/>
      <c r="Q1598" s="289">
        <v>0</v>
      </c>
      <c r="R1598" s="245"/>
      <c r="S1598" s="289"/>
      <c r="T1598" s="245"/>
      <c r="U1598" s="289">
        <f>4*6.5+2*7+10</f>
        <v>50</v>
      </c>
      <c r="V1598" s="245"/>
      <c r="W1598" s="289">
        <v>0</v>
      </c>
      <c r="X1598" s="245"/>
      <c r="Y1598" s="289"/>
      <c r="Z1598" s="245"/>
    </row>
    <row r="1599" spans="1:26" s="247" customFormat="1" ht="15" customHeight="1">
      <c r="A1599" s="284"/>
      <c r="B1599" s="237"/>
      <c r="C1599" s="653"/>
      <c r="D1599" s="238" t="s">
        <v>2451</v>
      </c>
      <c r="E1599" s="237"/>
      <c r="F1599" s="304"/>
      <c r="G1599" s="240"/>
      <c r="H1599" s="244"/>
      <c r="I1599" s="240"/>
      <c r="J1599" s="240"/>
      <c r="K1599" s="237"/>
      <c r="L1599" s="288">
        <v>0</v>
      </c>
      <c r="M1599" s="288"/>
      <c r="N1599" s="245"/>
      <c r="O1599" s="289"/>
      <c r="P1599" s="245"/>
      <c r="Q1599" s="289"/>
      <c r="R1599" s="245"/>
      <c r="S1599" s="289"/>
      <c r="T1599" s="245"/>
      <c r="U1599" s="289"/>
      <c r="V1599" s="245"/>
      <c r="W1599" s="289"/>
      <c r="X1599" s="245"/>
      <c r="Y1599" s="289"/>
      <c r="Z1599" s="245"/>
    </row>
    <row r="1600" spans="1:26" s="247" customFormat="1" ht="15" customHeight="1">
      <c r="A1600" s="284"/>
      <c r="B1600" s="237"/>
      <c r="C1600" s="653"/>
      <c r="D1600" s="238" t="s">
        <v>2446</v>
      </c>
      <c r="E1600" s="237"/>
      <c r="F1600" s="304"/>
      <c r="G1600" s="240"/>
      <c r="H1600" s="244"/>
      <c r="I1600" s="240"/>
      <c r="J1600" s="240"/>
      <c r="K1600" s="237"/>
      <c r="L1600" s="288">
        <v>0</v>
      </c>
      <c r="M1600" s="491"/>
      <c r="N1600" s="296"/>
      <c r="O1600" s="291"/>
      <c r="P1600" s="296"/>
      <c r="Q1600" s="291"/>
      <c r="R1600" s="296"/>
      <c r="S1600" s="291"/>
      <c r="T1600" s="296"/>
      <c r="U1600" s="291"/>
      <c r="V1600" s="296"/>
      <c r="W1600" s="291"/>
      <c r="X1600" s="296"/>
      <c r="Y1600" s="291"/>
      <c r="Z1600" s="296"/>
    </row>
    <row r="1601" spans="1:26" s="247" customFormat="1" ht="15" customHeight="1">
      <c r="A1601" s="284"/>
      <c r="B1601" s="237"/>
      <c r="C1601" s="653"/>
      <c r="D1601" s="238" t="s">
        <v>1900</v>
      </c>
      <c r="E1601" s="237"/>
      <c r="F1601" s="304">
        <f>M1601+O1601+Q1601+S1601+U1601+W1601+Y1601</f>
        <v>1474</v>
      </c>
      <c r="G1601" s="240">
        <f>L1601</f>
        <v>71.55</v>
      </c>
      <c r="H1601" s="244">
        <f>INT(F1601*G1601*100+0.5)/100</f>
        <v>105464.7</v>
      </c>
      <c r="I1601" s="253">
        <f>N1601+P1601+R1601+T1601+V1601+X1601+Z1601</f>
        <v>105464.7</v>
      </c>
      <c r="J1601" s="240"/>
      <c r="K1601" s="237"/>
      <c r="L1601" s="306">
        <v>71.55</v>
      </c>
      <c r="M1601" s="289">
        <f>SUM(M1595:M1600)</f>
        <v>0</v>
      </c>
      <c r="N1601" s="245">
        <f>INT($L1601*M1601*100+0.5)/100</f>
        <v>0</v>
      </c>
      <c r="O1601" s="289">
        <f>SUM(O1595:O1600)</f>
        <v>0</v>
      </c>
      <c r="P1601" s="245">
        <f>INT($L1601*O1601*100+0.5)/100</f>
        <v>0</v>
      </c>
      <c r="Q1601" s="289">
        <f>SUM(Q1595:Q1600)</f>
        <v>0</v>
      </c>
      <c r="R1601" s="245">
        <f>INT($L1601*Q1601*100+0.5)/100</f>
        <v>0</v>
      </c>
      <c r="S1601" s="289">
        <f>SUM(S1595:S1600)</f>
        <v>0</v>
      </c>
      <c r="T1601" s="245">
        <f>INT($L1601*S1601*100+0.5)/100</f>
        <v>0</v>
      </c>
      <c r="U1601" s="289">
        <f>SUM(U1595:U1600)</f>
        <v>1474</v>
      </c>
      <c r="V1601" s="245">
        <f>INT($L1601*U1601*100+0.5)/100</f>
        <v>105464.7</v>
      </c>
      <c r="W1601" s="289">
        <f>SUM(W1595:W1600)</f>
        <v>0</v>
      </c>
      <c r="X1601" s="245">
        <f>INT($L1601*W1601*100+0.5)/100</f>
        <v>0</v>
      </c>
      <c r="Y1601" s="289">
        <f>SUM(Y1595:Y1600)</f>
        <v>0</v>
      </c>
      <c r="Z1601" s="245">
        <f>INT($L1601*Y1601*100+0.5)/100</f>
        <v>0</v>
      </c>
    </row>
    <row r="1602" spans="1:26" s="247" customFormat="1" ht="15" customHeight="1">
      <c r="A1602" s="284"/>
      <c r="B1602" s="237"/>
      <c r="C1602" s="653"/>
      <c r="D1602" s="238"/>
      <c r="E1602" s="237"/>
      <c r="F1602" s="304"/>
      <c r="G1602" s="240"/>
      <c r="H1602" s="244"/>
      <c r="I1602" s="240"/>
      <c r="J1602" s="240"/>
      <c r="K1602" s="237"/>
      <c r="L1602" s="306"/>
      <c r="M1602" s="289"/>
      <c r="N1602" s="245"/>
      <c r="O1602" s="289"/>
      <c r="P1602" s="245"/>
      <c r="Q1602" s="289"/>
      <c r="R1602" s="245"/>
      <c r="S1602" s="289"/>
      <c r="T1602" s="245"/>
      <c r="U1602" s="289"/>
      <c r="V1602" s="245"/>
      <c r="W1602" s="289"/>
      <c r="X1602" s="245"/>
      <c r="Y1602" s="289"/>
      <c r="Z1602" s="245"/>
    </row>
    <row r="1603" spans="1:26" ht="15" customHeight="1">
      <c r="A1603" s="250">
        <f>A1593+1</f>
        <v>282</v>
      </c>
      <c r="B1603" s="251"/>
      <c r="C1603" s="647" t="s">
        <v>858</v>
      </c>
      <c r="D1603" s="526" t="s">
        <v>1544</v>
      </c>
      <c r="E1603" s="251" t="s">
        <v>2475</v>
      </c>
      <c r="F1603" s="304">
        <f>M1603+O1603+Q1603+S1603+U1603+W1603+Y1603</f>
        <v>90</v>
      </c>
      <c r="G1603" s="253">
        <f>L1603</f>
        <v>7.3</v>
      </c>
      <c r="H1603" s="254">
        <f>INT(F1603*G1603*100+0.5)/100</f>
        <v>657</v>
      </c>
      <c r="I1603" s="253">
        <f>N1603+P1603+R1603+T1603+V1603+X1603+Z1603</f>
        <v>657</v>
      </c>
      <c r="J1603" s="253"/>
      <c r="K1603" s="251" t="s">
        <v>1901</v>
      </c>
      <c r="L1603" s="255">
        <f>7.3</f>
        <v>7.3</v>
      </c>
      <c r="M1603" s="258">
        <v>0</v>
      </c>
      <c r="N1603" s="257">
        <f>INT($L1603*M1603*100+0.5)/100</f>
        <v>0</v>
      </c>
      <c r="O1603" s="258">
        <v>0</v>
      </c>
      <c r="P1603" s="257">
        <f>INT($L1603*O1603*100+0.5)/100</f>
        <v>0</v>
      </c>
      <c r="Q1603" s="258">
        <v>0</v>
      </c>
      <c r="R1603" s="257">
        <f>INT($L1603*Q1603*100+0.5)/100</f>
        <v>0</v>
      </c>
      <c r="S1603" s="258">
        <v>0</v>
      </c>
      <c r="T1603" s="257">
        <f>INT($L1603*S1603*100+0.5)/100</f>
        <v>0</v>
      </c>
      <c r="U1603" s="258">
        <v>0</v>
      </c>
      <c r="V1603" s="257">
        <f>INT($L1603*U1603*100+0.5)/100</f>
        <v>0</v>
      </c>
      <c r="W1603" s="258">
        <v>0</v>
      </c>
      <c r="X1603" s="257">
        <f>INT($L1603*W1603*100+0.5)/100</f>
        <v>0</v>
      </c>
      <c r="Y1603" s="258">
        <f>15*6</f>
        <v>90</v>
      </c>
      <c r="Z1603" s="257">
        <f>INT($L1603*Y1603*100+0.5)/100</f>
        <v>657</v>
      </c>
    </row>
    <row r="1604" spans="1:26" ht="15" customHeight="1">
      <c r="A1604" s="250"/>
      <c r="B1604" s="251"/>
      <c r="C1604" s="647"/>
      <c r="D1604" s="526" t="s">
        <v>1543</v>
      </c>
      <c r="E1604" s="251"/>
      <c r="F1604" s="252"/>
      <c r="G1604" s="253"/>
      <c r="H1604" s="254"/>
      <c r="I1604" s="253"/>
      <c r="J1604" s="253"/>
      <c r="K1604" s="251"/>
      <c r="L1604" s="261"/>
      <c r="M1604" s="258"/>
      <c r="N1604" s="257"/>
      <c r="O1604" s="258"/>
      <c r="P1604" s="257"/>
      <c r="Q1604" s="258"/>
      <c r="R1604" s="257"/>
      <c r="S1604" s="258"/>
      <c r="T1604" s="257"/>
      <c r="U1604" s="258"/>
      <c r="V1604" s="257"/>
      <c r="W1604" s="258"/>
      <c r="X1604" s="257"/>
      <c r="Y1604" s="258"/>
      <c r="Z1604" s="257"/>
    </row>
    <row r="1605" spans="1:26" ht="15" customHeight="1">
      <c r="A1605" s="250"/>
      <c r="B1605" s="251"/>
      <c r="C1605" s="647"/>
      <c r="D1605" s="292"/>
      <c r="E1605" s="251"/>
      <c r="F1605" s="252"/>
      <c r="G1605" s="253"/>
      <c r="H1605" s="254"/>
      <c r="I1605" s="253"/>
      <c r="J1605" s="253"/>
      <c r="K1605" s="251"/>
      <c r="L1605" s="261"/>
      <c r="M1605" s="258"/>
      <c r="N1605" s="257"/>
      <c r="O1605" s="258"/>
      <c r="P1605" s="257"/>
      <c r="Q1605" s="258"/>
      <c r="R1605" s="257"/>
      <c r="S1605" s="258"/>
      <c r="T1605" s="257"/>
      <c r="U1605" s="258"/>
      <c r="V1605" s="257"/>
      <c r="W1605" s="258"/>
      <c r="X1605" s="257"/>
      <c r="Y1605" s="258"/>
      <c r="Z1605" s="257"/>
    </row>
    <row r="1606" spans="1:26" ht="25.5">
      <c r="A1606" s="250">
        <f>A1603+1</f>
        <v>283</v>
      </c>
      <c r="B1606" s="251"/>
      <c r="C1606" s="647" t="s">
        <v>859</v>
      </c>
      <c r="D1606" s="526" t="s">
        <v>1545</v>
      </c>
      <c r="E1606" s="251" t="s">
        <v>1901</v>
      </c>
      <c r="F1606" s="304">
        <f>M1606+O1606+Q1606+S1606+U1606+W1606+Y1606</f>
        <v>15</v>
      </c>
      <c r="G1606" s="253">
        <f>L1606</f>
        <v>36.5</v>
      </c>
      <c r="H1606" s="254">
        <f>INT(F1606*G1606*100+0.5)/100</f>
        <v>547.5</v>
      </c>
      <c r="I1606" s="253">
        <f>N1606+P1606+R1606+T1606+V1606+X1606+Z1606</f>
        <v>547.5</v>
      </c>
      <c r="J1606" s="253"/>
      <c r="K1606" s="251" t="s">
        <v>1901</v>
      </c>
      <c r="L1606" s="255">
        <v>36.5</v>
      </c>
      <c r="M1606" s="258">
        <v>0</v>
      </c>
      <c r="N1606" s="257">
        <f>INT($L1606*M1606*100+0.5)/100</f>
        <v>0</v>
      </c>
      <c r="O1606" s="258">
        <v>0</v>
      </c>
      <c r="P1606" s="257">
        <f>INT($L1606*O1606*100+0.5)/100</f>
        <v>0</v>
      </c>
      <c r="Q1606" s="258">
        <v>0</v>
      </c>
      <c r="R1606" s="257">
        <f>INT($L1606*Q1606*100+0.5)/100</f>
        <v>0</v>
      </c>
      <c r="S1606" s="258">
        <v>0</v>
      </c>
      <c r="T1606" s="257">
        <f>INT($L1606*S1606*100+0.5)/100</f>
        <v>0</v>
      </c>
      <c r="U1606" s="258">
        <v>0</v>
      </c>
      <c r="V1606" s="257">
        <f>INT($L1606*U1606*100+0.5)/100</f>
        <v>0</v>
      </c>
      <c r="W1606" s="258">
        <v>0</v>
      </c>
      <c r="X1606" s="257">
        <f>INT($L1606*W1606*100+0.5)/100</f>
        <v>0</v>
      </c>
      <c r="Y1606" s="258">
        <v>15</v>
      </c>
      <c r="Z1606" s="257">
        <f>INT($L1606*Y1606*100+0.5)/100</f>
        <v>547.5</v>
      </c>
    </row>
    <row r="1607" spans="1:26" ht="25.5">
      <c r="A1607" s="250"/>
      <c r="B1607" s="251"/>
      <c r="C1607" s="647"/>
      <c r="D1607" s="526" t="s">
        <v>930</v>
      </c>
      <c r="E1607" s="251"/>
      <c r="F1607" s="252"/>
      <c r="G1607" s="253"/>
      <c r="H1607" s="254"/>
      <c r="I1607" s="253"/>
      <c r="J1607" s="253"/>
      <c r="K1607" s="251"/>
      <c r="L1607" s="261"/>
      <c r="M1607" s="258"/>
      <c r="N1607" s="257"/>
      <c r="O1607" s="258"/>
      <c r="P1607" s="257"/>
      <c r="Q1607" s="258"/>
      <c r="R1607" s="257"/>
      <c r="S1607" s="258"/>
      <c r="T1607" s="257"/>
      <c r="U1607" s="258"/>
      <c r="V1607" s="257"/>
      <c r="W1607" s="258"/>
      <c r="X1607" s="257"/>
      <c r="Y1607" s="258"/>
      <c r="Z1607" s="257"/>
    </row>
    <row r="1608" spans="1:26" ht="15" customHeight="1">
      <c r="A1608" s="250"/>
      <c r="B1608" s="251"/>
      <c r="C1608" s="670"/>
      <c r="D1608" s="330"/>
      <c r="E1608" s="251"/>
      <c r="F1608" s="252"/>
      <c r="G1608" s="253"/>
      <c r="H1608" s="254"/>
      <c r="I1608" s="253"/>
      <c r="J1608" s="253"/>
      <c r="K1608" s="251"/>
      <c r="L1608" s="261"/>
      <c r="M1608" s="258"/>
      <c r="N1608" s="257"/>
      <c r="O1608" s="258"/>
      <c r="P1608" s="257"/>
      <c r="Q1608" s="258"/>
      <c r="R1608" s="257"/>
      <c r="S1608" s="258"/>
      <c r="T1608" s="257"/>
      <c r="U1608" s="258"/>
      <c r="V1608" s="257"/>
      <c r="W1608" s="258"/>
      <c r="X1608" s="257"/>
      <c r="Y1608" s="258"/>
      <c r="Z1608" s="257"/>
    </row>
    <row r="1609" spans="1:26" ht="25.5">
      <c r="A1609" s="250">
        <f>A1606+1</f>
        <v>284</v>
      </c>
      <c r="B1609" s="251"/>
      <c r="C1609" s="647" t="s">
        <v>860</v>
      </c>
      <c r="D1609" s="526" t="s">
        <v>1546</v>
      </c>
      <c r="E1609" s="251" t="s">
        <v>2475</v>
      </c>
      <c r="F1609" s="304">
        <f>M1609+O1609+Q1609+S1609+U1609+W1609+Y1609</f>
        <v>800</v>
      </c>
      <c r="G1609" s="253">
        <f>L1609</f>
        <v>0.38</v>
      </c>
      <c r="H1609" s="254">
        <f>INT(F1609*G1609*100+0.5)/100</f>
        <v>304</v>
      </c>
      <c r="I1609" s="253">
        <f>N1609+P1609+R1609+T1609+V1609+X1609+Z1609</f>
        <v>304</v>
      </c>
      <c r="J1609" s="253"/>
      <c r="K1609" s="251" t="s">
        <v>2475</v>
      </c>
      <c r="L1609" s="255">
        <v>0.38</v>
      </c>
      <c r="M1609" s="258">
        <v>0</v>
      </c>
      <c r="N1609" s="257">
        <f>INT($L1609*M1609*100+0.5)/100</f>
        <v>0</v>
      </c>
      <c r="O1609" s="258">
        <v>0</v>
      </c>
      <c r="P1609" s="257">
        <f>INT($L1609*O1609*100+0.5)/100</f>
        <v>0</v>
      </c>
      <c r="Q1609" s="258">
        <v>0</v>
      </c>
      <c r="R1609" s="257">
        <f>INT($L1609*Q1609*100+0.5)/100</f>
        <v>0</v>
      </c>
      <c r="S1609" s="258">
        <v>0</v>
      </c>
      <c r="T1609" s="257">
        <f>INT($L1609*S1609*100+0.5)/100</f>
        <v>0</v>
      </c>
      <c r="U1609" s="258">
        <v>0</v>
      </c>
      <c r="V1609" s="257">
        <f>INT($L1609*U1609*100+0.5)/100</f>
        <v>0</v>
      </c>
      <c r="W1609" s="258">
        <v>0</v>
      </c>
      <c r="X1609" s="257">
        <f>INT($L1609*W1609*100+0.5)/100</f>
        <v>0</v>
      </c>
      <c r="Y1609" s="258">
        <v>800</v>
      </c>
      <c r="Z1609" s="257">
        <f>INT($L1609*Y1609*100+0.5)/100</f>
        <v>304</v>
      </c>
    </row>
    <row r="1610" spans="1:26" ht="25.5">
      <c r="A1610" s="250"/>
      <c r="B1610" s="251"/>
      <c r="C1610" s="647"/>
      <c r="D1610" s="526" t="s">
        <v>347</v>
      </c>
      <c r="E1610" s="251"/>
      <c r="F1610" s="252"/>
      <c r="G1610" s="253"/>
      <c r="H1610" s="254"/>
      <c r="I1610" s="253"/>
      <c r="J1610" s="253"/>
      <c r="K1610" s="251"/>
      <c r="L1610" s="261"/>
      <c r="M1610" s="258"/>
      <c r="N1610" s="257"/>
      <c r="O1610" s="258"/>
      <c r="P1610" s="257"/>
      <c r="Q1610" s="258"/>
      <c r="R1610" s="257"/>
      <c r="S1610" s="258"/>
      <c r="T1610" s="257"/>
      <c r="U1610" s="258"/>
      <c r="V1610" s="257"/>
      <c r="W1610" s="258"/>
      <c r="X1610" s="257"/>
      <c r="Y1610" s="258"/>
      <c r="Z1610" s="257"/>
    </row>
    <row r="1611" spans="1:26" ht="15" customHeight="1">
      <c r="A1611" s="250"/>
      <c r="B1611" s="251"/>
      <c r="C1611" s="670"/>
      <c r="D1611" s="330"/>
      <c r="E1611" s="251"/>
      <c r="F1611" s="252"/>
      <c r="G1611" s="253"/>
      <c r="H1611" s="254"/>
      <c r="I1611" s="253"/>
      <c r="J1611" s="253"/>
      <c r="K1611" s="251"/>
      <c r="L1611" s="261"/>
      <c r="M1611" s="258"/>
      <c r="N1611" s="257"/>
      <c r="O1611" s="258"/>
      <c r="P1611" s="257"/>
      <c r="Q1611" s="258"/>
      <c r="R1611" s="257"/>
      <c r="S1611" s="258"/>
      <c r="T1611" s="257"/>
      <c r="U1611" s="258"/>
      <c r="V1611" s="257"/>
      <c r="W1611" s="258"/>
      <c r="X1611" s="257"/>
      <c r="Y1611" s="258"/>
      <c r="Z1611" s="257"/>
    </row>
    <row r="1612" spans="1:26" ht="25.5">
      <c r="A1612" s="250">
        <f>A1609+1</f>
        <v>285</v>
      </c>
      <c r="B1612" s="251"/>
      <c r="C1612" s="647" t="s">
        <v>861</v>
      </c>
      <c r="D1612" s="526" t="s">
        <v>1548</v>
      </c>
      <c r="E1612" s="251" t="s">
        <v>1898</v>
      </c>
      <c r="F1612" s="304">
        <f>M1612+O1612+Q1612+S1612+U1612+W1612+Y1612</f>
        <v>24</v>
      </c>
      <c r="G1612" s="253">
        <f>L1612</f>
        <v>4.13</v>
      </c>
      <c r="H1612" s="254">
        <f>INT(F1612*G1612*100+0.5)/100</f>
        <v>99.12</v>
      </c>
      <c r="I1612" s="253">
        <f>N1612+P1612+R1612+T1612+V1612+X1612+Z1612</f>
        <v>99.12</v>
      </c>
      <c r="J1612" s="253"/>
      <c r="K1612" s="251" t="s">
        <v>1898</v>
      </c>
      <c r="L1612" s="255">
        <v>4.13</v>
      </c>
      <c r="M1612" s="258">
        <v>0</v>
      </c>
      <c r="N1612" s="257">
        <f>INT($L1612*M1612*100+0.5)/100</f>
        <v>0</v>
      </c>
      <c r="O1612" s="258">
        <v>0</v>
      </c>
      <c r="P1612" s="257">
        <f>INT($L1612*O1612*100+0.5)/100</f>
        <v>0</v>
      </c>
      <c r="Q1612" s="258">
        <v>0</v>
      </c>
      <c r="R1612" s="257">
        <f>INT($L1612*Q1612*100+0.5)/100</f>
        <v>0</v>
      </c>
      <c r="S1612" s="258">
        <v>0</v>
      </c>
      <c r="T1612" s="257">
        <f>INT($L1612*S1612*100+0.5)/100</f>
        <v>0</v>
      </c>
      <c r="U1612" s="258">
        <v>0</v>
      </c>
      <c r="V1612" s="257">
        <f>INT($L1612*U1612*100+0.5)/100</f>
        <v>0</v>
      </c>
      <c r="W1612" s="258">
        <v>0</v>
      </c>
      <c r="X1612" s="257">
        <f>INT($L1612*W1612*100+0.5)/100</f>
        <v>0</v>
      </c>
      <c r="Y1612" s="258">
        <v>24</v>
      </c>
      <c r="Z1612" s="257">
        <f>INT($L1612*Y1612*100+0.5)/100</f>
        <v>99.12</v>
      </c>
    </row>
    <row r="1613" spans="1:26" ht="25.5">
      <c r="A1613" s="250"/>
      <c r="B1613" s="251"/>
      <c r="C1613" s="526"/>
      <c r="D1613" s="526" t="s">
        <v>1547</v>
      </c>
      <c r="E1613" s="202"/>
      <c r="F1613" s="252"/>
      <c r="G1613" s="253"/>
      <c r="H1613" s="254"/>
      <c r="I1613" s="253"/>
      <c r="J1613" s="253"/>
      <c r="K1613" s="202"/>
      <c r="L1613" s="261"/>
      <c r="M1613" s="258"/>
      <c r="N1613" s="257"/>
      <c r="O1613" s="258"/>
      <c r="P1613" s="257"/>
      <c r="Q1613" s="258"/>
      <c r="R1613" s="257"/>
      <c r="S1613" s="258"/>
      <c r="T1613" s="257"/>
      <c r="U1613" s="258"/>
      <c r="V1613" s="257"/>
      <c r="W1613" s="258"/>
      <c r="X1613" s="257"/>
      <c r="Y1613" s="258"/>
      <c r="Z1613" s="257"/>
    </row>
    <row r="1614" spans="1:26" ht="15" customHeight="1">
      <c r="A1614" s="250"/>
      <c r="B1614" s="251"/>
      <c r="C1614" s="526"/>
      <c r="D1614" s="526"/>
      <c r="E1614" s="202"/>
      <c r="F1614" s="252"/>
      <c r="G1614" s="253"/>
      <c r="H1614" s="254"/>
      <c r="I1614" s="253"/>
      <c r="J1614" s="253"/>
      <c r="K1614" s="202"/>
      <c r="L1614" s="261"/>
      <c r="M1614" s="258"/>
      <c r="N1614" s="257"/>
      <c r="O1614" s="258"/>
      <c r="P1614" s="257"/>
      <c r="Q1614" s="258"/>
      <c r="R1614" s="257"/>
      <c r="S1614" s="258"/>
      <c r="T1614" s="257"/>
      <c r="U1614" s="258"/>
      <c r="V1614" s="257"/>
      <c r="W1614" s="258"/>
      <c r="X1614" s="257"/>
      <c r="Y1614" s="258"/>
      <c r="Z1614" s="257"/>
    </row>
    <row r="1615" spans="1:26" s="303" customFormat="1" ht="45" customHeight="1">
      <c r="A1615" s="298"/>
      <c r="B1615" s="299"/>
      <c r="C1615" s="332">
        <v>86</v>
      </c>
      <c r="D1615" s="333" t="s">
        <v>934</v>
      </c>
      <c r="E1615" s="299"/>
      <c r="F1615" s="301"/>
      <c r="G1615" s="273"/>
      <c r="H1615" s="273"/>
      <c r="I1615" s="272">
        <f>N1615+P1615+R1615+T1615+V1615+X1615+Z1615</f>
        <v>107072.31999999999</v>
      </c>
      <c r="J1615" s="269">
        <f>SUM(N1615:Z1615)</f>
        <v>107072.31999999999</v>
      </c>
      <c r="K1615" s="299"/>
      <c r="L1615" s="271"/>
      <c r="M1615" s="273"/>
      <c r="N1615" s="273">
        <f>SUM(N1601:N1614)</f>
        <v>0</v>
      </c>
      <c r="O1615" s="273"/>
      <c r="P1615" s="273">
        <f>SUM(P1601:P1614)</f>
        <v>0</v>
      </c>
      <c r="Q1615" s="273"/>
      <c r="R1615" s="273">
        <f>SUM(R1601:R1614)</f>
        <v>0</v>
      </c>
      <c r="S1615" s="273"/>
      <c r="T1615" s="273">
        <f>SUM(T1601:T1614)</f>
        <v>0</v>
      </c>
      <c r="U1615" s="273"/>
      <c r="V1615" s="273">
        <f>SUM(V1601:V1614)</f>
        <v>105464.7</v>
      </c>
      <c r="W1615" s="273"/>
      <c r="X1615" s="273">
        <f>SUM(X1601:X1614)</f>
        <v>0</v>
      </c>
      <c r="Y1615" s="273"/>
      <c r="Z1615" s="273">
        <f>SUM(Z1601:Z1614)</f>
        <v>1607.62</v>
      </c>
    </row>
    <row r="1616" spans="1:26" ht="15" customHeight="1">
      <c r="A1616" s="250"/>
      <c r="B1616" s="251"/>
      <c r="C1616" s="329"/>
      <c r="D1616" s="330"/>
      <c r="E1616" s="251"/>
      <c r="F1616" s="252"/>
      <c r="G1616" s="253"/>
      <c r="H1616" s="254"/>
      <c r="I1616" s="253"/>
      <c r="J1616" s="253"/>
      <c r="K1616" s="251"/>
      <c r="L1616" s="261"/>
      <c r="M1616" s="258"/>
      <c r="N1616" s="494">
        <f>N1615/$N$1928</f>
        <v>0</v>
      </c>
      <c r="O1616" s="258"/>
      <c r="P1616" s="257"/>
      <c r="Q1616" s="258"/>
      <c r="R1616" s="257"/>
      <c r="S1616" s="258"/>
      <c r="T1616" s="257"/>
      <c r="U1616" s="258"/>
      <c r="V1616" s="257"/>
      <c r="W1616" s="258"/>
      <c r="X1616" s="257"/>
      <c r="Y1616" s="258"/>
      <c r="Z1616" s="257"/>
    </row>
    <row r="1617" spans="1:26" ht="22.5">
      <c r="A1617" s="250"/>
      <c r="B1617" s="251"/>
      <c r="C1617" s="329">
        <v>87</v>
      </c>
      <c r="D1617" s="330" t="s">
        <v>935</v>
      </c>
      <c r="E1617" s="251"/>
      <c r="F1617" s="252"/>
      <c r="G1617" s="253"/>
      <c r="H1617" s="254"/>
      <c r="I1617" s="253"/>
      <c r="J1617" s="253"/>
      <c r="K1617" s="251"/>
      <c r="L1617" s="261"/>
      <c r="M1617" s="258"/>
      <c r="N1617" s="257"/>
      <c r="O1617" s="258"/>
      <c r="P1617" s="257"/>
      <c r="Q1617" s="258"/>
      <c r="R1617" s="257"/>
      <c r="S1617" s="258"/>
      <c r="T1617" s="257"/>
      <c r="U1617" s="258"/>
      <c r="V1617" s="257"/>
      <c r="W1617" s="258"/>
      <c r="X1617" s="257"/>
      <c r="Y1617" s="258"/>
      <c r="Z1617" s="257"/>
    </row>
    <row r="1618" spans="1:26" ht="15" customHeight="1">
      <c r="A1618" s="250">
        <f>A1612+1</f>
        <v>286</v>
      </c>
      <c r="B1618" s="251"/>
      <c r="C1618" s="647" t="s">
        <v>862</v>
      </c>
      <c r="D1618" s="526" t="s">
        <v>939</v>
      </c>
      <c r="E1618" s="251" t="s">
        <v>2475</v>
      </c>
      <c r="F1618" s="252"/>
      <c r="G1618" s="253"/>
      <c r="H1618" s="254"/>
      <c r="I1618" s="253"/>
      <c r="J1618" s="253"/>
      <c r="K1618" s="251" t="s">
        <v>2475</v>
      </c>
      <c r="L1618" s="255"/>
      <c r="M1618" s="258"/>
      <c r="N1618" s="257"/>
      <c r="O1618" s="258"/>
      <c r="P1618" s="257"/>
      <c r="Q1618" s="258"/>
      <c r="R1618" s="257"/>
      <c r="S1618" s="258"/>
      <c r="T1618" s="257"/>
      <c r="U1618" s="258"/>
      <c r="V1618" s="257"/>
      <c r="W1618" s="258"/>
      <c r="X1618" s="257"/>
      <c r="Y1618" s="258"/>
      <c r="Z1618" s="257"/>
    </row>
    <row r="1619" spans="1:26" ht="25.5">
      <c r="A1619" s="250"/>
      <c r="B1619" s="251"/>
      <c r="C1619" s="647"/>
      <c r="D1619" s="526" t="s">
        <v>348</v>
      </c>
      <c r="E1619" s="251"/>
      <c r="F1619" s="252"/>
      <c r="G1619" s="253"/>
      <c r="H1619" s="254"/>
      <c r="I1619" s="253"/>
      <c r="J1619" s="253"/>
      <c r="K1619" s="251"/>
      <c r="L1619" s="261"/>
      <c r="M1619" s="258"/>
      <c r="N1619" s="257"/>
      <c r="O1619" s="258"/>
      <c r="P1619" s="257"/>
      <c r="Q1619" s="258"/>
      <c r="R1619" s="257"/>
      <c r="S1619" s="258"/>
      <c r="T1619" s="257"/>
      <c r="U1619" s="258"/>
      <c r="V1619" s="257"/>
      <c r="W1619" s="258"/>
      <c r="X1619" s="257"/>
      <c r="Y1619" s="258"/>
      <c r="Z1619" s="257"/>
    </row>
    <row r="1620" spans="1:26" ht="15" customHeight="1">
      <c r="A1620" s="250"/>
      <c r="B1620" s="251"/>
      <c r="C1620" s="647"/>
      <c r="D1620" s="526" t="s">
        <v>349</v>
      </c>
      <c r="E1620" s="251"/>
      <c r="F1620" s="252"/>
      <c r="G1620" s="253"/>
      <c r="H1620" s="254"/>
      <c r="I1620" s="253"/>
      <c r="J1620" s="253"/>
      <c r="K1620" s="251"/>
      <c r="L1620" s="255"/>
      <c r="M1620" s="258"/>
      <c r="N1620" s="257"/>
      <c r="O1620" s="258"/>
      <c r="P1620" s="257"/>
      <c r="Q1620" s="258"/>
      <c r="R1620" s="257"/>
      <c r="S1620" s="258"/>
      <c r="T1620" s="257"/>
      <c r="U1620" s="258"/>
      <c r="V1620" s="257"/>
      <c r="W1620" s="258"/>
      <c r="X1620" s="257"/>
      <c r="Y1620" s="258"/>
      <c r="Z1620" s="257"/>
    </row>
    <row r="1621" spans="1:26" ht="15" customHeight="1">
      <c r="A1621" s="250"/>
      <c r="B1621" s="251"/>
      <c r="C1621" s="647"/>
      <c r="D1621" s="526" t="s">
        <v>350</v>
      </c>
      <c r="E1621" s="251"/>
      <c r="F1621" s="252"/>
      <c r="G1621" s="253"/>
      <c r="H1621" s="254"/>
      <c r="I1621" s="253"/>
      <c r="J1621" s="253"/>
      <c r="K1621" s="251"/>
      <c r="L1621" s="255"/>
      <c r="M1621" s="293"/>
      <c r="N1621" s="294"/>
      <c r="O1621" s="293"/>
      <c r="P1621" s="294"/>
      <c r="Q1621" s="293"/>
      <c r="R1621" s="294"/>
      <c r="S1621" s="293"/>
      <c r="T1621" s="294"/>
      <c r="U1621" s="293"/>
      <c r="V1621" s="294"/>
      <c r="W1621" s="293"/>
      <c r="X1621" s="294"/>
      <c r="Y1621" s="293"/>
      <c r="Z1621" s="294"/>
    </row>
    <row r="1622" spans="1:26" ht="15" customHeight="1">
      <c r="A1622" s="250"/>
      <c r="B1622" s="251"/>
      <c r="C1622" s="670"/>
      <c r="D1622" s="292" t="s">
        <v>1900</v>
      </c>
      <c r="E1622" s="251"/>
      <c r="F1622" s="304">
        <f>M1622+O1622+Q1622+S1622+U1622+W1622+Y1622</f>
        <v>140</v>
      </c>
      <c r="G1622" s="253">
        <f>L1622</f>
        <v>1.37</v>
      </c>
      <c r="H1622" s="254">
        <f>INT(F1622*G1622*100+0.5)/100</f>
        <v>191.8</v>
      </c>
      <c r="I1622" s="253">
        <f>N1622+P1622+R1622+T1622+V1622+X1622+Z1622</f>
        <v>191.8</v>
      </c>
      <c r="J1622" s="253"/>
      <c r="K1622" s="251"/>
      <c r="L1622" s="262">
        <v>1.37</v>
      </c>
      <c r="M1622" s="258">
        <f>SUM(M1620:M1621)</f>
        <v>0</v>
      </c>
      <c r="N1622" s="257">
        <f>INT($L1622*M1622*100+0.5)/100</f>
        <v>0</v>
      </c>
      <c r="O1622" s="258">
        <v>0</v>
      </c>
      <c r="P1622" s="257">
        <f>INT($L1622*O1622*100+0.5)/100</f>
        <v>0</v>
      </c>
      <c r="Q1622" s="258">
        <v>0</v>
      </c>
      <c r="R1622" s="257">
        <f>INT($L1622*Q1622*100+0.5)/100</f>
        <v>0</v>
      </c>
      <c r="S1622" s="258">
        <f>10*(3.5+7+3.5)</f>
        <v>140</v>
      </c>
      <c r="T1622" s="257">
        <f>INT($L1622*S1622*100+0.5)/100</f>
        <v>191.8</v>
      </c>
      <c r="U1622" s="258">
        <v>0</v>
      </c>
      <c r="V1622" s="257">
        <f>INT($L1622*U1622*100+0.5)/100</f>
        <v>0</v>
      </c>
      <c r="W1622" s="258">
        <v>0</v>
      </c>
      <c r="X1622" s="257">
        <f>INT($L1622*W1622*100+0.5)/100</f>
        <v>0</v>
      </c>
      <c r="Y1622" s="258">
        <v>0</v>
      </c>
      <c r="Z1622" s="257">
        <f>INT($L1622*Y1622*100+0.5)/100</f>
        <v>0</v>
      </c>
    </row>
    <row r="1623" spans="1:26" ht="15" customHeight="1">
      <c r="A1623" s="250"/>
      <c r="B1623" s="251"/>
      <c r="C1623" s="670"/>
      <c r="D1623" s="330"/>
      <c r="E1623" s="251"/>
      <c r="F1623" s="252"/>
      <c r="G1623" s="253"/>
      <c r="H1623" s="254"/>
      <c r="I1623" s="253"/>
      <c r="J1623" s="253"/>
      <c r="K1623" s="251"/>
      <c r="L1623" s="261"/>
      <c r="M1623" s="258"/>
      <c r="N1623" s="257"/>
      <c r="O1623" s="258"/>
      <c r="P1623" s="257"/>
      <c r="Q1623" s="258"/>
      <c r="R1623" s="257"/>
      <c r="S1623" s="258"/>
      <c r="T1623" s="257"/>
      <c r="U1623" s="258"/>
      <c r="V1623" s="257"/>
      <c r="W1623" s="258"/>
      <c r="X1623" s="257"/>
      <c r="Y1623" s="258"/>
      <c r="Z1623" s="257"/>
    </row>
    <row r="1624" spans="1:26" ht="15" customHeight="1">
      <c r="A1624" s="250">
        <f>A1618+1</f>
        <v>287</v>
      </c>
      <c r="B1624" s="251"/>
      <c r="C1624" s="647" t="s">
        <v>863</v>
      </c>
      <c r="D1624" s="526" t="s">
        <v>940</v>
      </c>
      <c r="E1624" s="251" t="s">
        <v>2475</v>
      </c>
      <c r="F1624" s="252"/>
      <c r="G1624" s="253"/>
      <c r="H1624" s="254"/>
      <c r="I1624" s="253"/>
      <c r="J1624" s="253"/>
      <c r="K1624" s="251" t="s">
        <v>2475</v>
      </c>
      <c r="L1624" s="255"/>
      <c r="M1624" s="258"/>
      <c r="N1624" s="257"/>
      <c r="O1624" s="258"/>
      <c r="P1624" s="257"/>
      <c r="Q1624" s="258"/>
      <c r="R1624" s="257"/>
      <c r="S1624" s="258"/>
      <c r="T1624" s="257"/>
      <c r="U1624" s="258"/>
      <c r="V1624" s="257"/>
      <c r="W1624" s="258"/>
      <c r="X1624" s="257"/>
      <c r="Y1624" s="258"/>
      <c r="Z1624" s="257"/>
    </row>
    <row r="1625" spans="1:26" ht="25.5">
      <c r="A1625" s="250"/>
      <c r="B1625" s="251"/>
      <c r="C1625" s="647"/>
      <c r="D1625" s="526" t="s">
        <v>351</v>
      </c>
      <c r="E1625" s="251"/>
      <c r="F1625" s="252"/>
      <c r="G1625" s="253"/>
      <c r="H1625" s="254"/>
      <c r="I1625" s="253"/>
      <c r="J1625" s="253"/>
      <c r="K1625" s="251"/>
      <c r="L1625" s="261"/>
      <c r="M1625" s="258"/>
      <c r="N1625" s="257"/>
      <c r="O1625" s="258"/>
      <c r="P1625" s="257"/>
      <c r="Q1625" s="258"/>
      <c r="R1625" s="257"/>
      <c r="S1625" s="258"/>
      <c r="T1625" s="257"/>
      <c r="U1625" s="258"/>
      <c r="V1625" s="257"/>
      <c r="W1625" s="258"/>
      <c r="X1625" s="257"/>
      <c r="Y1625" s="258"/>
      <c r="Z1625" s="257"/>
    </row>
    <row r="1626" spans="1:26" ht="15" customHeight="1">
      <c r="A1626" s="250"/>
      <c r="B1626" s="251"/>
      <c r="C1626" s="647"/>
      <c r="D1626" s="526" t="s">
        <v>349</v>
      </c>
      <c r="E1626" s="251"/>
      <c r="F1626" s="252"/>
      <c r="G1626" s="253"/>
      <c r="H1626" s="254"/>
      <c r="I1626" s="253"/>
      <c r="J1626" s="253"/>
      <c r="K1626" s="251"/>
      <c r="L1626" s="255"/>
      <c r="M1626" s="258">
        <v>710</v>
      </c>
      <c r="N1626" s="257"/>
      <c r="O1626" s="258"/>
      <c r="P1626" s="257"/>
      <c r="Q1626" s="258"/>
      <c r="R1626" s="257"/>
      <c r="S1626" s="258"/>
      <c r="T1626" s="257"/>
      <c r="U1626" s="258"/>
      <c r="V1626" s="257"/>
      <c r="W1626" s="258"/>
      <c r="X1626" s="257"/>
      <c r="Y1626" s="258"/>
      <c r="Z1626" s="257"/>
    </row>
    <row r="1627" spans="1:26" ht="15" customHeight="1">
      <c r="A1627" s="250"/>
      <c r="B1627" s="251"/>
      <c r="C1627" s="526"/>
      <c r="D1627" s="526" t="s">
        <v>941</v>
      </c>
      <c r="E1627" s="251"/>
      <c r="F1627" s="252"/>
      <c r="G1627" s="253"/>
      <c r="H1627" s="254"/>
      <c r="I1627" s="253"/>
      <c r="J1627" s="253"/>
      <c r="K1627" s="251"/>
      <c r="L1627" s="255"/>
      <c r="M1627" s="293">
        <v>60</v>
      </c>
      <c r="N1627" s="294"/>
      <c r="O1627" s="293"/>
      <c r="P1627" s="294"/>
      <c r="Q1627" s="293"/>
      <c r="R1627" s="294"/>
      <c r="S1627" s="293"/>
      <c r="T1627" s="294"/>
      <c r="U1627" s="293"/>
      <c r="V1627" s="294"/>
      <c r="W1627" s="293"/>
      <c r="X1627" s="294"/>
      <c r="Y1627" s="293"/>
      <c r="Z1627" s="294"/>
    </row>
    <row r="1628" spans="1:26" ht="15" customHeight="1">
      <c r="A1628" s="250"/>
      <c r="B1628" s="251"/>
      <c r="C1628" s="329"/>
      <c r="D1628" s="292" t="s">
        <v>1900</v>
      </c>
      <c r="E1628" s="251"/>
      <c r="F1628" s="304">
        <f>M1628+O1628+Q1628+S1628+U1628+W1628+Y1628</f>
        <v>770</v>
      </c>
      <c r="G1628" s="253">
        <f>L1628</f>
        <v>3.91</v>
      </c>
      <c r="H1628" s="254">
        <f>INT(F1628*G1628*100+0.5)/100</f>
        <v>3010.7</v>
      </c>
      <c r="I1628" s="253">
        <f>N1628+P1628+R1628+T1628+V1628+X1628+Z1628</f>
        <v>3010.7</v>
      </c>
      <c r="J1628" s="253"/>
      <c r="K1628" s="251"/>
      <c r="L1628" s="255">
        <v>3.91</v>
      </c>
      <c r="M1628" s="258">
        <f>SUM(M1626:M1627)</f>
        <v>770</v>
      </c>
      <c r="N1628" s="257">
        <f>INT($L1628*M1628*100+0.5)/100</f>
        <v>3010.7</v>
      </c>
      <c r="O1628" s="258">
        <v>0</v>
      </c>
      <c r="P1628" s="257">
        <f>INT($L1628*O1628*100+0.5)/100</f>
        <v>0</v>
      </c>
      <c r="Q1628" s="258">
        <v>0</v>
      </c>
      <c r="R1628" s="257">
        <f>INT($L1628*Q1628*100+0.5)/100</f>
        <v>0</v>
      </c>
      <c r="S1628" s="258">
        <v>0</v>
      </c>
      <c r="T1628" s="257">
        <f>INT($L1628*S1628*100+0.5)/100</f>
        <v>0</v>
      </c>
      <c r="U1628" s="258">
        <v>0</v>
      </c>
      <c r="V1628" s="257">
        <f>INT($L1628*U1628*100+0.5)/100</f>
        <v>0</v>
      </c>
      <c r="W1628" s="258">
        <v>0</v>
      </c>
      <c r="X1628" s="257">
        <f>INT($L1628*W1628*100+0.5)/100</f>
        <v>0</v>
      </c>
      <c r="Y1628" s="258">
        <v>0</v>
      </c>
      <c r="Z1628" s="257">
        <f>INT($L1628*Y1628*100+0.5)/100</f>
        <v>0</v>
      </c>
    </row>
    <row r="1629" spans="1:26" ht="15" customHeight="1">
      <c r="A1629" s="250"/>
      <c r="B1629" s="251"/>
      <c r="C1629" s="329"/>
      <c r="D1629" s="330"/>
      <c r="E1629" s="251"/>
      <c r="F1629" s="252"/>
      <c r="G1629" s="253"/>
      <c r="H1629" s="254"/>
      <c r="I1629" s="253"/>
      <c r="J1629" s="253"/>
      <c r="K1629" s="251"/>
      <c r="L1629" s="261"/>
      <c r="M1629" s="258"/>
      <c r="N1629" s="257"/>
      <c r="O1629" s="258"/>
      <c r="P1629" s="257"/>
      <c r="Q1629" s="258"/>
      <c r="R1629" s="257"/>
      <c r="S1629" s="258"/>
      <c r="T1629" s="257"/>
      <c r="U1629" s="258"/>
      <c r="V1629" s="257"/>
      <c r="W1629" s="258"/>
      <c r="X1629" s="257"/>
      <c r="Y1629" s="258"/>
      <c r="Z1629" s="257"/>
    </row>
    <row r="1630" spans="1:26" s="303" customFormat="1" ht="45">
      <c r="A1630" s="298"/>
      <c r="B1630" s="299"/>
      <c r="C1630" s="332">
        <v>87</v>
      </c>
      <c r="D1630" s="333" t="s">
        <v>936</v>
      </c>
      <c r="E1630" s="299"/>
      <c r="F1630" s="301"/>
      <c r="G1630" s="273"/>
      <c r="H1630" s="273"/>
      <c r="I1630" s="272">
        <f>N1630+P1630+R1630+T1630+V1630+X1630+Z1630</f>
        <v>3202.5</v>
      </c>
      <c r="J1630" s="269">
        <f>SUM(N1630:Z1630)</f>
        <v>3202.5</v>
      </c>
      <c r="K1630" s="299"/>
      <c r="L1630" s="271"/>
      <c r="M1630" s="273"/>
      <c r="N1630" s="273">
        <f>SUM(N1618:N1629)</f>
        <v>3010.7</v>
      </c>
      <c r="O1630" s="273"/>
      <c r="P1630" s="273">
        <f>SUM(P1618:P1629)</f>
        <v>0</v>
      </c>
      <c r="Q1630" s="273"/>
      <c r="R1630" s="273">
        <f>SUM(R1618:R1629)</f>
        <v>0</v>
      </c>
      <c r="S1630" s="273"/>
      <c r="T1630" s="273">
        <f>SUM(T1618:T1629)</f>
        <v>191.8</v>
      </c>
      <c r="U1630" s="273"/>
      <c r="V1630" s="273">
        <f>SUM(V1618:V1629)</f>
        <v>0</v>
      </c>
      <c r="W1630" s="273"/>
      <c r="X1630" s="273">
        <f>SUM(X1618:X1629)</f>
        <v>0</v>
      </c>
      <c r="Y1630" s="273"/>
      <c r="Z1630" s="273">
        <f>SUM(Z1618:Z1629)</f>
        <v>0</v>
      </c>
    </row>
    <row r="1631" spans="1:26" ht="15" customHeight="1">
      <c r="A1631" s="250"/>
      <c r="B1631" s="251"/>
      <c r="C1631" s="329"/>
      <c r="D1631" s="330"/>
      <c r="E1631" s="251"/>
      <c r="F1631" s="252"/>
      <c r="G1631" s="253"/>
      <c r="H1631" s="254"/>
      <c r="I1631" s="253"/>
      <c r="J1631" s="253"/>
      <c r="K1631" s="251"/>
      <c r="L1631" s="261"/>
      <c r="M1631" s="258"/>
      <c r="N1631" s="494">
        <f>N1630/$N$1928</f>
        <v>1.4995243479083757E-2</v>
      </c>
      <c r="O1631" s="258"/>
      <c r="P1631" s="257"/>
      <c r="Q1631" s="258"/>
      <c r="R1631" s="257"/>
      <c r="S1631" s="258"/>
      <c r="T1631" s="257"/>
      <c r="U1631" s="258"/>
      <c r="V1631" s="257"/>
      <c r="W1631" s="258"/>
      <c r="X1631" s="257"/>
      <c r="Y1631" s="258"/>
      <c r="Z1631" s="257"/>
    </row>
    <row r="1632" spans="1:26" ht="25.5">
      <c r="A1632" s="250"/>
      <c r="B1632" s="251"/>
      <c r="C1632" s="453" t="s">
        <v>1583</v>
      </c>
      <c r="D1632" s="330" t="s">
        <v>1584</v>
      </c>
      <c r="E1632" s="251"/>
      <c r="F1632" s="252"/>
      <c r="G1632" s="253"/>
      <c r="H1632" s="254"/>
      <c r="I1632" s="253"/>
      <c r="J1632" s="253"/>
      <c r="K1632" s="251"/>
      <c r="L1632" s="261"/>
      <c r="M1632" s="258"/>
      <c r="N1632" s="257"/>
      <c r="O1632" s="258"/>
      <c r="P1632" s="257"/>
      <c r="Q1632" s="258"/>
      <c r="R1632" s="257"/>
      <c r="S1632" s="258"/>
      <c r="T1632" s="257"/>
      <c r="U1632" s="258"/>
      <c r="V1632" s="257"/>
      <c r="W1632" s="258"/>
      <c r="X1632" s="257"/>
      <c r="Y1632" s="258"/>
      <c r="Z1632" s="257"/>
    </row>
    <row r="1633" spans="1:26" ht="15" customHeight="1">
      <c r="A1633" s="250">
        <f>A1624+1</f>
        <v>288</v>
      </c>
      <c r="B1633" s="251"/>
      <c r="C1633" s="526" t="s">
        <v>1802</v>
      </c>
      <c r="D1633" s="526" t="s">
        <v>1801</v>
      </c>
      <c r="E1633" s="251" t="s">
        <v>1898</v>
      </c>
      <c r="F1633" s="252"/>
      <c r="G1633" s="253"/>
      <c r="H1633" s="254"/>
      <c r="I1633" s="253"/>
      <c r="J1633" s="253"/>
      <c r="K1633" s="251" t="s">
        <v>1898</v>
      </c>
      <c r="L1633" s="261"/>
      <c r="M1633" s="258"/>
      <c r="N1633" s="257"/>
      <c r="O1633" s="258"/>
      <c r="P1633" s="257"/>
      <c r="Q1633" s="258"/>
      <c r="R1633" s="257"/>
      <c r="S1633" s="258"/>
      <c r="T1633" s="257"/>
      <c r="U1633" s="258"/>
      <c r="V1633" s="257"/>
      <c r="W1633" s="258"/>
      <c r="X1633" s="257"/>
      <c r="Y1633" s="258"/>
      <c r="Z1633" s="257"/>
    </row>
    <row r="1634" spans="1:26" ht="15" customHeight="1">
      <c r="A1634" s="250"/>
      <c r="B1634" s="251"/>
      <c r="C1634" s="526"/>
      <c r="D1634" s="526" t="s">
        <v>1800</v>
      </c>
      <c r="E1634" s="202"/>
      <c r="F1634" s="252"/>
      <c r="G1634" s="253"/>
      <c r="H1634" s="254"/>
      <c r="I1634" s="253"/>
      <c r="J1634" s="253"/>
      <c r="K1634" s="202"/>
      <c r="L1634" s="261"/>
      <c r="M1634" s="258"/>
      <c r="N1634" s="257"/>
      <c r="O1634" s="258"/>
      <c r="P1634" s="257"/>
      <c r="Q1634" s="258"/>
      <c r="R1634" s="257"/>
      <c r="S1634" s="258"/>
      <c r="T1634" s="257"/>
      <c r="U1634" s="258"/>
      <c r="V1634" s="257"/>
      <c r="W1634" s="258"/>
      <c r="X1634" s="257"/>
      <c r="Y1634" s="258"/>
      <c r="Z1634" s="257"/>
    </row>
    <row r="1635" spans="1:26" ht="15" customHeight="1">
      <c r="A1635" s="250"/>
      <c r="B1635" s="251"/>
      <c r="C1635" s="526"/>
      <c r="D1635" s="292" t="s">
        <v>1904</v>
      </c>
      <c r="E1635" s="251"/>
      <c r="F1635" s="304">
        <f>M1635+O1635+Q1635+S1635+U1635+W1635+Y1635</f>
        <v>0</v>
      </c>
      <c r="G1635" s="253">
        <f>L1635</f>
        <v>1.43</v>
      </c>
      <c r="H1635" s="254">
        <f>INT(F1635*G1635*100+0.5)/100</f>
        <v>0</v>
      </c>
      <c r="I1635" s="253">
        <f>N1635+P1635+R1635+T1635+V1635+X1635+Z1635</f>
        <v>0</v>
      </c>
      <c r="J1635" s="253"/>
      <c r="K1635" s="251"/>
      <c r="L1635" s="306">
        <v>1.43</v>
      </c>
      <c r="M1635" s="258">
        <v>0</v>
      </c>
      <c r="N1635" s="257">
        <f>INT($L1635*M1635*100+0.5)/100</f>
        <v>0</v>
      </c>
      <c r="O1635" s="258">
        <v>0</v>
      </c>
      <c r="P1635" s="257">
        <f>INT($L1635*O1635*100+0.5)/100</f>
        <v>0</v>
      </c>
      <c r="Q1635" s="258">
        <v>0</v>
      </c>
      <c r="R1635" s="257">
        <f>INT($L1635*Q1635*100+0.5)/100</f>
        <v>0</v>
      </c>
      <c r="S1635" s="258">
        <v>0</v>
      </c>
      <c r="T1635" s="257">
        <f>INT($L1635*S1635*100+0.5)/100</f>
        <v>0</v>
      </c>
      <c r="U1635" s="258">
        <v>0</v>
      </c>
      <c r="V1635" s="257">
        <f>INT($L1635*U1635*100+0.5)/100</f>
        <v>0</v>
      </c>
      <c r="W1635" s="258">
        <v>0</v>
      </c>
      <c r="X1635" s="257">
        <f>INT($L1635*W1635*100+0.5)/100</f>
        <v>0</v>
      </c>
      <c r="Y1635" s="258">
        <v>0</v>
      </c>
      <c r="Z1635" s="257">
        <f>INT($L1635*Y1635*100+0.5)/100</f>
        <v>0</v>
      </c>
    </row>
    <row r="1636" spans="1:26" ht="15" customHeight="1">
      <c r="A1636" s="250"/>
      <c r="B1636" s="251"/>
      <c r="C1636" s="526"/>
      <c r="D1636" s="292"/>
      <c r="E1636" s="251"/>
      <c r="F1636" s="252"/>
      <c r="G1636" s="253"/>
      <c r="H1636" s="254"/>
      <c r="I1636" s="253"/>
      <c r="J1636" s="253"/>
      <c r="K1636" s="251"/>
      <c r="L1636" s="261"/>
      <c r="M1636" s="258"/>
      <c r="N1636" s="257"/>
      <c r="O1636" s="258"/>
      <c r="P1636" s="257"/>
      <c r="Q1636" s="258"/>
      <c r="R1636" s="257"/>
      <c r="S1636" s="258"/>
      <c r="T1636" s="257"/>
      <c r="U1636" s="258"/>
      <c r="V1636" s="257"/>
      <c r="W1636" s="258"/>
      <c r="X1636" s="257"/>
      <c r="Y1636" s="258"/>
      <c r="Z1636" s="257"/>
    </row>
    <row r="1637" spans="1:26" s="303" customFormat="1" ht="15" customHeight="1">
      <c r="A1637" s="298"/>
      <c r="B1637" s="299"/>
      <c r="C1637" s="267" t="s">
        <v>1583</v>
      </c>
      <c r="D1637" s="333" t="s">
        <v>1584</v>
      </c>
      <c r="E1637" s="299"/>
      <c r="F1637" s="301"/>
      <c r="G1637" s="273"/>
      <c r="H1637" s="273"/>
      <c r="I1637" s="272">
        <f>SUM(I1632:I1636)</f>
        <v>0</v>
      </c>
      <c r="J1637" s="269">
        <f>SUM(N1637:Z1637)</f>
        <v>0</v>
      </c>
      <c r="K1637" s="299"/>
      <c r="L1637" s="271"/>
      <c r="M1637" s="273"/>
      <c r="N1637" s="273">
        <f>SUM(N1633:N1636)</f>
        <v>0</v>
      </c>
      <c r="O1637" s="273"/>
      <c r="P1637" s="273">
        <f>SUM(P1633:P1636)</f>
        <v>0</v>
      </c>
      <c r="Q1637" s="273"/>
      <c r="R1637" s="273">
        <f>SUM(R1633:R1636)</f>
        <v>0</v>
      </c>
      <c r="S1637" s="273"/>
      <c r="T1637" s="273">
        <f>SUM(T1633:T1636)</f>
        <v>0</v>
      </c>
      <c r="U1637" s="273"/>
      <c r="V1637" s="273">
        <f>SUM(V1633:V1636)</f>
        <v>0</v>
      </c>
      <c r="W1637" s="273"/>
      <c r="X1637" s="273">
        <f>SUM(X1633:X1636)</f>
        <v>0</v>
      </c>
      <c r="Y1637" s="273"/>
      <c r="Z1637" s="273">
        <f>SUM(Z1633:Z1636)</f>
        <v>0</v>
      </c>
    </row>
    <row r="1638" spans="1:26" ht="15" customHeight="1">
      <c r="A1638" s="250"/>
      <c r="B1638" s="251"/>
      <c r="C1638" s="526"/>
      <c r="D1638" s="292"/>
      <c r="E1638" s="517"/>
      <c r="F1638" s="516"/>
      <c r="G1638" s="521"/>
      <c r="H1638" s="336"/>
      <c r="I1638" s="336"/>
      <c r="J1638" s="336"/>
      <c r="K1638" s="517"/>
      <c r="L1638" s="237"/>
      <c r="M1638" s="237"/>
      <c r="N1638" s="494">
        <f>N1637/$N$1928</f>
        <v>0</v>
      </c>
      <c r="O1638" s="441" t="s">
        <v>2390</v>
      </c>
      <c r="P1638" s="237"/>
      <c r="Q1638" s="441"/>
      <c r="R1638" s="237"/>
      <c r="S1638" s="237"/>
      <c r="T1638" s="237"/>
      <c r="U1638" s="237"/>
      <c r="V1638" s="237"/>
      <c r="W1638" s="237"/>
      <c r="X1638" s="237"/>
      <c r="Y1638" s="237"/>
      <c r="Z1638" s="554"/>
    </row>
    <row r="1639" spans="1:26" ht="29.25" customHeight="1">
      <c r="A1639" s="250"/>
      <c r="B1639" s="251"/>
      <c r="C1639" s="453" t="s">
        <v>1030</v>
      </c>
      <c r="D1639" s="330" t="s">
        <v>1029</v>
      </c>
      <c r="E1639" s="251"/>
      <c r="F1639" s="252"/>
      <c r="G1639" s="254"/>
      <c r="H1639" s="261"/>
      <c r="I1639" s="253"/>
      <c r="J1639" s="253"/>
      <c r="K1639" s="251"/>
      <c r="L1639" s="261"/>
      <c r="M1639" s="258"/>
      <c r="N1639" s="257"/>
      <c r="O1639" s="258"/>
      <c r="P1639" s="257"/>
      <c r="Q1639" s="258"/>
      <c r="R1639" s="257"/>
      <c r="S1639" s="258"/>
      <c r="T1639" s="257"/>
      <c r="U1639" s="258"/>
      <c r="V1639" s="257"/>
      <c r="W1639" s="258"/>
      <c r="X1639" s="257"/>
      <c r="Y1639" s="258"/>
      <c r="Z1639" s="257"/>
    </row>
    <row r="1640" spans="1:26" ht="15" hidden="1" customHeight="1">
      <c r="A1640" s="250">
        <f>A1633+1</f>
        <v>289</v>
      </c>
      <c r="B1640" s="251">
        <v>30</v>
      </c>
      <c r="C1640" s="555" t="s">
        <v>2191</v>
      </c>
      <c r="D1640" s="526" t="s">
        <v>2062</v>
      </c>
      <c r="E1640" s="251" t="s">
        <v>1909</v>
      </c>
      <c r="F1640" s="252"/>
      <c r="G1640" s="254"/>
      <c r="H1640" s="261"/>
      <c r="I1640" s="253"/>
      <c r="J1640" s="253"/>
      <c r="K1640" s="251" t="s">
        <v>1909</v>
      </c>
      <c r="L1640" s="261"/>
      <c r="M1640" s="258"/>
      <c r="N1640" s="257"/>
      <c r="O1640" s="258"/>
      <c r="P1640" s="257"/>
      <c r="Q1640" s="258"/>
      <c r="R1640" s="257"/>
      <c r="S1640" s="258"/>
      <c r="T1640" s="257"/>
      <c r="U1640" s="258"/>
      <c r="V1640" s="257"/>
      <c r="W1640" s="258"/>
      <c r="X1640" s="257"/>
      <c r="Y1640" s="258"/>
      <c r="Z1640" s="257"/>
    </row>
    <row r="1641" spans="1:26" ht="15" hidden="1" customHeight="1">
      <c r="A1641" s="250"/>
      <c r="B1641" s="251"/>
      <c r="C1641" s="556" t="s">
        <v>2061</v>
      </c>
      <c r="D1641" s="557" t="s">
        <v>2063</v>
      </c>
      <c r="E1641" s="251" t="s">
        <v>2461</v>
      </c>
      <c r="F1641" s="252"/>
      <c r="G1641" s="254"/>
      <c r="H1641" s="261"/>
      <c r="I1641" s="253"/>
      <c r="J1641" s="253"/>
      <c r="K1641" s="251" t="s">
        <v>2461</v>
      </c>
      <c r="L1641" s="261"/>
      <c r="M1641" s="258"/>
      <c r="N1641" s="257"/>
      <c r="O1641" s="258"/>
      <c r="P1641" s="257"/>
      <c r="Q1641" s="258"/>
      <c r="R1641" s="257"/>
      <c r="S1641" s="258"/>
      <c r="T1641" s="257"/>
      <c r="U1641" s="258"/>
      <c r="V1641" s="257"/>
      <c r="W1641" s="258"/>
      <c r="X1641" s="257"/>
      <c r="Y1641" s="258"/>
      <c r="Z1641" s="257"/>
    </row>
    <row r="1642" spans="1:26" ht="15" hidden="1" customHeight="1">
      <c r="A1642" s="250"/>
      <c r="B1642" s="251"/>
      <c r="C1642" s="526"/>
      <c r="D1642" s="292" t="s">
        <v>585</v>
      </c>
      <c r="E1642" s="251"/>
      <c r="F1642" s="252"/>
      <c r="G1642" s="254"/>
      <c r="H1642" s="261"/>
      <c r="I1642" s="253"/>
      <c r="J1642" s="253"/>
      <c r="K1642" s="251"/>
      <c r="L1642" s="261"/>
      <c r="M1642" s="258">
        <v>0</v>
      </c>
      <c r="N1642" s="257"/>
      <c r="O1642" s="258">
        <v>0</v>
      </c>
      <c r="P1642" s="257"/>
      <c r="Q1642" s="258">
        <v>0</v>
      </c>
      <c r="R1642" s="257"/>
      <c r="S1642" s="258">
        <v>0</v>
      </c>
      <c r="T1642" s="257"/>
      <c r="U1642" s="258">
        <v>0</v>
      </c>
      <c r="V1642" s="257"/>
      <c r="W1642" s="258">
        <v>0</v>
      </c>
      <c r="X1642" s="257"/>
      <c r="Y1642" s="258">
        <v>0</v>
      </c>
      <c r="Z1642" s="257"/>
    </row>
    <row r="1643" spans="1:26" ht="15" hidden="1" customHeight="1">
      <c r="A1643" s="250"/>
      <c r="B1643" s="251"/>
      <c r="C1643" s="532"/>
      <c r="D1643" s="238" t="s">
        <v>586</v>
      </c>
      <c r="E1643" s="237"/>
      <c r="F1643" s="304"/>
      <c r="G1643" s="254"/>
      <c r="H1643" s="243"/>
      <c r="I1643" s="240"/>
      <c r="J1643" s="240"/>
      <c r="K1643" s="237"/>
      <c r="L1643" s="243"/>
      <c r="M1643" s="258">
        <v>0</v>
      </c>
      <c r="N1643" s="257"/>
      <c r="O1643" s="258">
        <v>0</v>
      </c>
      <c r="P1643" s="257"/>
      <c r="Q1643" s="258">
        <v>0</v>
      </c>
      <c r="R1643" s="257"/>
      <c r="S1643" s="258">
        <v>0</v>
      </c>
      <c r="T1643" s="257"/>
      <c r="U1643" s="258">
        <v>0</v>
      </c>
      <c r="V1643" s="257"/>
      <c r="W1643" s="258">
        <v>0</v>
      </c>
      <c r="X1643" s="257"/>
      <c r="Y1643" s="258">
        <v>0</v>
      </c>
      <c r="Z1643" s="257"/>
    </row>
    <row r="1644" spans="1:26" ht="15" hidden="1" customHeight="1">
      <c r="A1644" s="250"/>
      <c r="B1644" s="251"/>
      <c r="C1644" s="532"/>
      <c r="D1644" s="238" t="s">
        <v>1899</v>
      </c>
      <c r="E1644" s="237"/>
      <c r="F1644" s="334"/>
      <c r="G1644" s="254"/>
      <c r="H1644" s="243"/>
      <c r="I1644" s="240"/>
      <c r="J1644" s="240"/>
      <c r="K1644" s="237"/>
      <c r="L1644" s="243"/>
      <c r="M1644" s="293">
        <v>0</v>
      </c>
      <c r="N1644" s="294"/>
      <c r="O1644" s="293">
        <v>0</v>
      </c>
      <c r="P1644" s="294"/>
      <c r="Q1644" s="293">
        <v>0</v>
      </c>
      <c r="R1644" s="294"/>
      <c r="S1644" s="293">
        <v>0</v>
      </c>
      <c r="T1644" s="294"/>
      <c r="U1644" s="293">
        <v>0</v>
      </c>
      <c r="V1644" s="294"/>
      <c r="W1644" s="293">
        <v>0</v>
      </c>
      <c r="X1644" s="294"/>
      <c r="Y1644" s="293">
        <v>0</v>
      </c>
      <c r="Z1644" s="294"/>
    </row>
    <row r="1645" spans="1:26" ht="15" hidden="1" customHeight="1">
      <c r="A1645" s="250"/>
      <c r="B1645" s="251"/>
      <c r="C1645" s="532"/>
      <c r="D1645" s="238" t="s">
        <v>575</v>
      </c>
      <c r="E1645" s="237"/>
      <c r="F1645" s="304"/>
      <c r="G1645" s="254"/>
      <c r="H1645" s="243">
        <f>INT(F1645*G1645*100+0.5)/100</f>
        <v>0</v>
      </c>
      <c r="I1645" s="240"/>
      <c r="J1645" s="240"/>
      <c r="K1645" s="237"/>
      <c r="L1645" s="306">
        <v>134</v>
      </c>
      <c r="M1645" s="258">
        <v>0</v>
      </c>
      <c r="N1645" s="257">
        <f>INT($L1645*M1645*100+0.5)/100</f>
        <v>0</v>
      </c>
      <c r="O1645" s="258">
        <v>0</v>
      </c>
      <c r="P1645" s="257">
        <f>INT($L1645*O1645*100+0.5)/100</f>
        <v>0</v>
      </c>
      <c r="Q1645" s="258">
        <v>0</v>
      </c>
      <c r="R1645" s="257">
        <f>INT($L1645*Q1645*100+0.5)/100</f>
        <v>0</v>
      </c>
      <c r="S1645" s="258">
        <v>0</v>
      </c>
      <c r="T1645" s="257">
        <f>INT($L1645*S1645*100+0.5)/100</f>
        <v>0</v>
      </c>
      <c r="U1645" s="258">
        <v>0</v>
      </c>
      <c r="V1645" s="257">
        <f>INT($L1645*U1645*100+0.5)/100</f>
        <v>0</v>
      </c>
      <c r="W1645" s="258">
        <v>0</v>
      </c>
      <c r="X1645" s="257">
        <f>INT($L1645*W1645*100+0.5)/100</f>
        <v>0</v>
      </c>
      <c r="Y1645" s="258">
        <v>0</v>
      </c>
      <c r="Z1645" s="257">
        <f>INT($L1645*Y1645*100+0.5)/100</f>
        <v>0</v>
      </c>
    </row>
    <row r="1646" spans="1:26" ht="15" hidden="1" customHeight="1">
      <c r="A1646" s="250"/>
      <c r="B1646" s="251"/>
      <c r="C1646" s="532"/>
      <c r="D1646" s="238"/>
      <c r="E1646" s="237"/>
      <c r="F1646" s="304"/>
      <c r="G1646" s="254"/>
      <c r="H1646" s="243"/>
      <c r="I1646" s="240"/>
      <c r="J1646" s="240"/>
      <c r="K1646" s="237"/>
      <c r="L1646" s="243"/>
      <c r="M1646" s="258"/>
      <c r="N1646" s="257"/>
      <c r="O1646" s="258"/>
      <c r="P1646" s="257"/>
      <c r="Q1646" s="258"/>
      <c r="R1646" s="257"/>
      <c r="S1646" s="258"/>
      <c r="T1646" s="257"/>
      <c r="U1646" s="258"/>
      <c r="V1646" s="257"/>
      <c r="W1646" s="258"/>
      <c r="X1646" s="257"/>
      <c r="Y1646" s="258"/>
      <c r="Z1646" s="257"/>
    </row>
    <row r="1647" spans="1:26" ht="15" hidden="1" customHeight="1">
      <c r="A1647" s="250">
        <f>A1640+1</f>
        <v>290</v>
      </c>
      <c r="B1647" s="251">
        <v>31</v>
      </c>
      <c r="C1647" s="555" t="s">
        <v>289</v>
      </c>
      <c r="D1647" s="532" t="s">
        <v>2065</v>
      </c>
      <c r="E1647" s="237" t="s">
        <v>1909</v>
      </c>
      <c r="F1647" s="304"/>
      <c r="G1647" s="254"/>
      <c r="H1647" s="243"/>
      <c r="I1647" s="240"/>
      <c r="J1647" s="240"/>
      <c r="K1647" s="237" t="s">
        <v>1909</v>
      </c>
      <c r="L1647" s="243"/>
      <c r="M1647" s="258"/>
      <c r="N1647" s="257"/>
      <c r="O1647" s="258"/>
      <c r="P1647" s="257"/>
      <c r="Q1647" s="258"/>
      <c r="R1647" s="257"/>
      <c r="S1647" s="258"/>
      <c r="T1647" s="257"/>
      <c r="U1647" s="258"/>
      <c r="V1647" s="257"/>
      <c r="W1647" s="258"/>
      <c r="X1647" s="257"/>
      <c r="Y1647" s="258"/>
      <c r="Z1647" s="257"/>
    </row>
    <row r="1648" spans="1:26" ht="15" hidden="1" customHeight="1">
      <c r="A1648" s="250"/>
      <c r="B1648" s="251"/>
      <c r="C1648" s="556" t="s">
        <v>2064</v>
      </c>
      <c r="D1648" s="532" t="s">
        <v>2066</v>
      </c>
      <c r="E1648" s="237" t="s">
        <v>2461</v>
      </c>
      <c r="F1648" s="304"/>
      <c r="G1648" s="254"/>
      <c r="H1648" s="243"/>
      <c r="I1648" s="240"/>
      <c r="J1648" s="240"/>
      <c r="K1648" s="237" t="s">
        <v>2461</v>
      </c>
      <c r="L1648" s="243"/>
      <c r="M1648" s="258"/>
      <c r="N1648" s="257"/>
      <c r="O1648" s="258"/>
      <c r="P1648" s="257"/>
      <c r="Q1648" s="258"/>
      <c r="R1648" s="257"/>
      <c r="S1648" s="258"/>
      <c r="T1648" s="257"/>
      <c r="U1648" s="258"/>
      <c r="V1648" s="257"/>
      <c r="W1648" s="258"/>
      <c r="X1648" s="257"/>
      <c r="Y1648" s="258"/>
      <c r="Z1648" s="257"/>
    </row>
    <row r="1649" spans="1:26" ht="15" hidden="1" customHeight="1">
      <c r="A1649" s="250"/>
      <c r="B1649" s="251"/>
      <c r="C1649" s="532"/>
      <c r="D1649" s="238" t="s">
        <v>587</v>
      </c>
      <c r="E1649" s="237"/>
      <c r="F1649" s="304"/>
      <c r="G1649" s="254"/>
      <c r="H1649" s="243"/>
      <c r="I1649" s="240"/>
      <c r="J1649" s="240"/>
      <c r="K1649" s="237"/>
      <c r="L1649" s="243"/>
      <c r="M1649" s="258">
        <v>0</v>
      </c>
      <c r="N1649" s="257"/>
      <c r="O1649" s="258">
        <v>0</v>
      </c>
      <c r="P1649" s="257"/>
      <c r="Q1649" s="258">
        <v>0</v>
      </c>
      <c r="R1649" s="257"/>
      <c r="S1649" s="258">
        <v>0</v>
      </c>
      <c r="T1649" s="257"/>
      <c r="U1649" s="258">
        <v>0</v>
      </c>
      <c r="V1649" s="257"/>
      <c r="W1649" s="258">
        <v>0</v>
      </c>
      <c r="X1649" s="257"/>
      <c r="Y1649" s="258">
        <v>0</v>
      </c>
      <c r="Z1649" s="257"/>
    </row>
    <row r="1650" spans="1:26" ht="15" hidden="1" customHeight="1">
      <c r="A1650" s="250"/>
      <c r="B1650" s="251"/>
      <c r="C1650" s="532"/>
      <c r="D1650" s="238" t="s">
        <v>2102</v>
      </c>
      <c r="E1650" s="237"/>
      <c r="F1650" s="334"/>
      <c r="G1650" s="254"/>
      <c r="H1650" s="243"/>
      <c r="I1650" s="240"/>
      <c r="J1650" s="240"/>
      <c r="K1650" s="237"/>
      <c r="L1650" s="243"/>
      <c r="M1650" s="293">
        <v>0</v>
      </c>
      <c r="N1650" s="294"/>
      <c r="O1650" s="293">
        <v>0</v>
      </c>
      <c r="P1650" s="294"/>
      <c r="Q1650" s="293">
        <v>0</v>
      </c>
      <c r="R1650" s="294"/>
      <c r="S1650" s="293">
        <v>0</v>
      </c>
      <c r="T1650" s="294"/>
      <c r="U1650" s="293">
        <v>0</v>
      </c>
      <c r="V1650" s="294"/>
      <c r="W1650" s="293">
        <v>0</v>
      </c>
      <c r="X1650" s="294"/>
      <c r="Y1650" s="293">
        <v>0</v>
      </c>
      <c r="Z1650" s="294"/>
    </row>
    <row r="1651" spans="1:26" ht="15" hidden="1" customHeight="1">
      <c r="A1651" s="250"/>
      <c r="B1651" s="251"/>
      <c r="C1651" s="532"/>
      <c r="D1651" s="238" t="s">
        <v>575</v>
      </c>
      <c r="E1651" s="237"/>
      <c r="F1651" s="304"/>
      <c r="G1651" s="254"/>
      <c r="H1651" s="243">
        <f>INT(F1651*G1651*100+0.5)/100</f>
        <v>0</v>
      </c>
      <c r="I1651" s="240"/>
      <c r="J1651" s="240"/>
      <c r="K1651" s="237"/>
      <c r="L1651" s="306">
        <v>259</v>
      </c>
      <c r="M1651" s="258">
        <v>0</v>
      </c>
      <c r="N1651" s="257">
        <f>INT($L1651*M1651*100+0.5)/100</f>
        <v>0</v>
      </c>
      <c r="O1651" s="258">
        <v>0</v>
      </c>
      <c r="P1651" s="257">
        <f>INT($L1651*O1651*100+0.5)/100</f>
        <v>0</v>
      </c>
      <c r="Q1651" s="258">
        <v>0</v>
      </c>
      <c r="R1651" s="257">
        <f>INT($L1651*Q1651*100+0.5)/100</f>
        <v>0</v>
      </c>
      <c r="S1651" s="258">
        <v>0</v>
      </c>
      <c r="T1651" s="257">
        <f>INT($L1651*S1651*100+0.5)/100</f>
        <v>0</v>
      </c>
      <c r="U1651" s="258">
        <v>0</v>
      </c>
      <c r="V1651" s="257">
        <f>INT($L1651*U1651*100+0.5)/100</f>
        <v>0</v>
      </c>
      <c r="W1651" s="258">
        <v>0</v>
      </c>
      <c r="X1651" s="257">
        <f>INT($L1651*W1651*100+0.5)/100</f>
        <v>0</v>
      </c>
      <c r="Y1651" s="258">
        <v>0</v>
      </c>
      <c r="Z1651" s="257">
        <f>INT($L1651*Y1651*100+0.5)/100</f>
        <v>0</v>
      </c>
    </row>
    <row r="1652" spans="1:26" ht="15" hidden="1" customHeight="1">
      <c r="A1652" s="250"/>
      <c r="B1652" s="251"/>
      <c r="C1652" s="532"/>
      <c r="D1652" s="238"/>
      <c r="E1652" s="237"/>
      <c r="F1652" s="304"/>
      <c r="G1652" s="254"/>
      <c r="H1652" s="243"/>
      <c r="I1652" s="240"/>
      <c r="J1652" s="240"/>
      <c r="K1652" s="237"/>
      <c r="L1652" s="243"/>
      <c r="M1652" s="258"/>
      <c r="N1652" s="257"/>
      <c r="O1652" s="258"/>
      <c r="P1652" s="257"/>
      <c r="Q1652" s="258"/>
      <c r="R1652" s="257"/>
      <c r="S1652" s="258"/>
      <c r="T1652" s="257"/>
      <c r="U1652" s="258"/>
      <c r="V1652" s="257"/>
      <c r="W1652" s="258"/>
      <c r="X1652" s="257"/>
      <c r="Y1652" s="258"/>
      <c r="Z1652" s="257"/>
    </row>
    <row r="1653" spans="1:26" ht="15" hidden="1" customHeight="1">
      <c r="A1653" s="250">
        <f>A1647+1</f>
        <v>291</v>
      </c>
      <c r="B1653" s="251">
        <v>32</v>
      </c>
      <c r="C1653" s="555" t="s">
        <v>2192</v>
      </c>
      <c r="D1653" s="532" t="s">
        <v>218</v>
      </c>
      <c r="E1653" s="237" t="s">
        <v>1909</v>
      </c>
      <c r="F1653" s="304"/>
      <c r="G1653" s="254"/>
      <c r="H1653" s="243"/>
      <c r="I1653" s="240"/>
      <c r="J1653" s="240"/>
      <c r="K1653" s="237" t="s">
        <v>1909</v>
      </c>
      <c r="L1653" s="243"/>
      <c r="M1653" s="258"/>
      <c r="N1653" s="257"/>
      <c r="O1653" s="258"/>
      <c r="P1653" s="257"/>
      <c r="Q1653" s="258"/>
      <c r="R1653" s="257"/>
      <c r="S1653" s="258"/>
      <c r="T1653" s="257"/>
      <c r="U1653" s="258"/>
      <c r="V1653" s="257"/>
      <c r="W1653" s="258"/>
      <c r="X1653" s="257"/>
      <c r="Y1653" s="258"/>
      <c r="Z1653" s="257"/>
    </row>
    <row r="1654" spans="1:26" ht="15" hidden="1" customHeight="1">
      <c r="A1654" s="250"/>
      <c r="B1654" s="251"/>
      <c r="C1654" s="556" t="s">
        <v>2067</v>
      </c>
      <c r="D1654" s="532" t="s">
        <v>219</v>
      </c>
      <c r="E1654" s="237" t="s">
        <v>2461</v>
      </c>
      <c r="F1654" s="304"/>
      <c r="G1654" s="254"/>
      <c r="H1654" s="243"/>
      <c r="I1654" s="240"/>
      <c r="J1654" s="240"/>
      <c r="K1654" s="237" t="s">
        <v>2461</v>
      </c>
      <c r="L1654" s="243"/>
      <c r="M1654" s="258"/>
      <c r="N1654" s="257"/>
      <c r="O1654" s="258"/>
      <c r="P1654" s="257"/>
      <c r="Q1654" s="258"/>
      <c r="R1654" s="257"/>
      <c r="S1654" s="258"/>
      <c r="T1654" s="257"/>
      <c r="U1654" s="258"/>
      <c r="V1654" s="257"/>
      <c r="W1654" s="258"/>
      <c r="X1654" s="257"/>
      <c r="Y1654" s="258"/>
      <c r="Z1654" s="257"/>
    </row>
    <row r="1655" spans="1:26" ht="15" hidden="1" customHeight="1">
      <c r="A1655" s="250"/>
      <c r="B1655" s="251"/>
      <c r="C1655" s="526"/>
      <c r="D1655" s="238" t="s">
        <v>588</v>
      </c>
      <c r="E1655" s="237"/>
      <c r="F1655" s="304"/>
      <c r="G1655" s="254"/>
      <c r="H1655" s="243"/>
      <c r="I1655" s="240"/>
      <c r="J1655" s="240"/>
      <c r="K1655" s="237"/>
      <c r="L1655" s="243"/>
      <c r="M1655" s="258">
        <v>0</v>
      </c>
      <c r="N1655" s="257"/>
      <c r="O1655" s="258">
        <v>0</v>
      </c>
      <c r="P1655" s="257"/>
      <c r="Q1655" s="258">
        <v>0</v>
      </c>
      <c r="R1655" s="257"/>
      <c r="S1655" s="258">
        <v>0</v>
      </c>
      <c r="T1655" s="257"/>
      <c r="U1655" s="258">
        <v>0</v>
      </c>
      <c r="V1655" s="257"/>
      <c r="W1655" s="258">
        <v>0</v>
      </c>
      <c r="X1655" s="257"/>
      <c r="Y1655" s="258">
        <v>0</v>
      </c>
      <c r="Z1655" s="257"/>
    </row>
    <row r="1656" spans="1:26" ht="15" hidden="1" customHeight="1">
      <c r="A1656" s="250"/>
      <c r="B1656" s="251"/>
      <c r="C1656" s="526"/>
      <c r="D1656" s="238" t="s">
        <v>1899</v>
      </c>
      <c r="E1656" s="237"/>
      <c r="F1656" s="334"/>
      <c r="G1656" s="254"/>
      <c r="H1656" s="243"/>
      <c r="I1656" s="240"/>
      <c r="J1656" s="240"/>
      <c r="K1656" s="237"/>
      <c r="L1656" s="243"/>
      <c r="M1656" s="293">
        <v>0</v>
      </c>
      <c r="N1656" s="294"/>
      <c r="O1656" s="293">
        <v>0</v>
      </c>
      <c r="P1656" s="294"/>
      <c r="Q1656" s="293">
        <v>0</v>
      </c>
      <c r="R1656" s="294"/>
      <c r="S1656" s="293">
        <v>0</v>
      </c>
      <c r="T1656" s="294"/>
      <c r="U1656" s="293">
        <v>0</v>
      </c>
      <c r="V1656" s="294"/>
      <c r="W1656" s="293">
        <v>0</v>
      </c>
      <c r="X1656" s="294"/>
      <c r="Y1656" s="293">
        <v>0</v>
      </c>
      <c r="Z1656" s="294"/>
    </row>
    <row r="1657" spans="1:26" ht="15" hidden="1" customHeight="1">
      <c r="A1657" s="250"/>
      <c r="B1657" s="251"/>
      <c r="C1657" s="526"/>
      <c r="D1657" s="238" t="s">
        <v>575</v>
      </c>
      <c r="E1657" s="237"/>
      <c r="F1657" s="304"/>
      <c r="G1657" s="254"/>
      <c r="H1657" s="243">
        <f>INT(F1657*G1657*100+0.5)/100</f>
        <v>0</v>
      </c>
      <c r="I1657" s="240"/>
      <c r="J1657" s="240"/>
      <c r="K1657" s="237"/>
      <c r="L1657" s="306">
        <v>306</v>
      </c>
      <c r="M1657" s="258">
        <v>0</v>
      </c>
      <c r="N1657" s="257">
        <f>INT($L1657*M1657*100+0.5)/100</f>
        <v>0</v>
      </c>
      <c r="O1657" s="258">
        <v>0</v>
      </c>
      <c r="P1657" s="257">
        <f>INT($L1657*O1657*100+0.5)/100</f>
        <v>0</v>
      </c>
      <c r="Q1657" s="258">
        <v>0</v>
      </c>
      <c r="R1657" s="257">
        <f>INT($L1657*Q1657*100+0.5)/100</f>
        <v>0</v>
      </c>
      <c r="S1657" s="258">
        <v>0</v>
      </c>
      <c r="T1657" s="257">
        <f>INT($L1657*S1657*100+0.5)/100</f>
        <v>0</v>
      </c>
      <c r="U1657" s="258">
        <v>0</v>
      </c>
      <c r="V1657" s="257">
        <f>INT($L1657*U1657*100+0.5)/100</f>
        <v>0</v>
      </c>
      <c r="W1657" s="258">
        <v>0</v>
      </c>
      <c r="X1657" s="257">
        <f>INT($L1657*W1657*100+0.5)/100</f>
        <v>0</v>
      </c>
      <c r="Y1657" s="258">
        <v>0</v>
      </c>
      <c r="Z1657" s="257">
        <f>INT($L1657*Y1657*100+0.5)/100</f>
        <v>0</v>
      </c>
    </row>
    <row r="1658" spans="1:26" ht="15" hidden="1" customHeight="1">
      <c r="A1658" s="250"/>
      <c r="B1658" s="251"/>
      <c r="C1658" s="526"/>
      <c r="D1658" s="292"/>
      <c r="E1658" s="251"/>
      <c r="F1658" s="252"/>
      <c r="G1658" s="254"/>
      <c r="H1658" s="261"/>
      <c r="I1658" s="253"/>
      <c r="J1658" s="253"/>
      <c r="K1658" s="251"/>
      <c r="L1658" s="261"/>
      <c r="M1658" s="258"/>
      <c r="N1658" s="257"/>
      <c r="O1658" s="258"/>
      <c r="P1658" s="257"/>
      <c r="Q1658" s="258"/>
      <c r="R1658" s="257"/>
      <c r="S1658" s="258"/>
      <c r="T1658" s="257"/>
      <c r="U1658" s="258"/>
      <c r="V1658" s="257"/>
      <c r="W1658" s="258"/>
      <c r="X1658" s="257"/>
      <c r="Y1658" s="258"/>
      <c r="Z1658" s="257"/>
    </row>
    <row r="1659" spans="1:26" ht="15" hidden="1" customHeight="1">
      <c r="A1659" s="250">
        <f>A1653+1</f>
        <v>292</v>
      </c>
      <c r="B1659" s="251"/>
      <c r="C1659" s="535" t="s">
        <v>292</v>
      </c>
      <c r="D1659" s="558" t="s">
        <v>1014</v>
      </c>
      <c r="E1659" s="251" t="s">
        <v>1898</v>
      </c>
      <c r="F1659" s="252"/>
      <c r="G1659" s="254"/>
      <c r="H1659" s="261"/>
      <c r="I1659" s="225"/>
      <c r="J1659" s="225"/>
      <c r="K1659" s="251" t="s">
        <v>1898</v>
      </c>
      <c r="L1659" s="261"/>
      <c r="M1659" s="258"/>
      <c r="N1659" s="257"/>
      <c r="O1659" s="258"/>
      <c r="P1659" s="257"/>
      <c r="Q1659" s="258"/>
      <c r="R1659" s="257"/>
      <c r="S1659" s="258"/>
      <c r="T1659" s="257"/>
      <c r="U1659" s="258"/>
      <c r="V1659" s="257"/>
      <c r="W1659" s="258"/>
      <c r="X1659" s="257"/>
      <c r="Y1659" s="258"/>
      <c r="Z1659" s="257"/>
    </row>
    <row r="1660" spans="1:26" ht="15" hidden="1" customHeight="1">
      <c r="A1660" s="250"/>
      <c r="B1660" s="251"/>
      <c r="C1660" s="526"/>
      <c r="D1660" s="558" t="s">
        <v>1013</v>
      </c>
      <c r="E1660" s="251" t="s">
        <v>1898</v>
      </c>
      <c r="F1660" s="252"/>
      <c r="G1660" s="254"/>
      <c r="H1660" s="261"/>
      <c r="I1660" s="225"/>
      <c r="J1660" s="225"/>
      <c r="K1660" s="251" t="s">
        <v>1898</v>
      </c>
      <c r="L1660" s="261"/>
      <c r="M1660" s="258"/>
      <c r="N1660" s="257"/>
      <c r="O1660" s="258"/>
      <c r="P1660" s="257"/>
      <c r="Q1660" s="258"/>
      <c r="R1660" s="257"/>
      <c r="S1660" s="258"/>
      <c r="T1660" s="257"/>
      <c r="U1660" s="258"/>
      <c r="V1660" s="257"/>
      <c r="W1660" s="258"/>
      <c r="X1660" s="257"/>
      <c r="Y1660" s="258"/>
      <c r="Z1660" s="257"/>
    </row>
    <row r="1661" spans="1:26" s="247" customFormat="1" ht="15" hidden="1" customHeight="1">
      <c r="A1661" s="284"/>
      <c r="B1661" s="237"/>
      <c r="C1661" s="532"/>
      <c r="D1661" s="276"/>
      <c r="E1661" s="237"/>
      <c r="F1661" s="304"/>
      <c r="G1661" s="254"/>
      <c r="H1661" s="243">
        <f>INT(F1661*G1661*100+0.5)/100</f>
        <v>0</v>
      </c>
      <c r="I1661" s="350"/>
      <c r="J1661" s="350"/>
      <c r="K1661" s="237"/>
      <c r="L1661" s="278">
        <v>19.670000000000002</v>
      </c>
      <c r="M1661" s="289">
        <v>0</v>
      </c>
      <c r="N1661" s="245">
        <f>INT($L1661*M1661*100+0.5)/100</f>
        <v>0</v>
      </c>
      <c r="O1661" s="289">
        <v>0</v>
      </c>
      <c r="P1661" s="245">
        <f>INT($L1661*O1661*100+0.5)/100</f>
        <v>0</v>
      </c>
      <c r="Q1661" s="289">
        <v>0</v>
      </c>
      <c r="R1661" s="245">
        <f>INT($L1661*Q1661*100+0.5)/100</f>
        <v>0</v>
      </c>
      <c r="S1661" s="289">
        <v>0</v>
      </c>
      <c r="T1661" s="245">
        <f>INT($L1661*S1661*100+0.5)/100</f>
        <v>0</v>
      </c>
      <c r="U1661" s="289">
        <v>0</v>
      </c>
      <c r="V1661" s="245">
        <f>INT($L1661*U1661*100+0.5)/100</f>
        <v>0</v>
      </c>
      <c r="W1661" s="289">
        <v>0</v>
      </c>
      <c r="X1661" s="245">
        <f>INT($L1661*W1661*100+0.5)/100</f>
        <v>0</v>
      </c>
      <c r="Y1661" s="289">
        <v>0</v>
      </c>
      <c r="Z1661" s="245">
        <f>INT($L1661*Y1661*100+0.5)/100</f>
        <v>0</v>
      </c>
    </row>
    <row r="1662" spans="1:26" s="247" customFormat="1" ht="15" hidden="1" customHeight="1">
      <c r="A1662" s="284"/>
      <c r="B1662" s="237"/>
      <c r="C1662" s="532"/>
      <c r="D1662" s="276"/>
      <c r="E1662" s="237"/>
      <c r="F1662" s="304"/>
      <c r="G1662" s="254"/>
      <c r="H1662" s="243"/>
      <c r="I1662" s="350"/>
      <c r="J1662" s="350"/>
      <c r="K1662" s="237"/>
      <c r="L1662" s="243"/>
      <c r="M1662" s="289"/>
      <c r="N1662" s="245"/>
      <c r="O1662" s="289"/>
      <c r="P1662" s="245"/>
      <c r="Q1662" s="289"/>
      <c r="R1662" s="245"/>
      <c r="S1662" s="289"/>
      <c r="T1662" s="245"/>
      <c r="U1662" s="289"/>
      <c r="V1662" s="245"/>
      <c r="W1662" s="289"/>
      <c r="X1662" s="245"/>
      <c r="Y1662" s="289"/>
      <c r="Z1662" s="245"/>
    </row>
    <row r="1663" spans="1:26" ht="15" hidden="1" customHeight="1">
      <c r="A1663" s="250">
        <f>A1659+1</f>
        <v>293</v>
      </c>
      <c r="B1663" s="251"/>
      <c r="C1663" s="559" t="s">
        <v>2152</v>
      </c>
      <c r="D1663" s="558" t="s">
        <v>1861</v>
      </c>
      <c r="E1663" s="251" t="s">
        <v>1898</v>
      </c>
      <c r="F1663" s="252"/>
      <c r="G1663" s="254"/>
      <c r="H1663" s="261">
        <f>INT(F1663*G1663*100+0.5)/100</f>
        <v>0</v>
      </c>
      <c r="I1663" s="225"/>
      <c r="J1663" s="225"/>
      <c r="K1663" s="251" t="s">
        <v>1898</v>
      </c>
      <c r="L1663" s="306">
        <v>16.5</v>
      </c>
      <c r="M1663" s="258">
        <v>0</v>
      </c>
      <c r="N1663" s="257">
        <f>INT($L1663*M1663*100+0.5)/100</f>
        <v>0</v>
      </c>
      <c r="O1663" s="258">
        <v>0</v>
      </c>
      <c r="P1663" s="257">
        <f>INT($L1663*O1663*100+0.5)/100</f>
        <v>0</v>
      </c>
      <c r="Q1663" s="258">
        <v>0</v>
      </c>
      <c r="R1663" s="257">
        <f>INT($L1663*Q1663*100+0.5)/100</f>
        <v>0</v>
      </c>
      <c r="S1663" s="258">
        <v>0</v>
      </c>
      <c r="T1663" s="257">
        <f>INT($L1663*S1663*100+0.5)/100</f>
        <v>0</v>
      </c>
      <c r="U1663" s="258">
        <v>0</v>
      </c>
      <c r="V1663" s="257">
        <f>INT($L1663*U1663*100+0.5)/100</f>
        <v>0</v>
      </c>
      <c r="W1663" s="258">
        <v>0</v>
      </c>
      <c r="X1663" s="257">
        <f>INT($L1663*W1663*100+0.5)/100</f>
        <v>0</v>
      </c>
      <c r="Y1663" s="258">
        <v>0</v>
      </c>
      <c r="Z1663" s="257">
        <f>INT($L1663*Y1663*100+0.5)/100</f>
        <v>0</v>
      </c>
    </row>
    <row r="1664" spans="1:26" ht="15" hidden="1" customHeight="1">
      <c r="A1664" s="250"/>
      <c r="B1664" s="251"/>
      <c r="C1664" s="540"/>
      <c r="D1664" s="558" t="s">
        <v>1860</v>
      </c>
      <c r="E1664" s="251" t="s">
        <v>1898</v>
      </c>
      <c r="F1664" s="252"/>
      <c r="G1664" s="254"/>
      <c r="H1664" s="261"/>
      <c r="I1664" s="225"/>
      <c r="J1664" s="225"/>
      <c r="K1664" s="251" t="s">
        <v>1898</v>
      </c>
      <c r="L1664" s="261"/>
      <c r="M1664" s="258"/>
      <c r="N1664" s="257"/>
      <c r="O1664" s="258"/>
      <c r="P1664" s="257"/>
      <c r="Q1664" s="258"/>
      <c r="R1664" s="257"/>
      <c r="S1664" s="258"/>
      <c r="T1664" s="257"/>
      <c r="U1664" s="258"/>
      <c r="V1664" s="257"/>
      <c r="W1664" s="258"/>
      <c r="X1664" s="257"/>
      <c r="Y1664" s="258"/>
      <c r="Z1664" s="257"/>
    </row>
    <row r="1665" spans="1:26" ht="15" hidden="1" customHeight="1">
      <c r="A1665" s="250"/>
      <c r="B1665" s="251"/>
      <c r="C1665" s="540"/>
      <c r="D1665" s="335"/>
      <c r="E1665" s="251"/>
      <c r="F1665" s="252"/>
      <c r="G1665" s="254"/>
      <c r="H1665" s="261"/>
      <c r="I1665" s="225"/>
      <c r="J1665" s="225"/>
      <c r="K1665" s="251"/>
      <c r="L1665" s="261"/>
      <c r="M1665" s="258"/>
      <c r="N1665" s="257"/>
      <c r="O1665" s="258"/>
      <c r="P1665" s="257"/>
      <c r="Q1665" s="258"/>
      <c r="R1665" s="257"/>
      <c r="S1665" s="258"/>
      <c r="T1665" s="257"/>
      <c r="U1665" s="258"/>
      <c r="V1665" s="257"/>
      <c r="W1665" s="258"/>
      <c r="X1665" s="257"/>
      <c r="Y1665" s="258"/>
      <c r="Z1665" s="257"/>
    </row>
    <row r="1666" spans="1:26" ht="15" hidden="1" customHeight="1">
      <c r="A1666" s="250">
        <f>A1653+1</f>
        <v>292</v>
      </c>
      <c r="B1666" s="251"/>
      <c r="C1666" s="559" t="s">
        <v>2205</v>
      </c>
      <c r="D1666" s="558" t="s">
        <v>529</v>
      </c>
      <c r="E1666" s="251" t="s">
        <v>1901</v>
      </c>
      <c r="F1666" s="252"/>
      <c r="G1666" s="254"/>
      <c r="H1666" s="261">
        <f>INT(F1666*G1666*100+0.5)/100</f>
        <v>0</v>
      </c>
      <c r="I1666" s="225"/>
      <c r="J1666" s="225"/>
      <c r="K1666" s="251" t="s">
        <v>1901</v>
      </c>
      <c r="L1666" s="306">
        <f>0.86</f>
        <v>0.86</v>
      </c>
      <c r="M1666" s="316">
        <v>0</v>
      </c>
      <c r="N1666" s="259">
        <f>INT($L1666*M1666*100+0.5)/100</f>
        <v>0</v>
      </c>
      <c r="O1666" s="316">
        <v>0</v>
      </c>
      <c r="P1666" s="259">
        <f>INT($L1666*O1666*100+0.5)/100</f>
        <v>0</v>
      </c>
      <c r="Q1666" s="316">
        <v>0</v>
      </c>
      <c r="R1666" s="259">
        <f>INT($L1666*Q1666*100+0.5)/100</f>
        <v>0</v>
      </c>
      <c r="S1666" s="316">
        <v>0</v>
      </c>
      <c r="T1666" s="257">
        <f>INT($L1666*S1666*100+0.5)/100</f>
        <v>0</v>
      </c>
      <c r="U1666" s="316">
        <v>0</v>
      </c>
      <c r="V1666" s="257">
        <f>INT($L1666*U1666*100+0.5)/100</f>
        <v>0</v>
      </c>
      <c r="W1666" s="316">
        <v>0</v>
      </c>
      <c r="X1666" s="257">
        <f>INT($L1666*W1666*100+0.5)/100</f>
        <v>0</v>
      </c>
      <c r="Y1666" s="316">
        <v>0</v>
      </c>
      <c r="Z1666" s="257">
        <f>INT($L1666*Y1666*100+0.5)/100</f>
        <v>0</v>
      </c>
    </row>
    <row r="1667" spans="1:26" ht="15" hidden="1" customHeight="1">
      <c r="A1667" s="250"/>
      <c r="B1667" s="251"/>
      <c r="C1667" s="540"/>
      <c r="D1667" s="558" t="s">
        <v>340</v>
      </c>
      <c r="E1667" s="251" t="s">
        <v>1902</v>
      </c>
      <c r="F1667" s="252"/>
      <c r="G1667" s="254"/>
      <c r="H1667" s="261"/>
      <c r="I1667" s="225"/>
      <c r="J1667" s="225"/>
      <c r="K1667" s="251" t="s">
        <v>1902</v>
      </c>
      <c r="L1667" s="261"/>
      <c r="M1667" s="316"/>
      <c r="N1667" s="259"/>
      <c r="O1667" s="316"/>
      <c r="P1667" s="259"/>
      <c r="Q1667" s="316"/>
      <c r="R1667" s="259"/>
      <c r="S1667" s="316"/>
      <c r="T1667" s="257"/>
      <c r="U1667" s="316"/>
      <c r="V1667" s="257"/>
      <c r="W1667" s="316"/>
      <c r="X1667" s="257"/>
      <c r="Y1667" s="316"/>
      <c r="Z1667" s="257"/>
    </row>
    <row r="1668" spans="1:26" ht="15" hidden="1" customHeight="1">
      <c r="A1668" s="250"/>
      <c r="B1668" s="251"/>
      <c r="C1668" s="540"/>
      <c r="D1668" s="335" t="s">
        <v>1016</v>
      </c>
      <c r="E1668" s="251"/>
      <c r="F1668" s="252"/>
      <c r="G1668" s="254"/>
      <c r="H1668" s="261"/>
      <c r="I1668" s="225"/>
      <c r="J1668" s="225"/>
      <c r="K1668" s="251"/>
      <c r="L1668" s="261"/>
      <c r="M1668" s="316"/>
      <c r="N1668" s="259"/>
      <c r="O1668" s="316"/>
      <c r="P1668" s="259"/>
      <c r="Q1668" s="316"/>
      <c r="R1668" s="259"/>
      <c r="S1668" s="316"/>
      <c r="T1668" s="257"/>
      <c r="U1668" s="316"/>
      <c r="V1668" s="257"/>
      <c r="W1668" s="316"/>
      <c r="X1668" s="257"/>
      <c r="Y1668" s="316"/>
      <c r="Z1668" s="257"/>
    </row>
    <row r="1669" spans="1:26" ht="15" hidden="1" customHeight="1">
      <c r="A1669" s="250"/>
      <c r="B1669" s="251"/>
      <c r="C1669" s="540"/>
      <c r="D1669" s="558"/>
      <c r="E1669" s="251"/>
      <c r="F1669" s="252"/>
      <c r="G1669" s="254"/>
      <c r="H1669" s="261"/>
      <c r="I1669" s="225"/>
      <c r="J1669" s="225"/>
      <c r="K1669" s="251"/>
      <c r="L1669" s="261"/>
      <c r="M1669" s="316"/>
      <c r="N1669" s="259"/>
      <c r="O1669" s="316"/>
      <c r="P1669" s="259"/>
      <c r="Q1669" s="316"/>
      <c r="R1669" s="259"/>
      <c r="S1669" s="316"/>
      <c r="T1669" s="257"/>
      <c r="U1669" s="316"/>
      <c r="V1669" s="257"/>
      <c r="W1669" s="316"/>
      <c r="X1669" s="257"/>
      <c r="Y1669" s="316"/>
      <c r="Z1669" s="257"/>
    </row>
    <row r="1670" spans="1:26" ht="15" hidden="1">
      <c r="A1670" s="250">
        <f>A1666+1</f>
        <v>293</v>
      </c>
      <c r="B1670" s="251"/>
      <c r="C1670" s="559" t="s">
        <v>1862</v>
      </c>
      <c r="D1670" s="558" t="s">
        <v>1859</v>
      </c>
      <c r="E1670" s="251" t="s">
        <v>1898</v>
      </c>
      <c r="F1670" s="252"/>
      <c r="G1670" s="254"/>
      <c r="H1670" s="261">
        <f>INT(F1670*G1670*100+0.5)/100</f>
        <v>0</v>
      </c>
      <c r="I1670" s="225"/>
      <c r="J1670" s="225"/>
      <c r="K1670" s="251" t="s">
        <v>1898</v>
      </c>
      <c r="L1670" s="306">
        <v>401.56</v>
      </c>
      <c r="M1670" s="258">
        <v>0</v>
      </c>
      <c r="N1670" s="257">
        <f>INT($L1670*M1670*100+0.5)/100</f>
        <v>0</v>
      </c>
      <c r="O1670" s="258">
        <v>0</v>
      </c>
      <c r="P1670" s="257">
        <f>INT($L1670*O1670*100+0.5)/100</f>
        <v>0</v>
      </c>
      <c r="Q1670" s="258">
        <v>0</v>
      </c>
      <c r="R1670" s="257">
        <f>INT($L1670*Q1670*100+0.5)/100</f>
        <v>0</v>
      </c>
      <c r="S1670" s="258">
        <v>0</v>
      </c>
      <c r="T1670" s="257">
        <f>INT($L1670*S1670*100+0.5)/100</f>
        <v>0</v>
      </c>
      <c r="U1670" s="258">
        <v>0</v>
      </c>
      <c r="V1670" s="257">
        <f>INT($L1670*U1670*100+0.5)/100</f>
        <v>0</v>
      </c>
      <c r="W1670" s="258">
        <v>0</v>
      </c>
      <c r="X1670" s="257">
        <f>INT($L1670*W1670*100+0.5)/100</f>
        <v>0</v>
      </c>
      <c r="Y1670" s="258">
        <v>0</v>
      </c>
      <c r="Z1670" s="257">
        <f>INT($L1670*Y1670*100+0.5)/100</f>
        <v>0</v>
      </c>
    </row>
    <row r="1671" spans="1:26" ht="15" hidden="1" customHeight="1">
      <c r="A1671" s="250"/>
      <c r="B1671" s="251"/>
      <c r="C1671" s="540"/>
      <c r="D1671" s="558" t="s">
        <v>1858</v>
      </c>
      <c r="E1671" s="251" t="s">
        <v>1898</v>
      </c>
      <c r="F1671" s="252"/>
      <c r="G1671" s="254"/>
      <c r="H1671" s="261"/>
      <c r="I1671" s="225"/>
      <c r="J1671" s="225"/>
      <c r="K1671" s="251" t="s">
        <v>1898</v>
      </c>
      <c r="L1671" s="306"/>
      <c r="M1671" s="258"/>
      <c r="N1671" s="257"/>
      <c r="O1671" s="258"/>
      <c r="P1671" s="257"/>
      <c r="Q1671" s="258"/>
      <c r="R1671" s="257"/>
      <c r="S1671" s="258"/>
      <c r="T1671" s="257"/>
      <c r="U1671" s="258"/>
      <c r="V1671" s="257"/>
      <c r="W1671" s="258"/>
      <c r="X1671" s="257"/>
      <c r="Y1671" s="258"/>
      <c r="Z1671" s="257"/>
    </row>
    <row r="1672" spans="1:26" ht="15" hidden="1" customHeight="1">
      <c r="A1672" s="250"/>
      <c r="B1672" s="251"/>
      <c r="C1672" s="540"/>
      <c r="D1672" s="335"/>
      <c r="E1672" s="251"/>
      <c r="F1672" s="252"/>
      <c r="G1672" s="254"/>
      <c r="H1672" s="261"/>
      <c r="I1672" s="225"/>
      <c r="J1672" s="225"/>
      <c r="K1672" s="251"/>
      <c r="L1672" s="306"/>
      <c r="M1672" s="258"/>
      <c r="N1672" s="257"/>
      <c r="O1672" s="258"/>
      <c r="P1672" s="257"/>
      <c r="Q1672" s="258"/>
      <c r="R1672" s="257"/>
      <c r="S1672" s="258"/>
      <c r="T1672" s="257"/>
      <c r="U1672" s="258"/>
      <c r="V1672" s="257"/>
      <c r="W1672" s="258"/>
      <c r="X1672" s="257"/>
      <c r="Y1672" s="258"/>
      <c r="Z1672" s="257"/>
    </row>
    <row r="1673" spans="1:26" ht="15" hidden="1" customHeight="1">
      <c r="A1673" s="250">
        <f>A1670+1</f>
        <v>294</v>
      </c>
      <c r="B1673" s="251"/>
      <c r="C1673" s="560" t="s">
        <v>2193</v>
      </c>
      <c r="D1673" s="558" t="s">
        <v>1864</v>
      </c>
      <c r="E1673" s="251" t="s">
        <v>2475</v>
      </c>
      <c r="F1673" s="252"/>
      <c r="G1673" s="254"/>
      <c r="H1673" s="261">
        <f>INT(F1673*G1673*100+0.5)/100</f>
        <v>0</v>
      </c>
      <c r="I1673" s="225"/>
      <c r="J1673" s="225"/>
      <c r="K1673" s="251" t="s">
        <v>2475</v>
      </c>
      <c r="L1673" s="306">
        <v>7.72</v>
      </c>
      <c r="M1673" s="258">
        <v>0</v>
      </c>
      <c r="N1673" s="257">
        <f>INT($L1673*M1673*100+0.5)/100</f>
        <v>0</v>
      </c>
      <c r="O1673" s="258">
        <v>0</v>
      </c>
      <c r="P1673" s="257">
        <f>INT($L1673*O1673*100+0.5)/100</f>
        <v>0</v>
      </c>
      <c r="Q1673" s="258">
        <v>0</v>
      </c>
      <c r="R1673" s="257">
        <f>INT($L1673*Q1673*100+0.5)/100</f>
        <v>0</v>
      </c>
      <c r="S1673" s="258">
        <v>0</v>
      </c>
      <c r="T1673" s="257">
        <f>INT($L1673*S1673*100+0.5)/100</f>
        <v>0</v>
      </c>
      <c r="U1673" s="258">
        <v>0</v>
      </c>
      <c r="V1673" s="257">
        <f>INT($L1673*U1673*100+0.5)/100</f>
        <v>0</v>
      </c>
      <c r="W1673" s="258">
        <v>0</v>
      </c>
      <c r="X1673" s="257">
        <f>INT($L1673*W1673*100+0.5)/100</f>
        <v>0</v>
      </c>
      <c r="Y1673" s="258">
        <v>0</v>
      </c>
      <c r="Z1673" s="257">
        <f>INT($L1673*Y1673*100+0.5)/100</f>
        <v>0</v>
      </c>
    </row>
    <row r="1674" spans="1:26" ht="15" hidden="1" customHeight="1">
      <c r="A1674" s="250"/>
      <c r="B1674" s="251"/>
      <c r="C1674" s="540"/>
      <c r="D1674" s="558" t="s">
        <v>1863</v>
      </c>
      <c r="E1674" s="251"/>
      <c r="F1674" s="252"/>
      <c r="G1674" s="254"/>
      <c r="H1674" s="261"/>
      <c r="I1674" s="225"/>
      <c r="J1674" s="225"/>
      <c r="K1674" s="251"/>
      <c r="L1674" s="306"/>
      <c r="M1674" s="258"/>
      <c r="N1674" s="257"/>
      <c r="O1674" s="258"/>
      <c r="P1674" s="257"/>
      <c r="Q1674" s="258"/>
      <c r="R1674" s="257"/>
      <c r="S1674" s="258"/>
      <c r="T1674" s="257"/>
      <c r="U1674" s="258"/>
      <c r="V1674" s="257"/>
      <c r="W1674" s="258"/>
      <c r="X1674" s="257"/>
      <c r="Y1674" s="258"/>
      <c r="Z1674" s="257"/>
    </row>
    <row r="1675" spans="1:26" ht="15" hidden="1" customHeight="1">
      <c r="A1675" s="250"/>
      <c r="B1675" s="251"/>
      <c r="C1675" s="540"/>
      <c r="D1675" s="335"/>
      <c r="E1675" s="251"/>
      <c r="F1675" s="252"/>
      <c r="G1675" s="254"/>
      <c r="H1675" s="261"/>
      <c r="I1675" s="225"/>
      <c r="J1675" s="225"/>
      <c r="K1675" s="251"/>
      <c r="L1675" s="306"/>
      <c r="M1675" s="258"/>
      <c r="N1675" s="257"/>
      <c r="O1675" s="258"/>
      <c r="P1675" s="257"/>
      <c r="Q1675" s="258"/>
      <c r="R1675" s="257"/>
      <c r="S1675" s="258"/>
      <c r="T1675" s="257"/>
      <c r="U1675" s="258"/>
      <c r="V1675" s="257"/>
      <c r="W1675" s="258"/>
      <c r="X1675" s="257"/>
      <c r="Y1675" s="258"/>
      <c r="Z1675" s="257"/>
    </row>
    <row r="1676" spans="1:26" ht="15" hidden="1" customHeight="1">
      <c r="A1676" s="250">
        <f>A1673+1</f>
        <v>295</v>
      </c>
      <c r="B1676" s="251"/>
      <c r="C1676" s="560" t="s">
        <v>2194</v>
      </c>
      <c r="D1676" s="558" t="s">
        <v>1868</v>
      </c>
      <c r="E1676" s="251" t="s">
        <v>1901</v>
      </c>
      <c r="F1676" s="252"/>
      <c r="G1676" s="254"/>
      <c r="H1676" s="261">
        <f>INT(F1676*G1676*100+0.5)/100</f>
        <v>0</v>
      </c>
      <c r="I1676" s="225"/>
      <c r="J1676" s="225"/>
      <c r="K1676" s="251" t="s">
        <v>1901</v>
      </c>
      <c r="L1676" s="306">
        <v>23.9</v>
      </c>
      <c r="M1676" s="258">
        <v>0</v>
      </c>
      <c r="N1676" s="257">
        <f>INT($L1676*M1676*100+0.5)/100</f>
        <v>0</v>
      </c>
      <c r="O1676" s="258">
        <v>0</v>
      </c>
      <c r="P1676" s="259">
        <f>INT($L1676*O1676*100+0.5)/100</f>
        <v>0</v>
      </c>
      <c r="Q1676" s="258">
        <v>0</v>
      </c>
      <c r="R1676" s="259">
        <f>INT($L1676*Q1676*100+0.5)/100</f>
        <v>0</v>
      </c>
      <c r="S1676" s="258">
        <v>0</v>
      </c>
      <c r="T1676" s="257">
        <f>INT($L1676*S1676*100+0.5)/100</f>
        <v>0</v>
      </c>
      <c r="U1676" s="258">
        <v>0</v>
      </c>
      <c r="V1676" s="257">
        <f>INT($L1676*U1676*100+0.5)/100</f>
        <v>0</v>
      </c>
      <c r="W1676" s="258">
        <v>0</v>
      </c>
      <c r="X1676" s="257">
        <f>INT($L1676*W1676*100+0.5)/100</f>
        <v>0</v>
      </c>
      <c r="Y1676" s="258">
        <v>0</v>
      </c>
      <c r="Z1676" s="257">
        <f>INT($L1676*Y1676*100+0.5)/100</f>
        <v>0</v>
      </c>
    </row>
    <row r="1677" spans="1:26" ht="15" hidden="1" customHeight="1">
      <c r="A1677" s="250"/>
      <c r="B1677" s="251"/>
      <c r="C1677" s="540"/>
      <c r="D1677" s="558" t="s">
        <v>1867</v>
      </c>
      <c r="E1677" s="251" t="s">
        <v>1902</v>
      </c>
      <c r="F1677" s="252"/>
      <c r="G1677" s="254"/>
      <c r="H1677" s="261"/>
      <c r="I1677" s="225"/>
      <c r="J1677" s="225"/>
      <c r="K1677" s="251" t="s">
        <v>1902</v>
      </c>
      <c r="L1677" s="306"/>
      <c r="M1677" s="316"/>
      <c r="N1677" s="259"/>
      <c r="O1677" s="316"/>
      <c r="P1677" s="259"/>
      <c r="Q1677" s="316"/>
      <c r="R1677" s="259"/>
      <c r="S1677" s="316"/>
      <c r="T1677" s="257"/>
      <c r="U1677" s="316"/>
      <c r="V1677" s="257"/>
      <c r="W1677" s="316"/>
      <c r="X1677" s="257"/>
      <c r="Y1677" s="316"/>
      <c r="Z1677" s="257"/>
    </row>
    <row r="1678" spans="1:26" ht="15" hidden="1" customHeight="1">
      <c r="A1678" s="250"/>
      <c r="B1678" s="251"/>
      <c r="C1678" s="540"/>
      <c r="D1678" s="335"/>
      <c r="E1678" s="251"/>
      <c r="F1678" s="252"/>
      <c r="G1678" s="254"/>
      <c r="H1678" s="261"/>
      <c r="I1678" s="225"/>
      <c r="J1678" s="225"/>
      <c r="K1678" s="251"/>
      <c r="L1678" s="306"/>
      <c r="M1678" s="316"/>
      <c r="N1678" s="259"/>
      <c r="O1678" s="316"/>
      <c r="P1678" s="259"/>
      <c r="Q1678" s="316"/>
      <c r="R1678" s="259"/>
      <c r="S1678" s="316"/>
      <c r="T1678" s="257"/>
      <c r="U1678" s="316"/>
      <c r="V1678" s="257"/>
      <c r="W1678" s="316"/>
      <c r="X1678" s="257"/>
      <c r="Y1678" s="316"/>
      <c r="Z1678" s="257"/>
    </row>
    <row r="1679" spans="1:26" ht="15" hidden="1" customHeight="1">
      <c r="A1679" s="561"/>
      <c r="B1679" s="251"/>
      <c r="C1679" s="560" t="s">
        <v>1025</v>
      </c>
      <c r="D1679" s="562" t="s">
        <v>1020</v>
      </c>
      <c r="E1679" s="251"/>
      <c r="F1679" s="252"/>
      <c r="G1679" s="254"/>
      <c r="H1679" s="261"/>
      <c r="I1679" s="225"/>
      <c r="J1679" s="225"/>
      <c r="K1679" s="251"/>
      <c r="L1679" s="306"/>
      <c r="M1679" s="316"/>
      <c r="N1679" s="259"/>
      <c r="O1679" s="316"/>
      <c r="P1679" s="259"/>
      <c r="Q1679" s="316"/>
      <c r="R1679" s="259"/>
      <c r="S1679" s="316"/>
      <c r="T1679" s="257"/>
      <c r="U1679" s="316"/>
      <c r="V1679" s="257"/>
      <c r="W1679" s="316"/>
      <c r="X1679" s="257"/>
      <c r="Y1679" s="316"/>
      <c r="Z1679" s="257"/>
    </row>
    <row r="1680" spans="1:26" ht="15" hidden="1" customHeight="1">
      <c r="A1680" s="250"/>
      <c r="B1680" s="251"/>
      <c r="C1680" s="540"/>
      <c r="D1680" s="562" t="s">
        <v>1021</v>
      </c>
      <c r="E1680" s="251"/>
      <c r="F1680" s="252"/>
      <c r="G1680" s="254"/>
      <c r="H1680" s="261"/>
      <c r="I1680" s="225"/>
      <c r="J1680" s="225"/>
      <c r="K1680" s="251"/>
      <c r="L1680" s="306"/>
      <c r="M1680" s="316"/>
      <c r="N1680" s="259"/>
      <c r="O1680" s="316"/>
      <c r="P1680" s="259"/>
      <c r="Q1680" s="316"/>
      <c r="R1680" s="259"/>
      <c r="S1680" s="316"/>
      <c r="T1680" s="257"/>
      <c r="U1680" s="316"/>
      <c r="V1680" s="257"/>
      <c r="W1680" s="316"/>
      <c r="X1680" s="257"/>
      <c r="Y1680" s="316"/>
      <c r="Z1680" s="257"/>
    </row>
    <row r="1681" spans="1:26" ht="15" hidden="1" customHeight="1">
      <c r="A1681" s="250">
        <f>A1676+1</f>
        <v>296</v>
      </c>
      <c r="B1681" s="251"/>
      <c r="C1681" s="560" t="s">
        <v>1022</v>
      </c>
      <c r="D1681" s="335" t="s">
        <v>1023</v>
      </c>
      <c r="E1681" s="251" t="s">
        <v>2475</v>
      </c>
      <c r="F1681" s="252"/>
      <c r="G1681" s="254"/>
      <c r="H1681" s="261">
        <f>INT(F1681*G1681*100+0.5)/100</f>
        <v>0</v>
      </c>
      <c r="I1681" s="225"/>
      <c r="J1681" s="225"/>
      <c r="K1681" s="251" t="s">
        <v>2475</v>
      </c>
      <c r="L1681" s="306">
        <v>4.62</v>
      </c>
      <c r="M1681" s="316">
        <v>0</v>
      </c>
      <c r="N1681" s="259">
        <f>INT($L1681*M1681*100+0.5)/100</f>
        <v>0</v>
      </c>
      <c r="O1681" s="316">
        <v>0</v>
      </c>
      <c r="P1681" s="259">
        <f>INT($L1681*O1681*100+0.5)/100</f>
        <v>0</v>
      </c>
      <c r="Q1681" s="316">
        <v>0</v>
      </c>
      <c r="R1681" s="259">
        <f>INT($L1681*Q1681*100+0.5)/100</f>
        <v>0</v>
      </c>
      <c r="S1681" s="316">
        <v>0</v>
      </c>
      <c r="T1681" s="257">
        <f>INT($L1681*S1681*100+0.5)/100</f>
        <v>0</v>
      </c>
      <c r="U1681" s="316">
        <v>0</v>
      </c>
      <c r="V1681" s="257">
        <f>INT($L1681*U1681*100+0.5)/100</f>
        <v>0</v>
      </c>
      <c r="W1681" s="316">
        <v>0</v>
      </c>
      <c r="X1681" s="257">
        <f>INT($L1681*W1681*100+0.5)/100</f>
        <v>0</v>
      </c>
      <c r="Y1681" s="316">
        <v>0</v>
      </c>
      <c r="Z1681" s="257">
        <f>INT($L1681*Y1681*100+0.5)/100</f>
        <v>0</v>
      </c>
    </row>
    <row r="1682" spans="1:26" ht="15" hidden="1" customHeight="1">
      <c r="A1682" s="250"/>
      <c r="B1682" s="251"/>
      <c r="C1682" s="563"/>
      <c r="D1682" s="335"/>
      <c r="E1682" s="251"/>
      <c r="F1682" s="252"/>
      <c r="G1682" s="254"/>
      <c r="H1682" s="261"/>
      <c r="I1682" s="225"/>
      <c r="J1682" s="225"/>
      <c r="K1682" s="251"/>
      <c r="L1682" s="306"/>
      <c r="M1682" s="316"/>
      <c r="N1682" s="259"/>
      <c r="O1682" s="316"/>
      <c r="P1682" s="259"/>
      <c r="Q1682" s="316"/>
      <c r="R1682" s="259"/>
      <c r="S1682" s="316"/>
      <c r="T1682" s="257"/>
      <c r="U1682" s="316"/>
      <c r="V1682" s="257"/>
      <c r="W1682" s="316"/>
      <c r="X1682" s="257"/>
      <c r="Y1682" s="316"/>
      <c r="Z1682" s="257"/>
    </row>
    <row r="1683" spans="1:26" ht="15" hidden="1" customHeight="1">
      <c r="A1683" s="250">
        <f>A1681+1</f>
        <v>297</v>
      </c>
      <c r="B1683" s="251"/>
      <c r="C1683" s="560" t="s">
        <v>1024</v>
      </c>
      <c r="D1683" s="558" t="s">
        <v>1866</v>
      </c>
      <c r="E1683" s="251" t="s">
        <v>1901</v>
      </c>
      <c r="F1683" s="252"/>
      <c r="G1683" s="254"/>
      <c r="H1683" s="261">
        <f>INT(F1683*G1683*100+0.5)/100</f>
        <v>0</v>
      </c>
      <c r="I1683" s="225"/>
      <c r="J1683" s="225"/>
      <c r="K1683" s="251" t="s">
        <v>1901</v>
      </c>
      <c r="L1683" s="306">
        <v>53.17</v>
      </c>
      <c r="M1683" s="258">
        <v>0</v>
      </c>
      <c r="N1683" s="257">
        <f>INT($L1683*M1683*100+0.5)/100</f>
        <v>0</v>
      </c>
      <c r="O1683" s="258">
        <v>0</v>
      </c>
      <c r="P1683" s="257">
        <f>INT($L1683*O1683*100+0.5)/100</f>
        <v>0</v>
      </c>
      <c r="Q1683" s="258">
        <v>0</v>
      </c>
      <c r="R1683" s="257">
        <f>INT($L1683*Q1683*100+0.5)/100</f>
        <v>0</v>
      </c>
      <c r="S1683" s="258">
        <v>0</v>
      </c>
      <c r="T1683" s="257">
        <f>INT($L1683*S1683*100+0.5)/100</f>
        <v>0</v>
      </c>
      <c r="U1683" s="258">
        <v>0</v>
      </c>
      <c r="V1683" s="257">
        <f>INT($L1683*U1683*100+0.5)/100</f>
        <v>0</v>
      </c>
      <c r="W1683" s="258">
        <v>0</v>
      </c>
      <c r="X1683" s="257">
        <f>INT($L1683*W1683*100+0.5)/100</f>
        <v>0</v>
      </c>
      <c r="Y1683" s="258">
        <v>0</v>
      </c>
      <c r="Z1683" s="257">
        <f>INT($L1683*Y1683*100+0.5)/100</f>
        <v>0</v>
      </c>
    </row>
    <row r="1684" spans="1:26" ht="15" hidden="1" customHeight="1">
      <c r="A1684" s="250"/>
      <c r="B1684" s="251"/>
      <c r="C1684" s="540"/>
      <c r="D1684" s="558" t="s">
        <v>1865</v>
      </c>
      <c r="E1684" s="251" t="s">
        <v>1902</v>
      </c>
      <c r="F1684" s="252"/>
      <c r="G1684" s="254"/>
      <c r="H1684" s="261"/>
      <c r="I1684" s="225"/>
      <c r="J1684" s="225"/>
      <c r="K1684" s="251" t="s">
        <v>1902</v>
      </c>
      <c r="L1684" s="306"/>
      <c r="M1684" s="258"/>
      <c r="N1684" s="257"/>
      <c r="O1684" s="258"/>
      <c r="P1684" s="257"/>
      <c r="Q1684" s="258"/>
      <c r="R1684" s="257"/>
      <c r="S1684" s="258"/>
      <c r="T1684" s="257"/>
      <c r="U1684" s="258"/>
      <c r="V1684" s="257"/>
      <c r="W1684" s="258"/>
      <c r="X1684" s="257"/>
      <c r="Y1684" s="258"/>
      <c r="Z1684" s="257"/>
    </row>
    <row r="1685" spans="1:26" ht="15" hidden="1" customHeight="1">
      <c r="A1685" s="250"/>
      <c r="B1685" s="251"/>
      <c r="C1685" s="563"/>
      <c r="D1685" s="335"/>
      <c r="E1685" s="251"/>
      <c r="F1685" s="252"/>
      <c r="G1685" s="254"/>
      <c r="H1685" s="261"/>
      <c r="I1685" s="225"/>
      <c r="J1685" s="225"/>
      <c r="K1685" s="251"/>
      <c r="L1685" s="306"/>
      <c r="M1685" s="258"/>
      <c r="N1685" s="257"/>
      <c r="O1685" s="258"/>
      <c r="P1685" s="257"/>
      <c r="Q1685" s="258"/>
      <c r="R1685" s="257"/>
      <c r="S1685" s="258"/>
      <c r="T1685" s="257"/>
      <c r="U1685" s="258"/>
      <c r="V1685" s="257"/>
      <c r="W1685" s="258"/>
      <c r="X1685" s="257"/>
      <c r="Y1685" s="258"/>
      <c r="Z1685" s="257"/>
    </row>
    <row r="1686" spans="1:26" s="247" customFormat="1" ht="15.75" hidden="1">
      <c r="A1686" s="284">
        <f>A1683+1</f>
        <v>298</v>
      </c>
      <c r="B1686" s="251"/>
      <c r="C1686" s="560" t="s">
        <v>1768</v>
      </c>
      <c r="D1686" s="335" t="s">
        <v>1767</v>
      </c>
      <c r="E1686" s="251" t="s">
        <v>539</v>
      </c>
      <c r="F1686" s="252"/>
      <c r="G1686" s="254"/>
      <c r="H1686" s="261">
        <f>F1686*G1686</f>
        <v>0</v>
      </c>
      <c r="I1686" s="336"/>
      <c r="J1686" s="336"/>
      <c r="K1686" s="251" t="s">
        <v>539</v>
      </c>
      <c r="L1686" s="306">
        <v>120</v>
      </c>
      <c r="M1686" s="288">
        <v>0</v>
      </c>
      <c r="N1686" s="257">
        <f>INT($L1686*M1686*100+0.5)/100</f>
        <v>0</v>
      </c>
      <c r="O1686" s="288">
        <v>0</v>
      </c>
      <c r="P1686" s="257">
        <f>INT($L1686*O1686*100+0.5)/100</f>
        <v>0</v>
      </c>
      <c r="Q1686" s="288">
        <v>0</v>
      </c>
      <c r="R1686" s="257">
        <f>INT($L1686*Q1686*100+0.5)/100</f>
        <v>0</v>
      </c>
      <c r="S1686" s="288">
        <v>0</v>
      </c>
      <c r="T1686" s="257">
        <f>INT($L1686*S1686*100+0.5)/100</f>
        <v>0</v>
      </c>
      <c r="U1686" s="288">
        <v>0</v>
      </c>
      <c r="V1686" s="257">
        <f>INT($L1686*U1686*100+0.5)/100</f>
        <v>0</v>
      </c>
      <c r="W1686" s="288">
        <v>0</v>
      </c>
      <c r="X1686" s="257">
        <f>INT($L1686*W1686*100+0.5)/100</f>
        <v>0</v>
      </c>
      <c r="Y1686" s="288">
        <v>0</v>
      </c>
      <c r="Z1686" s="257">
        <f>INT($L1686*Y1686*100+0.5)/100</f>
        <v>0</v>
      </c>
    </row>
    <row r="1687" spans="1:26" s="247" customFormat="1" ht="15.75" hidden="1">
      <c r="A1687" s="250"/>
      <c r="B1687" s="251"/>
      <c r="C1687" s="326"/>
      <c r="D1687" s="564" t="s">
        <v>1766</v>
      </c>
      <c r="E1687" s="251" t="s">
        <v>1416</v>
      </c>
      <c r="F1687" s="337"/>
      <c r="G1687" s="254"/>
      <c r="H1687" s="518"/>
      <c r="I1687" s="336"/>
      <c r="J1687" s="336"/>
      <c r="K1687" s="251" t="s">
        <v>1416</v>
      </c>
      <c r="L1687" s="306"/>
      <c r="M1687" s="288"/>
      <c r="N1687" s="257"/>
      <c r="O1687" s="288"/>
      <c r="P1687" s="257"/>
      <c r="Q1687" s="288"/>
      <c r="R1687" s="257"/>
      <c r="S1687" s="288"/>
      <c r="T1687" s="257"/>
      <c r="U1687" s="288"/>
      <c r="V1687" s="257"/>
      <c r="W1687" s="288"/>
      <c r="X1687" s="257"/>
      <c r="Y1687" s="288"/>
      <c r="Z1687" s="257"/>
    </row>
    <row r="1688" spans="1:26" s="247" customFormat="1" ht="15.75" hidden="1" customHeight="1">
      <c r="A1688" s="284"/>
      <c r="B1688" s="237"/>
      <c r="C1688" s="352"/>
      <c r="D1688" s="565"/>
      <c r="E1688" s="237"/>
      <c r="F1688" s="239"/>
      <c r="G1688" s="254"/>
      <c r="H1688" s="519"/>
      <c r="I1688" s="336"/>
      <c r="J1688" s="336"/>
      <c r="K1688" s="237"/>
      <c r="L1688" s="306"/>
      <c r="M1688" s="288"/>
      <c r="N1688" s="245"/>
      <c r="O1688" s="288"/>
      <c r="P1688" s="245"/>
      <c r="Q1688" s="288"/>
      <c r="R1688" s="245"/>
      <c r="S1688" s="288"/>
      <c r="T1688" s="245"/>
      <c r="U1688" s="288"/>
      <c r="V1688" s="245"/>
      <c r="W1688" s="288"/>
      <c r="X1688" s="245"/>
      <c r="Y1688" s="288"/>
      <c r="Z1688" s="245"/>
    </row>
    <row r="1689" spans="1:26" s="247" customFormat="1" ht="15.75" hidden="1">
      <c r="A1689" s="250">
        <f>A1686+1</f>
        <v>299</v>
      </c>
      <c r="B1689" s="251"/>
      <c r="C1689" s="560" t="s">
        <v>1769</v>
      </c>
      <c r="D1689" s="335" t="s">
        <v>1770</v>
      </c>
      <c r="E1689" s="251" t="s">
        <v>539</v>
      </c>
      <c r="F1689" s="252"/>
      <c r="G1689" s="254"/>
      <c r="H1689" s="261">
        <f>F1689*G1689</f>
        <v>0</v>
      </c>
      <c r="I1689" s="336"/>
      <c r="J1689" s="336"/>
      <c r="K1689" s="251" t="s">
        <v>539</v>
      </c>
      <c r="L1689" s="306">
        <v>80</v>
      </c>
      <c r="M1689" s="288">
        <v>0</v>
      </c>
      <c r="N1689" s="257">
        <f>INT($L1689*M1689*100+0.5)/100</f>
        <v>0</v>
      </c>
      <c r="O1689" s="288">
        <v>0</v>
      </c>
      <c r="P1689" s="257">
        <f>INT($L1689*O1689*100+0.5)/100</f>
        <v>0</v>
      </c>
      <c r="Q1689" s="288">
        <v>0</v>
      </c>
      <c r="R1689" s="257">
        <f>INT($L1689*Q1689*100+0.5)/100</f>
        <v>0</v>
      </c>
      <c r="S1689" s="288">
        <v>0</v>
      </c>
      <c r="T1689" s="257">
        <f>INT($L1689*S1689*100+0.5)/100</f>
        <v>0</v>
      </c>
      <c r="U1689" s="288">
        <v>0</v>
      </c>
      <c r="V1689" s="257">
        <f>INT($L1689*U1689*100+0.5)/100</f>
        <v>0</v>
      </c>
      <c r="W1689" s="288">
        <v>0</v>
      </c>
      <c r="X1689" s="257">
        <f>INT($L1689*W1689*100+0.5)/100</f>
        <v>0</v>
      </c>
      <c r="Y1689" s="288">
        <v>0</v>
      </c>
      <c r="Z1689" s="257">
        <f>INT($L1689*Y1689*100+0.5)/100</f>
        <v>0</v>
      </c>
    </row>
    <row r="1690" spans="1:26" s="247" customFormat="1" ht="15.75" hidden="1">
      <c r="A1690" s="250"/>
      <c r="B1690" s="251"/>
      <c r="C1690" s="326"/>
      <c r="D1690" s="564" t="s">
        <v>1771</v>
      </c>
      <c r="E1690" s="251" t="s">
        <v>1416</v>
      </c>
      <c r="F1690" s="337"/>
      <c r="G1690" s="254"/>
      <c r="H1690" s="518"/>
      <c r="I1690" s="336"/>
      <c r="J1690" s="336"/>
      <c r="K1690" s="251" t="s">
        <v>1416</v>
      </c>
      <c r="L1690" s="306"/>
      <c r="M1690" s="288"/>
      <c r="N1690" s="257"/>
      <c r="O1690" s="288"/>
      <c r="P1690" s="257"/>
      <c r="Q1690" s="288"/>
      <c r="R1690" s="257"/>
      <c r="S1690" s="288"/>
      <c r="T1690" s="257"/>
      <c r="U1690" s="288"/>
      <c r="V1690" s="257"/>
      <c r="W1690" s="288"/>
      <c r="X1690" s="257"/>
      <c r="Y1690" s="288"/>
      <c r="Z1690" s="257"/>
    </row>
    <row r="1691" spans="1:26" s="247" customFormat="1" ht="15.75" hidden="1" customHeight="1">
      <c r="A1691" s="284"/>
      <c r="B1691" s="237"/>
      <c r="C1691" s="352"/>
      <c r="D1691" s="565"/>
      <c r="E1691" s="237"/>
      <c r="F1691" s="239"/>
      <c r="G1691" s="254"/>
      <c r="H1691" s="519"/>
      <c r="I1691" s="336"/>
      <c r="J1691" s="336"/>
      <c r="K1691" s="237"/>
      <c r="L1691" s="306"/>
      <c r="M1691" s="288"/>
      <c r="N1691" s="245"/>
      <c r="O1691" s="288"/>
      <c r="P1691" s="245"/>
      <c r="Q1691" s="288"/>
      <c r="R1691" s="245"/>
      <c r="S1691" s="288"/>
      <c r="T1691" s="245"/>
      <c r="U1691" s="288"/>
      <c r="V1691" s="245"/>
      <c r="W1691" s="288"/>
      <c r="X1691" s="245"/>
      <c r="Y1691" s="288"/>
      <c r="Z1691" s="245"/>
    </row>
    <row r="1692" spans="1:26" s="247" customFormat="1" ht="15.75" hidden="1">
      <c r="A1692" s="284">
        <f>A1689+1</f>
        <v>300</v>
      </c>
      <c r="B1692" s="251"/>
      <c r="C1692" s="560" t="s">
        <v>216</v>
      </c>
      <c r="D1692" s="335" t="s">
        <v>1027</v>
      </c>
      <c r="E1692" s="251" t="s">
        <v>539</v>
      </c>
      <c r="F1692" s="252"/>
      <c r="G1692" s="254"/>
      <c r="H1692" s="261">
        <f>F1692*G1692</f>
        <v>0</v>
      </c>
      <c r="I1692" s="336"/>
      <c r="J1692" s="336"/>
      <c r="K1692" s="251" t="s">
        <v>539</v>
      </c>
      <c r="L1692" s="306">
        <v>155</v>
      </c>
      <c r="M1692" s="288">
        <v>0</v>
      </c>
      <c r="N1692" s="257">
        <f>INT($L1692*M1692*100+0.5)/100</f>
        <v>0</v>
      </c>
      <c r="O1692" s="288">
        <v>0</v>
      </c>
      <c r="P1692" s="257">
        <f>INT($L1692*O1692*100+0.5)/100</f>
        <v>0</v>
      </c>
      <c r="Q1692" s="288">
        <v>0</v>
      </c>
      <c r="R1692" s="257">
        <f>INT($L1692*Q1692*100+0.5)/100</f>
        <v>0</v>
      </c>
      <c r="S1692" s="288">
        <v>0</v>
      </c>
      <c r="T1692" s="257">
        <f>INT($L1692*S1692*100+0.5)/100</f>
        <v>0</v>
      </c>
      <c r="U1692" s="288">
        <v>0</v>
      </c>
      <c r="V1692" s="257">
        <f>INT($L1692*U1692*100+0.5)/100</f>
        <v>0</v>
      </c>
      <c r="W1692" s="288">
        <v>0</v>
      </c>
      <c r="X1692" s="257">
        <f>INT($L1692*W1692*100+0.5)/100</f>
        <v>0</v>
      </c>
      <c r="Y1692" s="288">
        <v>0</v>
      </c>
      <c r="Z1692" s="257">
        <f>INT($L1692*Y1692*100+0.5)/100</f>
        <v>0</v>
      </c>
    </row>
    <row r="1693" spans="1:26" s="247" customFormat="1" ht="15.75" hidden="1">
      <c r="A1693" s="250"/>
      <c r="B1693" s="251"/>
      <c r="C1693" s="326"/>
      <c r="D1693" s="562" t="s">
        <v>1026</v>
      </c>
      <c r="E1693" s="251" t="s">
        <v>1416</v>
      </c>
      <c r="F1693" s="337"/>
      <c r="G1693" s="254"/>
      <c r="H1693" s="518"/>
      <c r="I1693" s="336"/>
      <c r="J1693" s="336"/>
      <c r="K1693" s="251" t="s">
        <v>1416</v>
      </c>
      <c r="L1693" s="306"/>
      <c r="M1693" s="288"/>
      <c r="N1693" s="257"/>
      <c r="O1693" s="288"/>
      <c r="P1693" s="257"/>
      <c r="Q1693" s="288"/>
      <c r="R1693" s="257"/>
      <c r="S1693" s="288"/>
      <c r="T1693" s="257"/>
      <c r="U1693" s="288"/>
      <c r="V1693" s="257"/>
      <c r="W1693" s="288"/>
      <c r="X1693" s="257"/>
      <c r="Y1693" s="288"/>
      <c r="Z1693" s="257"/>
    </row>
    <row r="1694" spans="1:26" s="247" customFormat="1" ht="15.75" hidden="1">
      <c r="A1694" s="250"/>
      <c r="B1694" s="251"/>
      <c r="C1694" s="326"/>
      <c r="D1694" s="562"/>
      <c r="E1694" s="251"/>
      <c r="F1694" s="337"/>
      <c r="G1694" s="254"/>
      <c r="H1694" s="518"/>
      <c r="I1694" s="336"/>
      <c r="J1694" s="336"/>
      <c r="K1694" s="251"/>
      <c r="L1694" s="306"/>
      <c r="M1694" s="288"/>
      <c r="N1694" s="257"/>
      <c r="O1694" s="288"/>
      <c r="P1694" s="257"/>
      <c r="Q1694" s="288"/>
      <c r="R1694" s="257"/>
      <c r="S1694" s="288"/>
      <c r="T1694" s="257"/>
      <c r="U1694" s="288"/>
      <c r="V1694" s="257"/>
      <c r="W1694" s="288"/>
      <c r="X1694" s="257"/>
      <c r="Y1694" s="288"/>
      <c r="Z1694" s="257"/>
    </row>
    <row r="1695" spans="1:26" s="325" customFormat="1" ht="32.25" customHeight="1">
      <c r="A1695" s="318"/>
      <c r="B1695" s="319"/>
      <c r="C1695" s="267" t="s">
        <v>1030</v>
      </c>
      <c r="D1695" s="333" t="s">
        <v>1029</v>
      </c>
      <c r="E1695" s="319"/>
      <c r="F1695" s="338"/>
      <c r="G1695" s="522"/>
      <c r="H1695" s="520"/>
      <c r="I1695" s="339"/>
      <c r="J1695" s="339"/>
      <c r="K1695" s="319"/>
      <c r="L1695" s="340"/>
      <c r="M1695" s="324"/>
      <c r="N1695" s="323">
        <f>SUM(N1640:N1694)</f>
        <v>0</v>
      </c>
      <c r="O1695" s="324"/>
      <c r="P1695" s="323">
        <f>SUM(P1640:P1694)</f>
        <v>0</v>
      </c>
      <c r="Q1695" s="324"/>
      <c r="R1695" s="323">
        <f>SUM(R1640:R1694)</f>
        <v>0</v>
      </c>
      <c r="S1695" s="324"/>
      <c r="T1695" s="323">
        <f>SUM(T1640:T1694)</f>
        <v>0</v>
      </c>
      <c r="U1695" s="324"/>
      <c r="V1695" s="323">
        <f>SUM(V1640:V1694)</f>
        <v>0</v>
      </c>
      <c r="W1695" s="324"/>
      <c r="X1695" s="323">
        <f>SUM(X1640:X1694)</f>
        <v>0</v>
      </c>
      <c r="Y1695" s="324"/>
      <c r="Z1695" s="323">
        <f>SUM(Z1640:Z1694)</f>
        <v>0</v>
      </c>
    </row>
    <row r="1696" spans="1:26" s="247" customFormat="1" ht="15.75" customHeight="1">
      <c r="A1696" s="284"/>
      <c r="B1696" s="237"/>
      <c r="C1696" s="453"/>
      <c r="D1696" s="330"/>
      <c r="E1696" s="237"/>
      <c r="F1696" s="239"/>
      <c r="G1696" s="521"/>
      <c r="H1696" s="519"/>
      <c r="I1696" s="336"/>
      <c r="J1696" s="336"/>
      <c r="K1696" s="237"/>
      <c r="L1696" s="306"/>
      <c r="M1696" s="288"/>
      <c r="N1696" s="245"/>
      <c r="O1696" s="288"/>
      <c r="P1696" s="245"/>
      <c r="Q1696" s="288"/>
      <c r="R1696" s="245"/>
      <c r="S1696" s="288"/>
      <c r="T1696" s="245"/>
      <c r="U1696" s="288"/>
      <c r="V1696" s="245"/>
      <c r="W1696" s="288"/>
      <c r="X1696" s="245"/>
      <c r="Y1696" s="288"/>
      <c r="Z1696" s="245"/>
    </row>
    <row r="1697" spans="1:26" ht="15" customHeight="1">
      <c r="A1697" s="250"/>
      <c r="B1697" s="251"/>
      <c r="C1697" s="453" t="s">
        <v>1585</v>
      </c>
      <c r="D1697" s="330" t="s">
        <v>1586</v>
      </c>
      <c r="E1697" s="251"/>
      <c r="F1697" s="252"/>
      <c r="G1697" s="522"/>
      <c r="H1697" s="261"/>
      <c r="I1697" s="253"/>
      <c r="J1697" s="253"/>
      <c r="K1697" s="251"/>
      <c r="L1697" s="261"/>
      <c r="M1697" s="258"/>
      <c r="N1697" s="257"/>
      <c r="O1697" s="258"/>
      <c r="P1697" s="257"/>
      <c r="Q1697" s="258"/>
      <c r="R1697" s="257"/>
      <c r="S1697" s="258"/>
      <c r="T1697" s="257"/>
      <c r="U1697" s="258"/>
      <c r="V1697" s="257"/>
      <c r="W1697" s="258"/>
      <c r="X1697" s="257"/>
      <c r="Y1697" s="258"/>
      <c r="Z1697" s="257"/>
    </row>
    <row r="1698" spans="1:26" ht="15" hidden="1" customHeight="1">
      <c r="A1698" s="250">
        <f>A1692+1</f>
        <v>301</v>
      </c>
      <c r="B1698" s="251"/>
      <c r="C1698" s="540" t="s">
        <v>2197</v>
      </c>
      <c r="D1698" s="558" t="s">
        <v>1870</v>
      </c>
      <c r="E1698" s="251" t="s">
        <v>1901</v>
      </c>
      <c r="F1698" s="252"/>
      <c r="G1698" s="253"/>
      <c r="H1698" s="254">
        <f>INT(F1698*G1698*100+0.5)/100</f>
        <v>0</v>
      </c>
      <c r="I1698" s="225"/>
      <c r="J1698" s="225"/>
      <c r="K1698" s="251" t="s">
        <v>1901</v>
      </c>
      <c r="L1698" s="278">
        <v>8</v>
      </c>
      <c r="M1698" s="316">
        <v>0</v>
      </c>
      <c r="N1698" s="259">
        <f>INT($L1698*M1698*100+0.5)/100</f>
        <v>0</v>
      </c>
      <c r="O1698" s="316">
        <v>0</v>
      </c>
      <c r="P1698" s="259">
        <f>INT($L1698*O1698*100+0.5)/100</f>
        <v>0</v>
      </c>
      <c r="Q1698" s="316">
        <v>0</v>
      </c>
      <c r="R1698" s="259">
        <f>INT($L1698*Q1698*100+0.5)/100</f>
        <v>0</v>
      </c>
      <c r="S1698" s="316">
        <v>0</v>
      </c>
      <c r="T1698" s="257">
        <f>INT($L1698*S1698*100+0.5)/100</f>
        <v>0</v>
      </c>
      <c r="U1698" s="316">
        <v>0</v>
      </c>
      <c r="V1698" s="257">
        <f>INT($L1698*U1698*100+0.5)/100</f>
        <v>0</v>
      </c>
      <c r="W1698" s="316">
        <v>0</v>
      </c>
      <c r="X1698" s="257">
        <f>INT($L1698*W1698*100+0.5)/100</f>
        <v>0</v>
      </c>
      <c r="Y1698" s="316">
        <v>0</v>
      </c>
      <c r="Z1698" s="257">
        <f>INT($L1698*Y1698*100+0.5)/100</f>
        <v>0</v>
      </c>
    </row>
    <row r="1699" spans="1:26" ht="15" hidden="1" customHeight="1">
      <c r="A1699" s="250"/>
      <c r="B1699" s="251"/>
      <c r="C1699" s="540"/>
      <c r="D1699" s="558" t="s">
        <v>1869</v>
      </c>
      <c r="E1699" s="251" t="s">
        <v>1902</v>
      </c>
      <c r="F1699" s="252"/>
      <c r="G1699" s="253"/>
      <c r="H1699" s="254"/>
      <c r="I1699" s="225"/>
      <c r="J1699" s="225"/>
      <c r="K1699" s="251" t="s">
        <v>1902</v>
      </c>
      <c r="L1699" s="278"/>
      <c r="M1699" s="316"/>
      <c r="N1699" s="259"/>
      <c r="O1699" s="316"/>
      <c r="P1699" s="259"/>
      <c r="Q1699" s="316"/>
      <c r="R1699" s="259"/>
      <c r="S1699" s="316"/>
      <c r="T1699" s="257"/>
      <c r="U1699" s="316"/>
      <c r="V1699" s="257"/>
      <c r="W1699" s="316"/>
      <c r="X1699" s="257"/>
      <c r="Y1699" s="316"/>
      <c r="Z1699" s="257"/>
    </row>
    <row r="1700" spans="1:26" ht="15" hidden="1" customHeight="1">
      <c r="A1700" s="250"/>
      <c r="B1700" s="251"/>
      <c r="C1700" s="540"/>
      <c r="D1700" s="335"/>
      <c r="E1700" s="251"/>
      <c r="F1700" s="252"/>
      <c r="G1700" s="253"/>
      <c r="H1700" s="254"/>
      <c r="I1700" s="225"/>
      <c r="J1700" s="225"/>
      <c r="K1700" s="251"/>
      <c r="L1700" s="278"/>
      <c r="M1700" s="316"/>
      <c r="N1700" s="259"/>
      <c r="O1700" s="316"/>
      <c r="P1700" s="259"/>
      <c r="Q1700" s="316"/>
      <c r="R1700" s="259"/>
      <c r="S1700" s="316"/>
      <c r="T1700" s="257"/>
      <c r="U1700" s="316"/>
      <c r="V1700" s="257"/>
      <c r="W1700" s="316"/>
      <c r="X1700" s="257"/>
      <c r="Y1700" s="316"/>
      <c r="Z1700" s="257"/>
    </row>
    <row r="1701" spans="1:26" ht="15" hidden="1" customHeight="1">
      <c r="A1701" s="250">
        <f>A1698+1</f>
        <v>302</v>
      </c>
      <c r="B1701" s="251"/>
      <c r="C1701" s="540" t="s">
        <v>2198</v>
      </c>
      <c r="D1701" s="558" t="s">
        <v>2209</v>
      </c>
      <c r="E1701" s="251" t="s">
        <v>2475</v>
      </c>
      <c r="F1701" s="252"/>
      <c r="G1701" s="253"/>
      <c r="H1701" s="254"/>
      <c r="I1701" s="225"/>
      <c r="J1701" s="225"/>
      <c r="K1701" s="251" t="s">
        <v>2475</v>
      </c>
      <c r="L1701" s="278"/>
      <c r="M1701" s="316"/>
      <c r="N1701" s="259"/>
      <c r="O1701" s="316"/>
      <c r="P1701" s="259"/>
      <c r="Q1701" s="316"/>
      <c r="R1701" s="259"/>
      <c r="S1701" s="316"/>
      <c r="T1701" s="257"/>
      <c r="U1701" s="316"/>
      <c r="V1701" s="257"/>
      <c r="W1701" s="316"/>
      <c r="X1701" s="257"/>
      <c r="Y1701" s="316"/>
      <c r="Z1701" s="257"/>
    </row>
    <row r="1702" spans="1:26" ht="15" hidden="1" customHeight="1">
      <c r="A1702" s="250"/>
      <c r="B1702" s="251"/>
      <c r="C1702" s="540"/>
      <c r="D1702" s="558" t="s">
        <v>1015</v>
      </c>
      <c r="E1702" s="251" t="s">
        <v>2475</v>
      </c>
      <c r="F1702" s="252"/>
      <c r="G1702" s="253"/>
      <c r="H1702" s="254"/>
      <c r="I1702" s="225"/>
      <c r="J1702" s="225"/>
      <c r="K1702" s="251" t="s">
        <v>2475</v>
      </c>
      <c r="L1702" s="262"/>
      <c r="M1702" s="316"/>
      <c r="N1702" s="259"/>
      <c r="O1702" s="316"/>
      <c r="P1702" s="259"/>
      <c r="Q1702" s="316"/>
      <c r="R1702" s="259"/>
      <c r="S1702" s="316"/>
      <c r="T1702" s="257"/>
      <c r="U1702" s="316"/>
      <c r="V1702" s="257"/>
      <c r="W1702" s="316"/>
      <c r="X1702" s="257"/>
      <c r="Y1702" s="316"/>
      <c r="Z1702" s="257"/>
    </row>
    <row r="1703" spans="1:26" ht="15" hidden="1" customHeight="1">
      <c r="A1703" s="250"/>
      <c r="B1703" s="251"/>
      <c r="C1703" s="540"/>
      <c r="D1703" s="335" t="s">
        <v>1588</v>
      </c>
      <c r="E1703" s="251"/>
      <c r="F1703" s="252"/>
      <c r="G1703" s="253"/>
      <c r="H1703" s="254">
        <f>INT(F1703*G1703*100+0.5)/100</f>
        <v>0</v>
      </c>
      <c r="I1703" s="225"/>
      <c r="J1703" s="225"/>
      <c r="K1703" s="251"/>
      <c r="L1703" s="262">
        <v>51</v>
      </c>
      <c r="M1703" s="316">
        <v>0</v>
      </c>
      <c r="N1703" s="259">
        <f>INT($L1703*M1703*100+0.5)/100</f>
        <v>0</v>
      </c>
      <c r="O1703" s="316">
        <v>0</v>
      </c>
      <c r="P1703" s="259">
        <f>INT($L1703*O1703*100+0.5)/100</f>
        <v>0</v>
      </c>
      <c r="Q1703" s="316">
        <v>0</v>
      </c>
      <c r="R1703" s="259">
        <f>INT($L1703*Q1703*100+0.5)/100</f>
        <v>0</v>
      </c>
      <c r="S1703" s="316">
        <v>0</v>
      </c>
      <c r="T1703" s="257">
        <f>INT($L1703*S1703*100+0.5)/100</f>
        <v>0</v>
      </c>
      <c r="U1703" s="316">
        <v>0</v>
      </c>
      <c r="V1703" s="257">
        <f>INT($L1703*U1703*100+0.5)/100</f>
        <v>0</v>
      </c>
      <c r="W1703" s="316">
        <v>0</v>
      </c>
      <c r="X1703" s="257">
        <f>INT($L1703*W1703*100+0.5)/100</f>
        <v>0</v>
      </c>
      <c r="Y1703" s="316">
        <v>0</v>
      </c>
      <c r="Z1703" s="257">
        <f>INT($L1703*Y1703*100+0.5)/100</f>
        <v>0</v>
      </c>
    </row>
    <row r="1704" spans="1:26" ht="15" hidden="1" customHeight="1">
      <c r="A1704" s="250"/>
      <c r="B1704" s="251"/>
      <c r="C1704" s="540"/>
      <c r="D1704" s="335"/>
      <c r="E1704" s="251"/>
      <c r="F1704" s="252"/>
      <c r="G1704" s="253"/>
      <c r="H1704" s="254"/>
      <c r="I1704" s="225"/>
      <c r="J1704" s="225"/>
      <c r="K1704" s="251"/>
      <c r="L1704" s="262"/>
      <c r="M1704" s="316"/>
      <c r="N1704" s="259"/>
      <c r="O1704" s="316"/>
      <c r="P1704" s="259"/>
      <c r="Q1704" s="316"/>
      <c r="R1704" s="259"/>
      <c r="S1704" s="316"/>
      <c r="T1704" s="257"/>
      <c r="U1704" s="316"/>
      <c r="V1704" s="257"/>
      <c r="W1704" s="316"/>
      <c r="X1704" s="257"/>
      <c r="Y1704" s="316"/>
      <c r="Z1704" s="257"/>
    </row>
    <row r="1705" spans="1:26" ht="15" hidden="1" customHeight="1">
      <c r="A1705" s="250">
        <f>A1701+1</f>
        <v>303</v>
      </c>
      <c r="B1705" s="251"/>
      <c r="C1705" s="540" t="s">
        <v>2199</v>
      </c>
      <c r="D1705" s="558" t="s">
        <v>1589</v>
      </c>
      <c r="E1705" s="251" t="s">
        <v>1898</v>
      </c>
      <c r="F1705" s="252"/>
      <c r="G1705" s="253"/>
      <c r="H1705" s="254"/>
      <c r="I1705" s="225"/>
      <c r="J1705" s="225"/>
      <c r="K1705" s="251" t="s">
        <v>1898</v>
      </c>
      <c r="L1705" s="262"/>
      <c r="M1705" s="316"/>
      <c r="N1705" s="259"/>
      <c r="O1705" s="316"/>
      <c r="P1705" s="259"/>
      <c r="Q1705" s="316"/>
      <c r="R1705" s="259"/>
      <c r="S1705" s="316"/>
      <c r="T1705" s="257"/>
      <c r="U1705" s="316"/>
      <c r="V1705" s="257"/>
      <c r="W1705" s="316"/>
      <c r="X1705" s="257"/>
      <c r="Y1705" s="316"/>
      <c r="Z1705" s="257"/>
    </row>
    <row r="1706" spans="1:26" ht="15" hidden="1" customHeight="1">
      <c r="A1706" s="250"/>
      <c r="B1706" s="251"/>
      <c r="C1706" s="540"/>
      <c r="D1706" s="558" t="s">
        <v>1590</v>
      </c>
      <c r="E1706" s="251" t="s">
        <v>2475</v>
      </c>
      <c r="F1706" s="252"/>
      <c r="G1706" s="253"/>
      <c r="H1706" s="254"/>
      <c r="I1706" s="225"/>
      <c r="J1706" s="225"/>
      <c r="K1706" s="251" t="s">
        <v>2475</v>
      </c>
      <c r="L1706" s="262"/>
      <c r="M1706" s="316"/>
      <c r="N1706" s="259"/>
      <c r="O1706" s="316"/>
      <c r="P1706" s="259"/>
      <c r="Q1706" s="316"/>
      <c r="R1706" s="259"/>
      <c r="S1706" s="316"/>
      <c r="T1706" s="257"/>
      <c r="U1706" s="316"/>
      <c r="V1706" s="257"/>
      <c r="W1706" s="316"/>
      <c r="X1706" s="257"/>
      <c r="Y1706" s="316"/>
      <c r="Z1706" s="257"/>
    </row>
    <row r="1707" spans="1:26" ht="15" hidden="1" customHeight="1">
      <c r="A1707" s="250"/>
      <c r="B1707" s="251"/>
      <c r="C1707" s="540"/>
      <c r="D1707" s="335" t="s">
        <v>590</v>
      </c>
      <c r="E1707" s="251"/>
      <c r="F1707" s="252"/>
      <c r="G1707" s="253"/>
      <c r="H1707" s="254">
        <f>INT(F1707*G1707*100+0.5)/100</f>
        <v>0</v>
      </c>
      <c r="I1707" s="225"/>
      <c r="J1707" s="225"/>
      <c r="K1707" s="251"/>
      <c r="L1707" s="262">
        <v>46</v>
      </c>
      <c r="M1707" s="316">
        <v>0</v>
      </c>
      <c r="N1707" s="259">
        <f>INT($L1707*M1707*100+0.5)/100</f>
        <v>0</v>
      </c>
      <c r="O1707" s="316">
        <v>0</v>
      </c>
      <c r="P1707" s="259">
        <f>INT($L1707*O1707*100+0.5)/100</f>
        <v>0</v>
      </c>
      <c r="Q1707" s="316">
        <v>0</v>
      </c>
      <c r="R1707" s="259">
        <f>INT($L1707*Q1707*100+0.5)/100</f>
        <v>0</v>
      </c>
      <c r="S1707" s="316">
        <v>0</v>
      </c>
      <c r="T1707" s="257">
        <f>INT($L1707*S1707*100+0.5)/100</f>
        <v>0</v>
      </c>
      <c r="U1707" s="316">
        <v>0</v>
      </c>
      <c r="V1707" s="257">
        <f>INT($L1707*U1707*100+0.5)/100</f>
        <v>0</v>
      </c>
      <c r="W1707" s="316">
        <v>0</v>
      </c>
      <c r="X1707" s="257">
        <f>INT($L1707*W1707*100+0.5)/100</f>
        <v>0</v>
      </c>
      <c r="Y1707" s="316">
        <v>0</v>
      </c>
      <c r="Z1707" s="257">
        <f>INT($L1707*Y1707*100+0.5)/100</f>
        <v>0</v>
      </c>
    </row>
    <row r="1708" spans="1:26" ht="15" hidden="1" customHeight="1">
      <c r="A1708" s="250"/>
      <c r="B1708" s="251"/>
      <c r="C1708" s="540"/>
      <c r="D1708" s="335"/>
      <c r="E1708" s="251"/>
      <c r="F1708" s="252"/>
      <c r="G1708" s="253"/>
      <c r="H1708" s="254"/>
      <c r="I1708" s="225"/>
      <c r="J1708" s="225"/>
      <c r="K1708" s="251"/>
      <c r="L1708" s="262"/>
      <c r="M1708" s="316"/>
      <c r="N1708" s="259"/>
      <c r="O1708" s="316"/>
      <c r="P1708" s="259"/>
      <c r="Q1708" s="316"/>
      <c r="R1708" s="259"/>
      <c r="S1708" s="316"/>
      <c r="T1708" s="257"/>
      <c r="U1708" s="316"/>
      <c r="V1708" s="257"/>
      <c r="W1708" s="316"/>
      <c r="X1708" s="257"/>
      <c r="Y1708" s="316"/>
      <c r="Z1708" s="257"/>
    </row>
    <row r="1709" spans="1:26" ht="15" hidden="1" customHeight="1">
      <c r="A1709" s="250">
        <f>A1705+1</f>
        <v>304</v>
      </c>
      <c r="B1709" s="251"/>
      <c r="C1709" s="540" t="s">
        <v>2200</v>
      </c>
      <c r="D1709" s="558" t="s">
        <v>1017</v>
      </c>
      <c r="E1709" s="251" t="s">
        <v>1909</v>
      </c>
      <c r="F1709" s="252"/>
      <c r="G1709" s="253"/>
      <c r="H1709" s="254"/>
      <c r="I1709" s="225"/>
      <c r="J1709" s="225"/>
      <c r="K1709" s="251" t="s">
        <v>1909</v>
      </c>
      <c r="L1709" s="262"/>
      <c r="M1709" s="316"/>
      <c r="N1709" s="259"/>
      <c r="O1709" s="316"/>
      <c r="P1709" s="259"/>
      <c r="Q1709" s="316"/>
      <c r="R1709" s="259"/>
      <c r="S1709" s="316"/>
      <c r="T1709" s="257"/>
      <c r="U1709" s="316"/>
      <c r="V1709" s="257"/>
      <c r="W1709" s="316"/>
      <c r="X1709" s="257"/>
      <c r="Y1709" s="316"/>
      <c r="Z1709" s="257"/>
    </row>
    <row r="1710" spans="1:26" ht="15" hidden="1" customHeight="1">
      <c r="A1710" s="250"/>
      <c r="B1710" s="251"/>
      <c r="C1710" s="540"/>
      <c r="D1710" s="558" t="s">
        <v>1018</v>
      </c>
      <c r="E1710" s="251" t="s">
        <v>2461</v>
      </c>
      <c r="F1710" s="252"/>
      <c r="G1710" s="253"/>
      <c r="H1710" s="254"/>
      <c r="I1710" s="225"/>
      <c r="J1710" s="225"/>
      <c r="K1710" s="251" t="s">
        <v>2461</v>
      </c>
      <c r="L1710" s="262"/>
      <c r="M1710" s="316"/>
      <c r="N1710" s="259"/>
      <c r="O1710" s="316"/>
      <c r="P1710" s="259"/>
      <c r="Q1710" s="316"/>
      <c r="R1710" s="259"/>
      <c r="S1710" s="316"/>
      <c r="T1710" s="257"/>
      <c r="U1710" s="316"/>
      <c r="V1710" s="257"/>
      <c r="W1710" s="316"/>
      <c r="X1710" s="257"/>
      <c r="Y1710" s="316"/>
      <c r="Z1710" s="257"/>
    </row>
    <row r="1711" spans="1:26" ht="15" hidden="1" customHeight="1">
      <c r="A1711" s="250"/>
      <c r="B1711" s="251"/>
      <c r="C1711" s="540"/>
      <c r="D1711" s="335" t="s">
        <v>1591</v>
      </c>
      <c r="E1711" s="251"/>
      <c r="F1711" s="252"/>
      <c r="G1711" s="253"/>
      <c r="H1711" s="254">
        <f>INT(F1711*G1711*100+0.5)/100</f>
        <v>0</v>
      </c>
      <c r="I1711" s="225"/>
      <c r="J1711" s="225"/>
      <c r="K1711" s="251"/>
      <c r="L1711" s="262">
        <v>45</v>
      </c>
      <c r="M1711" s="316">
        <v>0</v>
      </c>
      <c r="N1711" s="259">
        <f>INT($L1711*M1711*100+0.5)/100</f>
        <v>0</v>
      </c>
      <c r="O1711" s="316">
        <v>0</v>
      </c>
      <c r="P1711" s="259">
        <f>INT($L1711*O1711*100+0.5)/100</f>
        <v>0</v>
      </c>
      <c r="Q1711" s="316">
        <v>0</v>
      </c>
      <c r="R1711" s="259">
        <f>INT($L1711*Q1711*100+0.5)/100</f>
        <v>0</v>
      </c>
      <c r="S1711" s="316">
        <v>0</v>
      </c>
      <c r="T1711" s="257">
        <f>INT($L1711*S1711*100+0.5)/100</f>
        <v>0</v>
      </c>
      <c r="U1711" s="316">
        <v>0</v>
      </c>
      <c r="V1711" s="257">
        <f>INT($L1711*U1711*100+0.5)/100</f>
        <v>0</v>
      </c>
      <c r="W1711" s="316">
        <v>0</v>
      </c>
      <c r="X1711" s="257">
        <f>INT($L1711*W1711*100+0.5)/100</f>
        <v>0</v>
      </c>
      <c r="Y1711" s="316">
        <v>0</v>
      </c>
      <c r="Z1711" s="257">
        <f>INT($L1711*Y1711*100+0.5)/100</f>
        <v>0</v>
      </c>
    </row>
    <row r="1712" spans="1:26" ht="15" hidden="1" customHeight="1">
      <c r="A1712" s="250"/>
      <c r="B1712" s="251"/>
      <c r="C1712" s="540"/>
      <c r="D1712" s="558"/>
      <c r="E1712" s="251"/>
      <c r="F1712" s="252"/>
      <c r="G1712" s="253"/>
      <c r="H1712" s="254"/>
      <c r="I1712" s="225"/>
      <c r="J1712" s="225"/>
      <c r="K1712" s="251"/>
      <c r="L1712" s="262"/>
      <c r="M1712" s="316"/>
      <c r="N1712" s="259"/>
      <c r="O1712" s="316"/>
      <c r="P1712" s="259"/>
      <c r="Q1712" s="316"/>
      <c r="R1712" s="259"/>
      <c r="S1712" s="316"/>
      <c r="T1712" s="257"/>
      <c r="U1712" s="316"/>
      <c r="V1712" s="257"/>
      <c r="W1712" s="316"/>
      <c r="X1712" s="257"/>
      <c r="Y1712" s="316"/>
      <c r="Z1712" s="257"/>
    </row>
    <row r="1713" spans="1:26" ht="15" hidden="1" customHeight="1">
      <c r="A1713" s="250">
        <f>A1709+1</f>
        <v>305</v>
      </c>
      <c r="B1713" s="251"/>
      <c r="C1713" s="540" t="s">
        <v>2201</v>
      </c>
      <c r="D1713" s="558" t="s">
        <v>2026</v>
      </c>
      <c r="E1713" s="251" t="s">
        <v>1850</v>
      </c>
      <c r="F1713" s="252"/>
      <c r="G1713" s="253"/>
      <c r="H1713" s="254"/>
      <c r="I1713" s="225"/>
      <c r="J1713" s="225"/>
      <c r="K1713" s="251" t="s">
        <v>1850</v>
      </c>
      <c r="L1713" s="262"/>
      <c r="M1713" s="258"/>
      <c r="N1713" s="257"/>
      <c r="O1713" s="258"/>
      <c r="P1713" s="257"/>
      <c r="Q1713" s="258"/>
      <c r="R1713" s="257"/>
      <c r="S1713" s="258"/>
      <c r="T1713" s="257"/>
      <c r="U1713" s="258"/>
      <c r="V1713" s="257"/>
      <c r="W1713" s="258"/>
      <c r="X1713" s="257"/>
      <c r="Y1713" s="258"/>
      <c r="Z1713" s="257"/>
    </row>
    <row r="1714" spans="1:26" ht="15" hidden="1" customHeight="1">
      <c r="A1714" s="250"/>
      <c r="B1714" s="251"/>
      <c r="C1714" s="540"/>
      <c r="D1714" s="558" t="s">
        <v>2027</v>
      </c>
      <c r="E1714" s="251" t="s">
        <v>1851</v>
      </c>
      <c r="F1714" s="252"/>
      <c r="G1714" s="253"/>
      <c r="H1714" s="254"/>
      <c r="I1714" s="225"/>
      <c r="J1714" s="225"/>
      <c r="K1714" s="251" t="s">
        <v>1851</v>
      </c>
      <c r="L1714" s="262"/>
      <c r="M1714" s="258"/>
      <c r="N1714" s="257"/>
      <c r="O1714" s="258"/>
      <c r="P1714" s="257"/>
      <c r="Q1714" s="258"/>
      <c r="R1714" s="257"/>
      <c r="S1714" s="258"/>
      <c r="T1714" s="257"/>
      <c r="U1714" s="258"/>
      <c r="V1714" s="257"/>
      <c r="W1714" s="258"/>
      <c r="X1714" s="257"/>
      <c r="Y1714" s="258"/>
      <c r="Z1714" s="257"/>
    </row>
    <row r="1715" spans="1:26" ht="15" hidden="1" customHeight="1">
      <c r="A1715" s="250"/>
      <c r="B1715" s="251"/>
      <c r="C1715" s="540"/>
      <c r="D1715" s="335" t="s">
        <v>1019</v>
      </c>
      <c r="E1715" s="251"/>
      <c r="F1715" s="252"/>
      <c r="G1715" s="253"/>
      <c r="H1715" s="254">
        <f>INT(F1715*G1715*100+0.5)/100</f>
        <v>0</v>
      </c>
      <c r="I1715" s="225"/>
      <c r="J1715" s="225"/>
      <c r="K1715" s="251"/>
      <c r="L1715" s="262">
        <f>110*1.25+40</f>
        <v>177.5</v>
      </c>
      <c r="M1715" s="258">
        <v>0</v>
      </c>
      <c r="N1715" s="257">
        <f>INT($L1715*M1715*100+0.5)/100</f>
        <v>0</v>
      </c>
      <c r="O1715" s="258">
        <v>0</v>
      </c>
      <c r="P1715" s="257">
        <f>INT($L1715*O1715*100+0.5)/100</f>
        <v>0</v>
      </c>
      <c r="Q1715" s="258">
        <v>0</v>
      </c>
      <c r="R1715" s="257">
        <f>INT($L1715*Q1715*100+0.5)/100</f>
        <v>0</v>
      </c>
      <c r="S1715" s="258">
        <v>0</v>
      </c>
      <c r="T1715" s="257">
        <f>INT($L1715*S1715*100+0.5)/100</f>
        <v>0</v>
      </c>
      <c r="U1715" s="258">
        <v>0</v>
      </c>
      <c r="V1715" s="257">
        <f>INT($L1715*U1715*100+0.5)/100</f>
        <v>0</v>
      </c>
      <c r="W1715" s="258">
        <v>0</v>
      </c>
      <c r="X1715" s="257">
        <f>INT($L1715*W1715*100+0.5)/100</f>
        <v>0</v>
      </c>
      <c r="Y1715" s="258">
        <v>0</v>
      </c>
      <c r="Z1715" s="257">
        <f>INT($L1715*Y1715*100+0.5)/100</f>
        <v>0</v>
      </c>
    </row>
    <row r="1716" spans="1:26" ht="15" hidden="1" customHeight="1">
      <c r="A1716" s="250"/>
      <c r="B1716" s="251"/>
      <c r="C1716" s="226"/>
      <c r="D1716" s="335"/>
      <c r="E1716" s="251"/>
      <c r="F1716" s="252"/>
      <c r="G1716" s="253"/>
      <c r="H1716" s="254"/>
      <c r="I1716" s="225"/>
      <c r="J1716" s="225"/>
      <c r="K1716" s="251"/>
      <c r="L1716" s="278"/>
      <c r="M1716" s="258"/>
      <c r="N1716" s="257"/>
      <c r="O1716" s="258"/>
      <c r="P1716" s="257"/>
      <c r="Q1716" s="258"/>
      <c r="R1716" s="257"/>
      <c r="S1716" s="258"/>
      <c r="T1716" s="257"/>
      <c r="U1716" s="258"/>
      <c r="V1716" s="257"/>
      <c r="W1716" s="258"/>
      <c r="X1716" s="257"/>
      <c r="Y1716" s="258"/>
      <c r="Z1716" s="257"/>
    </row>
    <row r="1717" spans="1:26" ht="15" hidden="1" customHeight="1">
      <c r="A1717" s="250">
        <f>A1713+1</f>
        <v>306</v>
      </c>
      <c r="B1717" s="251"/>
      <c r="C1717" s="540" t="s">
        <v>2202</v>
      </c>
      <c r="D1717" s="527" t="s">
        <v>592</v>
      </c>
      <c r="E1717" s="251" t="s">
        <v>539</v>
      </c>
      <c r="F1717" s="252"/>
      <c r="G1717" s="253"/>
      <c r="H1717" s="254">
        <f>INT(F1717*G1717*100+0.5)/100</f>
        <v>0</v>
      </c>
      <c r="I1717" s="225"/>
      <c r="J1717" s="225"/>
      <c r="K1717" s="251" t="s">
        <v>539</v>
      </c>
      <c r="L1717" s="278">
        <f>3500*1.2</f>
        <v>4200</v>
      </c>
      <c r="M1717" s="258">
        <v>0</v>
      </c>
      <c r="N1717" s="257">
        <f>INT($L1717*M1717*100+0.5)/100</f>
        <v>0</v>
      </c>
      <c r="O1717" s="258">
        <v>0</v>
      </c>
      <c r="P1717" s="257">
        <f>INT($L1717*O1717*100+0.5)/100</f>
        <v>0</v>
      </c>
      <c r="Q1717" s="258">
        <v>0</v>
      </c>
      <c r="R1717" s="257">
        <f>INT($L1717*Q1717*100+0.5)/100</f>
        <v>0</v>
      </c>
      <c r="S1717" s="258">
        <v>0</v>
      </c>
      <c r="T1717" s="257">
        <f>INT($L1717*S1717*100+0.5)/100</f>
        <v>0</v>
      </c>
      <c r="U1717" s="258">
        <v>0</v>
      </c>
      <c r="V1717" s="257">
        <f>INT($L1717*U1717*100+0.5)/100</f>
        <v>0</v>
      </c>
      <c r="W1717" s="258">
        <v>0</v>
      </c>
      <c r="X1717" s="257">
        <f>INT($L1717*W1717*100+0.5)/100</f>
        <v>0</v>
      </c>
      <c r="Y1717" s="258">
        <v>0</v>
      </c>
      <c r="Z1717" s="257">
        <f>INT($L1717*Y1717*100+0.5)/100</f>
        <v>0</v>
      </c>
    </row>
    <row r="1718" spans="1:26" ht="15" hidden="1" customHeight="1">
      <c r="A1718" s="250"/>
      <c r="B1718" s="251"/>
      <c r="C1718" s="526"/>
      <c r="D1718" s="527" t="s">
        <v>1325</v>
      </c>
      <c r="E1718" s="251" t="s">
        <v>1416</v>
      </c>
      <c r="F1718" s="252"/>
      <c r="G1718" s="253"/>
      <c r="H1718" s="254"/>
      <c r="I1718" s="225"/>
      <c r="J1718" s="225"/>
      <c r="K1718" s="251" t="s">
        <v>1416</v>
      </c>
      <c r="L1718" s="278"/>
      <c r="M1718" s="258"/>
      <c r="N1718" s="257"/>
      <c r="O1718" s="258"/>
      <c r="P1718" s="257"/>
      <c r="Q1718" s="258"/>
      <c r="R1718" s="257"/>
      <c r="S1718" s="258"/>
      <c r="T1718" s="257"/>
      <c r="U1718" s="258"/>
      <c r="V1718" s="257"/>
      <c r="W1718" s="258"/>
      <c r="X1718" s="257"/>
      <c r="Y1718" s="258"/>
      <c r="Z1718" s="257"/>
    </row>
    <row r="1719" spans="1:26" ht="15" hidden="1" customHeight="1">
      <c r="A1719" s="250"/>
      <c r="B1719" s="251"/>
      <c r="C1719" s="526"/>
      <c r="D1719" s="335"/>
      <c r="E1719" s="251"/>
      <c r="F1719" s="252"/>
      <c r="G1719" s="253"/>
      <c r="H1719" s="254"/>
      <c r="I1719" s="225"/>
      <c r="J1719" s="225"/>
      <c r="K1719" s="251"/>
      <c r="L1719" s="278"/>
      <c r="M1719" s="258"/>
      <c r="N1719" s="257"/>
      <c r="O1719" s="258"/>
      <c r="P1719" s="257"/>
      <c r="Q1719" s="258"/>
      <c r="R1719" s="257"/>
      <c r="S1719" s="258"/>
      <c r="T1719" s="257"/>
      <c r="U1719" s="258"/>
      <c r="V1719" s="257"/>
      <c r="W1719" s="258"/>
      <c r="X1719" s="257"/>
      <c r="Y1719" s="258"/>
      <c r="Z1719" s="257"/>
    </row>
    <row r="1720" spans="1:26" ht="15" hidden="1" customHeight="1">
      <c r="A1720" s="250">
        <f>A1717+1</f>
        <v>307</v>
      </c>
      <c r="B1720" s="251"/>
      <c r="C1720" s="540" t="s">
        <v>2203</v>
      </c>
      <c r="D1720" s="527" t="s">
        <v>1327</v>
      </c>
      <c r="E1720" s="251" t="s">
        <v>539</v>
      </c>
      <c r="F1720" s="252"/>
      <c r="G1720" s="253"/>
      <c r="H1720" s="254">
        <f>INT(F1720*G1720*100+0.5)/100</f>
        <v>0</v>
      </c>
      <c r="I1720" s="225"/>
      <c r="J1720" s="225"/>
      <c r="K1720" s="251" t="s">
        <v>539</v>
      </c>
      <c r="L1720" s="278">
        <f>185*1.25+2*30+1*40</f>
        <v>331.25</v>
      </c>
      <c r="M1720" s="258">
        <v>0</v>
      </c>
      <c r="N1720" s="257">
        <f>INT($L1720*M1720*100+0.5)/100</f>
        <v>0</v>
      </c>
      <c r="O1720" s="258">
        <v>0</v>
      </c>
      <c r="P1720" s="257">
        <f>INT($L1720*O1720*100+0.5)/100</f>
        <v>0</v>
      </c>
      <c r="Q1720" s="258">
        <v>0</v>
      </c>
      <c r="R1720" s="257">
        <f>INT($L1720*Q1720*100+0.5)/100</f>
        <v>0</v>
      </c>
      <c r="S1720" s="258">
        <v>0</v>
      </c>
      <c r="T1720" s="257">
        <f>INT($L1720*S1720*100+0.5)/100</f>
        <v>0</v>
      </c>
      <c r="U1720" s="258">
        <v>0</v>
      </c>
      <c r="V1720" s="257">
        <f>INT($L1720*U1720*100+0.5)/100</f>
        <v>0</v>
      </c>
      <c r="W1720" s="258">
        <v>0</v>
      </c>
      <c r="X1720" s="257">
        <f>INT($L1720*W1720*100+0.5)/100</f>
        <v>0</v>
      </c>
      <c r="Y1720" s="258">
        <v>0</v>
      </c>
      <c r="Z1720" s="257">
        <f>INT($L1720*Y1720*100+0.5)/100</f>
        <v>0</v>
      </c>
    </row>
    <row r="1721" spans="1:26" ht="15" hidden="1" customHeight="1">
      <c r="A1721" s="250"/>
      <c r="B1721" s="251"/>
      <c r="C1721" s="526"/>
      <c r="D1721" s="527" t="s">
        <v>1325</v>
      </c>
      <c r="E1721" s="251" t="s">
        <v>1416</v>
      </c>
      <c r="F1721" s="252"/>
      <c r="G1721" s="253"/>
      <c r="H1721" s="254"/>
      <c r="I1721" s="225"/>
      <c r="J1721" s="225"/>
      <c r="K1721" s="251" t="s">
        <v>1416</v>
      </c>
      <c r="L1721" s="278"/>
      <c r="M1721" s="258"/>
      <c r="N1721" s="257"/>
      <c r="O1721" s="258"/>
      <c r="P1721" s="257"/>
      <c r="Q1721" s="258"/>
      <c r="R1721" s="257"/>
      <c r="S1721" s="258"/>
      <c r="T1721" s="257"/>
      <c r="U1721" s="258"/>
      <c r="V1721" s="257"/>
      <c r="W1721" s="258"/>
      <c r="X1721" s="257"/>
      <c r="Y1721" s="258"/>
      <c r="Z1721" s="257"/>
    </row>
    <row r="1722" spans="1:26" ht="15" hidden="1" customHeight="1">
      <c r="A1722" s="250"/>
      <c r="B1722" s="251"/>
      <c r="C1722" s="526"/>
      <c r="D1722" s="335"/>
      <c r="E1722" s="251"/>
      <c r="F1722" s="252"/>
      <c r="G1722" s="253"/>
      <c r="H1722" s="254"/>
      <c r="I1722" s="225"/>
      <c r="J1722" s="225"/>
      <c r="K1722" s="251"/>
      <c r="L1722" s="278"/>
      <c r="M1722" s="258"/>
      <c r="N1722" s="257"/>
      <c r="O1722" s="258"/>
      <c r="P1722" s="257"/>
      <c r="Q1722" s="258"/>
      <c r="R1722" s="257"/>
      <c r="S1722" s="258"/>
      <c r="T1722" s="257"/>
      <c r="U1722" s="258"/>
      <c r="V1722" s="257"/>
      <c r="W1722" s="258"/>
      <c r="X1722" s="257"/>
      <c r="Y1722" s="258"/>
      <c r="Z1722" s="257"/>
    </row>
    <row r="1723" spans="1:26" ht="15" hidden="1" customHeight="1">
      <c r="A1723" s="250">
        <f>A1720+1</f>
        <v>308</v>
      </c>
      <c r="B1723" s="251"/>
      <c r="C1723" s="540" t="s">
        <v>2204</v>
      </c>
      <c r="D1723" s="527" t="s">
        <v>1328</v>
      </c>
      <c r="E1723" s="251" t="s">
        <v>539</v>
      </c>
      <c r="F1723" s="252"/>
      <c r="G1723" s="253"/>
      <c r="H1723" s="254">
        <f>INT(F1723*G1723*100+0.5)/100</f>
        <v>0</v>
      </c>
      <c r="I1723" s="225"/>
      <c r="J1723" s="225"/>
      <c r="K1723" s="251" t="s">
        <v>539</v>
      </c>
      <c r="L1723" s="278">
        <f>2744*1.25+2*8*30+3*40</f>
        <v>4030</v>
      </c>
      <c r="M1723" s="258">
        <v>0</v>
      </c>
      <c r="N1723" s="257">
        <f>INT($L1723*M1723*100+0.5)/100</f>
        <v>0</v>
      </c>
      <c r="O1723" s="258">
        <v>0</v>
      </c>
      <c r="P1723" s="257">
        <f>INT($L1723*O1723*100+0.5)/100</f>
        <v>0</v>
      </c>
      <c r="Q1723" s="258">
        <v>0</v>
      </c>
      <c r="R1723" s="257">
        <f>INT($L1723*Q1723*100+0.5)/100</f>
        <v>0</v>
      </c>
      <c r="S1723" s="258">
        <v>0</v>
      </c>
      <c r="T1723" s="257">
        <f>INT($L1723*S1723*100+0.5)/100</f>
        <v>0</v>
      </c>
      <c r="U1723" s="258">
        <v>0</v>
      </c>
      <c r="V1723" s="257">
        <f>INT($L1723*U1723*100+0.5)/100</f>
        <v>0</v>
      </c>
      <c r="W1723" s="258">
        <v>0</v>
      </c>
      <c r="X1723" s="257">
        <f>INT($L1723*W1723*100+0.5)/100</f>
        <v>0</v>
      </c>
      <c r="Y1723" s="258">
        <v>0</v>
      </c>
      <c r="Z1723" s="257">
        <f>INT($L1723*Y1723*100+0.5)/100</f>
        <v>0</v>
      </c>
    </row>
    <row r="1724" spans="1:26" ht="15" hidden="1" customHeight="1">
      <c r="A1724" s="250"/>
      <c r="B1724" s="251"/>
      <c r="C1724" s="526"/>
      <c r="D1724" s="527" t="s">
        <v>1329</v>
      </c>
      <c r="E1724" s="251" t="s">
        <v>1416</v>
      </c>
      <c r="F1724" s="252"/>
      <c r="G1724" s="253"/>
      <c r="H1724" s="254"/>
      <c r="I1724" s="225"/>
      <c r="J1724" s="225"/>
      <c r="K1724" s="251" t="s">
        <v>1416</v>
      </c>
      <c r="L1724" s="278"/>
      <c r="M1724" s="258"/>
      <c r="N1724" s="257"/>
      <c r="O1724" s="258"/>
      <c r="P1724" s="257"/>
      <c r="Q1724" s="258"/>
      <c r="R1724" s="257"/>
      <c r="S1724" s="258"/>
      <c r="T1724" s="257"/>
      <c r="U1724" s="258"/>
      <c r="V1724" s="257"/>
      <c r="W1724" s="258"/>
      <c r="X1724" s="257"/>
      <c r="Y1724" s="258"/>
      <c r="Z1724" s="257"/>
    </row>
    <row r="1725" spans="1:26" ht="15" hidden="1">
      <c r="A1725" s="250"/>
      <c r="B1725" s="251"/>
      <c r="C1725" s="326"/>
      <c r="D1725" s="335"/>
      <c r="E1725" s="251"/>
      <c r="F1725" s="252"/>
      <c r="G1725" s="253"/>
      <c r="H1725" s="254"/>
      <c r="I1725" s="253"/>
      <c r="J1725" s="253"/>
      <c r="K1725" s="251"/>
      <c r="L1725" s="262"/>
      <c r="M1725" s="258"/>
      <c r="N1725" s="260"/>
      <c r="O1725" s="258"/>
      <c r="P1725" s="257"/>
      <c r="Q1725" s="258"/>
      <c r="R1725" s="257"/>
      <c r="S1725" s="258"/>
      <c r="T1725" s="257"/>
      <c r="U1725" s="258"/>
      <c r="V1725" s="257"/>
      <c r="W1725" s="258"/>
      <c r="X1725" s="257"/>
      <c r="Y1725" s="258"/>
      <c r="Z1725" s="257"/>
    </row>
    <row r="1726" spans="1:26" ht="15" hidden="1" customHeight="1">
      <c r="A1726" s="250">
        <f>A1723+1</f>
        <v>309</v>
      </c>
      <c r="B1726" s="251">
        <v>67</v>
      </c>
      <c r="C1726" s="540" t="s">
        <v>2206</v>
      </c>
      <c r="D1726" s="527" t="s">
        <v>2181</v>
      </c>
      <c r="E1726" s="251" t="s">
        <v>1901</v>
      </c>
      <c r="F1726" s="252"/>
      <c r="G1726" s="253"/>
      <c r="H1726" s="254">
        <f>F1726*G1726</f>
        <v>0</v>
      </c>
      <c r="I1726" s="253"/>
      <c r="J1726" s="253"/>
      <c r="K1726" s="251" t="s">
        <v>1901</v>
      </c>
      <c r="L1726" s="262">
        <v>120</v>
      </c>
      <c r="M1726" s="258">
        <v>0</v>
      </c>
      <c r="N1726" s="257">
        <f>INT($L1726*M1726*100+0.5)/100</f>
        <v>0</v>
      </c>
      <c r="O1726" s="258">
        <v>0</v>
      </c>
      <c r="P1726" s="257">
        <f>INT($L1726*O1726*100+0.5)/100</f>
        <v>0</v>
      </c>
      <c r="Q1726" s="258">
        <v>0</v>
      </c>
      <c r="R1726" s="257">
        <f>INT($L1726*Q1726*100+0.5)/100</f>
        <v>0</v>
      </c>
      <c r="S1726" s="258">
        <v>0</v>
      </c>
      <c r="T1726" s="257">
        <f>INT($L1726*S1726*100+0.5)/100</f>
        <v>0</v>
      </c>
      <c r="U1726" s="258">
        <v>0</v>
      </c>
      <c r="V1726" s="257">
        <f>INT($L1726*U1726*100+0.5)/100</f>
        <v>0</v>
      </c>
      <c r="W1726" s="258">
        <v>0</v>
      </c>
      <c r="X1726" s="257">
        <f>INT($L1726*W1726*100+0.5)/100</f>
        <v>0</v>
      </c>
      <c r="Y1726" s="258">
        <v>0</v>
      </c>
      <c r="Z1726" s="257">
        <f>INT($L1726*Y1726*100+0.5)/100</f>
        <v>0</v>
      </c>
    </row>
    <row r="1727" spans="1:26" ht="15" hidden="1" customHeight="1">
      <c r="A1727" s="250"/>
      <c r="B1727" s="251"/>
      <c r="C1727" s="540"/>
      <c r="D1727" s="527" t="s">
        <v>2180</v>
      </c>
      <c r="E1727" s="251" t="s">
        <v>1902</v>
      </c>
      <c r="F1727" s="252"/>
      <c r="G1727" s="253"/>
      <c r="H1727" s="254"/>
      <c r="I1727" s="253"/>
      <c r="J1727" s="253"/>
      <c r="K1727" s="251" t="s">
        <v>1902</v>
      </c>
      <c r="L1727" s="262"/>
      <c r="M1727" s="258"/>
      <c r="N1727" s="257"/>
      <c r="O1727" s="258"/>
      <c r="P1727" s="257"/>
      <c r="Q1727" s="258"/>
      <c r="R1727" s="257"/>
      <c r="S1727" s="258"/>
      <c r="T1727" s="257"/>
      <c r="U1727" s="258"/>
      <c r="V1727" s="257"/>
      <c r="W1727" s="258"/>
      <c r="X1727" s="257"/>
      <c r="Y1727" s="258"/>
      <c r="Z1727" s="257"/>
    </row>
    <row r="1728" spans="1:26" ht="15" hidden="1" customHeight="1">
      <c r="A1728" s="250"/>
      <c r="B1728" s="251"/>
      <c r="C1728" s="326"/>
      <c r="D1728" s="335"/>
      <c r="E1728" s="251"/>
      <c r="F1728" s="252"/>
      <c r="G1728" s="253"/>
      <c r="H1728" s="254"/>
      <c r="I1728" s="253"/>
      <c r="J1728" s="253"/>
      <c r="K1728" s="251"/>
      <c r="L1728" s="262"/>
      <c r="M1728" s="258"/>
      <c r="N1728" s="257"/>
      <c r="O1728" s="258"/>
      <c r="P1728" s="257"/>
      <c r="Q1728" s="258"/>
      <c r="R1728" s="257"/>
      <c r="S1728" s="258"/>
      <c r="T1728" s="257"/>
      <c r="U1728" s="258"/>
      <c r="V1728" s="257"/>
      <c r="W1728" s="258"/>
      <c r="X1728" s="257"/>
      <c r="Y1728" s="258"/>
      <c r="Z1728" s="257"/>
    </row>
    <row r="1729" spans="1:26" ht="15" hidden="1" customHeight="1">
      <c r="A1729" s="250">
        <f>A1726+1</f>
        <v>310</v>
      </c>
      <c r="B1729" s="251">
        <v>65</v>
      </c>
      <c r="C1729" s="540" t="s">
        <v>1062</v>
      </c>
      <c r="D1729" s="527" t="s">
        <v>2179</v>
      </c>
      <c r="E1729" s="251" t="s">
        <v>1901</v>
      </c>
      <c r="F1729" s="252"/>
      <c r="G1729" s="253"/>
      <c r="H1729" s="254"/>
      <c r="I1729" s="253"/>
      <c r="J1729" s="253"/>
      <c r="K1729" s="251" t="s">
        <v>1901</v>
      </c>
      <c r="L1729" s="262"/>
      <c r="M1729" s="316"/>
      <c r="N1729" s="257"/>
      <c r="O1729" s="316"/>
      <c r="P1729" s="257"/>
      <c r="Q1729" s="316"/>
      <c r="R1729" s="257"/>
      <c r="S1729" s="316"/>
      <c r="T1729" s="257"/>
      <c r="U1729" s="316"/>
      <c r="V1729" s="257"/>
      <c r="W1729" s="316"/>
      <c r="X1729" s="257"/>
      <c r="Y1729" s="316"/>
      <c r="Z1729" s="257"/>
    </row>
    <row r="1730" spans="1:26" ht="15" hidden="1" customHeight="1">
      <c r="A1730" s="250"/>
      <c r="B1730" s="251"/>
      <c r="C1730" s="326"/>
      <c r="D1730" s="527" t="s">
        <v>2178</v>
      </c>
      <c r="E1730" s="251" t="s">
        <v>1902</v>
      </c>
      <c r="F1730" s="252"/>
      <c r="G1730" s="253"/>
      <c r="H1730" s="254"/>
      <c r="I1730" s="253"/>
      <c r="J1730" s="253"/>
      <c r="K1730" s="251" t="s">
        <v>1902</v>
      </c>
      <c r="L1730" s="262"/>
      <c r="M1730" s="316"/>
      <c r="N1730" s="257"/>
      <c r="O1730" s="316"/>
      <c r="P1730" s="257"/>
      <c r="Q1730" s="316"/>
      <c r="R1730" s="257"/>
      <c r="S1730" s="316"/>
      <c r="T1730" s="257"/>
      <c r="U1730" s="316"/>
      <c r="V1730" s="257"/>
      <c r="W1730" s="316"/>
      <c r="X1730" s="257"/>
      <c r="Y1730" s="316"/>
      <c r="Z1730" s="257"/>
    </row>
    <row r="1731" spans="1:26" ht="15" hidden="1" customHeight="1">
      <c r="A1731" s="250" t="s">
        <v>1903</v>
      </c>
      <c r="B1731" s="251"/>
      <c r="C1731" s="540" t="s">
        <v>1063</v>
      </c>
      <c r="D1731" s="335" t="s">
        <v>908</v>
      </c>
      <c r="E1731" s="251"/>
      <c r="F1731" s="252"/>
      <c r="G1731" s="253"/>
      <c r="H1731" s="254">
        <f>F1731*G1731</f>
        <v>0</v>
      </c>
      <c r="I1731" s="253"/>
      <c r="J1731" s="253"/>
      <c r="K1731" s="251"/>
      <c r="L1731" s="262">
        <v>70</v>
      </c>
      <c r="M1731" s="258">
        <v>0</v>
      </c>
      <c r="N1731" s="257">
        <f>INT($L1731*M1731*100+0.5)/100</f>
        <v>0</v>
      </c>
      <c r="O1731" s="258">
        <v>0</v>
      </c>
      <c r="P1731" s="257">
        <f>INT($L1731*O1731*100+0.5)/100</f>
        <v>0</v>
      </c>
      <c r="Q1731" s="258">
        <v>0</v>
      </c>
      <c r="R1731" s="257">
        <f>INT($L1731*Q1731*100+0.5)/100</f>
        <v>0</v>
      </c>
      <c r="S1731" s="258">
        <v>0</v>
      </c>
      <c r="T1731" s="257">
        <f>INT($L1731*S1731*100+0.5)/100</f>
        <v>0</v>
      </c>
      <c r="U1731" s="258">
        <v>0</v>
      </c>
      <c r="V1731" s="257">
        <f>INT($L1731*U1731*100+0.5)/100</f>
        <v>0</v>
      </c>
      <c r="W1731" s="258">
        <v>0</v>
      </c>
      <c r="X1731" s="257">
        <f>INT($L1731*W1731*100+0.5)/100</f>
        <v>0</v>
      </c>
      <c r="Y1731" s="258">
        <v>0</v>
      </c>
      <c r="Z1731" s="257">
        <f>INT($L1731*Y1731*100+0.5)/100</f>
        <v>0</v>
      </c>
    </row>
    <row r="1732" spans="1:26" ht="15" hidden="1" customHeight="1">
      <c r="A1732" s="250" t="s">
        <v>1905</v>
      </c>
      <c r="B1732" s="251"/>
      <c r="C1732" s="540" t="s">
        <v>1064</v>
      </c>
      <c r="D1732" s="335" t="s">
        <v>906</v>
      </c>
      <c r="E1732" s="251"/>
      <c r="F1732" s="252"/>
      <c r="G1732" s="253"/>
      <c r="H1732" s="254">
        <f>F1732*G1732</f>
        <v>0</v>
      </c>
      <c r="I1732" s="253"/>
      <c r="J1732" s="253"/>
      <c r="K1732" s="251"/>
      <c r="L1732" s="262">
        <v>110</v>
      </c>
      <c r="M1732" s="258">
        <v>0</v>
      </c>
      <c r="N1732" s="257">
        <f>INT($L1732*M1732*100+0.5)/100</f>
        <v>0</v>
      </c>
      <c r="O1732" s="258">
        <v>0</v>
      </c>
      <c r="P1732" s="257">
        <f>INT($L1732*O1732*100+0.5)/100</f>
        <v>0</v>
      </c>
      <c r="Q1732" s="258">
        <v>0</v>
      </c>
      <c r="R1732" s="257">
        <f>INT($L1732*Q1732*100+0.5)/100</f>
        <v>0</v>
      </c>
      <c r="S1732" s="258">
        <v>0</v>
      </c>
      <c r="T1732" s="257">
        <f>INT($L1732*S1732*100+0.5)/100</f>
        <v>0</v>
      </c>
      <c r="U1732" s="258">
        <v>0</v>
      </c>
      <c r="V1732" s="257">
        <f>INT($L1732*U1732*100+0.5)/100</f>
        <v>0</v>
      </c>
      <c r="W1732" s="258">
        <v>0</v>
      </c>
      <c r="X1732" s="257">
        <f>INT($L1732*W1732*100+0.5)/100</f>
        <v>0</v>
      </c>
      <c r="Y1732" s="258">
        <v>0</v>
      </c>
      <c r="Z1732" s="257">
        <f>INT($L1732*Y1732*100+0.5)/100</f>
        <v>0</v>
      </c>
    </row>
    <row r="1733" spans="1:26" ht="15" hidden="1" customHeight="1">
      <c r="A1733" s="250" t="s">
        <v>1906</v>
      </c>
      <c r="B1733" s="251"/>
      <c r="C1733" s="540" t="s">
        <v>1065</v>
      </c>
      <c r="D1733" s="335" t="s">
        <v>907</v>
      </c>
      <c r="E1733" s="251"/>
      <c r="F1733" s="252"/>
      <c r="G1733" s="253"/>
      <c r="H1733" s="254">
        <f>F1733*G1733</f>
        <v>0</v>
      </c>
      <c r="I1733" s="253"/>
      <c r="J1733" s="253"/>
      <c r="K1733" s="251"/>
      <c r="L1733" s="262">
        <v>120</v>
      </c>
      <c r="M1733" s="258">
        <v>0</v>
      </c>
      <c r="N1733" s="257">
        <f>INT($L1733*M1733*100+0.5)/100</f>
        <v>0</v>
      </c>
      <c r="O1733" s="258">
        <v>0</v>
      </c>
      <c r="P1733" s="257">
        <f>INT($L1733*O1733*100+0.5)/100</f>
        <v>0</v>
      </c>
      <c r="Q1733" s="258">
        <v>0</v>
      </c>
      <c r="R1733" s="257">
        <f>INT($L1733*Q1733*100+0.5)/100</f>
        <v>0</v>
      </c>
      <c r="S1733" s="258">
        <v>0</v>
      </c>
      <c r="T1733" s="257">
        <f>INT($L1733*S1733*100+0.5)/100</f>
        <v>0</v>
      </c>
      <c r="U1733" s="258">
        <v>0</v>
      </c>
      <c r="V1733" s="257">
        <f>INT($L1733*U1733*100+0.5)/100</f>
        <v>0</v>
      </c>
      <c r="W1733" s="258">
        <v>0</v>
      </c>
      <c r="X1733" s="257">
        <f>INT($L1733*W1733*100+0.5)/100</f>
        <v>0</v>
      </c>
      <c r="Y1733" s="258">
        <v>0</v>
      </c>
      <c r="Z1733" s="257">
        <f>INT($L1733*Y1733*100+0.5)/100</f>
        <v>0</v>
      </c>
    </row>
    <row r="1734" spans="1:26" ht="15" hidden="1" customHeight="1">
      <c r="A1734" s="250" t="s">
        <v>1907</v>
      </c>
      <c r="B1734" s="251" t="s">
        <v>1907</v>
      </c>
      <c r="C1734" s="540" t="s">
        <v>1066</v>
      </c>
      <c r="D1734" s="335" t="s">
        <v>2472</v>
      </c>
      <c r="E1734" s="251"/>
      <c r="F1734" s="252"/>
      <c r="G1734" s="253"/>
      <c r="H1734" s="254">
        <f>F1734*G1734</f>
        <v>0</v>
      </c>
      <c r="I1734" s="253"/>
      <c r="J1734" s="253"/>
      <c r="K1734" s="251"/>
      <c r="L1734" s="262">
        <v>140</v>
      </c>
      <c r="M1734" s="258">
        <v>0</v>
      </c>
      <c r="N1734" s="257">
        <f>INT($L1734*M1734*100+0.5)/100</f>
        <v>0</v>
      </c>
      <c r="O1734" s="258">
        <v>0</v>
      </c>
      <c r="P1734" s="257">
        <f>INT($L1734*O1734*100+0.5)/100</f>
        <v>0</v>
      </c>
      <c r="Q1734" s="258">
        <v>0</v>
      </c>
      <c r="R1734" s="257">
        <f>INT($L1734*Q1734*100+0.5)/100</f>
        <v>0</v>
      </c>
      <c r="S1734" s="258">
        <v>0</v>
      </c>
      <c r="T1734" s="257">
        <f>INT($L1734*S1734*100+0.5)/100</f>
        <v>0</v>
      </c>
      <c r="U1734" s="258">
        <v>0</v>
      </c>
      <c r="V1734" s="257">
        <f>INT($L1734*U1734*100+0.5)/100</f>
        <v>0</v>
      </c>
      <c r="W1734" s="258">
        <v>0</v>
      </c>
      <c r="X1734" s="257">
        <f>INT($L1734*W1734*100+0.5)/100</f>
        <v>0</v>
      </c>
      <c r="Y1734" s="258">
        <v>0</v>
      </c>
      <c r="Z1734" s="257">
        <f>INT($L1734*Y1734*100+0.5)/100</f>
        <v>0</v>
      </c>
    </row>
    <row r="1735" spans="1:26" ht="15" hidden="1" customHeight="1">
      <c r="A1735" s="250" t="s">
        <v>542</v>
      </c>
      <c r="B1735" s="251"/>
      <c r="C1735" s="540" t="s">
        <v>2392</v>
      </c>
      <c r="D1735" s="335" t="s">
        <v>2145</v>
      </c>
      <c r="E1735" s="251"/>
      <c r="F1735" s="252"/>
      <c r="G1735" s="253"/>
      <c r="H1735" s="254">
        <f>F1735*G1735</f>
        <v>0</v>
      </c>
      <c r="I1735" s="253"/>
      <c r="J1735" s="253"/>
      <c r="K1735" s="251"/>
      <c r="L1735" s="262">
        <v>160</v>
      </c>
      <c r="M1735" s="258">
        <v>0</v>
      </c>
      <c r="N1735" s="257">
        <f>INT($L1735*M1735*100+0.5)/100</f>
        <v>0</v>
      </c>
      <c r="O1735" s="258">
        <v>0</v>
      </c>
      <c r="P1735" s="257">
        <f>INT($L1735*O1735*100+0.5)/100</f>
        <v>0</v>
      </c>
      <c r="Q1735" s="258">
        <v>0</v>
      </c>
      <c r="R1735" s="257">
        <f>INT($L1735*Q1735*100+0.5)/100</f>
        <v>0</v>
      </c>
      <c r="S1735" s="258">
        <v>0</v>
      </c>
      <c r="T1735" s="257">
        <f>INT($L1735*S1735*100+0.5)/100</f>
        <v>0</v>
      </c>
      <c r="U1735" s="258">
        <v>0</v>
      </c>
      <c r="V1735" s="257">
        <f>INT($L1735*U1735*100+0.5)/100</f>
        <v>0</v>
      </c>
      <c r="W1735" s="258">
        <v>0</v>
      </c>
      <c r="X1735" s="257">
        <f>INT($L1735*W1735*100+0.5)/100</f>
        <v>0</v>
      </c>
      <c r="Y1735" s="258">
        <v>0</v>
      </c>
      <c r="Z1735" s="257">
        <f>INT($L1735*Y1735*100+0.5)/100</f>
        <v>0</v>
      </c>
    </row>
    <row r="1736" spans="1:26" ht="15" hidden="1" customHeight="1">
      <c r="A1736" s="331"/>
      <c r="B1736" s="341"/>
      <c r="C1736" s="540"/>
      <c r="D1736" s="335"/>
      <c r="E1736" s="251"/>
      <c r="F1736" s="252"/>
      <c r="G1736" s="253"/>
      <c r="H1736" s="254"/>
      <c r="I1736" s="253"/>
      <c r="J1736" s="253"/>
      <c r="K1736" s="251"/>
      <c r="L1736" s="262"/>
      <c r="M1736" s="258"/>
      <c r="N1736" s="257"/>
      <c r="O1736" s="258"/>
      <c r="P1736" s="257"/>
      <c r="Q1736" s="258"/>
      <c r="R1736" s="257"/>
      <c r="S1736" s="258"/>
      <c r="T1736" s="257"/>
      <c r="U1736" s="258"/>
      <c r="V1736" s="257"/>
      <c r="W1736" s="258"/>
      <c r="X1736" s="257"/>
      <c r="Y1736" s="258"/>
      <c r="Z1736" s="257"/>
    </row>
    <row r="1737" spans="1:26" ht="15" hidden="1" customHeight="1">
      <c r="A1737" s="250">
        <f>A1729+1</f>
        <v>311</v>
      </c>
      <c r="B1737" s="251">
        <v>66</v>
      </c>
      <c r="C1737" s="540" t="s">
        <v>1067</v>
      </c>
      <c r="D1737" s="527" t="s">
        <v>2183</v>
      </c>
      <c r="E1737" s="251" t="s">
        <v>1901</v>
      </c>
      <c r="F1737" s="252"/>
      <c r="G1737" s="253"/>
      <c r="H1737" s="254"/>
      <c r="I1737" s="253"/>
      <c r="J1737" s="253"/>
      <c r="K1737" s="251" t="s">
        <v>1901</v>
      </c>
      <c r="L1737" s="262"/>
      <c r="M1737" s="258"/>
      <c r="N1737" s="257"/>
      <c r="O1737" s="258"/>
      <c r="P1737" s="257"/>
      <c r="Q1737" s="258"/>
      <c r="R1737" s="257"/>
      <c r="S1737" s="258"/>
      <c r="T1737" s="257"/>
      <c r="U1737" s="258"/>
      <c r="V1737" s="257"/>
      <c r="W1737" s="258"/>
      <c r="X1737" s="257"/>
      <c r="Y1737" s="258"/>
      <c r="Z1737" s="257"/>
    </row>
    <row r="1738" spans="1:26" ht="15" hidden="1" customHeight="1">
      <c r="A1738" s="250"/>
      <c r="B1738" s="251"/>
      <c r="C1738" s="540"/>
      <c r="D1738" s="527" t="s">
        <v>2182</v>
      </c>
      <c r="E1738" s="251" t="s">
        <v>1902</v>
      </c>
      <c r="F1738" s="252"/>
      <c r="G1738" s="253"/>
      <c r="H1738" s="254"/>
      <c r="I1738" s="253"/>
      <c r="J1738" s="253"/>
      <c r="K1738" s="251" t="s">
        <v>1902</v>
      </c>
      <c r="L1738" s="262"/>
      <c r="M1738" s="258"/>
      <c r="N1738" s="257"/>
      <c r="O1738" s="258"/>
      <c r="P1738" s="257"/>
      <c r="Q1738" s="258"/>
      <c r="R1738" s="257"/>
      <c r="S1738" s="258"/>
      <c r="T1738" s="257"/>
      <c r="U1738" s="258"/>
      <c r="V1738" s="257"/>
      <c r="W1738" s="258"/>
      <c r="X1738" s="257"/>
      <c r="Y1738" s="258"/>
      <c r="Z1738" s="257"/>
    </row>
    <row r="1739" spans="1:26" ht="15" hidden="1" customHeight="1">
      <c r="A1739" s="250" t="s">
        <v>1903</v>
      </c>
      <c r="B1739" s="251" t="s">
        <v>1903</v>
      </c>
      <c r="C1739" s="540" t="s">
        <v>1069</v>
      </c>
      <c r="D1739" s="335" t="s">
        <v>2473</v>
      </c>
      <c r="E1739" s="251"/>
      <c r="F1739" s="252"/>
      <c r="G1739" s="253"/>
      <c r="H1739" s="254">
        <f>F1739*G1739</f>
        <v>0</v>
      </c>
      <c r="I1739" s="253"/>
      <c r="J1739" s="253"/>
      <c r="K1739" s="251"/>
      <c r="L1739" s="262">
        <v>100</v>
      </c>
      <c r="M1739" s="258">
        <v>0</v>
      </c>
      <c r="N1739" s="257">
        <f>INT($L1739*M1739*100+0.5)/100</f>
        <v>0</v>
      </c>
      <c r="O1739" s="258">
        <v>0</v>
      </c>
      <c r="P1739" s="257">
        <f>INT($L1739*O1739*100+0.5)/100</f>
        <v>0</v>
      </c>
      <c r="Q1739" s="258">
        <v>0</v>
      </c>
      <c r="R1739" s="257">
        <f>INT($L1739*Q1739*100+0.5)/100</f>
        <v>0</v>
      </c>
      <c r="S1739" s="258">
        <v>0</v>
      </c>
      <c r="T1739" s="257">
        <f>INT($L1739*S1739*100+0.5)/100</f>
        <v>0</v>
      </c>
      <c r="U1739" s="258">
        <v>0</v>
      </c>
      <c r="V1739" s="257">
        <f>INT($L1739*U1739*100+0.5)/100</f>
        <v>0</v>
      </c>
      <c r="W1739" s="258">
        <v>0</v>
      </c>
      <c r="X1739" s="257">
        <f>INT($L1739*W1739*100+0.5)/100</f>
        <v>0</v>
      </c>
      <c r="Y1739" s="258">
        <v>0</v>
      </c>
      <c r="Z1739" s="257">
        <f>INT($L1739*Y1739*100+0.5)/100</f>
        <v>0</v>
      </c>
    </row>
    <row r="1740" spans="1:26" ht="15" hidden="1" customHeight="1">
      <c r="A1740" s="250" t="s">
        <v>1905</v>
      </c>
      <c r="B1740" s="251" t="s">
        <v>1905</v>
      </c>
      <c r="C1740" s="540" t="s">
        <v>1070</v>
      </c>
      <c r="D1740" s="335" t="s">
        <v>2210</v>
      </c>
      <c r="E1740" s="251"/>
      <c r="F1740" s="252"/>
      <c r="G1740" s="253"/>
      <c r="H1740" s="254">
        <f>F1740*G1740</f>
        <v>0</v>
      </c>
      <c r="I1740" s="253"/>
      <c r="J1740" s="253"/>
      <c r="K1740" s="251"/>
      <c r="L1740" s="262">
        <v>120</v>
      </c>
      <c r="M1740" s="258">
        <v>0</v>
      </c>
      <c r="N1740" s="257">
        <f>INT($L1740*M1740*100+0.5)/100</f>
        <v>0</v>
      </c>
      <c r="O1740" s="258">
        <v>0</v>
      </c>
      <c r="P1740" s="257">
        <f>INT($L1740*O1740*100+0.5)/100</f>
        <v>0</v>
      </c>
      <c r="Q1740" s="258">
        <v>0</v>
      </c>
      <c r="R1740" s="257">
        <f>INT($L1740*Q1740*100+0.5)/100</f>
        <v>0</v>
      </c>
      <c r="S1740" s="258">
        <v>0</v>
      </c>
      <c r="T1740" s="257">
        <f>INT($L1740*S1740*100+0.5)/100</f>
        <v>0</v>
      </c>
      <c r="U1740" s="258">
        <v>0</v>
      </c>
      <c r="V1740" s="257">
        <f>INT($L1740*U1740*100+0.5)/100</f>
        <v>0</v>
      </c>
      <c r="W1740" s="258">
        <v>0</v>
      </c>
      <c r="X1740" s="257">
        <f>INT($L1740*W1740*100+0.5)/100</f>
        <v>0</v>
      </c>
      <c r="Y1740" s="258">
        <v>0</v>
      </c>
      <c r="Z1740" s="257">
        <f>INT($L1740*Y1740*100+0.5)/100</f>
        <v>0</v>
      </c>
    </row>
    <row r="1741" spans="1:26" ht="15" hidden="1" customHeight="1">
      <c r="A1741" s="250" t="s">
        <v>1906</v>
      </c>
      <c r="B1741" s="251"/>
      <c r="C1741" s="540" t="s">
        <v>1071</v>
      </c>
      <c r="D1741" s="335" t="s">
        <v>2184</v>
      </c>
      <c r="E1741" s="251"/>
      <c r="F1741" s="252"/>
      <c r="G1741" s="253"/>
      <c r="H1741" s="254">
        <f>F1741*G1741</f>
        <v>0</v>
      </c>
      <c r="I1741" s="253"/>
      <c r="J1741" s="253"/>
      <c r="K1741" s="251"/>
      <c r="L1741" s="262">
        <v>85</v>
      </c>
      <c r="M1741" s="258">
        <v>0</v>
      </c>
      <c r="N1741" s="257">
        <f>INT($L1741*M1741*100+0.5)/100</f>
        <v>0</v>
      </c>
      <c r="O1741" s="258">
        <v>0</v>
      </c>
      <c r="P1741" s="257">
        <f>INT($L1741*O1741*100+0.5)/100</f>
        <v>0</v>
      </c>
      <c r="Q1741" s="258">
        <v>0</v>
      </c>
      <c r="R1741" s="257">
        <f>INT($L1741*Q1741*100+0.5)/100</f>
        <v>0</v>
      </c>
      <c r="S1741" s="258">
        <v>0</v>
      </c>
      <c r="T1741" s="257">
        <f>INT($L1741*S1741*100+0.5)/100</f>
        <v>0</v>
      </c>
      <c r="U1741" s="258">
        <v>0</v>
      </c>
      <c r="V1741" s="257">
        <f>INT($L1741*U1741*100+0.5)/100</f>
        <v>0</v>
      </c>
      <c r="W1741" s="258">
        <v>0</v>
      </c>
      <c r="X1741" s="257">
        <f>INT($L1741*W1741*100+0.5)/100</f>
        <v>0</v>
      </c>
      <c r="Y1741" s="258">
        <v>0</v>
      </c>
      <c r="Z1741" s="257">
        <f>INT($L1741*Y1741*100+0.5)/100</f>
        <v>0</v>
      </c>
    </row>
    <row r="1742" spans="1:26" ht="15" hidden="1" customHeight="1">
      <c r="A1742" s="250" t="s">
        <v>1907</v>
      </c>
      <c r="B1742" s="251"/>
      <c r="C1742" s="540" t="s">
        <v>1072</v>
      </c>
      <c r="D1742" s="276" t="s">
        <v>578</v>
      </c>
      <c r="E1742" s="251"/>
      <c r="F1742" s="252"/>
      <c r="G1742" s="253"/>
      <c r="H1742" s="254">
        <f>F1742*G1742</f>
        <v>0</v>
      </c>
      <c r="I1742" s="253"/>
      <c r="J1742" s="253"/>
      <c r="K1742" s="251"/>
      <c r="L1742" s="262">
        <v>62</v>
      </c>
      <c r="M1742" s="258">
        <v>0</v>
      </c>
      <c r="N1742" s="257">
        <f>INT($L1742*M1742*100+0.5)/100</f>
        <v>0</v>
      </c>
      <c r="O1742" s="258">
        <v>0</v>
      </c>
      <c r="P1742" s="257">
        <f>INT($L1742*O1742*100+0.5)/100</f>
        <v>0</v>
      </c>
      <c r="Q1742" s="258">
        <v>0</v>
      </c>
      <c r="R1742" s="257">
        <f>INT($L1742*Q1742*100+0.5)/100</f>
        <v>0</v>
      </c>
      <c r="S1742" s="258">
        <v>0</v>
      </c>
      <c r="T1742" s="257">
        <f>INT($L1742*S1742*100+0.5)/100</f>
        <v>0</v>
      </c>
      <c r="U1742" s="258">
        <v>0</v>
      </c>
      <c r="V1742" s="257">
        <f>INT($L1742*U1742*100+0.5)/100</f>
        <v>0</v>
      </c>
      <c r="W1742" s="258">
        <v>0</v>
      </c>
      <c r="X1742" s="257">
        <f>INT($L1742*W1742*100+0.5)/100</f>
        <v>0</v>
      </c>
      <c r="Y1742" s="258">
        <v>0</v>
      </c>
      <c r="Z1742" s="257">
        <f>INT($L1742*Y1742*100+0.5)/100</f>
        <v>0</v>
      </c>
    </row>
    <row r="1743" spans="1:26" ht="15" hidden="1" customHeight="1">
      <c r="A1743" s="250"/>
      <c r="B1743" s="251"/>
      <c r="C1743" s="326"/>
      <c r="D1743" s="335"/>
      <c r="E1743" s="251"/>
      <c r="F1743" s="252"/>
      <c r="G1743" s="253"/>
      <c r="H1743" s="254"/>
      <c r="I1743" s="253"/>
      <c r="J1743" s="253"/>
      <c r="K1743" s="251"/>
      <c r="L1743" s="262"/>
      <c r="M1743" s="258"/>
      <c r="N1743" s="257"/>
      <c r="O1743" s="258"/>
      <c r="P1743" s="257"/>
      <c r="Q1743" s="258"/>
      <c r="R1743" s="257"/>
      <c r="S1743" s="258"/>
      <c r="T1743" s="257"/>
      <c r="U1743" s="258"/>
      <c r="V1743" s="257"/>
      <c r="W1743" s="258"/>
      <c r="X1743" s="257"/>
      <c r="Y1743" s="258"/>
      <c r="Z1743" s="257"/>
    </row>
    <row r="1744" spans="1:26" ht="15" hidden="1" customHeight="1">
      <c r="A1744" s="250">
        <f>A1737+1</f>
        <v>312</v>
      </c>
      <c r="B1744" s="251"/>
      <c r="C1744" s="540" t="s">
        <v>1073</v>
      </c>
      <c r="D1744" s="527" t="s">
        <v>457</v>
      </c>
      <c r="E1744" s="251" t="s">
        <v>1901</v>
      </c>
      <c r="F1744" s="252"/>
      <c r="G1744" s="253"/>
      <c r="H1744" s="254">
        <f>F1744*G1744</f>
        <v>0</v>
      </c>
      <c r="I1744" s="253"/>
      <c r="J1744" s="253"/>
      <c r="K1744" s="251" t="s">
        <v>1901</v>
      </c>
      <c r="L1744" s="262">
        <v>120</v>
      </c>
      <c r="M1744" s="258">
        <v>0</v>
      </c>
      <c r="N1744" s="257">
        <f>INT($L1744*M1744*100+0.5)/100</f>
        <v>0</v>
      </c>
      <c r="O1744" s="258">
        <v>0</v>
      </c>
      <c r="P1744" s="257">
        <f>INT($L1744*O1744*100+0.5)/100</f>
        <v>0</v>
      </c>
      <c r="Q1744" s="258">
        <v>0</v>
      </c>
      <c r="R1744" s="257">
        <f>INT($L1744*Q1744*100+0.5)/100</f>
        <v>0</v>
      </c>
      <c r="S1744" s="258">
        <v>0</v>
      </c>
      <c r="T1744" s="257">
        <f>INT($L1744*S1744*100+0.5)/100</f>
        <v>0</v>
      </c>
      <c r="U1744" s="258">
        <v>0</v>
      </c>
      <c r="V1744" s="257">
        <f>INT($L1744*U1744*100+0.5)/100</f>
        <v>0</v>
      </c>
      <c r="W1744" s="258">
        <v>0</v>
      </c>
      <c r="X1744" s="257">
        <f>INT($L1744*W1744*100+0.5)/100</f>
        <v>0</v>
      </c>
      <c r="Y1744" s="258">
        <v>0</v>
      </c>
      <c r="Z1744" s="257">
        <f>INT($L1744*Y1744*100+0.5)/100</f>
        <v>0</v>
      </c>
    </row>
    <row r="1745" spans="1:26" ht="15" hidden="1" customHeight="1">
      <c r="A1745" s="250"/>
      <c r="B1745" s="251"/>
      <c r="C1745" s="540"/>
      <c r="D1745" s="527" t="s">
        <v>458</v>
      </c>
      <c r="E1745" s="251" t="s">
        <v>1902</v>
      </c>
      <c r="F1745" s="252"/>
      <c r="G1745" s="253"/>
      <c r="H1745" s="254"/>
      <c r="I1745" s="253"/>
      <c r="J1745" s="253"/>
      <c r="K1745" s="251" t="s">
        <v>1902</v>
      </c>
      <c r="L1745" s="262"/>
      <c r="M1745" s="258"/>
      <c r="N1745" s="257"/>
      <c r="O1745" s="258"/>
      <c r="P1745" s="257"/>
      <c r="Q1745" s="258"/>
      <c r="R1745" s="257"/>
      <c r="S1745" s="258"/>
      <c r="T1745" s="257"/>
      <c r="U1745" s="258"/>
      <c r="V1745" s="257"/>
      <c r="W1745" s="258"/>
      <c r="X1745" s="257"/>
      <c r="Y1745" s="258"/>
      <c r="Z1745" s="257"/>
    </row>
    <row r="1746" spans="1:26" ht="15" hidden="1" customHeight="1">
      <c r="A1746" s="250"/>
      <c r="B1746" s="251"/>
      <c r="C1746" s="540"/>
      <c r="D1746" s="335"/>
      <c r="E1746" s="251"/>
      <c r="F1746" s="252"/>
      <c r="G1746" s="253"/>
      <c r="H1746" s="254"/>
      <c r="I1746" s="253"/>
      <c r="J1746" s="253"/>
      <c r="K1746" s="251"/>
      <c r="L1746" s="262"/>
      <c r="M1746" s="258"/>
      <c r="N1746" s="257"/>
      <c r="O1746" s="258"/>
      <c r="P1746" s="257"/>
      <c r="Q1746" s="258"/>
      <c r="R1746" s="257"/>
      <c r="S1746" s="258"/>
      <c r="T1746" s="257"/>
      <c r="U1746" s="258"/>
      <c r="V1746" s="257"/>
      <c r="W1746" s="258"/>
      <c r="X1746" s="257"/>
      <c r="Y1746" s="258"/>
      <c r="Z1746" s="257"/>
    </row>
    <row r="1747" spans="1:26" ht="15" hidden="1" customHeight="1">
      <c r="A1747" s="250">
        <f>A1744+1</f>
        <v>313</v>
      </c>
      <c r="B1747" s="251"/>
      <c r="C1747" s="540" t="s">
        <v>1068</v>
      </c>
      <c r="D1747" s="527" t="s">
        <v>580</v>
      </c>
      <c r="E1747" s="251" t="s">
        <v>2475</v>
      </c>
      <c r="F1747" s="252"/>
      <c r="G1747" s="253"/>
      <c r="H1747" s="254">
        <f>F1747*G1747</f>
        <v>0</v>
      </c>
      <c r="I1747" s="253"/>
      <c r="J1747" s="253"/>
      <c r="K1747" s="251" t="s">
        <v>2475</v>
      </c>
      <c r="L1747" s="262">
        <f>28.36+19.42+4*(22.28+38.06)/35</f>
        <v>54.676000000000002</v>
      </c>
      <c r="M1747" s="258">
        <v>0</v>
      </c>
      <c r="N1747" s="257">
        <f>INT($L1747*M1747*100+0.5)/100</f>
        <v>0</v>
      </c>
      <c r="O1747" s="258">
        <v>0</v>
      </c>
      <c r="P1747" s="257">
        <f>INT($L1747*O1747*100+0.5)/100</f>
        <v>0</v>
      </c>
      <c r="Q1747" s="258">
        <v>0</v>
      </c>
      <c r="R1747" s="257">
        <f>INT($L1747*Q1747*100+0.5)/100</f>
        <v>0</v>
      </c>
      <c r="S1747" s="258">
        <v>0</v>
      </c>
      <c r="T1747" s="257">
        <f>INT($L1747*S1747*100+0.5)/100</f>
        <v>0</v>
      </c>
      <c r="U1747" s="258">
        <v>0</v>
      </c>
      <c r="V1747" s="257">
        <f>INT($L1747*U1747*100+0.5)/100</f>
        <v>0</v>
      </c>
      <c r="W1747" s="258">
        <v>0</v>
      </c>
      <c r="X1747" s="257">
        <f>INT($L1747*W1747*100+0.5)/100</f>
        <v>0</v>
      </c>
      <c r="Y1747" s="258">
        <v>0</v>
      </c>
      <c r="Z1747" s="257">
        <f>INT($L1747*Y1747*100+0.5)/100</f>
        <v>0</v>
      </c>
    </row>
    <row r="1748" spans="1:26" ht="15" hidden="1" customHeight="1">
      <c r="A1748" s="250"/>
      <c r="B1748" s="251"/>
      <c r="C1748" s="540"/>
      <c r="D1748" s="527" t="s">
        <v>579</v>
      </c>
      <c r="E1748" s="251" t="s">
        <v>2475</v>
      </c>
      <c r="F1748" s="252"/>
      <c r="G1748" s="253"/>
      <c r="H1748" s="254"/>
      <c r="I1748" s="253"/>
      <c r="J1748" s="253"/>
      <c r="K1748" s="251" t="s">
        <v>2475</v>
      </c>
      <c r="L1748" s="262"/>
      <c r="M1748" s="258"/>
      <c r="N1748" s="257"/>
      <c r="O1748" s="258"/>
      <c r="P1748" s="257"/>
      <c r="Q1748" s="258"/>
      <c r="R1748" s="257"/>
      <c r="S1748" s="258"/>
      <c r="T1748" s="257"/>
      <c r="U1748" s="258"/>
      <c r="V1748" s="257"/>
      <c r="W1748" s="258"/>
      <c r="X1748" s="257"/>
      <c r="Y1748" s="258"/>
      <c r="Z1748" s="257"/>
    </row>
    <row r="1749" spans="1:26" ht="15" hidden="1" customHeight="1">
      <c r="A1749" s="250"/>
      <c r="B1749" s="251"/>
      <c r="C1749" s="540"/>
      <c r="D1749" s="335"/>
      <c r="E1749" s="251"/>
      <c r="F1749" s="252"/>
      <c r="G1749" s="253"/>
      <c r="H1749" s="254"/>
      <c r="I1749" s="253"/>
      <c r="J1749" s="253"/>
      <c r="K1749" s="251"/>
      <c r="L1749" s="262"/>
      <c r="M1749" s="258"/>
      <c r="N1749" s="257"/>
      <c r="O1749" s="258"/>
      <c r="P1749" s="257"/>
      <c r="Q1749" s="258"/>
      <c r="R1749" s="257"/>
      <c r="S1749" s="258"/>
      <c r="T1749" s="257"/>
      <c r="U1749" s="258"/>
      <c r="V1749" s="257"/>
      <c r="W1749" s="258"/>
      <c r="X1749" s="257"/>
      <c r="Y1749" s="258"/>
      <c r="Z1749" s="257"/>
    </row>
    <row r="1750" spans="1:26" ht="15" hidden="1" customHeight="1">
      <c r="A1750" s="561"/>
      <c r="B1750" s="251"/>
      <c r="C1750" s="540" t="s">
        <v>1074</v>
      </c>
      <c r="D1750" s="527" t="s">
        <v>1773</v>
      </c>
      <c r="E1750" s="251" t="s">
        <v>2475</v>
      </c>
      <c r="F1750" s="252"/>
      <c r="G1750" s="253"/>
      <c r="H1750" s="254"/>
      <c r="I1750" s="253"/>
      <c r="J1750" s="253"/>
      <c r="K1750" s="251" t="s">
        <v>2475</v>
      </c>
      <c r="L1750" s="262"/>
      <c r="M1750" s="258"/>
      <c r="N1750" s="257"/>
      <c r="O1750" s="258"/>
      <c r="P1750" s="257"/>
      <c r="Q1750" s="258"/>
      <c r="R1750" s="257"/>
      <c r="S1750" s="258"/>
      <c r="T1750" s="257"/>
      <c r="U1750" s="258"/>
      <c r="V1750" s="257"/>
      <c r="W1750" s="258"/>
      <c r="X1750" s="257"/>
      <c r="Y1750" s="258"/>
      <c r="Z1750" s="257"/>
    </row>
    <row r="1751" spans="1:26" ht="15" hidden="1" customHeight="1">
      <c r="A1751" s="250"/>
      <c r="B1751" s="251"/>
      <c r="C1751" s="540"/>
      <c r="D1751" s="527" t="s">
        <v>1376</v>
      </c>
      <c r="E1751" s="251" t="s">
        <v>2475</v>
      </c>
      <c r="F1751" s="252"/>
      <c r="G1751" s="253"/>
      <c r="H1751" s="254"/>
      <c r="I1751" s="253"/>
      <c r="J1751" s="253"/>
      <c r="K1751" s="251" t="s">
        <v>2475</v>
      </c>
      <c r="L1751" s="262"/>
      <c r="M1751" s="258"/>
      <c r="N1751" s="257"/>
      <c r="O1751" s="258"/>
      <c r="P1751" s="257"/>
      <c r="Q1751" s="258"/>
      <c r="R1751" s="257"/>
      <c r="S1751" s="258"/>
      <c r="T1751" s="257"/>
      <c r="U1751" s="258"/>
      <c r="V1751" s="257"/>
      <c r="W1751" s="258"/>
      <c r="X1751" s="257"/>
      <c r="Y1751" s="258"/>
      <c r="Z1751" s="257"/>
    </row>
    <row r="1752" spans="1:26" ht="15" hidden="1" customHeight="1">
      <c r="A1752" s="250">
        <f>A1747+1</f>
        <v>314</v>
      </c>
      <c r="B1752" s="251"/>
      <c r="C1752" s="540"/>
      <c r="D1752" s="335" t="s">
        <v>2114</v>
      </c>
      <c r="E1752" s="251"/>
      <c r="F1752" s="252"/>
      <c r="G1752" s="253"/>
      <c r="H1752" s="254">
        <f>F1752*G1752</f>
        <v>0</v>
      </c>
      <c r="I1752" s="253"/>
      <c r="J1752" s="253"/>
      <c r="K1752" s="251"/>
      <c r="L1752" s="262">
        <f>78+(96/6+60/6)</f>
        <v>104</v>
      </c>
      <c r="M1752" s="258">
        <v>0</v>
      </c>
      <c r="N1752" s="257">
        <f>INT($L1752*M1752*100+0.5)/100</f>
        <v>0</v>
      </c>
      <c r="O1752" s="258">
        <v>0</v>
      </c>
      <c r="P1752" s="257">
        <f>INT($L1752*O1752*100+0.5)/100</f>
        <v>0</v>
      </c>
      <c r="Q1752" s="258">
        <v>0</v>
      </c>
      <c r="R1752" s="257">
        <f>INT($L1752*Q1752*100+0.5)/100</f>
        <v>0</v>
      </c>
      <c r="S1752" s="258">
        <v>0</v>
      </c>
      <c r="T1752" s="257">
        <f>INT($L1752*S1752*100+0.5)/100</f>
        <v>0</v>
      </c>
      <c r="U1752" s="258">
        <v>0</v>
      </c>
      <c r="V1752" s="257">
        <f>INT($L1752*U1752*100+0.5)/100</f>
        <v>0</v>
      </c>
      <c r="W1752" s="258">
        <v>0</v>
      </c>
      <c r="X1752" s="257">
        <f>INT($L1752*W1752*100+0.5)/100</f>
        <v>0</v>
      </c>
      <c r="Y1752" s="258">
        <v>0</v>
      </c>
      <c r="Z1752" s="257">
        <f>INT($L1752*Y1752*100+0.5)/100</f>
        <v>0</v>
      </c>
    </row>
    <row r="1753" spans="1:26" ht="15" hidden="1" customHeight="1">
      <c r="A1753" s="250"/>
      <c r="B1753" s="251"/>
      <c r="C1753" s="540"/>
      <c r="D1753" s="335"/>
      <c r="E1753" s="251"/>
      <c r="F1753" s="252"/>
      <c r="G1753" s="253"/>
      <c r="H1753" s="254"/>
      <c r="I1753" s="253"/>
      <c r="J1753" s="253"/>
      <c r="K1753" s="251"/>
      <c r="L1753" s="262"/>
      <c r="M1753" s="258"/>
      <c r="N1753" s="257"/>
      <c r="O1753" s="258"/>
      <c r="P1753" s="257"/>
      <c r="Q1753" s="258"/>
      <c r="R1753" s="257"/>
      <c r="S1753" s="258"/>
      <c r="T1753" s="257"/>
      <c r="U1753" s="258"/>
      <c r="V1753" s="257"/>
      <c r="W1753" s="258"/>
      <c r="X1753" s="257"/>
      <c r="Y1753" s="258"/>
      <c r="Z1753" s="257"/>
    </row>
    <row r="1754" spans="1:26" ht="15" hidden="1" customHeight="1">
      <c r="A1754" s="561"/>
      <c r="B1754" s="251"/>
      <c r="C1754" s="540" t="s">
        <v>1075</v>
      </c>
      <c r="D1754" s="527" t="s">
        <v>1772</v>
      </c>
      <c r="E1754" s="251" t="s">
        <v>2475</v>
      </c>
      <c r="F1754" s="252"/>
      <c r="G1754" s="253"/>
      <c r="H1754" s="254"/>
      <c r="I1754" s="253"/>
      <c r="J1754" s="253"/>
      <c r="K1754" s="251" t="s">
        <v>2475</v>
      </c>
      <c r="L1754" s="262"/>
      <c r="M1754" s="258"/>
      <c r="N1754" s="257"/>
      <c r="O1754" s="258"/>
      <c r="P1754" s="257"/>
      <c r="Q1754" s="258"/>
      <c r="R1754" s="257"/>
      <c r="S1754" s="258"/>
      <c r="T1754" s="257"/>
      <c r="U1754" s="258"/>
      <c r="V1754" s="257"/>
      <c r="W1754" s="258"/>
      <c r="X1754" s="257"/>
      <c r="Y1754" s="258"/>
      <c r="Z1754" s="257"/>
    </row>
    <row r="1755" spans="1:26" ht="15" hidden="1" customHeight="1">
      <c r="A1755" s="250"/>
      <c r="B1755" s="251"/>
      <c r="C1755" s="540"/>
      <c r="D1755" s="527" t="s">
        <v>1377</v>
      </c>
      <c r="E1755" s="251" t="s">
        <v>2475</v>
      </c>
      <c r="F1755" s="252"/>
      <c r="G1755" s="253"/>
      <c r="H1755" s="254"/>
      <c r="I1755" s="253"/>
      <c r="J1755" s="253"/>
      <c r="K1755" s="251" t="s">
        <v>2475</v>
      </c>
      <c r="L1755" s="262"/>
      <c r="M1755" s="258"/>
      <c r="N1755" s="257"/>
      <c r="O1755" s="258"/>
      <c r="P1755" s="257"/>
      <c r="Q1755" s="258"/>
      <c r="R1755" s="257"/>
      <c r="S1755" s="258"/>
      <c r="T1755" s="257"/>
      <c r="U1755" s="258"/>
      <c r="V1755" s="257"/>
      <c r="W1755" s="258"/>
      <c r="X1755" s="257"/>
      <c r="Y1755" s="258"/>
      <c r="Z1755" s="257"/>
    </row>
    <row r="1756" spans="1:26" ht="15" hidden="1" customHeight="1">
      <c r="A1756" s="250">
        <f>A1752+1</f>
        <v>315</v>
      </c>
      <c r="B1756" s="251"/>
      <c r="C1756" s="540" t="s">
        <v>2397</v>
      </c>
      <c r="D1756" s="335" t="s">
        <v>2114</v>
      </c>
      <c r="E1756" s="251"/>
      <c r="F1756" s="252"/>
      <c r="G1756" s="253"/>
      <c r="H1756" s="254">
        <f>F1756*G1756</f>
        <v>0</v>
      </c>
      <c r="I1756" s="253"/>
      <c r="J1756" s="253"/>
      <c r="K1756" s="251"/>
      <c r="L1756" s="262">
        <f>2.5*96</f>
        <v>240</v>
      </c>
      <c r="M1756" s="258">
        <v>0</v>
      </c>
      <c r="N1756" s="257">
        <f>INT($L1756*M1756*100+0.5)/100</f>
        <v>0</v>
      </c>
      <c r="O1756" s="258">
        <v>0</v>
      </c>
      <c r="P1756" s="257">
        <f>INT($L1756*O1756*100+0.5)/100</f>
        <v>0</v>
      </c>
      <c r="Q1756" s="258">
        <v>0</v>
      </c>
      <c r="R1756" s="257">
        <f>INT($L1756*Q1756*100+0.5)/100</f>
        <v>0</v>
      </c>
      <c r="S1756" s="258">
        <v>0</v>
      </c>
      <c r="T1756" s="257">
        <f>INT($L1756*S1756*100+0.5)/100</f>
        <v>0</v>
      </c>
      <c r="U1756" s="258">
        <v>0</v>
      </c>
      <c r="V1756" s="257">
        <f>INT($L1756*U1756*100+0.5)/100</f>
        <v>0</v>
      </c>
      <c r="W1756" s="258">
        <v>0</v>
      </c>
      <c r="X1756" s="257">
        <f>INT($L1756*W1756*100+0.5)/100</f>
        <v>0</v>
      </c>
      <c r="Y1756" s="258">
        <v>0</v>
      </c>
      <c r="Z1756" s="257">
        <f>INT($L1756*Y1756*100+0.5)/100</f>
        <v>0</v>
      </c>
    </row>
    <row r="1757" spans="1:26" ht="15" hidden="1" customHeight="1">
      <c r="A1757" s="250"/>
      <c r="B1757" s="251"/>
      <c r="C1757" s="540"/>
      <c r="D1757" s="335"/>
      <c r="E1757" s="251"/>
      <c r="F1757" s="252"/>
      <c r="G1757" s="253"/>
      <c r="H1757" s="254"/>
      <c r="I1757" s="253"/>
      <c r="J1757" s="253"/>
      <c r="K1757" s="251"/>
      <c r="L1757" s="262"/>
      <c r="M1757" s="258"/>
      <c r="N1757" s="257"/>
      <c r="O1757" s="258"/>
      <c r="P1757" s="257"/>
      <c r="Q1757" s="258"/>
      <c r="R1757" s="257"/>
      <c r="S1757" s="258"/>
      <c r="T1757" s="257"/>
      <c r="U1757" s="258"/>
      <c r="V1757" s="257"/>
      <c r="W1757" s="258"/>
      <c r="X1757" s="257"/>
      <c r="Y1757" s="258"/>
      <c r="Z1757" s="257"/>
    </row>
    <row r="1758" spans="1:26" ht="15" hidden="1" customHeight="1">
      <c r="A1758" s="250">
        <f>A1756+1</f>
        <v>316</v>
      </c>
      <c r="B1758" s="251"/>
      <c r="C1758" s="540" t="s">
        <v>2391</v>
      </c>
      <c r="D1758" s="527" t="s">
        <v>1787</v>
      </c>
      <c r="E1758" s="251" t="s">
        <v>2475</v>
      </c>
      <c r="F1758" s="252"/>
      <c r="G1758" s="253"/>
      <c r="H1758" s="254"/>
      <c r="I1758" s="253"/>
      <c r="J1758" s="253"/>
      <c r="K1758" s="251" t="s">
        <v>2475</v>
      </c>
      <c r="L1758" s="262"/>
      <c r="M1758" s="258"/>
      <c r="N1758" s="257"/>
      <c r="O1758" s="258"/>
      <c r="P1758" s="257"/>
      <c r="Q1758" s="258"/>
      <c r="R1758" s="257"/>
      <c r="S1758" s="258"/>
      <c r="T1758" s="257"/>
      <c r="U1758" s="258"/>
      <c r="V1758" s="257"/>
      <c r="W1758" s="258"/>
      <c r="X1758" s="257"/>
      <c r="Y1758" s="258"/>
      <c r="Z1758" s="257"/>
    </row>
    <row r="1759" spans="1:26" ht="15" hidden="1" customHeight="1">
      <c r="A1759" s="250"/>
      <c r="B1759" s="251"/>
      <c r="C1759" s="540"/>
      <c r="D1759" s="527" t="s">
        <v>1786</v>
      </c>
      <c r="E1759" s="251" t="s">
        <v>2475</v>
      </c>
      <c r="F1759" s="252"/>
      <c r="G1759" s="253"/>
      <c r="H1759" s="254"/>
      <c r="I1759" s="253"/>
      <c r="J1759" s="253"/>
      <c r="K1759" s="251" t="s">
        <v>2475</v>
      </c>
      <c r="L1759" s="262"/>
      <c r="M1759" s="258"/>
      <c r="N1759" s="257"/>
      <c r="O1759" s="258"/>
      <c r="P1759" s="257"/>
      <c r="Q1759" s="258"/>
      <c r="R1759" s="257"/>
      <c r="S1759" s="258"/>
      <c r="T1759" s="257"/>
      <c r="U1759" s="258"/>
      <c r="V1759" s="257"/>
      <c r="W1759" s="258"/>
      <c r="X1759" s="257"/>
      <c r="Y1759" s="258"/>
      <c r="Z1759" s="257"/>
    </row>
    <row r="1760" spans="1:26" ht="15" hidden="1" customHeight="1">
      <c r="A1760" s="250" t="s">
        <v>1903</v>
      </c>
      <c r="B1760" s="251"/>
      <c r="C1760" s="540" t="s">
        <v>2393</v>
      </c>
      <c r="D1760" s="335" t="s">
        <v>1382</v>
      </c>
      <c r="E1760" s="251"/>
      <c r="F1760" s="252"/>
      <c r="G1760" s="253"/>
      <c r="H1760" s="254">
        <f>F1760*G1760</f>
        <v>0</v>
      </c>
      <c r="I1760" s="253"/>
      <c r="J1760" s="253"/>
      <c r="K1760" s="251"/>
      <c r="L1760" s="262">
        <v>12</v>
      </c>
      <c r="M1760" s="258">
        <v>0</v>
      </c>
      <c r="N1760" s="257">
        <f>INT($L1760*M1760*100+0.5)/100</f>
        <v>0</v>
      </c>
      <c r="O1760" s="258">
        <v>0</v>
      </c>
      <c r="P1760" s="257">
        <f>INT($L1760*O1760*100+0.5)/100</f>
        <v>0</v>
      </c>
      <c r="Q1760" s="258">
        <v>0</v>
      </c>
      <c r="R1760" s="257">
        <f>INT($L1760*Q1760*100+0.5)/100</f>
        <v>0</v>
      </c>
      <c r="S1760" s="258">
        <v>0</v>
      </c>
      <c r="T1760" s="257">
        <f>INT($L1760*S1760*100+0.5)/100</f>
        <v>0</v>
      </c>
      <c r="U1760" s="258">
        <v>0</v>
      </c>
      <c r="V1760" s="257">
        <f>INT($L1760*U1760*100+0.5)/100</f>
        <v>0</v>
      </c>
      <c r="W1760" s="258">
        <v>0</v>
      </c>
      <c r="X1760" s="257">
        <f>INT($L1760*W1760*100+0.5)/100</f>
        <v>0</v>
      </c>
      <c r="Y1760" s="258">
        <v>0</v>
      </c>
      <c r="Z1760" s="257">
        <f>INT($L1760*Y1760*100+0.5)/100</f>
        <v>0</v>
      </c>
    </row>
    <row r="1761" spans="1:26" ht="15" hidden="1" customHeight="1">
      <c r="A1761" s="250" t="s">
        <v>1905</v>
      </c>
      <c r="B1761" s="251"/>
      <c r="C1761" s="540" t="s">
        <v>2394</v>
      </c>
      <c r="D1761" s="335" t="s">
        <v>1384</v>
      </c>
      <c r="E1761" s="251"/>
      <c r="F1761" s="252"/>
      <c r="G1761" s="253"/>
      <c r="H1761" s="254">
        <f>F1761*G1761</f>
        <v>0</v>
      </c>
      <c r="I1761" s="225"/>
      <c r="J1761" s="225"/>
      <c r="K1761" s="251"/>
      <c r="L1761" s="262">
        <v>40</v>
      </c>
      <c r="M1761" s="258">
        <v>0</v>
      </c>
      <c r="N1761" s="257">
        <f>INT($L1761*M1761*100+0.5)/100</f>
        <v>0</v>
      </c>
      <c r="O1761" s="258">
        <v>0</v>
      </c>
      <c r="P1761" s="257">
        <f>INT($L1761*O1761*100+0.5)/100</f>
        <v>0</v>
      </c>
      <c r="Q1761" s="258">
        <v>0</v>
      </c>
      <c r="R1761" s="257">
        <f>INT($L1761*Q1761*100+0.5)/100</f>
        <v>0</v>
      </c>
      <c r="S1761" s="258">
        <v>0</v>
      </c>
      <c r="T1761" s="257">
        <f>INT($L1761*S1761*100+0.5)/100</f>
        <v>0</v>
      </c>
      <c r="U1761" s="258">
        <v>0</v>
      </c>
      <c r="V1761" s="257">
        <f>INT($L1761*U1761*100+0.5)/100</f>
        <v>0</v>
      </c>
      <c r="W1761" s="258">
        <v>0</v>
      </c>
      <c r="X1761" s="257">
        <f>INT($L1761*W1761*100+0.5)/100</f>
        <v>0</v>
      </c>
      <c r="Y1761" s="258">
        <v>0</v>
      </c>
      <c r="Z1761" s="257">
        <f>INT($L1761*Y1761*100+0.5)/100</f>
        <v>0</v>
      </c>
    </row>
    <row r="1762" spans="1:26" ht="15" hidden="1" customHeight="1">
      <c r="A1762" s="250" t="s">
        <v>1906</v>
      </c>
      <c r="B1762" s="251"/>
      <c r="C1762" s="540" t="s">
        <v>2395</v>
      </c>
      <c r="D1762" s="335" t="s">
        <v>510</v>
      </c>
      <c r="E1762" s="251"/>
      <c r="F1762" s="252"/>
      <c r="G1762" s="253"/>
      <c r="H1762" s="254">
        <f>F1762*G1762</f>
        <v>0</v>
      </c>
      <c r="I1762" s="225"/>
      <c r="J1762" s="225"/>
      <c r="K1762" s="251"/>
      <c r="L1762" s="262">
        <v>55</v>
      </c>
      <c r="M1762" s="258">
        <v>0</v>
      </c>
      <c r="N1762" s="257">
        <f>INT($L1762*M1762*100+0.5)/100</f>
        <v>0</v>
      </c>
      <c r="O1762" s="258">
        <v>0</v>
      </c>
      <c r="P1762" s="257">
        <f>INT($L1762*O1762*100+0.5)/100</f>
        <v>0</v>
      </c>
      <c r="Q1762" s="258">
        <v>0</v>
      </c>
      <c r="R1762" s="257">
        <f>INT($L1762*Q1762*100+0.5)/100</f>
        <v>0</v>
      </c>
      <c r="S1762" s="258">
        <v>0</v>
      </c>
      <c r="T1762" s="257">
        <f>INT($L1762*S1762*100+0.5)/100</f>
        <v>0</v>
      </c>
      <c r="U1762" s="258">
        <v>0</v>
      </c>
      <c r="V1762" s="257">
        <f>INT($L1762*U1762*100+0.5)/100</f>
        <v>0</v>
      </c>
      <c r="W1762" s="258">
        <v>0</v>
      </c>
      <c r="X1762" s="257">
        <f>INT($L1762*W1762*100+0.5)/100</f>
        <v>0</v>
      </c>
      <c r="Y1762" s="258">
        <v>0</v>
      </c>
      <c r="Z1762" s="257">
        <f>INT($L1762*Y1762*100+0.5)/100</f>
        <v>0</v>
      </c>
    </row>
    <row r="1763" spans="1:26" ht="15" hidden="1" customHeight="1">
      <c r="A1763" s="250" t="s">
        <v>1907</v>
      </c>
      <c r="B1763" s="251"/>
      <c r="C1763" s="540" t="s">
        <v>509</v>
      </c>
      <c r="D1763" s="335" t="s">
        <v>1383</v>
      </c>
      <c r="E1763" s="251"/>
      <c r="F1763" s="252"/>
      <c r="G1763" s="253"/>
      <c r="H1763" s="254">
        <f>F1763*G1763</f>
        <v>0</v>
      </c>
      <c r="I1763" s="253"/>
      <c r="J1763" s="253"/>
      <c r="K1763" s="251"/>
      <c r="L1763" s="262">
        <f>INT(150000/1936.27*100+0.5)/100</f>
        <v>77.47</v>
      </c>
      <c r="M1763" s="258">
        <v>0</v>
      </c>
      <c r="N1763" s="257">
        <f>INT($L1763*M1763*100+0.5)/100</f>
        <v>0</v>
      </c>
      <c r="O1763" s="258">
        <v>0</v>
      </c>
      <c r="P1763" s="257">
        <f>INT($L1763*O1763*100+0.5)/100</f>
        <v>0</v>
      </c>
      <c r="Q1763" s="258">
        <v>0</v>
      </c>
      <c r="R1763" s="257">
        <f>INT($L1763*Q1763*100+0.5)/100</f>
        <v>0</v>
      </c>
      <c r="S1763" s="258">
        <v>0</v>
      </c>
      <c r="T1763" s="257">
        <f>INT($L1763*S1763*100+0.5)/100</f>
        <v>0</v>
      </c>
      <c r="U1763" s="258">
        <v>0</v>
      </c>
      <c r="V1763" s="257">
        <f>INT($L1763*U1763*100+0.5)/100</f>
        <v>0</v>
      </c>
      <c r="W1763" s="258">
        <v>0</v>
      </c>
      <c r="X1763" s="257">
        <f>INT($L1763*W1763*100+0.5)/100</f>
        <v>0</v>
      </c>
      <c r="Y1763" s="258">
        <v>0</v>
      </c>
      <c r="Z1763" s="257">
        <f>INT($L1763*Y1763*100+0.5)/100</f>
        <v>0</v>
      </c>
    </row>
    <row r="1764" spans="1:26" ht="15" hidden="1" customHeight="1">
      <c r="A1764" s="250"/>
      <c r="B1764" s="251"/>
      <c r="C1764" s="540"/>
      <c r="D1764" s="335"/>
      <c r="E1764" s="251"/>
      <c r="F1764" s="252"/>
      <c r="G1764" s="253"/>
      <c r="H1764" s="254"/>
      <c r="I1764" s="253"/>
      <c r="J1764" s="253"/>
      <c r="K1764" s="251"/>
      <c r="L1764" s="262"/>
      <c r="M1764" s="258"/>
      <c r="N1764" s="257"/>
      <c r="O1764" s="258"/>
      <c r="P1764" s="257"/>
      <c r="Q1764" s="258"/>
      <c r="R1764" s="257"/>
      <c r="S1764" s="258"/>
      <c r="T1764" s="257"/>
      <c r="U1764" s="258"/>
      <c r="V1764" s="257"/>
      <c r="W1764" s="258"/>
      <c r="X1764" s="257"/>
      <c r="Y1764" s="258"/>
      <c r="Z1764" s="257"/>
    </row>
    <row r="1765" spans="1:26" ht="15" hidden="1" customHeight="1">
      <c r="A1765" s="250">
        <f>A1758+1</f>
        <v>317</v>
      </c>
      <c r="B1765" s="251">
        <v>69</v>
      </c>
      <c r="C1765" s="540" t="s">
        <v>2396</v>
      </c>
      <c r="D1765" s="527" t="s">
        <v>2186</v>
      </c>
      <c r="E1765" s="251" t="s">
        <v>1901</v>
      </c>
      <c r="F1765" s="252"/>
      <c r="G1765" s="253"/>
      <c r="H1765" s="254"/>
      <c r="I1765" s="253"/>
      <c r="J1765" s="253"/>
      <c r="K1765" s="251" t="s">
        <v>1901</v>
      </c>
      <c r="L1765" s="262"/>
      <c r="M1765" s="258"/>
      <c r="N1765" s="257"/>
      <c r="O1765" s="258"/>
      <c r="P1765" s="257"/>
      <c r="Q1765" s="258"/>
      <c r="R1765" s="257"/>
      <c r="S1765" s="258"/>
      <c r="T1765" s="257"/>
      <c r="U1765" s="258"/>
      <c r="V1765" s="257"/>
      <c r="W1765" s="258"/>
      <c r="X1765" s="257"/>
      <c r="Y1765" s="258"/>
      <c r="Z1765" s="257"/>
    </row>
    <row r="1766" spans="1:26" ht="15" hidden="1" customHeight="1">
      <c r="A1766" s="250"/>
      <c r="B1766" s="251"/>
      <c r="C1766" s="540"/>
      <c r="D1766" s="527" t="s">
        <v>2185</v>
      </c>
      <c r="E1766" s="251" t="s">
        <v>1902</v>
      </c>
      <c r="F1766" s="252"/>
      <c r="G1766" s="253"/>
      <c r="H1766" s="254"/>
      <c r="I1766" s="253"/>
      <c r="J1766" s="253"/>
      <c r="K1766" s="251" t="s">
        <v>1902</v>
      </c>
      <c r="L1766" s="262"/>
      <c r="M1766" s="258"/>
      <c r="N1766" s="257"/>
      <c r="O1766" s="258"/>
      <c r="P1766" s="257"/>
      <c r="Q1766" s="258"/>
      <c r="R1766" s="257"/>
      <c r="S1766" s="258"/>
      <c r="T1766" s="257"/>
      <c r="U1766" s="258"/>
      <c r="V1766" s="257"/>
      <c r="W1766" s="258"/>
      <c r="X1766" s="257"/>
      <c r="Y1766" s="258"/>
      <c r="Z1766" s="257"/>
    </row>
    <row r="1767" spans="1:26" ht="15" hidden="1" customHeight="1">
      <c r="A1767" s="331" t="s">
        <v>1903</v>
      </c>
      <c r="B1767" s="251" t="s">
        <v>1903</v>
      </c>
      <c r="C1767" s="540" t="s">
        <v>2398</v>
      </c>
      <c r="D1767" s="335" t="s">
        <v>2187</v>
      </c>
      <c r="E1767" s="251"/>
      <c r="F1767" s="252"/>
      <c r="G1767" s="253"/>
      <c r="H1767" s="254">
        <f>F1767*G1767</f>
        <v>0</v>
      </c>
      <c r="I1767" s="253"/>
      <c r="J1767" s="253"/>
      <c r="K1767" s="251"/>
      <c r="L1767" s="262">
        <v>115</v>
      </c>
      <c r="M1767" s="258">
        <v>0</v>
      </c>
      <c r="N1767" s="257">
        <f>INT($L1767*M1767*100+0.5)/100</f>
        <v>0</v>
      </c>
      <c r="O1767" s="258">
        <v>0</v>
      </c>
      <c r="P1767" s="257">
        <f>INT($L1767*O1767*100+0.5)/100</f>
        <v>0</v>
      </c>
      <c r="Q1767" s="258">
        <v>0</v>
      </c>
      <c r="R1767" s="257">
        <f>INT($L1767*Q1767*100+0.5)/100</f>
        <v>0</v>
      </c>
      <c r="S1767" s="258">
        <v>0</v>
      </c>
      <c r="T1767" s="257">
        <f>INT($L1767*S1767*100+0.5)/100</f>
        <v>0</v>
      </c>
      <c r="U1767" s="258">
        <v>0</v>
      </c>
      <c r="V1767" s="257">
        <f>INT($L1767*U1767*100+0.5)/100</f>
        <v>0</v>
      </c>
      <c r="W1767" s="258">
        <v>0</v>
      </c>
      <c r="X1767" s="257">
        <f>INT($L1767*W1767*100+0.5)/100</f>
        <v>0</v>
      </c>
      <c r="Y1767" s="258">
        <v>0</v>
      </c>
      <c r="Z1767" s="257">
        <f>INT($L1767*Y1767*100+0.5)/100</f>
        <v>0</v>
      </c>
    </row>
    <row r="1768" spans="1:26" ht="15" hidden="1" customHeight="1">
      <c r="A1768" s="331" t="s">
        <v>1905</v>
      </c>
      <c r="B1768" s="251" t="s">
        <v>1905</v>
      </c>
      <c r="C1768" s="540" t="s">
        <v>2399</v>
      </c>
      <c r="D1768" s="335" t="s">
        <v>2188</v>
      </c>
      <c r="E1768" s="251"/>
      <c r="F1768" s="252"/>
      <c r="G1768" s="253"/>
      <c r="H1768" s="254">
        <f>F1768*G1768</f>
        <v>0</v>
      </c>
      <c r="I1768" s="253"/>
      <c r="J1768" s="253"/>
      <c r="K1768" s="251"/>
      <c r="L1768" s="262">
        <v>155</v>
      </c>
      <c r="M1768" s="258">
        <v>0</v>
      </c>
      <c r="N1768" s="257">
        <f>INT($L1768*M1768*100+0.5)/100</f>
        <v>0</v>
      </c>
      <c r="O1768" s="258">
        <v>0</v>
      </c>
      <c r="P1768" s="257">
        <f>INT($L1768*O1768*100+0.5)/100</f>
        <v>0</v>
      </c>
      <c r="Q1768" s="258">
        <v>0</v>
      </c>
      <c r="R1768" s="257">
        <f>INT($L1768*Q1768*100+0.5)/100</f>
        <v>0</v>
      </c>
      <c r="S1768" s="258">
        <v>0</v>
      </c>
      <c r="T1768" s="257">
        <f>INT($L1768*S1768*100+0.5)/100</f>
        <v>0</v>
      </c>
      <c r="U1768" s="258">
        <v>0</v>
      </c>
      <c r="V1768" s="257">
        <f>INT($L1768*U1768*100+0.5)/100</f>
        <v>0</v>
      </c>
      <c r="W1768" s="258">
        <v>0</v>
      </c>
      <c r="X1768" s="257">
        <f>INT($L1768*W1768*100+0.5)/100</f>
        <v>0</v>
      </c>
      <c r="Y1768" s="258">
        <v>0</v>
      </c>
      <c r="Z1768" s="257">
        <f>INT($L1768*Y1768*100+0.5)/100</f>
        <v>0</v>
      </c>
    </row>
    <row r="1769" spans="1:26" ht="15" hidden="1" customHeight="1">
      <c r="A1769" s="331" t="s">
        <v>1906</v>
      </c>
      <c r="B1769" s="251"/>
      <c r="C1769" s="540" t="s">
        <v>2400</v>
      </c>
      <c r="D1769" s="335" t="s">
        <v>2189</v>
      </c>
      <c r="E1769" s="251"/>
      <c r="F1769" s="252"/>
      <c r="G1769" s="253"/>
      <c r="H1769" s="254">
        <f>F1769*G1769</f>
        <v>0</v>
      </c>
      <c r="I1769" s="253"/>
      <c r="J1769" s="253"/>
      <c r="K1769" s="251"/>
      <c r="L1769" s="262">
        <v>205</v>
      </c>
      <c r="M1769" s="258">
        <v>0</v>
      </c>
      <c r="N1769" s="257">
        <f>INT($L1769*M1769*100+0.5)/100</f>
        <v>0</v>
      </c>
      <c r="O1769" s="258">
        <v>0</v>
      </c>
      <c r="P1769" s="257">
        <f>INT($L1769*O1769*100+0.5)/100</f>
        <v>0</v>
      </c>
      <c r="Q1769" s="258">
        <v>0</v>
      </c>
      <c r="R1769" s="257">
        <f>INT($L1769*Q1769*100+0.5)/100</f>
        <v>0</v>
      </c>
      <c r="S1769" s="258">
        <v>0</v>
      </c>
      <c r="T1769" s="257">
        <f>INT($L1769*S1769*100+0.5)/100</f>
        <v>0</v>
      </c>
      <c r="U1769" s="258">
        <v>0</v>
      </c>
      <c r="V1769" s="257">
        <f>INT($L1769*U1769*100+0.5)/100</f>
        <v>0</v>
      </c>
      <c r="W1769" s="258">
        <v>0</v>
      </c>
      <c r="X1769" s="257">
        <f>INT($L1769*W1769*100+0.5)/100</f>
        <v>0</v>
      </c>
      <c r="Y1769" s="258">
        <v>0</v>
      </c>
      <c r="Z1769" s="257">
        <f>INT($L1769*Y1769*100+0.5)/100</f>
        <v>0</v>
      </c>
    </row>
    <row r="1770" spans="1:26" ht="15" hidden="1" customHeight="1">
      <c r="A1770" s="250"/>
      <c r="B1770" s="251"/>
      <c r="C1770" s="540"/>
      <c r="D1770" s="335"/>
      <c r="E1770" s="251"/>
      <c r="F1770" s="252"/>
      <c r="G1770" s="253"/>
      <c r="H1770" s="254"/>
      <c r="I1770" s="253"/>
      <c r="J1770" s="253"/>
      <c r="K1770" s="251"/>
      <c r="L1770" s="262"/>
      <c r="M1770" s="258"/>
      <c r="N1770" s="257"/>
      <c r="O1770" s="258"/>
      <c r="P1770" s="257"/>
      <c r="Q1770" s="258"/>
      <c r="R1770" s="257"/>
      <c r="S1770" s="258"/>
      <c r="T1770" s="257"/>
      <c r="U1770" s="258"/>
      <c r="V1770" s="257"/>
      <c r="W1770" s="258"/>
      <c r="X1770" s="257"/>
      <c r="Y1770" s="258"/>
      <c r="Z1770" s="257"/>
    </row>
    <row r="1771" spans="1:26" ht="15" hidden="1" customHeight="1">
      <c r="A1771" s="250">
        <f>A1765+1</f>
        <v>318</v>
      </c>
      <c r="B1771" s="251"/>
      <c r="C1771" s="540" t="s">
        <v>2401</v>
      </c>
      <c r="D1771" s="527" t="s">
        <v>1807</v>
      </c>
      <c r="E1771" s="251" t="s">
        <v>1901</v>
      </c>
      <c r="F1771" s="252"/>
      <c r="G1771" s="253"/>
      <c r="H1771" s="254">
        <f>F1771*G1771</f>
        <v>0</v>
      </c>
      <c r="I1771" s="253"/>
      <c r="J1771" s="253"/>
      <c r="K1771" s="251" t="s">
        <v>1901</v>
      </c>
      <c r="L1771" s="262">
        <f>160</f>
        <v>160</v>
      </c>
      <c r="M1771" s="258">
        <v>0</v>
      </c>
      <c r="N1771" s="257">
        <f>INT($L1771*M1771*100+0.5)/100</f>
        <v>0</v>
      </c>
      <c r="O1771" s="258">
        <v>0</v>
      </c>
      <c r="P1771" s="257">
        <f>INT($L1771*O1771*100+0.5)/100</f>
        <v>0</v>
      </c>
      <c r="Q1771" s="258">
        <v>0</v>
      </c>
      <c r="R1771" s="257">
        <f>INT($L1771*Q1771*100+0.5)/100</f>
        <v>0</v>
      </c>
      <c r="S1771" s="258">
        <v>0</v>
      </c>
      <c r="T1771" s="257">
        <f>INT($L1771*S1771*100+0.5)/100</f>
        <v>0</v>
      </c>
      <c r="U1771" s="258">
        <v>0</v>
      </c>
      <c r="V1771" s="257">
        <f>INT($L1771*U1771*100+0.5)/100</f>
        <v>0</v>
      </c>
      <c r="W1771" s="258">
        <v>0</v>
      </c>
      <c r="X1771" s="257">
        <f>INT($L1771*W1771*100+0.5)/100</f>
        <v>0</v>
      </c>
      <c r="Y1771" s="258">
        <v>0</v>
      </c>
      <c r="Z1771" s="257">
        <f>INT($L1771*Y1771*100+0.5)/100</f>
        <v>0</v>
      </c>
    </row>
    <row r="1772" spans="1:26" ht="15" hidden="1" customHeight="1">
      <c r="A1772" s="250"/>
      <c r="B1772" s="251"/>
      <c r="C1772" s="540"/>
      <c r="D1772" s="527" t="s">
        <v>2190</v>
      </c>
      <c r="E1772" s="251" t="s">
        <v>1902</v>
      </c>
      <c r="F1772" s="252"/>
      <c r="G1772" s="253"/>
      <c r="H1772" s="254"/>
      <c r="I1772" s="253"/>
      <c r="J1772" s="253"/>
      <c r="K1772" s="251" t="s">
        <v>1902</v>
      </c>
      <c r="L1772" s="262"/>
      <c r="M1772" s="258"/>
      <c r="N1772" s="257"/>
      <c r="O1772" s="258"/>
      <c r="P1772" s="257"/>
      <c r="Q1772" s="258"/>
      <c r="R1772" s="257"/>
      <c r="S1772" s="258"/>
      <c r="T1772" s="257"/>
      <c r="U1772" s="258"/>
      <c r="V1772" s="257"/>
      <c r="W1772" s="258"/>
      <c r="X1772" s="257"/>
      <c r="Y1772" s="258"/>
      <c r="Z1772" s="257"/>
    </row>
    <row r="1773" spans="1:26" ht="15" hidden="1" customHeight="1">
      <c r="A1773" s="250"/>
      <c r="B1773" s="251"/>
      <c r="C1773" s="540"/>
      <c r="D1773" s="335"/>
      <c r="E1773" s="251"/>
      <c r="F1773" s="252"/>
      <c r="G1773" s="253"/>
      <c r="H1773" s="254"/>
      <c r="I1773" s="253"/>
      <c r="J1773" s="253"/>
      <c r="K1773" s="251"/>
      <c r="L1773" s="262"/>
      <c r="M1773" s="258"/>
      <c r="N1773" s="257"/>
      <c r="O1773" s="258"/>
      <c r="P1773" s="257"/>
      <c r="Q1773" s="258"/>
      <c r="R1773" s="257"/>
      <c r="S1773" s="258"/>
      <c r="T1773" s="257"/>
      <c r="U1773" s="258"/>
      <c r="V1773" s="257"/>
      <c r="W1773" s="258"/>
      <c r="X1773" s="257"/>
      <c r="Y1773" s="258"/>
      <c r="Z1773" s="257"/>
    </row>
    <row r="1774" spans="1:26" ht="15" hidden="1" customHeight="1">
      <c r="A1774" s="264"/>
      <c r="B1774" s="265"/>
      <c r="C1774" s="342"/>
      <c r="D1774" s="343" t="s">
        <v>313</v>
      </c>
      <c r="E1774" s="265"/>
      <c r="F1774" s="268"/>
      <c r="G1774" s="253"/>
      <c r="H1774" s="263"/>
      <c r="I1774" s="391"/>
      <c r="J1774" s="391"/>
      <c r="K1774" s="265"/>
      <c r="L1774" s="344"/>
      <c r="M1774" s="273"/>
      <c r="N1774" s="345"/>
      <c r="O1774" s="273"/>
      <c r="P1774" s="345"/>
      <c r="Q1774" s="273"/>
      <c r="R1774" s="345"/>
      <c r="S1774" s="273"/>
      <c r="T1774" s="345"/>
      <c r="U1774" s="273"/>
      <c r="V1774" s="345"/>
      <c r="W1774" s="273"/>
      <c r="X1774" s="345"/>
      <c r="Y1774" s="273"/>
      <c r="Z1774" s="345"/>
    </row>
    <row r="1775" spans="1:26" ht="15" hidden="1" customHeight="1">
      <c r="A1775" s="250">
        <f>A1771+1</f>
        <v>319</v>
      </c>
      <c r="B1775" s="251"/>
      <c r="C1775" s="526" t="s">
        <v>2413</v>
      </c>
      <c r="D1775" s="527" t="s">
        <v>308</v>
      </c>
      <c r="E1775" s="251"/>
      <c r="F1775" s="252"/>
      <c r="G1775" s="253"/>
      <c r="H1775" s="254"/>
      <c r="I1775" s="225"/>
      <c r="J1775" s="225"/>
      <c r="K1775" s="251"/>
      <c r="L1775" s="262"/>
      <c r="M1775" s="316"/>
      <c r="N1775" s="257"/>
      <c r="O1775" s="316"/>
      <c r="P1775" s="257"/>
      <c r="Q1775" s="316"/>
      <c r="R1775" s="257"/>
      <c r="S1775" s="316"/>
      <c r="T1775" s="257"/>
      <c r="U1775" s="316"/>
      <c r="V1775" s="257"/>
      <c r="W1775" s="316"/>
      <c r="X1775" s="257"/>
      <c r="Y1775" s="316"/>
      <c r="Z1775" s="257"/>
    </row>
    <row r="1776" spans="1:26" ht="15" hidden="1" customHeight="1">
      <c r="A1776" s="250"/>
      <c r="B1776" s="251"/>
      <c r="C1776" s="326"/>
      <c r="D1776" s="527" t="s">
        <v>307</v>
      </c>
      <c r="E1776" s="251"/>
      <c r="F1776" s="252"/>
      <c r="G1776" s="253"/>
      <c r="H1776" s="254"/>
      <c r="I1776" s="225"/>
      <c r="J1776" s="225"/>
      <c r="K1776" s="251"/>
      <c r="L1776" s="262"/>
      <c r="M1776" s="316"/>
      <c r="N1776" s="257"/>
      <c r="O1776" s="316"/>
      <c r="P1776" s="257"/>
      <c r="Q1776" s="316"/>
      <c r="R1776" s="257"/>
      <c r="S1776" s="316"/>
      <c r="T1776" s="257"/>
      <c r="U1776" s="316"/>
      <c r="V1776" s="257"/>
      <c r="W1776" s="316"/>
      <c r="X1776" s="257"/>
      <c r="Y1776" s="316"/>
      <c r="Z1776" s="257"/>
    </row>
    <row r="1777" spans="1:26" ht="15" hidden="1" customHeight="1">
      <c r="A1777" s="250" t="s">
        <v>1903</v>
      </c>
      <c r="B1777" s="251"/>
      <c r="C1777" s="540" t="s">
        <v>2414</v>
      </c>
      <c r="D1777" s="335" t="s">
        <v>309</v>
      </c>
      <c r="E1777" s="251" t="s">
        <v>2475</v>
      </c>
      <c r="F1777" s="252"/>
      <c r="G1777" s="253"/>
      <c r="H1777" s="254">
        <f>F1777*G1777</f>
        <v>0</v>
      </c>
      <c r="I1777" s="225"/>
      <c r="J1777" s="225"/>
      <c r="K1777" s="251" t="s">
        <v>2475</v>
      </c>
      <c r="L1777" s="262">
        <f>INT((9.2+7.83/3)*1.1*100+0.5)/100</f>
        <v>12.99</v>
      </c>
      <c r="M1777" s="258">
        <v>0</v>
      </c>
      <c r="N1777" s="257">
        <f>INT($L1777*M1777*100+0.5)/100</f>
        <v>0</v>
      </c>
      <c r="O1777" s="258">
        <v>0</v>
      </c>
      <c r="P1777" s="257">
        <f>INT($L1777*O1777*100+0.5)/100</f>
        <v>0</v>
      </c>
      <c r="Q1777" s="258">
        <v>0</v>
      </c>
      <c r="R1777" s="257">
        <f>INT($L1777*Q1777*100+0.5)/100</f>
        <v>0</v>
      </c>
      <c r="S1777" s="258">
        <v>0</v>
      </c>
      <c r="T1777" s="257">
        <f>INT($L1777*S1777*100+0.5)/100</f>
        <v>0</v>
      </c>
      <c r="U1777" s="258">
        <v>0</v>
      </c>
      <c r="V1777" s="257">
        <f>INT($L1777*U1777*100+0.5)/100</f>
        <v>0</v>
      </c>
      <c r="W1777" s="258">
        <v>0</v>
      </c>
      <c r="X1777" s="257">
        <f>INT($L1777*W1777*100+0.5)/100</f>
        <v>0</v>
      </c>
      <c r="Y1777" s="258">
        <v>0</v>
      </c>
      <c r="Z1777" s="257">
        <f>INT($L1777*Y1777*100+0.5)/100</f>
        <v>0</v>
      </c>
    </row>
    <row r="1778" spans="1:26" ht="15" hidden="1" customHeight="1">
      <c r="A1778" s="250" t="s">
        <v>1905</v>
      </c>
      <c r="B1778" s="251"/>
      <c r="C1778" s="540" t="s">
        <v>2415</v>
      </c>
      <c r="D1778" s="335" t="s">
        <v>310</v>
      </c>
      <c r="E1778" s="251" t="s">
        <v>2475</v>
      </c>
      <c r="F1778" s="252"/>
      <c r="G1778" s="253"/>
      <c r="H1778" s="254">
        <f>F1778*G1778</f>
        <v>0</v>
      </c>
      <c r="I1778" s="225"/>
      <c r="J1778" s="225"/>
      <c r="K1778" s="251" t="s">
        <v>2475</v>
      </c>
      <c r="L1778" s="262">
        <f>INT((20.14+12.68/3)*1.1*100+0.5)/100</f>
        <v>26.8</v>
      </c>
      <c r="M1778" s="258">
        <v>0</v>
      </c>
      <c r="N1778" s="257">
        <f>INT($L1778*M1778*100+0.5)/100</f>
        <v>0</v>
      </c>
      <c r="O1778" s="258">
        <v>0</v>
      </c>
      <c r="P1778" s="257">
        <f>INT($L1778*O1778*100+0.5)/100</f>
        <v>0</v>
      </c>
      <c r="Q1778" s="258">
        <v>0</v>
      </c>
      <c r="R1778" s="257">
        <f>INT($L1778*Q1778*100+0.5)/100</f>
        <v>0</v>
      </c>
      <c r="S1778" s="258">
        <v>0</v>
      </c>
      <c r="T1778" s="257">
        <f>INT($L1778*S1778*100+0.5)/100</f>
        <v>0</v>
      </c>
      <c r="U1778" s="258">
        <v>0</v>
      </c>
      <c r="V1778" s="257">
        <f>INT($L1778*U1778*100+0.5)/100</f>
        <v>0</v>
      </c>
      <c r="W1778" s="258">
        <v>0</v>
      </c>
      <c r="X1778" s="257">
        <f>INT($L1778*W1778*100+0.5)/100</f>
        <v>0</v>
      </c>
      <c r="Y1778" s="258">
        <v>0</v>
      </c>
      <c r="Z1778" s="257">
        <f>INT($L1778*Y1778*100+0.5)/100</f>
        <v>0</v>
      </c>
    </row>
    <row r="1779" spans="1:26" ht="15" hidden="1" customHeight="1">
      <c r="A1779" s="250" t="s">
        <v>1906</v>
      </c>
      <c r="B1779" s="251"/>
      <c r="C1779" s="540" t="s">
        <v>2416</v>
      </c>
      <c r="D1779" s="335" t="s">
        <v>311</v>
      </c>
      <c r="E1779" s="251" t="s">
        <v>2475</v>
      </c>
      <c r="F1779" s="252"/>
      <c r="G1779" s="253"/>
      <c r="H1779" s="254">
        <f>F1779*G1779</f>
        <v>0</v>
      </c>
      <c r="I1779" s="225"/>
      <c r="J1779" s="225"/>
      <c r="K1779" s="251" t="s">
        <v>2475</v>
      </c>
      <c r="L1779" s="262">
        <f>INT((24.61+17.9/3)*1.1*100+0.5)/100</f>
        <v>33.630000000000003</v>
      </c>
      <c r="M1779" s="258">
        <v>0</v>
      </c>
      <c r="N1779" s="257">
        <f>INT($L1779*M1779*100+0.5)/100</f>
        <v>0</v>
      </c>
      <c r="O1779" s="258">
        <v>0</v>
      </c>
      <c r="P1779" s="257">
        <f>INT($L1779*O1779*100+0.5)/100</f>
        <v>0</v>
      </c>
      <c r="Q1779" s="258">
        <v>0</v>
      </c>
      <c r="R1779" s="257">
        <f>INT($L1779*Q1779*100+0.5)/100</f>
        <v>0</v>
      </c>
      <c r="S1779" s="258">
        <v>0</v>
      </c>
      <c r="T1779" s="257">
        <f>INT($L1779*S1779*100+0.5)/100</f>
        <v>0</v>
      </c>
      <c r="U1779" s="258">
        <v>0</v>
      </c>
      <c r="V1779" s="257">
        <f>INT($L1779*U1779*100+0.5)/100</f>
        <v>0</v>
      </c>
      <c r="W1779" s="258">
        <v>0</v>
      </c>
      <c r="X1779" s="257">
        <f>INT($L1779*W1779*100+0.5)/100</f>
        <v>0</v>
      </c>
      <c r="Y1779" s="258">
        <v>0</v>
      </c>
      <c r="Z1779" s="257">
        <f>INT($L1779*Y1779*100+0.5)/100</f>
        <v>0</v>
      </c>
    </row>
    <row r="1780" spans="1:26" ht="15" hidden="1" customHeight="1">
      <c r="A1780" s="250" t="s">
        <v>1907</v>
      </c>
      <c r="B1780" s="251"/>
      <c r="C1780" s="540" t="s">
        <v>2417</v>
      </c>
      <c r="D1780" s="335" t="s">
        <v>312</v>
      </c>
      <c r="E1780" s="251" t="s">
        <v>2475</v>
      </c>
      <c r="F1780" s="252"/>
      <c r="G1780" s="253"/>
      <c r="H1780" s="254">
        <f>F1780*G1780</f>
        <v>0</v>
      </c>
      <c r="I1780" s="225"/>
      <c r="J1780" s="225"/>
      <c r="K1780" s="251" t="s">
        <v>2475</v>
      </c>
      <c r="L1780" s="262">
        <f>INT((52.7+42.26/3)*1.1*100+0.5)/100</f>
        <v>73.47</v>
      </c>
      <c r="M1780" s="258">
        <v>0</v>
      </c>
      <c r="N1780" s="257">
        <f>INT($L1780*M1780*100+0.5)/100</f>
        <v>0</v>
      </c>
      <c r="O1780" s="258">
        <v>0</v>
      </c>
      <c r="P1780" s="257">
        <f>INT($L1780*O1780*100+0.5)/100</f>
        <v>0</v>
      </c>
      <c r="Q1780" s="258">
        <v>0</v>
      </c>
      <c r="R1780" s="257">
        <f>INT($L1780*Q1780*100+0.5)/100</f>
        <v>0</v>
      </c>
      <c r="S1780" s="258">
        <v>0</v>
      </c>
      <c r="T1780" s="257">
        <f>INT($L1780*S1780*100+0.5)/100</f>
        <v>0</v>
      </c>
      <c r="U1780" s="258">
        <v>0</v>
      </c>
      <c r="V1780" s="257">
        <f>INT($L1780*U1780*100+0.5)/100</f>
        <v>0</v>
      </c>
      <c r="W1780" s="258">
        <v>0</v>
      </c>
      <c r="X1780" s="257">
        <f>INT($L1780*W1780*100+0.5)/100</f>
        <v>0</v>
      </c>
      <c r="Y1780" s="258">
        <v>0</v>
      </c>
      <c r="Z1780" s="257">
        <f>INT($L1780*Y1780*100+0.5)/100</f>
        <v>0</v>
      </c>
    </row>
    <row r="1781" spans="1:26" ht="15" hidden="1" customHeight="1">
      <c r="A1781" s="250"/>
      <c r="B1781" s="251"/>
      <c r="C1781" s="540"/>
      <c r="D1781" s="335"/>
      <c r="E1781" s="251"/>
      <c r="F1781" s="252"/>
      <c r="G1781" s="253"/>
      <c r="H1781" s="254"/>
      <c r="I1781" s="225"/>
      <c r="J1781" s="225"/>
      <c r="K1781" s="251"/>
      <c r="L1781" s="262"/>
      <c r="M1781" s="316"/>
      <c r="N1781" s="257"/>
      <c r="O1781" s="316"/>
      <c r="P1781" s="257"/>
      <c r="Q1781" s="316"/>
      <c r="R1781" s="257"/>
      <c r="S1781" s="316"/>
      <c r="T1781" s="257"/>
      <c r="U1781" s="316"/>
      <c r="V1781" s="257"/>
      <c r="W1781" s="316"/>
      <c r="X1781" s="257"/>
      <c r="Y1781" s="316"/>
      <c r="Z1781" s="257"/>
    </row>
    <row r="1782" spans="1:26" ht="15" hidden="1" customHeight="1">
      <c r="A1782" s="250">
        <f>A1775+1</f>
        <v>320</v>
      </c>
      <c r="B1782" s="251">
        <v>64</v>
      </c>
      <c r="C1782" s="540" t="s">
        <v>1349</v>
      </c>
      <c r="D1782" s="527" t="s">
        <v>315</v>
      </c>
      <c r="E1782" s="251" t="s">
        <v>1901</v>
      </c>
      <c r="F1782" s="252"/>
      <c r="G1782" s="253"/>
      <c r="H1782" s="254"/>
      <c r="I1782" s="225"/>
      <c r="J1782" s="225"/>
      <c r="K1782" s="251" t="s">
        <v>1901</v>
      </c>
      <c r="L1782" s="262"/>
      <c r="M1782" s="258"/>
      <c r="N1782" s="257"/>
      <c r="O1782" s="258"/>
      <c r="P1782" s="257"/>
      <c r="Q1782" s="258"/>
      <c r="R1782" s="257"/>
      <c r="S1782" s="258"/>
      <c r="T1782" s="257"/>
      <c r="U1782" s="258"/>
      <c r="V1782" s="257"/>
      <c r="W1782" s="258"/>
      <c r="X1782" s="257"/>
      <c r="Y1782" s="258"/>
      <c r="Z1782" s="257"/>
    </row>
    <row r="1783" spans="1:26" ht="15" hidden="1" customHeight="1">
      <c r="A1783" s="250"/>
      <c r="B1783" s="251"/>
      <c r="C1783" s="540"/>
      <c r="D1783" s="527" t="s">
        <v>314</v>
      </c>
      <c r="E1783" s="251" t="s">
        <v>1902</v>
      </c>
      <c r="F1783" s="252"/>
      <c r="G1783" s="253"/>
      <c r="H1783" s="254"/>
      <c r="I1783" s="225"/>
      <c r="J1783" s="225"/>
      <c r="K1783" s="251" t="s">
        <v>1902</v>
      </c>
      <c r="L1783" s="262"/>
      <c r="M1783" s="258"/>
      <c r="N1783" s="257"/>
      <c r="O1783" s="258"/>
      <c r="P1783" s="257"/>
      <c r="Q1783" s="258"/>
      <c r="R1783" s="257"/>
      <c r="S1783" s="258"/>
      <c r="T1783" s="257"/>
      <c r="U1783" s="258"/>
      <c r="V1783" s="257"/>
      <c r="W1783" s="258"/>
      <c r="X1783" s="257"/>
      <c r="Y1783" s="258"/>
      <c r="Z1783" s="257"/>
    </row>
    <row r="1784" spans="1:26" ht="15" hidden="1" customHeight="1">
      <c r="A1784" s="250" t="s">
        <v>1903</v>
      </c>
      <c r="B1784" s="251"/>
      <c r="C1784" s="540" t="s">
        <v>1351</v>
      </c>
      <c r="D1784" s="335" t="s">
        <v>2151</v>
      </c>
      <c r="E1784" s="251"/>
      <c r="F1784" s="252"/>
      <c r="G1784" s="253"/>
      <c r="H1784" s="254">
        <f t="shared" ref="H1784:H1790" si="285">F1784*G1784</f>
        <v>0</v>
      </c>
      <c r="I1784" s="225"/>
      <c r="J1784" s="225"/>
      <c r="K1784" s="251"/>
      <c r="L1784" s="262">
        <v>800</v>
      </c>
      <c r="M1784" s="256">
        <v>0</v>
      </c>
      <c r="N1784" s="257">
        <f t="shared" ref="N1784:N1790" si="286">INT($L1784*M1784*100+0.5)/100</f>
        <v>0</v>
      </c>
      <c r="O1784" s="256">
        <v>0</v>
      </c>
      <c r="P1784" s="257">
        <f t="shared" ref="P1784:P1790" si="287">INT($L1784*O1784*100+0.5)/100</f>
        <v>0</v>
      </c>
      <c r="Q1784" s="256">
        <v>0</v>
      </c>
      <c r="R1784" s="257">
        <f t="shared" ref="R1784:R1790" si="288">INT($L1784*Q1784*100+0.5)/100</f>
        <v>0</v>
      </c>
      <c r="S1784" s="256">
        <v>0</v>
      </c>
      <c r="T1784" s="257">
        <f t="shared" ref="T1784:T1790" si="289">INT($L1784*S1784*100+0.5)/100</f>
        <v>0</v>
      </c>
      <c r="U1784" s="256">
        <v>0</v>
      </c>
      <c r="V1784" s="257">
        <f t="shared" ref="V1784:V1790" si="290">INT($L1784*U1784*100+0.5)/100</f>
        <v>0</v>
      </c>
      <c r="W1784" s="256">
        <v>0</v>
      </c>
      <c r="X1784" s="257">
        <f t="shared" ref="X1784:X1790" si="291">INT($L1784*W1784*100+0.5)/100</f>
        <v>0</v>
      </c>
      <c r="Y1784" s="256">
        <v>0</v>
      </c>
      <c r="Z1784" s="257">
        <f t="shared" ref="Z1784:Z1790" si="292">INT($L1784*Y1784*100+0.5)/100</f>
        <v>0</v>
      </c>
    </row>
    <row r="1785" spans="1:26" ht="15" hidden="1" customHeight="1">
      <c r="A1785" s="250" t="s">
        <v>316</v>
      </c>
      <c r="B1785" s="251"/>
      <c r="C1785" s="540" t="s">
        <v>1352</v>
      </c>
      <c r="D1785" s="335" t="s">
        <v>317</v>
      </c>
      <c r="E1785" s="251"/>
      <c r="F1785" s="252"/>
      <c r="G1785" s="253"/>
      <c r="H1785" s="254">
        <f>F1785*G1785</f>
        <v>0</v>
      </c>
      <c r="I1785" s="225"/>
      <c r="J1785" s="225"/>
      <c r="K1785" s="251"/>
      <c r="L1785" s="262">
        <v>815</v>
      </c>
      <c r="M1785" s="256">
        <v>0</v>
      </c>
      <c r="N1785" s="257">
        <f t="shared" si="286"/>
        <v>0</v>
      </c>
      <c r="O1785" s="256">
        <v>0</v>
      </c>
      <c r="P1785" s="257">
        <f t="shared" si="287"/>
        <v>0</v>
      </c>
      <c r="Q1785" s="256">
        <v>0</v>
      </c>
      <c r="R1785" s="257">
        <f t="shared" si="288"/>
        <v>0</v>
      </c>
      <c r="S1785" s="256">
        <v>0</v>
      </c>
      <c r="T1785" s="257">
        <f t="shared" si="289"/>
        <v>0</v>
      </c>
      <c r="U1785" s="256">
        <v>0</v>
      </c>
      <c r="V1785" s="257">
        <f t="shared" si="290"/>
        <v>0</v>
      </c>
      <c r="W1785" s="256">
        <v>0</v>
      </c>
      <c r="X1785" s="257">
        <f t="shared" si="291"/>
        <v>0</v>
      </c>
      <c r="Y1785" s="256">
        <v>0</v>
      </c>
      <c r="Z1785" s="257">
        <f t="shared" si="292"/>
        <v>0</v>
      </c>
    </row>
    <row r="1786" spans="1:26" ht="15" hidden="1" customHeight="1">
      <c r="A1786" s="250" t="s">
        <v>1905</v>
      </c>
      <c r="B1786" s="251" t="s">
        <v>1905</v>
      </c>
      <c r="C1786" s="540" t="s">
        <v>1353</v>
      </c>
      <c r="D1786" s="335" t="s">
        <v>293</v>
      </c>
      <c r="E1786" s="251"/>
      <c r="F1786" s="252"/>
      <c r="G1786" s="253"/>
      <c r="H1786" s="254">
        <f t="shared" si="285"/>
        <v>0</v>
      </c>
      <c r="I1786" s="225"/>
      <c r="J1786" s="225"/>
      <c r="K1786" s="251"/>
      <c r="L1786" s="262">
        <v>870</v>
      </c>
      <c r="M1786" s="256">
        <v>0</v>
      </c>
      <c r="N1786" s="257">
        <f t="shared" si="286"/>
        <v>0</v>
      </c>
      <c r="O1786" s="256">
        <v>0</v>
      </c>
      <c r="P1786" s="257">
        <f t="shared" si="287"/>
        <v>0</v>
      </c>
      <c r="Q1786" s="256">
        <v>0</v>
      </c>
      <c r="R1786" s="257">
        <f t="shared" si="288"/>
        <v>0</v>
      </c>
      <c r="S1786" s="256">
        <v>0</v>
      </c>
      <c r="T1786" s="257">
        <f t="shared" si="289"/>
        <v>0</v>
      </c>
      <c r="U1786" s="256">
        <v>0</v>
      </c>
      <c r="V1786" s="257">
        <f t="shared" si="290"/>
        <v>0</v>
      </c>
      <c r="W1786" s="256">
        <v>0</v>
      </c>
      <c r="X1786" s="257">
        <f t="shared" si="291"/>
        <v>0</v>
      </c>
      <c r="Y1786" s="256">
        <v>0</v>
      </c>
      <c r="Z1786" s="257">
        <f t="shared" si="292"/>
        <v>0</v>
      </c>
    </row>
    <row r="1787" spans="1:26" ht="15" hidden="1" customHeight="1">
      <c r="A1787" s="250" t="s">
        <v>1906</v>
      </c>
      <c r="B1787" s="251" t="s">
        <v>1906</v>
      </c>
      <c r="C1787" s="540" t="s">
        <v>1354</v>
      </c>
      <c r="D1787" s="335" t="s">
        <v>294</v>
      </c>
      <c r="E1787" s="251"/>
      <c r="F1787" s="252"/>
      <c r="G1787" s="253"/>
      <c r="H1787" s="254">
        <f t="shared" si="285"/>
        <v>0</v>
      </c>
      <c r="I1787" s="225"/>
      <c r="J1787" s="225"/>
      <c r="K1787" s="251"/>
      <c r="L1787" s="262">
        <v>1000</v>
      </c>
      <c r="M1787" s="256">
        <v>0</v>
      </c>
      <c r="N1787" s="257">
        <f t="shared" si="286"/>
        <v>0</v>
      </c>
      <c r="O1787" s="256">
        <v>0</v>
      </c>
      <c r="P1787" s="257">
        <f t="shared" si="287"/>
        <v>0</v>
      </c>
      <c r="Q1787" s="256">
        <v>0</v>
      </c>
      <c r="R1787" s="257">
        <f t="shared" si="288"/>
        <v>0</v>
      </c>
      <c r="S1787" s="256">
        <v>0</v>
      </c>
      <c r="T1787" s="257">
        <f t="shared" si="289"/>
        <v>0</v>
      </c>
      <c r="U1787" s="256">
        <v>0</v>
      </c>
      <c r="V1787" s="257">
        <f t="shared" si="290"/>
        <v>0</v>
      </c>
      <c r="W1787" s="256">
        <v>0</v>
      </c>
      <c r="X1787" s="257">
        <f t="shared" si="291"/>
        <v>0</v>
      </c>
      <c r="Y1787" s="256">
        <v>0</v>
      </c>
      <c r="Z1787" s="257">
        <f t="shared" si="292"/>
        <v>0</v>
      </c>
    </row>
    <row r="1788" spans="1:26" ht="15" hidden="1" customHeight="1">
      <c r="A1788" s="250" t="s">
        <v>1907</v>
      </c>
      <c r="B1788" s="251" t="s">
        <v>1907</v>
      </c>
      <c r="C1788" s="540" t="s">
        <v>1355</v>
      </c>
      <c r="D1788" s="335" t="s">
        <v>305</v>
      </c>
      <c r="E1788" s="251"/>
      <c r="F1788" s="252"/>
      <c r="G1788" s="253"/>
      <c r="H1788" s="254">
        <f t="shared" si="285"/>
        <v>0</v>
      </c>
      <c r="I1788" s="225"/>
      <c r="J1788" s="225"/>
      <c r="K1788" s="251"/>
      <c r="L1788" s="262">
        <v>1020</v>
      </c>
      <c r="M1788" s="256">
        <v>0</v>
      </c>
      <c r="N1788" s="257">
        <f t="shared" si="286"/>
        <v>0</v>
      </c>
      <c r="O1788" s="256">
        <v>0</v>
      </c>
      <c r="P1788" s="257">
        <f t="shared" si="287"/>
        <v>0</v>
      </c>
      <c r="Q1788" s="256">
        <v>0</v>
      </c>
      <c r="R1788" s="257">
        <f t="shared" si="288"/>
        <v>0</v>
      </c>
      <c r="S1788" s="256">
        <v>0</v>
      </c>
      <c r="T1788" s="257">
        <f t="shared" si="289"/>
        <v>0</v>
      </c>
      <c r="U1788" s="256">
        <v>0</v>
      </c>
      <c r="V1788" s="257">
        <f t="shared" si="290"/>
        <v>0</v>
      </c>
      <c r="W1788" s="256">
        <v>0</v>
      </c>
      <c r="X1788" s="257">
        <f t="shared" si="291"/>
        <v>0</v>
      </c>
      <c r="Y1788" s="256">
        <v>0</v>
      </c>
      <c r="Z1788" s="257">
        <f t="shared" si="292"/>
        <v>0</v>
      </c>
    </row>
    <row r="1789" spans="1:26" ht="15" hidden="1" customHeight="1">
      <c r="A1789" s="250" t="s">
        <v>542</v>
      </c>
      <c r="B1789" s="251"/>
      <c r="C1789" s="540" t="s">
        <v>1356</v>
      </c>
      <c r="D1789" s="335" t="s">
        <v>306</v>
      </c>
      <c r="E1789" s="251"/>
      <c r="F1789" s="252"/>
      <c r="G1789" s="253"/>
      <c r="H1789" s="254">
        <f t="shared" si="285"/>
        <v>0</v>
      </c>
      <c r="I1789" s="225"/>
      <c r="J1789" s="225"/>
      <c r="K1789" s="251"/>
      <c r="L1789" s="262">
        <v>1240</v>
      </c>
      <c r="M1789" s="256">
        <v>0</v>
      </c>
      <c r="N1789" s="257">
        <f t="shared" si="286"/>
        <v>0</v>
      </c>
      <c r="O1789" s="256">
        <v>0</v>
      </c>
      <c r="P1789" s="257">
        <f t="shared" si="287"/>
        <v>0</v>
      </c>
      <c r="Q1789" s="256">
        <v>0</v>
      </c>
      <c r="R1789" s="257">
        <f t="shared" si="288"/>
        <v>0</v>
      </c>
      <c r="S1789" s="256">
        <v>0</v>
      </c>
      <c r="T1789" s="257">
        <f t="shared" si="289"/>
        <v>0</v>
      </c>
      <c r="U1789" s="256">
        <v>0</v>
      </c>
      <c r="V1789" s="257">
        <f t="shared" si="290"/>
        <v>0</v>
      </c>
      <c r="W1789" s="256">
        <v>0</v>
      </c>
      <c r="X1789" s="257">
        <f t="shared" si="291"/>
        <v>0</v>
      </c>
      <c r="Y1789" s="256">
        <v>0</v>
      </c>
      <c r="Z1789" s="257">
        <f t="shared" si="292"/>
        <v>0</v>
      </c>
    </row>
    <row r="1790" spans="1:26" ht="15" hidden="1" customHeight="1">
      <c r="A1790" s="250" t="s">
        <v>543</v>
      </c>
      <c r="B1790" s="251"/>
      <c r="C1790" s="540" t="s">
        <v>1357</v>
      </c>
      <c r="D1790" s="335" t="s">
        <v>1393</v>
      </c>
      <c r="E1790" s="251"/>
      <c r="F1790" s="252"/>
      <c r="G1790" s="253"/>
      <c r="H1790" s="254">
        <f t="shared" si="285"/>
        <v>0</v>
      </c>
      <c r="I1790" s="225"/>
      <c r="J1790" s="225"/>
      <c r="K1790" s="251"/>
      <c r="L1790" s="262">
        <v>1630</v>
      </c>
      <c r="M1790" s="256">
        <v>0</v>
      </c>
      <c r="N1790" s="257">
        <f t="shared" si="286"/>
        <v>0</v>
      </c>
      <c r="O1790" s="256">
        <v>0</v>
      </c>
      <c r="P1790" s="257">
        <f t="shared" si="287"/>
        <v>0</v>
      </c>
      <c r="Q1790" s="256">
        <v>0</v>
      </c>
      <c r="R1790" s="257">
        <f t="shared" si="288"/>
        <v>0</v>
      </c>
      <c r="S1790" s="256">
        <v>0</v>
      </c>
      <c r="T1790" s="257">
        <f t="shared" si="289"/>
        <v>0</v>
      </c>
      <c r="U1790" s="256">
        <v>0</v>
      </c>
      <c r="V1790" s="257">
        <f t="shared" si="290"/>
        <v>0</v>
      </c>
      <c r="W1790" s="256">
        <v>0</v>
      </c>
      <c r="X1790" s="257">
        <f t="shared" si="291"/>
        <v>0</v>
      </c>
      <c r="Y1790" s="256">
        <v>0</v>
      </c>
      <c r="Z1790" s="257">
        <f t="shared" si="292"/>
        <v>0</v>
      </c>
    </row>
    <row r="1791" spans="1:26" ht="15" hidden="1" customHeight="1">
      <c r="A1791" s="250"/>
      <c r="B1791" s="251"/>
      <c r="C1791" s="540"/>
      <c r="D1791" s="335"/>
      <c r="E1791" s="251"/>
      <c r="F1791" s="252"/>
      <c r="G1791" s="253"/>
      <c r="H1791" s="254"/>
      <c r="I1791" s="225"/>
      <c r="J1791" s="225"/>
      <c r="K1791" s="251"/>
      <c r="L1791" s="262"/>
      <c r="M1791" s="258"/>
      <c r="N1791" s="257"/>
      <c r="O1791" s="258"/>
      <c r="P1791" s="257"/>
      <c r="Q1791" s="258"/>
      <c r="R1791" s="257"/>
      <c r="S1791" s="258"/>
      <c r="T1791" s="257"/>
      <c r="U1791" s="258"/>
      <c r="V1791" s="257"/>
      <c r="W1791" s="258"/>
      <c r="X1791" s="257"/>
      <c r="Y1791" s="258"/>
      <c r="Z1791" s="257"/>
    </row>
    <row r="1792" spans="1:26" ht="15" hidden="1">
      <c r="A1792" s="250">
        <f>A1782+1</f>
        <v>321</v>
      </c>
      <c r="B1792" s="251">
        <v>81</v>
      </c>
      <c r="C1792" s="526" t="s">
        <v>1350</v>
      </c>
      <c r="D1792" s="527" t="s">
        <v>449</v>
      </c>
      <c r="E1792" s="251" t="s">
        <v>1439</v>
      </c>
      <c r="F1792" s="252"/>
      <c r="G1792" s="253"/>
      <c r="H1792" s="254">
        <f>F1792*G1792</f>
        <v>0</v>
      </c>
      <c r="I1792" s="253"/>
      <c r="J1792" s="253"/>
      <c r="K1792" s="251" t="s">
        <v>1439</v>
      </c>
      <c r="L1792" s="262">
        <v>25.04</v>
      </c>
      <c r="M1792" s="258">
        <v>0</v>
      </c>
      <c r="N1792" s="257">
        <f>INT($L1792*M1792*100+0.5)/100</f>
        <v>0</v>
      </c>
      <c r="O1792" s="258">
        <v>0</v>
      </c>
      <c r="P1792" s="257">
        <f>INT($L1792*O1792*100+0.5)/100</f>
        <v>0</v>
      </c>
      <c r="Q1792" s="258">
        <v>0</v>
      </c>
      <c r="R1792" s="257">
        <f>INT($L1792*Q1792*100+0.5)/100</f>
        <v>0</v>
      </c>
      <c r="S1792" s="258">
        <v>0</v>
      </c>
      <c r="T1792" s="257">
        <f>INT($L1792*S1792*100+0.5)/100</f>
        <v>0</v>
      </c>
      <c r="U1792" s="258">
        <v>0</v>
      </c>
      <c r="V1792" s="257">
        <f>INT($L1792*U1792*100+0.5)/100</f>
        <v>0</v>
      </c>
      <c r="W1792" s="258">
        <v>0</v>
      </c>
      <c r="X1792" s="257">
        <f>INT($L1792*W1792*100+0.5)/100</f>
        <v>0</v>
      </c>
      <c r="Y1792" s="258">
        <v>0</v>
      </c>
      <c r="Z1792" s="257">
        <f>INT($L1792*Y1792*100+0.5)/100</f>
        <v>0</v>
      </c>
    </row>
    <row r="1793" spans="1:26" ht="15" hidden="1">
      <c r="A1793" s="250"/>
      <c r="B1793" s="251"/>
      <c r="C1793" s="540"/>
      <c r="D1793" s="527" t="s">
        <v>448</v>
      </c>
      <c r="E1793" s="251" t="s">
        <v>1439</v>
      </c>
      <c r="F1793" s="252"/>
      <c r="G1793" s="253"/>
      <c r="H1793" s="254"/>
      <c r="I1793" s="253"/>
      <c r="J1793" s="253"/>
      <c r="K1793" s="251" t="s">
        <v>1439</v>
      </c>
      <c r="L1793" s="262"/>
      <c r="M1793" s="258"/>
      <c r="N1793" s="257"/>
      <c r="O1793" s="258"/>
      <c r="P1793" s="257"/>
      <c r="Q1793" s="258"/>
      <c r="R1793" s="257"/>
      <c r="S1793" s="258"/>
      <c r="T1793" s="257"/>
      <c r="U1793" s="258"/>
      <c r="V1793" s="257"/>
      <c r="W1793" s="258"/>
      <c r="X1793" s="257"/>
      <c r="Y1793" s="258"/>
      <c r="Z1793" s="257"/>
    </row>
    <row r="1794" spans="1:26" ht="15" hidden="1">
      <c r="A1794" s="250"/>
      <c r="B1794" s="251"/>
      <c r="C1794" s="540"/>
      <c r="D1794" s="335"/>
      <c r="E1794" s="251"/>
      <c r="F1794" s="252"/>
      <c r="G1794" s="253"/>
      <c r="H1794" s="254"/>
      <c r="I1794" s="253"/>
      <c r="J1794" s="253"/>
      <c r="K1794" s="251"/>
      <c r="L1794" s="262"/>
      <c r="M1794" s="258"/>
      <c r="N1794" s="257"/>
      <c r="O1794" s="258"/>
      <c r="P1794" s="257"/>
      <c r="Q1794" s="258"/>
      <c r="R1794" s="257"/>
      <c r="S1794" s="258"/>
      <c r="T1794" s="257"/>
      <c r="U1794" s="258"/>
      <c r="V1794" s="257"/>
      <c r="W1794" s="258"/>
      <c r="X1794" s="257"/>
      <c r="Y1794" s="258"/>
      <c r="Z1794" s="257"/>
    </row>
    <row r="1795" spans="1:26" ht="15" hidden="1">
      <c r="A1795" s="250">
        <f>A1792+1</f>
        <v>322</v>
      </c>
      <c r="B1795" s="251">
        <v>83</v>
      </c>
      <c r="C1795" s="526" t="s">
        <v>1358</v>
      </c>
      <c r="D1795" s="527" t="s">
        <v>1326</v>
      </c>
      <c r="E1795" s="251" t="s">
        <v>539</v>
      </c>
      <c r="F1795" s="252"/>
      <c r="G1795" s="253"/>
      <c r="H1795" s="254">
        <f>F1795*G1795</f>
        <v>0</v>
      </c>
      <c r="I1795" s="253"/>
      <c r="J1795" s="253"/>
      <c r="K1795" s="251" t="s">
        <v>539</v>
      </c>
      <c r="L1795" s="262">
        <v>200</v>
      </c>
      <c r="M1795" s="258">
        <v>0</v>
      </c>
      <c r="N1795" s="257">
        <f>INT($L1795*M1795*100+0.5)/100</f>
        <v>0</v>
      </c>
      <c r="O1795" s="258">
        <v>0</v>
      </c>
      <c r="P1795" s="257">
        <f>INT($L1795*O1795*100+0.5)/100</f>
        <v>0</v>
      </c>
      <c r="Q1795" s="258">
        <v>0</v>
      </c>
      <c r="R1795" s="257">
        <f>INT($L1795*Q1795*100+0.5)/100</f>
        <v>0</v>
      </c>
      <c r="S1795" s="258">
        <v>0</v>
      </c>
      <c r="T1795" s="257">
        <f>INT($L1795*S1795*100+0.5)/100</f>
        <v>0</v>
      </c>
      <c r="U1795" s="258">
        <v>0</v>
      </c>
      <c r="V1795" s="257">
        <f>INT($L1795*U1795*100+0.5)/100</f>
        <v>0</v>
      </c>
      <c r="W1795" s="258">
        <v>0</v>
      </c>
      <c r="X1795" s="257">
        <f>INT($L1795*W1795*100+0.5)/100</f>
        <v>0</v>
      </c>
      <c r="Y1795" s="258">
        <v>0</v>
      </c>
      <c r="Z1795" s="257">
        <f>INT($L1795*Y1795*100+0.5)/100</f>
        <v>0</v>
      </c>
    </row>
    <row r="1796" spans="1:26" ht="15" hidden="1">
      <c r="A1796" s="250"/>
      <c r="B1796" s="251"/>
      <c r="C1796" s="540"/>
      <c r="D1796" s="558" t="s">
        <v>1782</v>
      </c>
      <c r="E1796" s="251" t="s">
        <v>1416</v>
      </c>
      <c r="F1796" s="252"/>
      <c r="G1796" s="253"/>
      <c r="H1796" s="254"/>
      <c r="I1796" s="253"/>
      <c r="J1796" s="253"/>
      <c r="K1796" s="251" t="s">
        <v>1416</v>
      </c>
      <c r="L1796" s="262"/>
      <c r="M1796" s="316"/>
      <c r="N1796" s="257"/>
      <c r="O1796" s="316"/>
      <c r="P1796" s="257"/>
      <c r="Q1796" s="316"/>
      <c r="R1796" s="257"/>
      <c r="S1796" s="316"/>
      <c r="T1796" s="257"/>
      <c r="U1796" s="316"/>
      <c r="V1796" s="257"/>
      <c r="W1796" s="316"/>
      <c r="X1796" s="257"/>
      <c r="Y1796" s="316"/>
      <c r="Z1796" s="257"/>
    </row>
    <row r="1797" spans="1:26" ht="15" hidden="1">
      <c r="A1797" s="250"/>
      <c r="B1797" s="251"/>
      <c r="C1797" s="540"/>
      <c r="D1797" s="335"/>
      <c r="E1797" s="251"/>
      <c r="F1797" s="252"/>
      <c r="G1797" s="253"/>
      <c r="H1797" s="254"/>
      <c r="I1797" s="253"/>
      <c r="J1797" s="253"/>
      <c r="K1797" s="251"/>
      <c r="L1797" s="262"/>
      <c r="M1797" s="316"/>
      <c r="N1797" s="257"/>
      <c r="O1797" s="316"/>
      <c r="P1797" s="257"/>
      <c r="Q1797" s="316"/>
      <c r="R1797" s="257"/>
      <c r="S1797" s="316"/>
      <c r="T1797" s="257"/>
      <c r="U1797" s="316"/>
      <c r="V1797" s="257"/>
      <c r="W1797" s="316"/>
      <c r="X1797" s="257"/>
      <c r="Y1797" s="316"/>
      <c r="Z1797" s="257"/>
    </row>
    <row r="1798" spans="1:26" ht="15" hidden="1">
      <c r="A1798" s="250">
        <f>A1795+1</f>
        <v>323</v>
      </c>
      <c r="B1798" s="251">
        <v>83</v>
      </c>
      <c r="C1798" s="526" t="s">
        <v>1359</v>
      </c>
      <c r="D1798" s="276" t="s">
        <v>1887</v>
      </c>
      <c r="E1798" s="251" t="s">
        <v>539</v>
      </c>
      <c r="F1798" s="252"/>
      <c r="G1798" s="253"/>
      <c r="H1798" s="254">
        <f>F1798*G1798</f>
        <v>0</v>
      </c>
      <c r="I1798" s="225"/>
      <c r="J1798" s="225"/>
      <c r="K1798" s="251" t="s">
        <v>539</v>
      </c>
      <c r="L1798" s="262">
        <v>300</v>
      </c>
      <c r="M1798" s="316">
        <v>0</v>
      </c>
      <c r="N1798" s="257">
        <f>INT($L1798*M1798*100+0.5)/100</f>
        <v>0</v>
      </c>
      <c r="O1798" s="316">
        <v>0</v>
      </c>
      <c r="P1798" s="257">
        <f>INT($L1798*O1798*100+0.5)/100</f>
        <v>0</v>
      </c>
      <c r="Q1798" s="316">
        <v>0</v>
      </c>
      <c r="R1798" s="257">
        <f>INT($L1798*Q1798*100+0.5)/100</f>
        <v>0</v>
      </c>
      <c r="S1798" s="316">
        <v>0</v>
      </c>
      <c r="T1798" s="257">
        <f>INT($L1798*S1798*100+0.5)/100</f>
        <v>0</v>
      </c>
      <c r="U1798" s="316">
        <v>0</v>
      </c>
      <c r="V1798" s="257">
        <f>INT($L1798*U1798*100+0.5)/100</f>
        <v>0</v>
      </c>
      <c r="W1798" s="316">
        <v>0</v>
      </c>
      <c r="X1798" s="257">
        <f>INT($L1798*W1798*100+0.5)/100</f>
        <v>0</v>
      </c>
      <c r="Y1798" s="316">
        <v>0</v>
      </c>
      <c r="Z1798" s="257">
        <f>INT($L1798*Y1798*100+0.5)/100</f>
        <v>0</v>
      </c>
    </row>
    <row r="1799" spans="1:26" ht="15" hidden="1">
      <c r="A1799" s="250"/>
      <c r="B1799" s="251"/>
      <c r="C1799" s="540"/>
      <c r="D1799" s="558" t="s">
        <v>1780</v>
      </c>
      <c r="E1799" s="251" t="s">
        <v>1416</v>
      </c>
      <c r="F1799" s="252"/>
      <c r="G1799" s="253"/>
      <c r="H1799" s="254"/>
      <c r="I1799" s="225"/>
      <c r="J1799" s="225"/>
      <c r="K1799" s="251" t="s">
        <v>1416</v>
      </c>
      <c r="L1799" s="262"/>
      <c r="M1799" s="316"/>
      <c r="N1799" s="257"/>
      <c r="O1799" s="316"/>
      <c r="P1799" s="257"/>
      <c r="Q1799" s="316"/>
      <c r="R1799" s="257"/>
      <c r="S1799" s="316"/>
      <c r="T1799" s="257"/>
      <c r="U1799" s="316"/>
      <c r="V1799" s="257"/>
      <c r="W1799" s="316"/>
      <c r="X1799" s="257"/>
      <c r="Y1799" s="316"/>
      <c r="Z1799" s="257"/>
    </row>
    <row r="1800" spans="1:26" ht="15" hidden="1">
      <c r="A1800" s="250"/>
      <c r="B1800" s="251"/>
      <c r="C1800" s="540"/>
      <c r="D1800" s="558"/>
      <c r="E1800" s="251"/>
      <c r="F1800" s="252"/>
      <c r="G1800" s="253"/>
      <c r="H1800" s="254"/>
      <c r="I1800" s="225"/>
      <c r="J1800" s="225"/>
      <c r="K1800" s="251"/>
      <c r="L1800" s="262"/>
      <c r="M1800" s="316"/>
      <c r="N1800" s="257"/>
      <c r="O1800" s="316"/>
      <c r="P1800" s="257"/>
      <c r="Q1800" s="316"/>
      <c r="R1800" s="257"/>
      <c r="S1800" s="316"/>
      <c r="T1800" s="257"/>
      <c r="U1800" s="316"/>
      <c r="V1800" s="257"/>
      <c r="W1800" s="316"/>
      <c r="X1800" s="257"/>
      <c r="Y1800" s="316"/>
      <c r="Z1800" s="257"/>
    </row>
    <row r="1801" spans="1:26" ht="15" hidden="1">
      <c r="A1801" s="250">
        <f>A1798+1</f>
        <v>324</v>
      </c>
      <c r="B1801" s="251">
        <v>83</v>
      </c>
      <c r="C1801" s="526" t="s">
        <v>1360</v>
      </c>
      <c r="D1801" s="276" t="s">
        <v>1888</v>
      </c>
      <c r="E1801" s="251" t="s">
        <v>539</v>
      </c>
      <c r="F1801" s="252"/>
      <c r="G1801" s="253"/>
      <c r="H1801" s="254">
        <f>F1801*G1801</f>
        <v>0</v>
      </c>
      <c r="I1801" s="225"/>
      <c r="J1801" s="225"/>
      <c r="K1801" s="251" t="s">
        <v>539</v>
      </c>
      <c r="L1801" s="262">
        <v>200</v>
      </c>
      <c r="M1801" s="316">
        <v>0</v>
      </c>
      <c r="N1801" s="257">
        <f>INT($L1801*M1801*100+0.5)/100</f>
        <v>0</v>
      </c>
      <c r="O1801" s="316">
        <v>0</v>
      </c>
      <c r="P1801" s="257">
        <f>INT($L1801*O1801*100+0.5)/100</f>
        <v>0</v>
      </c>
      <c r="Q1801" s="316">
        <v>0</v>
      </c>
      <c r="R1801" s="257">
        <f>INT($L1801*Q1801*100+0.5)/100</f>
        <v>0</v>
      </c>
      <c r="S1801" s="316">
        <v>0</v>
      </c>
      <c r="T1801" s="257">
        <f>INT($L1801*S1801*100+0.5)/100</f>
        <v>0</v>
      </c>
      <c r="U1801" s="316">
        <v>0</v>
      </c>
      <c r="V1801" s="257">
        <f>INT($L1801*U1801*100+0.5)/100</f>
        <v>0</v>
      </c>
      <c r="W1801" s="316">
        <v>0</v>
      </c>
      <c r="X1801" s="257">
        <f>INT($L1801*W1801*100+0.5)/100</f>
        <v>0</v>
      </c>
      <c r="Y1801" s="316">
        <v>0</v>
      </c>
      <c r="Z1801" s="257">
        <f>INT($L1801*Y1801*100+0.5)/100</f>
        <v>0</v>
      </c>
    </row>
    <row r="1802" spans="1:26" ht="15" hidden="1">
      <c r="A1802" s="250"/>
      <c r="B1802" s="251"/>
      <c r="C1802" s="540"/>
      <c r="D1802" s="558" t="s">
        <v>1781</v>
      </c>
      <c r="E1802" s="251" t="s">
        <v>1416</v>
      </c>
      <c r="F1802" s="252"/>
      <c r="G1802" s="253"/>
      <c r="H1802" s="254"/>
      <c r="I1802" s="225"/>
      <c r="J1802" s="225"/>
      <c r="K1802" s="251" t="s">
        <v>1416</v>
      </c>
      <c r="L1802" s="262"/>
      <c r="M1802" s="316"/>
      <c r="N1802" s="257"/>
      <c r="O1802" s="316"/>
      <c r="P1802" s="257"/>
      <c r="Q1802" s="316"/>
      <c r="R1802" s="257"/>
      <c r="S1802" s="316"/>
      <c r="T1802" s="257"/>
      <c r="U1802" s="316"/>
      <c r="V1802" s="257"/>
      <c r="W1802" s="316"/>
      <c r="X1802" s="257"/>
      <c r="Y1802" s="316"/>
      <c r="Z1802" s="257"/>
    </row>
    <row r="1803" spans="1:26" ht="15" hidden="1">
      <c r="A1803" s="250"/>
      <c r="B1803" s="251"/>
      <c r="C1803" s="540"/>
      <c r="D1803" s="335"/>
      <c r="E1803" s="251"/>
      <c r="F1803" s="252"/>
      <c r="G1803" s="253"/>
      <c r="H1803" s="254"/>
      <c r="I1803" s="225"/>
      <c r="J1803" s="225"/>
      <c r="K1803" s="251"/>
      <c r="L1803" s="262"/>
      <c r="M1803" s="316"/>
      <c r="N1803" s="257"/>
      <c r="O1803" s="316"/>
      <c r="P1803" s="257"/>
      <c r="Q1803" s="316"/>
      <c r="R1803" s="257"/>
      <c r="S1803" s="316"/>
      <c r="T1803" s="257"/>
      <c r="U1803" s="316"/>
      <c r="V1803" s="257"/>
      <c r="W1803" s="316"/>
      <c r="X1803" s="257"/>
      <c r="Y1803" s="316"/>
      <c r="Z1803" s="257"/>
    </row>
    <row r="1804" spans="1:26" ht="25.5" hidden="1">
      <c r="A1804" s="250">
        <f>A1801+1</f>
        <v>325</v>
      </c>
      <c r="B1804" s="251">
        <v>83</v>
      </c>
      <c r="C1804" s="526" t="s">
        <v>1361</v>
      </c>
      <c r="D1804" s="527" t="s">
        <v>1982</v>
      </c>
      <c r="E1804" s="251" t="s">
        <v>1901</v>
      </c>
      <c r="F1804" s="252"/>
      <c r="G1804" s="253"/>
      <c r="H1804" s="254">
        <f>F1804*G1804</f>
        <v>0</v>
      </c>
      <c r="I1804" s="225"/>
      <c r="J1804" s="225"/>
      <c r="K1804" s="251" t="s">
        <v>1901</v>
      </c>
      <c r="L1804" s="262">
        <f>(2764*0.9*1.23)+2*30</f>
        <v>3119.748</v>
      </c>
      <c r="M1804" s="316">
        <v>0</v>
      </c>
      <c r="N1804" s="257">
        <f>INT($L1804*M1804*100+0.5)/100</f>
        <v>0</v>
      </c>
      <c r="O1804" s="316">
        <v>0</v>
      </c>
      <c r="P1804" s="257">
        <f>INT($L1804*O1804*100+0.5)/100</f>
        <v>0</v>
      </c>
      <c r="Q1804" s="316">
        <v>0</v>
      </c>
      <c r="R1804" s="257">
        <f>INT($L1804*Q1804*100+0.5)/100</f>
        <v>0</v>
      </c>
      <c r="S1804" s="316">
        <v>0</v>
      </c>
      <c r="T1804" s="257">
        <f>INT($L1804*S1804*100+0.5)/100</f>
        <v>0</v>
      </c>
      <c r="U1804" s="316">
        <v>0</v>
      </c>
      <c r="V1804" s="257">
        <f>INT($L1804*U1804*100+0.5)/100</f>
        <v>0</v>
      </c>
      <c r="W1804" s="316">
        <v>0</v>
      </c>
      <c r="X1804" s="257">
        <f>INT($L1804*W1804*100+0.5)/100</f>
        <v>0</v>
      </c>
      <c r="Y1804" s="316">
        <v>0</v>
      </c>
      <c r="Z1804" s="257">
        <f>INT($L1804*Y1804*100+0.5)/100</f>
        <v>0</v>
      </c>
    </row>
    <row r="1805" spans="1:26" ht="25.5" hidden="1">
      <c r="A1805" s="250"/>
      <c r="B1805" s="251"/>
      <c r="C1805" s="540"/>
      <c r="D1805" s="558" t="s">
        <v>1983</v>
      </c>
      <c r="E1805" s="251" t="s">
        <v>1902</v>
      </c>
      <c r="F1805" s="252"/>
      <c r="G1805" s="253"/>
      <c r="H1805" s="254"/>
      <c r="I1805" s="225"/>
      <c r="J1805" s="225"/>
      <c r="K1805" s="251" t="s">
        <v>1902</v>
      </c>
      <c r="L1805" s="262"/>
      <c r="M1805" s="316"/>
      <c r="N1805" s="257"/>
      <c r="O1805" s="316"/>
      <c r="P1805" s="257"/>
      <c r="Q1805" s="316"/>
      <c r="R1805" s="257"/>
      <c r="S1805" s="316"/>
      <c r="T1805" s="257"/>
      <c r="U1805" s="316"/>
      <c r="V1805" s="257"/>
      <c r="W1805" s="316"/>
      <c r="X1805" s="257"/>
      <c r="Y1805" s="316"/>
      <c r="Z1805" s="257"/>
    </row>
    <row r="1806" spans="1:26" ht="15" hidden="1">
      <c r="A1806" s="250"/>
      <c r="B1806" s="251"/>
      <c r="C1806" s="540"/>
      <c r="D1806" s="335"/>
      <c r="E1806" s="251"/>
      <c r="F1806" s="252"/>
      <c r="G1806" s="253"/>
      <c r="H1806" s="254"/>
      <c r="I1806" s="225"/>
      <c r="J1806" s="225"/>
      <c r="K1806" s="251"/>
      <c r="L1806" s="262"/>
      <c r="M1806" s="316"/>
      <c r="N1806" s="257"/>
      <c r="O1806" s="316"/>
      <c r="P1806" s="257"/>
      <c r="Q1806" s="316"/>
      <c r="R1806" s="257"/>
      <c r="S1806" s="316"/>
      <c r="T1806" s="257"/>
      <c r="U1806" s="316"/>
      <c r="V1806" s="257"/>
      <c r="W1806" s="316"/>
      <c r="X1806" s="257"/>
      <c r="Y1806" s="316"/>
      <c r="Z1806" s="257"/>
    </row>
    <row r="1807" spans="1:26" ht="25.5" hidden="1">
      <c r="A1807" s="250">
        <f>A1804+1</f>
        <v>326</v>
      </c>
      <c r="B1807" s="251">
        <v>83</v>
      </c>
      <c r="C1807" s="526" t="s">
        <v>1362</v>
      </c>
      <c r="D1807" s="276" t="s">
        <v>1980</v>
      </c>
      <c r="E1807" s="251" t="s">
        <v>1901</v>
      </c>
      <c r="F1807" s="252"/>
      <c r="G1807" s="253"/>
      <c r="H1807" s="254">
        <f>F1807*G1807</f>
        <v>0</v>
      </c>
      <c r="I1807" s="225"/>
      <c r="J1807" s="225"/>
      <c r="K1807" s="251" t="s">
        <v>1901</v>
      </c>
      <c r="L1807" s="262">
        <f>(5530+448)*0.9*1.23+2*2*30+62.35</f>
        <v>6799.9960000000001</v>
      </c>
      <c r="M1807" s="316">
        <v>0</v>
      </c>
      <c r="N1807" s="257">
        <f>INT($L1807*M1807*100+0.5)/100</f>
        <v>0</v>
      </c>
      <c r="O1807" s="316">
        <v>0</v>
      </c>
      <c r="P1807" s="257">
        <f>INT($L1807*O1807*100+0.5)/100</f>
        <v>0</v>
      </c>
      <c r="Q1807" s="316">
        <v>0</v>
      </c>
      <c r="R1807" s="257">
        <f>INT($L1807*Q1807*100+0.5)/100</f>
        <v>0</v>
      </c>
      <c r="S1807" s="316">
        <v>0</v>
      </c>
      <c r="T1807" s="257">
        <f>INT($L1807*S1807*100+0.5)/100</f>
        <v>0</v>
      </c>
      <c r="U1807" s="316">
        <v>0</v>
      </c>
      <c r="V1807" s="257">
        <f>INT($L1807*U1807*100+0.5)/100</f>
        <v>0</v>
      </c>
      <c r="W1807" s="316">
        <v>0</v>
      </c>
      <c r="X1807" s="257">
        <f>INT($L1807*W1807*100+0.5)/100</f>
        <v>0</v>
      </c>
      <c r="Y1807" s="316">
        <v>0</v>
      </c>
      <c r="Z1807" s="257">
        <f>INT($L1807*Y1807*100+0.5)/100</f>
        <v>0</v>
      </c>
    </row>
    <row r="1808" spans="1:26" ht="25.5" hidden="1">
      <c r="A1808" s="250"/>
      <c r="B1808" s="251"/>
      <c r="C1808" s="540"/>
      <c r="D1808" s="276" t="s">
        <v>1886</v>
      </c>
      <c r="E1808" s="251" t="s">
        <v>1902</v>
      </c>
      <c r="F1808" s="252"/>
      <c r="G1808" s="253"/>
      <c r="H1808" s="254"/>
      <c r="I1808" s="225"/>
      <c r="J1808" s="225"/>
      <c r="K1808" s="251" t="s">
        <v>1902</v>
      </c>
      <c r="L1808" s="262"/>
      <c r="M1808" s="316"/>
      <c r="N1808" s="257"/>
      <c r="O1808" s="316"/>
      <c r="P1808" s="257"/>
      <c r="Q1808" s="316"/>
      <c r="R1808" s="257"/>
      <c r="S1808" s="316"/>
      <c r="T1808" s="257"/>
      <c r="U1808" s="316"/>
      <c r="V1808" s="257"/>
      <c r="W1808" s="316"/>
      <c r="X1808" s="257"/>
      <c r="Y1808" s="316"/>
      <c r="Z1808" s="257"/>
    </row>
    <row r="1809" spans="1:26" ht="15" hidden="1">
      <c r="A1809" s="250"/>
      <c r="B1809" s="251"/>
      <c r="C1809" s="540"/>
      <c r="D1809" s="335"/>
      <c r="E1809" s="251"/>
      <c r="F1809" s="252"/>
      <c r="G1809" s="253"/>
      <c r="H1809" s="254"/>
      <c r="I1809" s="225"/>
      <c r="J1809" s="225"/>
      <c r="K1809" s="251"/>
      <c r="L1809" s="262"/>
      <c r="M1809" s="316"/>
      <c r="N1809" s="257"/>
      <c r="O1809" s="316"/>
      <c r="P1809" s="257"/>
      <c r="Q1809" s="316"/>
      <c r="R1809" s="257"/>
      <c r="S1809" s="316"/>
      <c r="T1809" s="257"/>
      <c r="U1809" s="316"/>
      <c r="V1809" s="257"/>
      <c r="W1809" s="316"/>
      <c r="X1809" s="257"/>
      <c r="Y1809" s="316"/>
      <c r="Z1809" s="257"/>
    </row>
    <row r="1810" spans="1:26" ht="15" hidden="1">
      <c r="A1810" s="250">
        <f>A1807+1</f>
        <v>327</v>
      </c>
      <c r="B1810" s="251"/>
      <c r="C1810" s="526" t="s">
        <v>1363</v>
      </c>
      <c r="D1810" s="558" t="s">
        <v>536</v>
      </c>
      <c r="E1810" s="251" t="s">
        <v>1901</v>
      </c>
      <c r="F1810" s="252"/>
      <c r="G1810" s="253"/>
      <c r="H1810" s="254"/>
      <c r="I1810" s="253"/>
      <c r="J1810" s="253"/>
      <c r="K1810" s="251" t="s">
        <v>1901</v>
      </c>
      <c r="L1810" s="262"/>
      <c r="M1810" s="258"/>
      <c r="N1810" s="257"/>
      <c r="O1810" s="258"/>
      <c r="P1810" s="257"/>
      <c r="Q1810" s="258"/>
      <c r="R1810" s="257"/>
      <c r="S1810" s="258"/>
      <c r="T1810" s="257"/>
      <c r="U1810" s="258"/>
      <c r="V1810" s="257"/>
      <c r="W1810" s="258"/>
      <c r="X1810" s="257"/>
      <c r="Y1810" s="258"/>
      <c r="Z1810" s="257"/>
    </row>
    <row r="1811" spans="1:26" ht="15" hidden="1" customHeight="1">
      <c r="A1811" s="250"/>
      <c r="B1811" s="251"/>
      <c r="C1811" s="326"/>
      <c r="D1811" s="558" t="s">
        <v>537</v>
      </c>
      <c r="E1811" s="251" t="s">
        <v>1902</v>
      </c>
      <c r="F1811" s="252"/>
      <c r="G1811" s="253"/>
      <c r="H1811" s="254"/>
      <c r="I1811" s="253"/>
      <c r="J1811" s="253"/>
      <c r="K1811" s="251" t="s">
        <v>1902</v>
      </c>
      <c r="L1811" s="262"/>
      <c r="M1811" s="258"/>
      <c r="N1811" s="257"/>
      <c r="O1811" s="258"/>
      <c r="P1811" s="257"/>
      <c r="Q1811" s="258"/>
      <c r="R1811" s="257"/>
      <c r="S1811" s="258"/>
      <c r="T1811" s="257"/>
      <c r="U1811" s="258"/>
      <c r="V1811" s="257"/>
      <c r="W1811" s="258"/>
      <c r="X1811" s="257"/>
      <c r="Y1811" s="258"/>
      <c r="Z1811" s="257"/>
    </row>
    <row r="1812" spans="1:26" ht="15" hidden="1" customHeight="1">
      <c r="A1812" s="250" t="s">
        <v>1903</v>
      </c>
      <c r="B1812" s="251"/>
      <c r="C1812" s="532" t="s">
        <v>1364</v>
      </c>
      <c r="D1812" s="558" t="s">
        <v>282</v>
      </c>
      <c r="E1812" s="251"/>
      <c r="F1812" s="252"/>
      <c r="G1812" s="253"/>
      <c r="H1812" s="254">
        <f>F1812*G1812</f>
        <v>0</v>
      </c>
      <c r="I1812" s="253"/>
      <c r="J1812" s="253"/>
      <c r="K1812" s="251"/>
      <c r="L1812" s="262">
        <v>800</v>
      </c>
      <c r="M1812" s="258">
        <v>0</v>
      </c>
      <c r="N1812" s="257">
        <f>INT($L1812*M1812*100+0.5)/100</f>
        <v>0</v>
      </c>
      <c r="O1812" s="258">
        <v>0</v>
      </c>
      <c r="P1812" s="257">
        <f>INT($L1812*O1812*100+0.5)/100</f>
        <v>0</v>
      </c>
      <c r="Q1812" s="258">
        <v>0</v>
      </c>
      <c r="R1812" s="257">
        <f>INT($L1812*Q1812*100+0.5)/100</f>
        <v>0</v>
      </c>
      <c r="S1812" s="258">
        <v>0</v>
      </c>
      <c r="T1812" s="257">
        <f>INT($L1812*S1812*100+0.5)/100</f>
        <v>0</v>
      </c>
      <c r="U1812" s="258">
        <v>0</v>
      </c>
      <c r="V1812" s="257">
        <f>INT($L1812*U1812*100+0.5)/100</f>
        <v>0</v>
      </c>
      <c r="W1812" s="258">
        <v>0</v>
      </c>
      <c r="X1812" s="257">
        <f>INT($L1812*W1812*100+0.5)/100</f>
        <v>0</v>
      </c>
      <c r="Y1812" s="258">
        <v>0</v>
      </c>
      <c r="Z1812" s="257">
        <f>INT($L1812*Y1812*100+0.5)/100</f>
        <v>0</v>
      </c>
    </row>
    <row r="1813" spans="1:26" ht="15" hidden="1" customHeight="1">
      <c r="A1813" s="250" t="s">
        <v>1905</v>
      </c>
      <c r="B1813" s="251"/>
      <c r="C1813" s="532" t="s">
        <v>1365</v>
      </c>
      <c r="D1813" s="558" t="s">
        <v>283</v>
      </c>
      <c r="E1813" s="251"/>
      <c r="F1813" s="252"/>
      <c r="G1813" s="253"/>
      <c r="H1813" s="254">
        <f>F1813*G1813</f>
        <v>0</v>
      </c>
      <c r="I1813" s="253"/>
      <c r="J1813" s="253"/>
      <c r="K1813" s="251"/>
      <c r="L1813" s="262">
        <v>1000</v>
      </c>
      <c r="M1813" s="258">
        <v>0</v>
      </c>
      <c r="N1813" s="257">
        <f>INT($L1813*M1813*100+0.5)/100</f>
        <v>0</v>
      </c>
      <c r="O1813" s="258">
        <v>0</v>
      </c>
      <c r="P1813" s="257">
        <f>INT($L1813*O1813*100+0.5)/100</f>
        <v>0</v>
      </c>
      <c r="Q1813" s="258">
        <v>0</v>
      </c>
      <c r="R1813" s="257">
        <f>INT($L1813*Q1813*100+0.5)/100</f>
        <v>0</v>
      </c>
      <c r="S1813" s="258">
        <v>0</v>
      </c>
      <c r="T1813" s="257">
        <f>INT($L1813*S1813*100+0.5)/100</f>
        <v>0</v>
      </c>
      <c r="U1813" s="258">
        <v>0</v>
      </c>
      <c r="V1813" s="257">
        <f>INT($L1813*U1813*100+0.5)/100</f>
        <v>0</v>
      </c>
      <c r="W1813" s="258">
        <v>0</v>
      </c>
      <c r="X1813" s="257">
        <f>INT($L1813*W1813*100+0.5)/100</f>
        <v>0</v>
      </c>
      <c r="Y1813" s="258">
        <v>0</v>
      </c>
      <c r="Z1813" s="257">
        <f>INT($L1813*Y1813*100+0.5)/100</f>
        <v>0</v>
      </c>
    </row>
    <row r="1814" spans="1:26" ht="15" hidden="1" customHeight="1">
      <c r="A1814" s="250" t="s">
        <v>1906</v>
      </c>
      <c r="B1814" s="251"/>
      <c r="C1814" s="532" t="s">
        <v>1366</v>
      </c>
      <c r="D1814" s="558" t="s">
        <v>284</v>
      </c>
      <c r="E1814" s="251"/>
      <c r="F1814" s="252"/>
      <c r="G1814" s="253"/>
      <c r="H1814" s="254">
        <f>F1814*G1814</f>
        <v>0</v>
      </c>
      <c r="I1814" s="253"/>
      <c r="J1814" s="253"/>
      <c r="K1814" s="251"/>
      <c r="L1814" s="262">
        <v>1400</v>
      </c>
      <c r="M1814" s="258">
        <v>0</v>
      </c>
      <c r="N1814" s="257">
        <f>INT($L1814*M1814*100+0.5)/100</f>
        <v>0</v>
      </c>
      <c r="O1814" s="258">
        <v>0</v>
      </c>
      <c r="P1814" s="257">
        <f>INT($L1814*O1814*100+0.5)/100</f>
        <v>0</v>
      </c>
      <c r="Q1814" s="258">
        <v>0</v>
      </c>
      <c r="R1814" s="257">
        <f>INT($L1814*Q1814*100+0.5)/100</f>
        <v>0</v>
      </c>
      <c r="S1814" s="258">
        <v>0</v>
      </c>
      <c r="T1814" s="257">
        <f>INT($L1814*S1814*100+0.5)/100</f>
        <v>0</v>
      </c>
      <c r="U1814" s="258">
        <v>0</v>
      </c>
      <c r="V1814" s="257">
        <f>INT($L1814*U1814*100+0.5)/100</f>
        <v>0</v>
      </c>
      <c r="W1814" s="258">
        <v>0</v>
      </c>
      <c r="X1814" s="257">
        <f>INT($L1814*W1814*100+0.5)/100</f>
        <v>0</v>
      </c>
      <c r="Y1814" s="258">
        <v>0</v>
      </c>
      <c r="Z1814" s="257">
        <f>INT($L1814*Y1814*100+0.5)/100</f>
        <v>0</v>
      </c>
    </row>
    <row r="1815" spans="1:26" ht="15" hidden="1" customHeight="1">
      <c r="A1815" s="250" t="s">
        <v>1907</v>
      </c>
      <c r="B1815" s="251"/>
      <c r="C1815" s="532" t="s">
        <v>1367</v>
      </c>
      <c r="D1815" s="558" t="s">
        <v>285</v>
      </c>
      <c r="E1815" s="251"/>
      <c r="F1815" s="252"/>
      <c r="G1815" s="253"/>
      <c r="H1815" s="254">
        <f>F1815*G1815</f>
        <v>0</v>
      </c>
      <c r="I1815" s="253"/>
      <c r="J1815" s="253"/>
      <c r="K1815" s="251"/>
      <c r="L1815" s="262">
        <v>1800</v>
      </c>
      <c r="M1815" s="258">
        <v>0</v>
      </c>
      <c r="N1815" s="257">
        <f>INT($L1815*M1815*100+0.5)/100</f>
        <v>0</v>
      </c>
      <c r="O1815" s="258">
        <v>0</v>
      </c>
      <c r="P1815" s="257">
        <f>INT($L1815*O1815*100+0.5)/100</f>
        <v>0</v>
      </c>
      <c r="Q1815" s="258">
        <v>0</v>
      </c>
      <c r="R1815" s="257">
        <f>INT($L1815*Q1815*100+0.5)/100</f>
        <v>0</v>
      </c>
      <c r="S1815" s="258">
        <v>0</v>
      </c>
      <c r="T1815" s="257">
        <f>INT($L1815*S1815*100+0.5)/100</f>
        <v>0</v>
      </c>
      <c r="U1815" s="258">
        <v>0</v>
      </c>
      <c r="V1815" s="257">
        <f>INT($L1815*U1815*100+0.5)/100</f>
        <v>0</v>
      </c>
      <c r="W1815" s="258">
        <v>0</v>
      </c>
      <c r="X1815" s="257">
        <f>INT($L1815*W1815*100+0.5)/100</f>
        <v>0</v>
      </c>
      <c r="Y1815" s="258">
        <v>0</v>
      </c>
      <c r="Z1815" s="257">
        <f>INT($L1815*Y1815*100+0.5)/100</f>
        <v>0</v>
      </c>
    </row>
    <row r="1816" spans="1:26" ht="15" hidden="1" customHeight="1">
      <c r="A1816" s="250"/>
      <c r="B1816" s="251"/>
      <c r="C1816" s="326"/>
      <c r="D1816" s="335"/>
      <c r="E1816" s="251"/>
      <c r="F1816" s="252"/>
      <c r="G1816" s="253"/>
      <c r="H1816" s="254"/>
      <c r="I1816" s="253"/>
      <c r="J1816" s="253"/>
      <c r="K1816" s="251"/>
      <c r="L1816" s="262"/>
      <c r="M1816" s="258"/>
      <c r="N1816" s="257"/>
      <c r="O1816" s="258"/>
      <c r="P1816" s="257"/>
      <c r="Q1816" s="258"/>
      <c r="R1816" s="257"/>
      <c r="S1816" s="258"/>
      <c r="T1816" s="257"/>
      <c r="U1816" s="258"/>
      <c r="V1816" s="257"/>
      <c r="W1816" s="258"/>
      <c r="X1816" s="257"/>
      <c r="Y1816" s="258"/>
      <c r="Z1816" s="257"/>
    </row>
    <row r="1817" spans="1:26" ht="25.5" hidden="1">
      <c r="A1817" s="250">
        <f>A1810+1</f>
        <v>328</v>
      </c>
      <c r="B1817" s="251">
        <v>83</v>
      </c>
      <c r="C1817" s="526" t="s">
        <v>1978</v>
      </c>
      <c r="D1817" s="527" t="s">
        <v>1979</v>
      </c>
      <c r="E1817" s="251" t="s">
        <v>1901</v>
      </c>
      <c r="F1817" s="252"/>
      <c r="G1817" s="253"/>
      <c r="H1817" s="254">
        <f>F1817*G1817</f>
        <v>0</v>
      </c>
      <c r="I1817" s="225"/>
      <c r="J1817" s="225"/>
      <c r="K1817" s="251" t="s">
        <v>1901</v>
      </c>
      <c r="L1817" s="262">
        <f>264*1.23+2*30</f>
        <v>384.71999999999997</v>
      </c>
      <c r="M1817" s="316">
        <v>0</v>
      </c>
      <c r="N1817" s="257">
        <f>INT($L1817*M1817*100+0.5)/100</f>
        <v>0</v>
      </c>
      <c r="O1817" s="316">
        <v>0</v>
      </c>
      <c r="P1817" s="257">
        <f>INT($L1817*O1817*100+0.5)/100</f>
        <v>0</v>
      </c>
      <c r="Q1817" s="316">
        <v>0</v>
      </c>
      <c r="R1817" s="257">
        <f>INT($L1817*Q1817*100+0.5)/100</f>
        <v>0</v>
      </c>
      <c r="S1817" s="316">
        <v>0</v>
      </c>
      <c r="T1817" s="257">
        <f>INT($L1817*S1817*100+0.5)/100</f>
        <v>0</v>
      </c>
      <c r="U1817" s="316">
        <v>0</v>
      </c>
      <c r="V1817" s="257">
        <f>INT($L1817*U1817*100+0.5)/100</f>
        <v>0</v>
      </c>
      <c r="W1817" s="316">
        <v>0</v>
      </c>
      <c r="X1817" s="257">
        <f>INT($L1817*W1817*100+0.5)/100</f>
        <v>0</v>
      </c>
      <c r="Y1817" s="316">
        <v>0</v>
      </c>
      <c r="Z1817" s="257">
        <f>INT($L1817*Y1817*100+0.5)/100</f>
        <v>0</v>
      </c>
    </row>
    <row r="1818" spans="1:26" ht="25.5" hidden="1">
      <c r="A1818" s="250"/>
      <c r="B1818" s="251"/>
      <c r="C1818" s="540"/>
      <c r="D1818" s="558" t="s">
        <v>1981</v>
      </c>
      <c r="E1818" s="251" t="s">
        <v>1902</v>
      </c>
      <c r="F1818" s="252"/>
      <c r="G1818" s="253"/>
      <c r="H1818" s="254"/>
      <c r="I1818" s="225"/>
      <c r="J1818" s="225"/>
      <c r="K1818" s="251" t="s">
        <v>1902</v>
      </c>
      <c r="L1818" s="262"/>
      <c r="M1818" s="316"/>
      <c r="N1818" s="257"/>
      <c r="O1818" s="316"/>
      <c r="P1818" s="257"/>
      <c r="Q1818" s="316"/>
      <c r="R1818" s="257"/>
      <c r="S1818" s="316"/>
      <c r="T1818" s="257"/>
      <c r="U1818" s="316"/>
      <c r="V1818" s="257"/>
      <c r="W1818" s="316"/>
      <c r="X1818" s="257"/>
      <c r="Y1818" s="316"/>
      <c r="Z1818" s="257"/>
    </row>
    <row r="1819" spans="1:26" ht="15" hidden="1">
      <c r="A1819" s="250"/>
      <c r="B1819" s="251"/>
      <c r="C1819" s="540"/>
      <c r="D1819" s="335"/>
      <c r="E1819" s="251"/>
      <c r="F1819" s="252"/>
      <c r="G1819" s="253"/>
      <c r="H1819" s="254"/>
      <c r="I1819" s="225"/>
      <c r="J1819" s="225"/>
      <c r="K1819" s="251"/>
      <c r="L1819" s="262"/>
      <c r="M1819" s="316"/>
      <c r="N1819" s="257"/>
      <c r="O1819" s="316"/>
      <c r="P1819" s="257"/>
      <c r="Q1819" s="316"/>
      <c r="R1819" s="257"/>
      <c r="S1819" s="316"/>
      <c r="T1819" s="257"/>
      <c r="U1819" s="316"/>
      <c r="V1819" s="257"/>
      <c r="W1819" s="316"/>
      <c r="X1819" s="257"/>
      <c r="Y1819" s="316"/>
      <c r="Z1819" s="257"/>
    </row>
    <row r="1820" spans="1:26" ht="15" hidden="1">
      <c r="A1820" s="250">
        <f>A1817+1</f>
        <v>329</v>
      </c>
      <c r="B1820" s="251">
        <v>77</v>
      </c>
      <c r="C1820" s="540" t="s">
        <v>215</v>
      </c>
      <c r="D1820" s="527" t="s">
        <v>452</v>
      </c>
      <c r="E1820" s="251" t="s">
        <v>1901</v>
      </c>
      <c r="F1820" s="252"/>
      <c r="G1820" s="253"/>
      <c r="H1820" s="254"/>
      <c r="I1820" s="253"/>
      <c r="J1820" s="253"/>
      <c r="K1820" s="251" t="s">
        <v>1901</v>
      </c>
      <c r="L1820" s="262"/>
      <c r="M1820" s="258"/>
      <c r="N1820" s="257"/>
      <c r="O1820" s="258"/>
      <c r="P1820" s="257"/>
      <c r="Q1820" s="258"/>
      <c r="R1820" s="257"/>
      <c r="S1820" s="258"/>
      <c r="T1820" s="257"/>
      <c r="U1820" s="258"/>
      <c r="V1820" s="257"/>
      <c r="W1820" s="258"/>
      <c r="X1820" s="257"/>
      <c r="Y1820" s="258"/>
      <c r="Z1820" s="257"/>
    </row>
    <row r="1821" spans="1:26" ht="15" hidden="1">
      <c r="A1821" s="250"/>
      <c r="B1821" s="251"/>
      <c r="C1821" s="540"/>
      <c r="D1821" s="527" t="s">
        <v>453</v>
      </c>
      <c r="E1821" s="251" t="s">
        <v>1902</v>
      </c>
      <c r="F1821" s="252"/>
      <c r="G1821" s="253"/>
      <c r="H1821" s="254"/>
      <c r="I1821" s="253"/>
      <c r="J1821" s="253"/>
      <c r="K1821" s="251" t="s">
        <v>1902</v>
      </c>
      <c r="L1821" s="262"/>
      <c r="M1821" s="258"/>
      <c r="N1821" s="257"/>
      <c r="O1821" s="258"/>
      <c r="P1821" s="257"/>
      <c r="Q1821" s="258"/>
      <c r="R1821" s="257"/>
      <c r="S1821" s="258"/>
      <c r="T1821" s="257"/>
      <c r="U1821" s="258"/>
      <c r="V1821" s="257"/>
      <c r="W1821" s="258"/>
      <c r="X1821" s="257"/>
      <c r="Y1821" s="258"/>
      <c r="Z1821" s="257"/>
    </row>
    <row r="1822" spans="1:26" ht="15" hidden="1">
      <c r="A1822" s="250" t="s">
        <v>1903</v>
      </c>
      <c r="B1822" s="251"/>
      <c r="C1822" s="540" t="s">
        <v>210</v>
      </c>
      <c r="D1822" s="335" t="s">
        <v>1775</v>
      </c>
      <c r="E1822" s="251"/>
      <c r="F1822" s="252"/>
      <c r="G1822" s="253"/>
      <c r="H1822" s="254">
        <f>F1822*G1822</f>
        <v>0</v>
      </c>
      <c r="I1822" s="253"/>
      <c r="J1822" s="253"/>
      <c r="K1822" s="251"/>
      <c r="L1822" s="262">
        <v>116</v>
      </c>
      <c r="M1822" s="258">
        <v>0</v>
      </c>
      <c r="N1822" s="257">
        <f>INT($L1822*M1822*100+0.5)/100</f>
        <v>0</v>
      </c>
      <c r="O1822" s="258">
        <v>0</v>
      </c>
      <c r="P1822" s="257">
        <f>INT($L1822*O1822*100+0.5)/100</f>
        <v>0</v>
      </c>
      <c r="Q1822" s="258">
        <v>0</v>
      </c>
      <c r="R1822" s="257">
        <f>INT($L1822*Q1822*100+0.5)/100</f>
        <v>0</v>
      </c>
      <c r="S1822" s="258">
        <v>0</v>
      </c>
      <c r="T1822" s="257">
        <f>INT($L1822*S1822*100+0.5)/100</f>
        <v>0</v>
      </c>
      <c r="U1822" s="258">
        <v>0</v>
      </c>
      <c r="V1822" s="257">
        <f>INT($L1822*U1822*100+0.5)/100</f>
        <v>0</v>
      </c>
      <c r="W1822" s="258">
        <v>0</v>
      </c>
      <c r="X1822" s="257">
        <f>INT($L1822*W1822*100+0.5)/100</f>
        <v>0</v>
      </c>
      <c r="Y1822" s="258">
        <v>0</v>
      </c>
      <c r="Z1822" s="257">
        <f>INT($L1822*Y1822*100+0.5)/100</f>
        <v>0</v>
      </c>
    </row>
    <row r="1823" spans="1:26" ht="15" hidden="1">
      <c r="A1823" s="250" t="s">
        <v>1905</v>
      </c>
      <c r="B1823" s="251"/>
      <c r="C1823" s="540" t="s">
        <v>211</v>
      </c>
      <c r="D1823" s="335" t="s">
        <v>1776</v>
      </c>
      <c r="E1823" s="251"/>
      <c r="F1823" s="252"/>
      <c r="G1823" s="253"/>
      <c r="H1823" s="254">
        <f>F1823*G1823</f>
        <v>0</v>
      </c>
      <c r="I1823" s="253"/>
      <c r="J1823" s="253"/>
      <c r="K1823" s="251"/>
      <c r="L1823" s="262">
        <v>130.5</v>
      </c>
      <c r="M1823" s="258">
        <v>0</v>
      </c>
      <c r="N1823" s="257">
        <f>INT($L1823*M1823*100+0.5)/100</f>
        <v>0</v>
      </c>
      <c r="O1823" s="258">
        <v>0</v>
      </c>
      <c r="P1823" s="257">
        <f>INT($L1823*O1823*100+0.5)/100</f>
        <v>0</v>
      </c>
      <c r="Q1823" s="258">
        <v>0</v>
      </c>
      <c r="R1823" s="257">
        <f>INT($L1823*Q1823*100+0.5)/100</f>
        <v>0</v>
      </c>
      <c r="S1823" s="258">
        <v>0</v>
      </c>
      <c r="T1823" s="257">
        <f>INT($L1823*S1823*100+0.5)/100</f>
        <v>0</v>
      </c>
      <c r="U1823" s="258">
        <v>0</v>
      </c>
      <c r="V1823" s="257">
        <f>INT($L1823*U1823*100+0.5)/100</f>
        <v>0</v>
      </c>
      <c r="W1823" s="258">
        <v>0</v>
      </c>
      <c r="X1823" s="257">
        <f>INT($L1823*W1823*100+0.5)/100</f>
        <v>0</v>
      </c>
      <c r="Y1823" s="258">
        <v>0</v>
      </c>
      <c r="Z1823" s="257">
        <f>INT($L1823*Y1823*100+0.5)/100</f>
        <v>0</v>
      </c>
    </row>
    <row r="1824" spans="1:26" ht="15" hidden="1">
      <c r="A1824" s="250" t="s">
        <v>1906</v>
      </c>
      <c r="B1824" s="251" t="s">
        <v>1906</v>
      </c>
      <c r="C1824" s="540" t="s">
        <v>212</v>
      </c>
      <c r="D1824" s="335" t="s">
        <v>1777</v>
      </c>
      <c r="E1824" s="251"/>
      <c r="F1824" s="252"/>
      <c r="G1824" s="253"/>
      <c r="H1824" s="254">
        <f>F1824*G1824</f>
        <v>0</v>
      </c>
      <c r="I1824" s="253"/>
      <c r="J1824" s="253"/>
      <c r="K1824" s="251"/>
      <c r="L1824" s="262">
        <v>155</v>
      </c>
      <c r="M1824" s="258">
        <v>0</v>
      </c>
      <c r="N1824" s="257">
        <f>INT($L1824*M1824*100+0.5)/100</f>
        <v>0</v>
      </c>
      <c r="O1824" s="258">
        <v>0</v>
      </c>
      <c r="P1824" s="257">
        <f>INT($L1824*O1824*100+0.5)/100</f>
        <v>0</v>
      </c>
      <c r="Q1824" s="258">
        <v>0</v>
      </c>
      <c r="R1824" s="257">
        <f>INT($L1824*Q1824*100+0.5)/100</f>
        <v>0</v>
      </c>
      <c r="S1824" s="258">
        <v>0</v>
      </c>
      <c r="T1824" s="257">
        <f>INT($L1824*S1824*100+0.5)/100</f>
        <v>0</v>
      </c>
      <c r="U1824" s="258">
        <v>0</v>
      </c>
      <c r="V1824" s="257">
        <f>INT($L1824*U1824*100+0.5)/100</f>
        <v>0</v>
      </c>
      <c r="W1824" s="258">
        <v>0</v>
      </c>
      <c r="X1824" s="257">
        <f>INT($L1824*W1824*100+0.5)/100</f>
        <v>0</v>
      </c>
      <c r="Y1824" s="258">
        <v>0</v>
      </c>
      <c r="Z1824" s="257">
        <f>INT($L1824*Y1824*100+0.5)/100</f>
        <v>0</v>
      </c>
    </row>
    <row r="1825" spans="1:26" ht="15" hidden="1">
      <c r="A1825" s="250" t="s">
        <v>1907</v>
      </c>
      <c r="B1825" s="251"/>
      <c r="C1825" s="540" t="s">
        <v>213</v>
      </c>
      <c r="D1825" s="335" t="s">
        <v>1778</v>
      </c>
      <c r="E1825" s="251"/>
      <c r="F1825" s="252"/>
      <c r="G1825" s="253"/>
      <c r="H1825" s="254">
        <f>F1825*G1825</f>
        <v>0</v>
      </c>
      <c r="I1825" s="253"/>
      <c r="J1825" s="253"/>
      <c r="K1825" s="251"/>
      <c r="L1825" s="262">
        <v>200</v>
      </c>
      <c r="M1825" s="258">
        <v>0</v>
      </c>
      <c r="N1825" s="257">
        <f>INT($L1825*M1825*100+0.5)/100</f>
        <v>0</v>
      </c>
      <c r="O1825" s="258">
        <v>0</v>
      </c>
      <c r="P1825" s="257">
        <f>INT($L1825*O1825*100+0.5)/100</f>
        <v>0</v>
      </c>
      <c r="Q1825" s="258">
        <v>0</v>
      </c>
      <c r="R1825" s="257">
        <f>INT($L1825*Q1825*100+0.5)/100</f>
        <v>0</v>
      </c>
      <c r="S1825" s="258">
        <v>0</v>
      </c>
      <c r="T1825" s="257">
        <f>INT($L1825*S1825*100+0.5)/100</f>
        <v>0</v>
      </c>
      <c r="U1825" s="258">
        <v>0</v>
      </c>
      <c r="V1825" s="257">
        <f>INT($L1825*U1825*100+0.5)/100</f>
        <v>0</v>
      </c>
      <c r="W1825" s="258">
        <v>0</v>
      </c>
      <c r="X1825" s="257">
        <f>INT($L1825*W1825*100+0.5)/100</f>
        <v>0</v>
      </c>
      <c r="Y1825" s="258">
        <v>0</v>
      </c>
      <c r="Z1825" s="257">
        <f>INT($L1825*Y1825*100+0.5)/100</f>
        <v>0</v>
      </c>
    </row>
    <row r="1826" spans="1:26" ht="15" hidden="1">
      <c r="A1826" s="250" t="s">
        <v>542</v>
      </c>
      <c r="B1826" s="251"/>
      <c r="C1826" s="540" t="s">
        <v>214</v>
      </c>
      <c r="D1826" s="335" t="s">
        <v>1323</v>
      </c>
      <c r="E1826" s="251"/>
      <c r="F1826" s="252"/>
      <c r="G1826" s="253"/>
      <c r="H1826" s="254">
        <f>F1826*G1826</f>
        <v>0</v>
      </c>
      <c r="I1826" s="253"/>
      <c r="J1826" s="253"/>
      <c r="K1826" s="251"/>
      <c r="L1826" s="262">
        <v>250</v>
      </c>
      <c r="M1826" s="258">
        <v>0</v>
      </c>
      <c r="N1826" s="257">
        <f>INT($L1826*M1826*100+0.5)/100</f>
        <v>0</v>
      </c>
      <c r="O1826" s="258">
        <v>0</v>
      </c>
      <c r="P1826" s="257">
        <f>INT($L1826*O1826*100+0.5)/100</f>
        <v>0</v>
      </c>
      <c r="Q1826" s="258">
        <v>0</v>
      </c>
      <c r="R1826" s="257">
        <f>INT($L1826*Q1826*100+0.5)/100</f>
        <v>0</v>
      </c>
      <c r="S1826" s="258">
        <v>0</v>
      </c>
      <c r="T1826" s="257">
        <f>INT($L1826*S1826*100+0.5)/100</f>
        <v>0</v>
      </c>
      <c r="U1826" s="258">
        <v>0</v>
      </c>
      <c r="V1826" s="257">
        <f>INT($L1826*U1826*100+0.5)/100</f>
        <v>0</v>
      </c>
      <c r="W1826" s="258">
        <v>0</v>
      </c>
      <c r="X1826" s="257">
        <f>INT($L1826*W1826*100+0.5)/100</f>
        <v>0</v>
      </c>
      <c r="Y1826" s="258">
        <v>0</v>
      </c>
      <c r="Z1826" s="257">
        <f>INT($L1826*Y1826*100+0.5)/100</f>
        <v>0</v>
      </c>
    </row>
    <row r="1827" spans="1:26" ht="15" hidden="1">
      <c r="A1827" s="250"/>
      <c r="B1827" s="251"/>
      <c r="C1827" s="540"/>
      <c r="D1827" s="335"/>
      <c r="E1827" s="251"/>
      <c r="F1827" s="252"/>
      <c r="G1827" s="253"/>
      <c r="H1827" s="254"/>
      <c r="I1827" s="253"/>
      <c r="J1827" s="253"/>
      <c r="K1827" s="251"/>
      <c r="L1827" s="262"/>
      <c r="M1827" s="258"/>
      <c r="N1827" s="257"/>
      <c r="O1827" s="258"/>
      <c r="P1827" s="257"/>
      <c r="Q1827" s="258"/>
      <c r="R1827" s="257"/>
      <c r="S1827" s="258"/>
      <c r="T1827" s="257"/>
      <c r="U1827" s="258"/>
      <c r="V1827" s="257"/>
      <c r="W1827" s="258"/>
      <c r="X1827" s="257"/>
      <c r="Y1827" s="258"/>
      <c r="Z1827" s="257"/>
    </row>
    <row r="1828" spans="1:26" ht="15.75" hidden="1" customHeight="1">
      <c r="A1828" s="284"/>
      <c r="B1828" s="237"/>
      <c r="C1828" s="285"/>
      <c r="D1828" s="335" t="s">
        <v>1028</v>
      </c>
      <c r="E1828" s="251"/>
      <c r="F1828" s="239"/>
      <c r="G1828" s="253"/>
      <c r="H1828" s="239"/>
      <c r="I1828" s="225"/>
      <c r="J1828" s="225"/>
      <c r="K1828" s="251"/>
      <c r="L1828" s="262"/>
      <c r="M1828" s="260"/>
      <c r="N1828" s="257"/>
      <c r="O1828" s="260"/>
      <c r="P1828" s="257"/>
      <c r="Q1828" s="260"/>
      <c r="R1828" s="257"/>
      <c r="S1828" s="260"/>
      <c r="T1828" s="257"/>
      <c r="U1828" s="260"/>
      <c r="V1828" s="257"/>
      <c r="W1828" s="260"/>
      <c r="X1828" s="257"/>
      <c r="Y1828" s="260"/>
      <c r="Z1828" s="257"/>
    </row>
    <row r="1829" spans="1:26" ht="15.75" hidden="1" customHeight="1">
      <c r="A1829" s="284"/>
      <c r="B1829" s="237"/>
      <c r="C1829" s="285"/>
      <c r="D1829" s="335" t="s">
        <v>327</v>
      </c>
      <c r="E1829" s="251"/>
      <c r="F1829" s="239"/>
      <c r="G1829" s="253"/>
      <c r="H1829" s="239"/>
      <c r="I1829" s="225"/>
      <c r="J1829" s="225"/>
      <c r="K1829" s="251"/>
      <c r="L1829" s="262"/>
      <c r="M1829" s="260"/>
      <c r="N1829" s="257"/>
      <c r="O1829" s="260"/>
      <c r="P1829" s="257"/>
      <c r="Q1829" s="260"/>
      <c r="R1829" s="257"/>
      <c r="S1829" s="260"/>
      <c r="T1829" s="257"/>
      <c r="U1829" s="260"/>
      <c r="V1829" s="257"/>
      <c r="W1829" s="260"/>
      <c r="X1829" s="257"/>
      <c r="Y1829" s="260"/>
      <c r="Z1829" s="257"/>
    </row>
    <row r="1830" spans="1:26" ht="15.75" hidden="1" customHeight="1">
      <c r="A1830" s="284">
        <f>A1820+1</f>
        <v>330</v>
      </c>
      <c r="B1830" s="237"/>
      <c r="C1830" s="285"/>
      <c r="D1830" s="422" t="s">
        <v>2037</v>
      </c>
      <c r="E1830" s="251"/>
      <c r="F1830" s="239"/>
      <c r="G1830" s="253"/>
      <c r="H1830" s="239"/>
      <c r="I1830" s="225"/>
      <c r="J1830" s="225"/>
      <c r="K1830" s="251"/>
      <c r="L1830" s="262">
        <v>5.22</v>
      </c>
      <c r="M1830" s="258">
        <v>0</v>
      </c>
      <c r="N1830" s="257">
        <f>INT($L1830*M1830*100+0.5)/100</f>
        <v>0</v>
      </c>
      <c r="O1830" s="258">
        <v>0</v>
      </c>
      <c r="P1830" s="257">
        <f>INT($L1830*O1830*100+0.5)/100</f>
        <v>0</v>
      </c>
      <c r="Q1830" s="258">
        <v>0</v>
      </c>
      <c r="R1830" s="257">
        <f>INT($L1830*Q1830*100+0.5)/100</f>
        <v>0</v>
      </c>
      <c r="S1830" s="258">
        <v>0</v>
      </c>
      <c r="T1830" s="257">
        <f>INT($L1830*S1830*100+0.5)/100</f>
        <v>0</v>
      </c>
      <c r="U1830" s="258">
        <v>0</v>
      </c>
      <c r="V1830" s="257">
        <f>INT($L1830*U1830*100+0.5)/100</f>
        <v>0</v>
      </c>
      <c r="W1830" s="258">
        <v>0</v>
      </c>
      <c r="X1830" s="257">
        <f>INT($L1830*W1830*100+0.5)/100</f>
        <v>0</v>
      </c>
      <c r="Y1830" s="258">
        <v>0</v>
      </c>
      <c r="Z1830" s="257">
        <f>INT($L1830*Y1830*100+0.5)/100</f>
        <v>0</v>
      </c>
    </row>
    <row r="1831" spans="1:26" ht="15.75" hidden="1" customHeight="1">
      <c r="A1831" s="284"/>
      <c r="B1831" s="237"/>
      <c r="C1831" s="285"/>
      <c r="D1831" s="422" t="s">
        <v>682</v>
      </c>
      <c r="E1831" s="251"/>
      <c r="F1831" s="239"/>
      <c r="G1831" s="253"/>
      <c r="H1831" s="239"/>
      <c r="I1831" s="225"/>
      <c r="J1831" s="225"/>
      <c r="K1831" s="251"/>
      <c r="L1831" s="346"/>
      <c r="M1831" s="260"/>
      <c r="N1831" s="257"/>
      <c r="O1831" s="260"/>
      <c r="P1831" s="257"/>
      <c r="Q1831" s="260"/>
      <c r="R1831" s="257"/>
      <c r="S1831" s="260"/>
      <c r="T1831" s="257"/>
      <c r="U1831" s="260"/>
      <c r="V1831" s="257"/>
      <c r="W1831" s="260"/>
      <c r="X1831" s="257"/>
      <c r="Y1831" s="260"/>
      <c r="Z1831" s="257"/>
    </row>
    <row r="1832" spans="1:26" ht="15.75" hidden="1" customHeight="1">
      <c r="A1832" s="284"/>
      <c r="B1832" s="237"/>
      <c r="C1832" s="285"/>
      <c r="D1832" s="422"/>
      <c r="E1832" s="251"/>
      <c r="F1832" s="239"/>
      <c r="G1832" s="253"/>
      <c r="H1832" s="239"/>
      <c r="I1832" s="225"/>
      <c r="J1832" s="225"/>
      <c r="K1832" s="251"/>
      <c r="L1832" s="346"/>
      <c r="M1832" s="260"/>
      <c r="N1832" s="257"/>
      <c r="O1832" s="260"/>
      <c r="P1832" s="257"/>
      <c r="Q1832" s="260"/>
      <c r="R1832" s="257"/>
      <c r="S1832" s="260"/>
      <c r="T1832" s="257"/>
      <c r="U1832" s="260"/>
      <c r="V1832" s="257"/>
      <c r="W1832" s="260"/>
      <c r="X1832" s="257"/>
      <c r="Y1832" s="260"/>
      <c r="Z1832" s="257"/>
    </row>
    <row r="1833" spans="1:26" ht="15.75" hidden="1" customHeight="1">
      <c r="A1833" s="284">
        <f>A1830+1</f>
        <v>331</v>
      </c>
      <c r="B1833" s="237"/>
      <c r="C1833" s="285"/>
      <c r="D1833" s="422" t="s">
        <v>2038</v>
      </c>
      <c r="E1833" s="251"/>
      <c r="F1833" s="239"/>
      <c r="G1833" s="253"/>
      <c r="H1833" s="239"/>
      <c r="I1833" s="225"/>
      <c r="J1833" s="225"/>
      <c r="K1833" s="251"/>
      <c r="L1833" s="262">
        <v>5.94</v>
      </c>
      <c r="M1833" s="258">
        <v>0</v>
      </c>
      <c r="N1833" s="257">
        <f>INT($L1833*M1833*100+0.5)/100</f>
        <v>0</v>
      </c>
      <c r="O1833" s="258">
        <v>0</v>
      </c>
      <c r="P1833" s="257">
        <f>INT($L1833*O1833*100+0.5)/100</f>
        <v>0</v>
      </c>
      <c r="Q1833" s="258">
        <v>0</v>
      </c>
      <c r="R1833" s="257">
        <f>INT($L1833*Q1833*100+0.5)/100</f>
        <v>0</v>
      </c>
      <c r="S1833" s="258">
        <v>0</v>
      </c>
      <c r="T1833" s="257">
        <f>INT($L1833*S1833*100+0.5)/100</f>
        <v>0</v>
      </c>
      <c r="U1833" s="258">
        <v>0</v>
      </c>
      <c r="V1833" s="257">
        <f>INT($L1833*U1833*100+0.5)/100</f>
        <v>0</v>
      </c>
      <c r="W1833" s="258">
        <v>0</v>
      </c>
      <c r="X1833" s="257">
        <f>INT($L1833*W1833*100+0.5)/100</f>
        <v>0</v>
      </c>
      <c r="Y1833" s="258">
        <v>0</v>
      </c>
      <c r="Z1833" s="257">
        <f>INT($L1833*Y1833*100+0.5)/100</f>
        <v>0</v>
      </c>
    </row>
    <row r="1834" spans="1:26" ht="15.75" hidden="1" customHeight="1">
      <c r="A1834" s="284"/>
      <c r="B1834" s="237"/>
      <c r="C1834" s="285"/>
      <c r="D1834" s="422" t="s">
        <v>1033</v>
      </c>
      <c r="E1834" s="251"/>
      <c r="F1834" s="239"/>
      <c r="G1834" s="253"/>
      <c r="H1834" s="239"/>
      <c r="I1834" s="225"/>
      <c r="J1834" s="225"/>
      <c r="K1834" s="251"/>
      <c r="L1834" s="346"/>
      <c r="M1834" s="260"/>
      <c r="N1834" s="257"/>
      <c r="O1834" s="260"/>
      <c r="P1834" s="257"/>
      <c r="Q1834" s="260"/>
      <c r="R1834" s="257"/>
      <c r="S1834" s="260"/>
      <c r="T1834" s="257"/>
      <c r="U1834" s="260"/>
      <c r="V1834" s="257"/>
      <c r="W1834" s="260"/>
      <c r="X1834" s="257"/>
      <c r="Y1834" s="260"/>
      <c r="Z1834" s="257"/>
    </row>
    <row r="1835" spans="1:26" ht="15.75" hidden="1" customHeight="1">
      <c r="A1835" s="284"/>
      <c r="B1835" s="237"/>
      <c r="C1835" s="285"/>
      <c r="D1835" s="422"/>
      <c r="E1835" s="251"/>
      <c r="F1835" s="239"/>
      <c r="G1835" s="253"/>
      <c r="H1835" s="239"/>
      <c r="I1835" s="225"/>
      <c r="J1835" s="225"/>
      <c r="K1835" s="251"/>
      <c r="L1835" s="346"/>
      <c r="M1835" s="260"/>
      <c r="N1835" s="257"/>
      <c r="O1835" s="260"/>
      <c r="P1835" s="257"/>
      <c r="Q1835" s="260"/>
      <c r="R1835" s="257"/>
      <c r="S1835" s="260"/>
      <c r="T1835" s="257"/>
      <c r="U1835" s="260"/>
      <c r="V1835" s="257"/>
      <c r="W1835" s="260"/>
      <c r="X1835" s="257"/>
      <c r="Y1835" s="260"/>
      <c r="Z1835" s="257"/>
    </row>
    <row r="1836" spans="1:26" ht="15.75" hidden="1" customHeight="1">
      <c r="A1836" s="284">
        <f>A1833+1</f>
        <v>332</v>
      </c>
      <c r="B1836" s="237"/>
      <c r="C1836" s="285"/>
      <c r="D1836" s="422" t="s">
        <v>2039</v>
      </c>
      <c r="E1836" s="251"/>
      <c r="F1836" s="239"/>
      <c r="G1836" s="253"/>
      <c r="H1836" s="239"/>
      <c r="I1836" s="225"/>
      <c r="J1836" s="225"/>
      <c r="K1836" s="251"/>
      <c r="L1836" s="262">
        <v>5.68</v>
      </c>
      <c r="M1836" s="258">
        <v>0</v>
      </c>
      <c r="N1836" s="257">
        <f>INT($L1836*M1836*100+0.5)/100</f>
        <v>0</v>
      </c>
      <c r="O1836" s="258">
        <v>0</v>
      </c>
      <c r="P1836" s="257">
        <f>INT($L1836*O1836*100+0.5)/100</f>
        <v>0</v>
      </c>
      <c r="Q1836" s="258">
        <v>0</v>
      </c>
      <c r="R1836" s="257">
        <f>INT($L1836*Q1836*100+0.5)/100</f>
        <v>0</v>
      </c>
      <c r="S1836" s="258">
        <v>0</v>
      </c>
      <c r="T1836" s="257">
        <f>INT($L1836*S1836*100+0.5)/100</f>
        <v>0</v>
      </c>
      <c r="U1836" s="258">
        <v>0</v>
      </c>
      <c r="V1836" s="257">
        <f>INT($L1836*U1836*100+0.5)/100</f>
        <v>0</v>
      </c>
      <c r="W1836" s="258">
        <v>0</v>
      </c>
      <c r="X1836" s="257">
        <f>INT($L1836*W1836*100+0.5)/100</f>
        <v>0</v>
      </c>
      <c r="Y1836" s="258">
        <v>0</v>
      </c>
      <c r="Z1836" s="257">
        <f>INT($L1836*Y1836*100+0.5)/100</f>
        <v>0</v>
      </c>
    </row>
    <row r="1837" spans="1:26" ht="15.75" hidden="1" customHeight="1">
      <c r="A1837" s="284"/>
      <c r="B1837" s="237"/>
      <c r="C1837" s="285"/>
      <c r="D1837" s="422" t="s">
        <v>1034</v>
      </c>
      <c r="E1837" s="251"/>
      <c r="F1837" s="239"/>
      <c r="G1837" s="253"/>
      <c r="H1837" s="239"/>
      <c r="I1837" s="225"/>
      <c r="J1837" s="225"/>
      <c r="K1837" s="251"/>
      <c r="L1837" s="346"/>
      <c r="M1837" s="260"/>
      <c r="N1837" s="257"/>
      <c r="O1837" s="260"/>
      <c r="P1837" s="257"/>
      <c r="Q1837" s="260"/>
      <c r="R1837" s="257"/>
      <c r="S1837" s="260"/>
      <c r="T1837" s="257"/>
      <c r="U1837" s="260"/>
      <c r="V1837" s="257"/>
      <c r="W1837" s="260"/>
      <c r="X1837" s="257"/>
      <c r="Y1837" s="260"/>
      <c r="Z1837" s="257"/>
    </row>
    <row r="1838" spans="1:26" ht="15.75" hidden="1" customHeight="1">
      <c r="A1838" s="284"/>
      <c r="B1838" s="237"/>
      <c r="C1838" s="285"/>
      <c r="D1838" s="422"/>
      <c r="E1838" s="251"/>
      <c r="F1838" s="239"/>
      <c r="G1838" s="253"/>
      <c r="H1838" s="239"/>
      <c r="I1838" s="225"/>
      <c r="J1838" s="225"/>
      <c r="K1838" s="251"/>
      <c r="L1838" s="346"/>
      <c r="M1838" s="260"/>
      <c r="N1838" s="257"/>
      <c r="O1838" s="260"/>
      <c r="P1838" s="257"/>
      <c r="Q1838" s="260"/>
      <c r="R1838" s="257"/>
      <c r="S1838" s="260"/>
      <c r="T1838" s="257"/>
      <c r="U1838" s="260"/>
      <c r="V1838" s="257"/>
      <c r="W1838" s="260"/>
      <c r="X1838" s="257"/>
      <c r="Y1838" s="260"/>
      <c r="Z1838" s="257"/>
    </row>
    <row r="1839" spans="1:26" ht="15.75" hidden="1" customHeight="1">
      <c r="A1839" s="284">
        <f>A1836+1</f>
        <v>333</v>
      </c>
      <c r="B1839" s="237"/>
      <c r="C1839" s="285"/>
      <c r="D1839" s="422" t="s">
        <v>2297</v>
      </c>
      <c r="E1839" s="251"/>
      <c r="F1839" s="239"/>
      <c r="G1839" s="253"/>
      <c r="H1839" s="239"/>
      <c r="I1839" s="225"/>
      <c r="J1839" s="225"/>
      <c r="K1839" s="251"/>
      <c r="L1839" s="262">
        <v>3.1</v>
      </c>
      <c r="M1839" s="258">
        <v>0</v>
      </c>
      <c r="N1839" s="257">
        <f>INT($L1839*M1839*100+0.5)/100</f>
        <v>0</v>
      </c>
      <c r="O1839" s="258">
        <v>0</v>
      </c>
      <c r="P1839" s="257">
        <f>INT($L1839*O1839*100+0.5)/100</f>
        <v>0</v>
      </c>
      <c r="Q1839" s="258">
        <v>0</v>
      </c>
      <c r="R1839" s="257">
        <f>INT($L1839*Q1839*100+0.5)/100</f>
        <v>0</v>
      </c>
      <c r="S1839" s="258">
        <v>0</v>
      </c>
      <c r="T1839" s="257">
        <f>INT($L1839*S1839*100+0.5)/100</f>
        <v>0</v>
      </c>
      <c r="U1839" s="258">
        <v>0</v>
      </c>
      <c r="V1839" s="257">
        <f>INT($L1839*U1839*100+0.5)/100</f>
        <v>0</v>
      </c>
      <c r="W1839" s="258">
        <v>0</v>
      </c>
      <c r="X1839" s="257">
        <f>INT($L1839*W1839*100+0.5)/100</f>
        <v>0</v>
      </c>
      <c r="Y1839" s="258">
        <v>0</v>
      </c>
      <c r="Z1839" s="257">
        <f>INT($L1839*Y1839*100+0.5)/100</f>
        <v>0</v>
      </c>
    </row>
    <row r="1840" spans="1:26" ht="15.75" hidden="1" customHeight="1">
      <c r="A1840" s="284"/>
      <c r="B1840" s="237"/>
      <c r="C1840" s="285"/>
      <c r="D1840" s="422" t="s">
        <v>2298</v>
      </c>
      <c r="E1840" s="251"/>
      <c r="F1840" s="239"/>
      <c r="G1840" s="253"/>
      <c r="H1840" s="239"/>
      <c r="I1840" s="225"/>
      <c r="J1840" s="225"/>
      <c r="K1840" s="251"/>
      <c r="L1840" s="346"/>
      <c r="M1840" s="260"/>
      <c r="N1840" s="257"/>
      <c r="O1840" s="260"/>
      <c r="P1840" s="257"/>
      <c r="Q1840" s="260"/>
      <c r="R1840" s="257"/>
      <c r="S1840" s="260"/>
      <c r="T1840" s="257"/>
      <c r="U1840" s="260"/>
      <c r="V1840" s="257"/>
      <c r="W1840" s="260"/>
      <c r="X1840" s="257"/>
      <c r="Y1840" s="260"/>
      <c r="Z1840" s="257"/>
    </row>
    <row r="1841" spans="1:26" ht="15.75" hidden="1" customHeight="1">
      <c r="A1841" s="284"/>
      <c r="B1841" s="237"/>
      <c r="C1841" s="285"/>
      <c r="D1841" s="422"/>
      <c r="E1841" s="251"/>
      <c r="F1841" s="239"/>
      <c r="G1841" s="253"/>
      <c r="H1841" s="239"/>
      <c r="I1841" s="225"/>
      <c r="J1841" s="225"/>
      <c r="K1841" s="251"/>
      <c r="L1841" s="346"/>
      <c r="M1841" s="260"/>
      <c r="N1841" s="257"/>
      <c r="O1841" s="260"/>
      <c r="P1841" s="257"/>
      <c r="Q1841" s="260"/>
      <c r="R1841" s="257"/>
      <c r="S1841" s="260"/>
      <c r="T1841" s="257"/>
      <c r="U1841" s="260"/>
      <c r="V1841" s="257"/>
      <c r="W1841" s="260"/>
      <c r="X1841" s="257"/>
      <c r="Y1841" s="260"/>
      <c r="Z1841" s="257"/>
    </row>
    <row r="1842" spans="1:26" ht="15.75" hidden="1" customHeight="1">
      <c r="A1842" s="284">
        <f>A1839+1</f>
        <v>334</v>
      </c>
      <c r="B1842" s="237"/>
      <c r="C1842" s="285"/>
      <c r="D1842" s="422" t="s">
        <v>2299</v>
      </c>
      <c r="E1842" s="251"/>
      <c r="F1842" s="239"/>
      <c r="G1842" s="253"/>
      <c r="H1842" s="239"/>
      <c r="I1842" s="225"/>
      <c r="J1842" s="225"/>
      <c r="K1842" s="251"/>
      <c r="L1842" s="262">
        <v>3.36</v>
      </c>
      <c r="M1842" s="258">
        <v>0</v>
      </c>
      <c r="N1842" s="257">
        <f>INT($L1842*M1842*100+0.5)/100</f>
        <v>0</v>
      </c>
      <c r="O1842" s="258">
        <v>0</v>
      </c>
      <c r="P1842" s="257">
        <f>INT($L1842*O1842*100+0.5)/100</f>
        <v>0</v>
      </c>
      <c r="Q1842" s="258">
        <v>0</v>
      </c>
      <c r="R1842" s="257">
        <f>INT($L1842*Q1842*100+0.5)/100</f>
        <v>0</v>
      </c>
      <c r="S1842" s="258">
        <v>0</v>
      </c>
      <c r="T1842" s="257">
        <f>INT($L1842*S1842*100+0.5)/100</f>
        <v>0</v>
      </c>
      <c r="U1842" s="258">
        <v>0</v>
      </c>
      <c r="V1842" s="257">
        <f>INT($L1842*U1842*100+0.5)/100</f>
        <v>0</v>
      </c>
      <c r="W1842" s="258">
        <v>0</v>
      </c>
      <c r="X1842" s="257">
        <f>INT($L1842*W1842*100+0.5)/100</f>
        <v>0</v>
      </c>
      <c r="Y1842" s="258">
        <v>0</v>
      </c>
      <c r="Z1842" s="257">
        <f>INT($L1842*Y1842*100+0.5)/100</f>
        <v>0</v>
      </c>
    </row>
    <row r="1843" spans="1:26" ht="15.75" hidden="1" customHeight="1">
      <c r="A1843" s="284"/>
      <c r="B1843" s="237"/>
      <c r="C1843" s="285"/>
      <c r="D1843" s="422" t="s">
        <v>2300</v>
      </c>
      <c r="E1843" s="251"/>
      <c r="F1843" s="239"/>
      <c r="G1843" s="253"/>
      <c r="H1843" s="239"/>
      <c r="I1843" s="225"/>
      <c r="J1843" s="225"/>
      <c r="K1843" s="251"/>
      <c r="L1843" s="346"/>
      <c r="M1843" s="260"/>
      <c r="N1843" s="257"/>
      <c r="O1843" s="260"/>
      <c r="P1843" s="257"/>
      <c r="Q1843" s="260"/>
      <c r="R1843" s="257"/>
      <c r="S1843" s="260"/>
      <c r="T1843" s="257"/>
      <c r="U1843" s="260"/>
      <c r="V1843" s="257"/>
      <c r="W1843" s="260"/>
      <c r="X1843" s="257"/>
      <c r="Y1843" s="260"/>
      <c r="Z1843" s="257"/>
    </row>
    <row r="1844" spans="1:26" ht="15.75" hidden="1" customHeight="1">
      <c r="A1844" s="284"/>
      <c r="B1844" s="237"/>
      <c r="C1844" s="285"/>
      <c r="D1844" s="422"/>
      <c r="E1844" s="251"/>
      <c r="F1844" s="239"/>
      <c r="G1844" s="253"/>
      <c r="H1844" s="239"/>
      <c r="I1844" s="225"/>
      <c r="J1844" s="225"/>
      <c r="K1844" s="251"/>
      <c r="L1844" s="346"/>
      <c r="M1844" s="260"/>
      <c r="N1844" s="257"/>
      <c r="O1844" s="260"/>
      <c r="P1844" s="257"/>
      <c r="Q1844" s="260"/>
      <c r="R1844" s="257"/>
      <c r="S1844" s="260"/>
      <c r="T1844" s="257"/>
      <c r="U1844" s="260"/>
      <c r="V1844" s="257"/>
      <c r="W1844" s="260"/>
      <c r="X1844" s="257"/>
      <c r="Y1844" s="260"/>
      <c r="Z1844" s="257"/>
    </row>
    <row r="1845" spans="1:26" ht="16.5" hidden="1" customHeight="1">
      <c r="A1845" s="284">
        <f>A1842+1</f>
        <v>335</v>
      </c>
      <c r="B1845" s="237"/>
      <c r="C1845" s="285"/>
      <c r="D1845" s="422" t="s">
        <v>2301</v>
      </c>
      <c r="E1845" s="251"/>
      <c r="F1845" s="239"/>
      <c r="G1845" s="253"/>
      <c r="H1845" s="239"/>
      <c r="I1845" s="225"/>
      <c r="J1845" s="225"/>
      <c r="K1845" s="251"/>
      <c r="L1845" s="262">
        <v>2.89</v>
      </c>
      <c r="M1845" s="258">
        <v>0</v>
      </c>
      <c r="N1845" s="257">
        <f>INT($L1845*M1845*100+0.5)/100</f>
        <v>0</v>
      </c>
      <c r="O1845" s="258">
        <v>0</v>
      </c>
      <c r="P1845" s="257">
        <f>INT($L1845*O1845*100+0.5)/100</f>
        <v>0</v>
      </c>
      <c r="Q1845" s="258">
        <v>0</v>
      </c>
      <c r="R1845" s="257">
        <f>INT($L1845*Q1845*100+0.5)/100</f>
        <v>0</v>
      </c>
      <c r="S1845" s="258">
        <v>0</v>
      </c>
      <c r="T1845" s="257">
        <f>INT($L1845*S1845*100+0.5)/100</f>
        <v>0</v>
      </c>
      <c r="U1845" s="258">
        <v>0</v>
      </c>
      <c r="V1845" s="257">
        <f>INT($L1845*U1845*100+0.5)/100</f>
        <v>0</v>
      </c>
      <c r="W1845" s="258">
        <v>0</v>
      </c>
      <c r="X1845" s="257">
        <f>INT($L1845*W1845*100+0.5)/100</f>
        <v>0</v>
      </c>
      <c r="Y1845" s="258">
        <v>0</v>
      </c>
      <c r="Z1845" s="257">
        <f>INT($L1845*Y1845*100+0.5)/100</f>
        <v>0</v>
      </c>
    </row>
    <row r="1846" spans="1:26" ht="15.75" hidden="1" customHeight="1">
      <c r="A1846" s="284"/>
      <c r="B1846" s="237"/>
      <c r="C1846" s="285"/>
      <c r="D1846" s="422" t="s">
        <v>2302</v>
      </c>
      <c r="E1846" s="251"/>
      <c r="F1846" s="239"/>
      <c r="G1846" s="253"/>
      <c r="H1846" s="239"/>
      <c r="I1846" s="225"/>
      <c r="J1846" s="225"/>
      <c r="K1846" s="251"/>
      <c r="L1846" s="346"/>
      <c r="M1846" s="260"/>
      <c r="N1846" s="257"/>
      <c r="O1846" s="260"/>
      <c r="P1846" s="257"/>
      <c r="Q1846" s="260"/>
      <c r="R1846" s="257"/>
      <c r="S1846" s="260"/>
      <c r="T1846" s="257"/>
      <c r="U1846" s="260"/>
      <c r="V1846" s="257"/>
      <c r="W1846" s="260"/>
      <c r="X1846" s="257"/>
      <c r="Y1846" s="260"/>
      <c r="Z1846" s="257"/>
    </row>
    <row r="1847" spans="1:26" ht="15.75" hidden="1" customHeight="1">
      <c r="A1847" s="284"/>
      <c r="B1847" s="237"/>
      <c r="C1847" s="285"/>
      <c r="D1847" s="422"/>
      <c r="E1847" s="251"/>
      <c r="F1847" s="239"/>
      <c r="G1847" s="253"/>
      <c r="H1847" s="239"/>
      <c r="I1847" s="225"/>
      <c r="J1847" s="225"/>
      <c r="K1847" s="251"/>
      <c r="L1847" s="346"/>
      <c r="M1847" s="260"/>
      <c r="N1847" s="257"/>
      <c r="O1847" s="260"/>
      <c r="P1847" s="257"/>
      <c r="Q1847" s="260"/>
      <c r="R1847" s="257"/>
      <c r="S1847" s="260"/>
      <c r="T1847" s="257"/>
      <c r="U1847" s="260"/>
      <c r="V1847" s="257"/>
      <c r="W1847" s="260"/>
      <c r="X1847" s="257"/>
      <c r="Y1847" s="260"/>
      <c r="Z1847" s="257"/>
    </row>
    <row r="1848" spans="1:26" ht="15.75" hidden="1" customHeight="1">
      <c r="A1848" s="284">
        <f>A1845+1</f>
        <v>336</v>
      </c>
      <c r="B1848" s="237"/>
      <c r="C1848" s="285"/>
      <c r="D1848" s="422" t="s">
        <v>2303</v>
      </c>
      <c r="E1848" s="251"/>
      <c r="F1848" s="239"/>
      <c r="G1848" s="253"/>
      <c r="H1848" s="239"/>
      <c r="I1848" s="225"/>
      <c r="J1848" s="225"/>
      <c r="K1848" s="251"/>
      <c r="L1848" s="262">
        <v>4.91</v>
      </c>
      <c r="M1848" s="258">
        <v>0</v>
      </c>
      <c r="N1848" s="257">
        <f>INT($L1848*M1848*100+0.5)/100</f>
        <v>0</v>
      </c>
      <c r="O1848" s="258">
        <v>0</v>
      </c>
      <c r="P1848" s="257">
        <f>INT($L1848*O1848*100+0.5)/100</f>
        <v>0</v>
      </c>
      <c r="Q1848" s="258">
        <v>0</v>
      </c>
      <c r="R1848" s="257">
        <f>INT($L1848*Q1848*100+0.5)/100</f>
        <v>0</v>
      </c>
      <c r="S1848" s="258">
        <v>0</v>
      </c>
      <c r="T1848" s="257">
        <f>INT($L1848*S1848*100+0.5)/100</f>
        <v>0</v>
      </c>
      <c r="U1848" s="258">
        <v>0</v>
      </c>
      <c r="V1848" s="257">
        <f>INT($L1848*U1848*100+0.5)/100</f>
        <v>0</v>
      </c>
      <c r="W1848" s="258">
        <v>0</v>
      </c>
      <c r="X1848" s="257">
        <f>INT($L1848*W1848*100+0.5)/100</f>
        <v>0</v>
      </c>
      <c r="Y1848" s="258">
        <v>0</v>
      </c>
      <c r="Z1848" s="257">
        <f>INT($L1848*Y1848*100+0.5)/100</f>
        <v>0</v>
      </c>
    </row>
    <row r="1849" spans="1:26" ht="15.75" hidden="1" customHeight="1">
      <c r="A1849" s="284"/>
      <c r="B1849" s="237"/>
      <c r="C1849" s="285"/>
      <c r="D1849" s="422" t="s">
        <v>2304</v>
      </c>
      <c r="E1849" s="251"/>
      <c r="F1849" s="239"/>
      <c r="G1849" s="253"/>
      <c r="H1849" s="239"/>
      <c r="I1849" s="225"/>
      <c r="J1849" s="225"/>
      <c r="K1849" s="251"/>
      <c r="L1849" s="346"/>
      <c r="M1849" s="260"/>
      <c r="N1849" s="257"/>
      <c r="O1849" s="260"/>
      <c r="P1849" s="257"/>
      <c r="Q1849" s="260"/>
      <c r="R1849" s="257"/>
      <c r="S1849" s="260"/>
      <c r="T1849" s="257"/>
      <c r="U1849" s="260"/>
      <c r="V1849" s="257"/>
      <c r="W1849" s="260"/>
      <c r="X1849" s="257"/>
      <c r="Y1849" s="260"/>
      <c r="Z1849" s="257"/>
    </row>
    <row r="1850" spans="1:26" ht="15.75" hidden="1" customHeight="1">
      <c r="A1850" s="284"/>
      <c r="B1850" s="237"/>
      <c r="C1850" s="285"/>
      <c r="D1850" s="422"/>
      <c r="E1850" s="251"/>
      <c r="F1850" s="239"/>
      <c r="G1850" s="253"/>
      <c r="H1850" s="239"/>
      <c r="I1850" s="225"/>
      <c r="J1850" s="225"/>
      <c r="K1850" s="251"/>
      <c r="L1850" s="346"/>
      <c r="M1850" s="260"/>
      <c r="N1850" s="257"/>
      <c r="O1850" s="260"/>
      <c r="P1850" s="257"/>
      <c r="Q1850" s="260"/>
      <c r="R1850" s="257"/>
      <c r="S1850" s="260"/>
      <c r="T1850" s="257"/>
      <c r="U1850" s="260"/>
      <c r="V1850" s="257"/>
      <c r="W1850" s="260"/>
      <c r="X1850" s="257"/>
      <c r="Y1850" s="260"/>
      <c r="Z1850" s="257"/>
    </row>
    <row r="1851" spans="1:26" ht="15.75" hidden="1" customHeight="1">
      <c r="A1851" s="284">
        <f>A1848+1</f>
        <v>337</v>
      </c>
      <c r="B1851" s="237"/>
      <c r="C1851" s="285"/>
      <c r="D1851" s="422" t="s">
        <v>2305</v>
      </c>
      <c r="E1851" s="251"/>
      <c r="F1851" s="239"/>
      <c r="G1851" s="253"/>
      <c r="H1851" s="239"/>
      <c r="I1851" s="225"/>
      <c r="J1851" s="225"/>
      <c r="K1851" s="251"/>
      <c r="L1851" s="262">
        <v>7.95</v>
      </c>
      <c r="M1851" s="258">
        <v>0</v>
      </c>
      <c r="N1851" s="257">
        <f>INT($L1851*M1851*100+0.5)/100</f>
        <v>0</v>
      </c>
      <c r="O1851" s="258">
        <v>0</v>
      </c>
      <c r="P1851" s="257">
        <f>INT($L1851*O1851*100+0.5)/100</f>
        <v>0</v>
      </c>
      <c r="Q1851" s="258">
        <v>0</v>
      </c>
      <c r="R1851" s="257">
        <f>INT($L1851*Q1851*100+0.5)/100</f>
        <v>0</v>
      </c>
      <c r="S1851" s="258">
        <v>0</v>
      </c>
      <c r="T1851" s="257">
        <f>INT($L1851*S1851*100+0.5)/100</f>
        <v>0</v>
      </c>
      <c r="U1851" s="258">
        <v>0</v>
      </c>
      <c r="V1851" s="257">
        <f>INT($L1851*U1851*100+0.5)/100</f>
        <v>0</v>
      </c>
      <c r="W1851" s="258">
        <v>0</v>
      </c>
      <c r="X1851" s="257">
        <f>INT($L1851*W1851*100+0.5)/100</f>
        <v>0</v>
      </c>
      <c r="Y1851" s="258">
        <v>0</v>
      </c>
      <c r="Z1851" s="257">
        <f>INT($L1851*Y1851*100+0.5)/100</f>
        <v>0</v>
      </c>
    </row>
    <row r="1852" spans="1:26" ht="15.75" hidden="1" customHeight="1">
      <c r="A1852" s="284"/>
      <c r="B1852" s="237"/>
      <c r="C1852" s="285"/>
      <c r="D1852" s="422" t="s">
        <v>2306</v>
      </c>
      <c r="E1852" s="251"/>
      <c r="F1852" s="239"/>
      <c r="G1852" s="253"/>
      <c r="H1852" s="239"/>
      <c r="I1852" s="225"/>
      <c r="J1852" s="225"/>
      <c r="K1852" s="251"/>
      <c r="L1852" s="346"/>
      <c r="M1852" s="260"/>
      <c r="N1852" s="257"/>
      <c r="O1852" s="260"/>
      <c r="P1852" s="257"/>
      <c r="Q1852" s="260"/>
      <c r="R1852" s="257"/>
      <c r="S1852" s="260"/>
      <c r="T1852" s="257"/>
      <c r="U1852" s="260"/>
      <c r="V1852" s="257"/>
      <c r="W1852" s="260"/>
      <c r="X1852" s="257"/>
      <c r="Y1852" s="260"/>
      <c r="Z1852" s="257"/>
    </row>
    <row r="1853" spans="1:26" ht="15.75" hidden="1" customHeight="1">
      <c r="A1853" s="284"/>
      <c r="B1853" s="237"/>
      <c r="C1853" s="285"/>
      <c r="D1853" s="422"/>
      <c r="E1853" s="251"/>
      <c r="F1853" s="239"/>
      <c r="G1853" s="253"/>
      <c r="H1853" s="239"/>
      <c r="I1853" s="225"/>
      <c r="J1853" s="225"/>
      <c r="K1853" s="251"/>
      <c r="L1853" s="346"/>
      <c r="M1853" s="279"/>
      <c r="N1853" s="280"/>
      <c r="O1853" s="279"/>
      <c r="P1853" s="280"/>
      <c r="Q1853" s="279"/>
      <c r="R1853" s="280"/>
      <c r="S1853" s="279"/>
      <c r="T1853" s="280"/>
      <c r="U1853" s="279"/>
      <c r="V1853" s="280"/>
      <c r="W1853" s="279"/>
      <c r="X1853" s="280"/>
      <c r="Y1853" s="279"/>
      <c r="Z1853" s="280"/>
    </row>
    <row r="1854" spans="1:26" ht="15.75" hidden="1" customHeight="1">
      <c r="A1854" s="284">
        <f>A1851+1</f>
        <v>338</v>
      </c>
      <c r="B1854" s="237"/>
      <c r="C1854" s="285"/>
      <c r="D1854" s="422" t="s">
        <v>2040</v>
      </c>
      <c r="E1854" s="251"/>
      <c r="F1854" s="239"/>
      <c r="G1854" s="253"/>
      <c r="H1854" s="239"/>
      <c r="I1854" s="225"/>
      <c r="J1854" s="225"/>
      <c r="K1854" s="251"/>
      <c r="L1854" s="262">
        <v>7.56</v>
      </c>
      <c r="M1854" s="258">
        <v>0</v>
      </c>
      <c r="N1854" s="257">
        <f>INT($L1854*M1854*100+0.5)/100</f>
        <v>0</v>
      </c>
      <c r="O1854" s="258">
        <v>0</v>
      </c>
      <c r="P1854" s="257">
        <f>INT($L1854*O1854*100+0.5)/100</f>
        <v>0</v>
      </c>
      <c r="Q1854" s="258">
        <v>0</v>
      </c>
      <c r="R1854" s="257">
        <f>INT($L1854*Q1854*100+0.5)/100</f>
        <v>0</v>
      </c>
      <c r="S1854" s="258">
        <v>0</v>
      </c>
      <c r="T1854" s="257">
        <f>INT($L1854*S1854*100+0.5)/100</f>
        <v>0</v>
      </c>
      <c r="U1854" s="258">
        <v>0</v>
      </c>
      <c r="V1854" s="257">
        <f>INT($L1854*U1854*100+0.5)/100</f>
        <v>0</v>
      </c>
      <c r="W1854" s="258">
        <v>0</v>
      </c>
      <c r="X1854" s="257">
        <f>INT($L1854*W1854*100+0.5)/100</f>
        <v>0</v>
      </c>
      <c r="Y1854" s="258">
        <v>0</v>
      </c>
      <c r="Z1854" s="257">
        <f>INT($L1854*Y1854*100+0.5)/100</f>
        <v>0</v>
      </c>
    </row>
    <row r="1855" spans="1:26" ht="15.75" hidden="1" customHeight="1">
      <c r="A1855" s="284"/>
      <c r="B1855" s="237"/>
      <c r="C1855" s="285"/>
      <c r="D1855" s="422" t="s">
        <v>2307</v>
      </c>
      <c r="E1855" s="251"/>
      <c r="F1855" s="239"/>
      <c r="G1855" s="253"/>
      <c r="H1855" s="239"/>
      <c r="I1855" s="225"/>
      <c r="J1855" s="225"/>
      <c r="K1855" s="251"/>
      <c r="L1855" s="346"/>
      <c r="M1855" s="260"/>
      <c r="N1855" s="257"/>
      <c r="O1855" s="260"/>
      <c r="P1855" s="257"/>
      <c r="Q1855" s="260"/>
      <c r="R1855" s="257"/>
      <c r="S1855" s="260"/>
      <c r="T1855" s="257"/>
      <c r="U1855" s="260"/>
      <c r="V1855" s="257"/>
      <c r="W1855" s="260"/>
      <c r="X1855" s="257"/>
      <c r="Y1855" s="260"/>
      <c r="Z1855" s="257"/>
    </row>
    <row r="1856" spans="1:26" ht="15.75" hidden="1" customHeight="1">
      <c r="A1856" s="284"/>
      <c r="B1856" s="237"/>
      <c r="C1856" s="285"/>
      <c r="D1856" s="422"/>
      <c r="E1856" s="251"/>
      <c r="F1856" s="239"/>
      <c r="G1856" s="253"/>
      <c r="H1856" s="239"/>
      <c r="I1856" s="225"/>
      <c r="J1856" s="225"/>
      <c r="K1856" s="251"/>
      <c r="L1856" s="346"/>
      <c r="M1856" s="260"/>
      <c r="N1856" s="257"/>
      <c r="O1856" s="260"/>
      <c r="P1856" s="257"/>
      <c r="Q1856" s="260"/>
      <c r="R1856" s="257"/>
      <c r="S1856" s="260"/>
      <c r="T1856" s="257"/>
      <c r="U1856" s="260"/>
      <c r="V1856" s="257"/>
      <c r="W1856" s="260"/>
      <c r="X1856" s="257"/>
      <c r="Y1856" s="260"/>
      <c r="Z1856" s="257"/>
    </row>
    <row r="1857" spans="1:26" ht="15.75" hidden="1" customHeight="1">
      <c r="A1857" s="284">
        <f>A1854+1</f>
        <v>339</v>
      </c>
      <c r="B1857" s="237"/>
      <c r="C1857" s="285"/>
      <c r="D1857" s="422" t="s">
        <v>2308</v>
      </c>
      <c r="E1857" s="251"/>
      <c r="F1857" s="239"/>
      <c r="G1857" s="253"/>
      <c r="H1857" s="239"/>
      <c r="I1857" s="225"/>
      <c r="J1857" s="225"/>
      <c r="K1857" s="251"/>
      <c r="L1857" s="262">
        <v>11.21</v>
      </c>
      <c r="M1857" s="258">
        <v>0</v>
      </c>
      <c r="N1857" s="257">
        <f>INT($L1857*M1857*100+0.5)/100</f>
        <v>0</v>
      </c>
      <c r="O1857" s="258">
        <v>0</v>
      </c>
      <c r="P1857" s="257">
        <f>INT($L1857*O1857*100+0.5)/100</f>
        <v>0</v>
      </c>
      <c r="Q1857" s="258">
        <v>0</v>
      </c>
      <c r="R1857" s="257">
        <f>INT($L1857*Q1857*100+0.5)/100</f>
        <v>0</v>
      </c>
      <c r="S1857" s="258">
        <v>0</v>
      </c>
      <c r="T1857" s="257">
        <f>INT($L1857*S1857*100+0.5)/100</f>
        <v>0</v>
      </c>
      <c r="U1857" s="258">
        <v>0</v>
      </c>
      <c r="V1857" s="257">
        <f>INT($L1857*U1857*100+0.5)/100</f>
        <v>0</v>
      </c>
      <c r="W1857" s="258">
        <v>0</v>
      </c>
      <c r="X1857" s="257">
        <f>INT($L1857*W1857*100+0.5)/100</f>
        <v>0</v>
      </c>
      <c r="Y1857" s="258">
        <v>0</v>
      </c>
      <c r="Z1857" s="257">
        <f>INT($L1857*Y1857*100+0.5)/100</f>
        <v>0</v>
      </c>
    </row>
    <row r="1858" spans="1:26" ht="15.75" hidden="1" customHeight="1">
      <c r="A1858" s="284"/>
      <c r="B1858" s="237"/>
      <c r="C1858" s="285"/>
      <c r="D1858" s="422" t="s">
        <v>2309</v>
      </c>
      <c r="E1858" s="251"/>
      <c r="F1858" s="239"/>
      <c r="G1858" s="253"/>
      <c r="H1858" s="239"/>
      <c r="I1858" s="225"/>
      <c r="J1858" s="225"/>
      <c r="K1858" s="251"/>
      <c r="L1858" s="346"/>
      <c r="M1858" s="260"/>
      <c r="N1858" s="257"/>
      <c r="O1858" s="260"/>
      <c r="P1858" s="257"/>
      <c r="Q1858" s="260"/>
      <c r="R1858" s="257"/>
      <c r="S1858" s="260"/>
      <c r="T1858" s="257"/>
      <c r="U1858" s="260"/>
      <c r="V1858" s="257"/>
      <c r="W1858" s="260"/>
      <c r="X1858" s="257"/>
      <c r="Y1858" s="260"/>
      <c r="Z1858" s="257"/>
    </row>
    <row r="1859" spans="1:26" ht="15.75" hidden="1" customHeight="1">
      <c r="A1859" s="284"/>
      <c r="B1859" s="237"/>
      <c r="C1859" s="285"/>
      <c r="D1859" s="422"/>
      <c r="E1859" s="251"/>
      <c r="F1859" s="239"/>
      <c r="G1859" s="253"/>
      <c r="H1859" s="239"/>
      <c r="I1859" s="225"/>
      <c r="J1859" s="225"/>
      <c r="K1859" s="251"/>
      <c r="L1859" s="346"/>
      <c r="M1859" s="260"/>
      <c r="N1859" s="257"/>
      <c r="O1859" s="260"/>
      <c r="P1859" s="257"/>
      <c r="Q1859" s="260"/>
      <c r="R1859" s="257"/>
      <c r="S1859" s="260"/>
      <c r="T1859" s="257"/>
      <c r="U1859" s="260"/>
      <c r="V1859" s="257"/>
      <c r="W1859" s="260"/>
      <c r="X1859" s="257"/>
      <c r="Y1859" s="260"/>
      <c r="Z1859" s="257"/>
    </row>
    <row r="1860" spans="1:26" ht="15.75" hidden="1" customHeight="1">
      <c r="A1860" s="284">
        <f>A1857+1</f>
        <v>340</v>
      </c>
      <c r="B1860" s="237"/>
      <c r="C1860" s="285"/>
      <c r="D1860" s="422" t="s">
        <v>2310</v>
      </c>
      <c r="E1860" s="251"/>
      <c r="F1860" s="239"/>
      <c r="G1860" s="253"/>
      <c r="H1860" s="239"/>
      <c r="I1860" s="225"/>
      <c r="J1860" s="225"/>
      <c r="K1860" s="251"/>
      <c r="L1860" s="262">
        <v>7.13</v>
      </c>
      <c r="M1860" s="258">
        <v>0</v>
      </c>
      <c r="N1860" s="257">
        <f>INT($L1860*M1860*100+0.5)/100</f>
        <v>0</v>
      </c>
      <c r="O1860" s="258">
        <v>0</v>
      </c>
      <c r="P1860" s="257">
        <f>INT($L1860*O1860*100+0.5)/100</f>
        <v>0</v>
      </c>
      <c r="Q1860" s="258">
        <v>0</v>
      </c>
      <c r="R1860" s="257">
        <f>INT($L1860*Q1860*100+0.5)/100</f>
        <v>0</v>
      </c>
      <c r="S1860" s="258">
        <v>0</v>
      </c>
      <c r="T1860" s="257">
        <f>INT($L1860*S1860*100+0.5)/100</f>
        <v>0</v>
      </c>
      <c r="U1860" s="258">
        <v>0</v>
      </c>
      <c r="V1860" s="257">
        <f>INT($L1860*U1860*100+0.5)/100</f>
        <v>0</v>
      </c>
      <c r="W1860" s="258">
        <v>0</v>
      </c>
      <c r="X1860" s="257">
        <f>INT($L1860*W1860*100+0.5)/100</f>
        <v>0</v>
      </c>
      <c r="Y1860" s="258">
        <v>0</v>
      </c>
      <c r="Z1860" s="257">
        <f>INT($L1860*Y1860*100+0.5)/100</f>
        <v>0</v>
      </c>
    </row>
    <row r="1861" spans="1:26" ht="15.75" hidden="1" customHeight="1">
      <c r="A1861" s="284"/>
      <c r="B1861" s="237"/>
      <c r="C1861" s="285"/>
      <c r="D1861" s="422" t="s">
        <v>2311</v>
      </c>
      <c r="E1861" s="251"/>
      <c r="F1861" s="239"/>
      <c r="G1861" s="253"/>
      <c r="H1861" s="239"/>
      <c r="I1861" s="225"/>
      <c r="J1861" s="225"/>
      <c r="K1861" s="251"/>
      <c r="L1861" s="346"/>
      <c r="M1861" s="260"/>
      <c r="N1861" s="257"/>
      <c r="O1861" s="260"/>
      <c r="P1861" s="257"/>
      <c r="Q1861" s="260"/>
      <c r="R1861" s="257"/>
      <c r="S1861" s="260"/>
      <c r="T1861" s="257"/>
      <c r="U1861" s="260"/>
      <c r="V1861" s="257"/>
      <c r="W1861" s="260"/>
      <c r="X1861" s="257"/>
      <c r="Y1861" s="260"/>
      <c r="Z1861" s="257"/>
    </row>
    <row r="1862" spans="1:26" ht="15.75" hidden="1" customHeight="1">
      <c r="A1862" s="284"/>
      <c r="B1862" s="237"/>
      <c r="C1862" s="285"/>
      <c r="D1862" s="422"/>
      <c r="E1862" s="251"/>
      <c r="F1862" s="239"/>
      <c r="G1862" s="253"/>
      <c r="H1862" s="239"/>
      <c r="I1862" s="225"/>
      <c r="J1862" s="225"/>
      <c r="K1862" s="251"/>
      <c r="L1862" s="346"/>
      <c r="M1862" s="260"/>
      <c r="N1862" s="257"/>
      <c r="O1862" s="260"/>
      <c r="P1862" s="257"/>
      <c r="Q1862" s="260"/>
      <c r="R1862" s="257"/>
      <c r="S1862" s="260"/>
      <c r="T1862" s="257"/>
      <c r="U1862" s="260"/>
      <c r="V1862" s="257"/>
      <c r="W1862" s="260"/>
      <c r="X1862" s="257"/>
      <c r="Y1862" s="260"/>
      <c r="Z1862" s="257"/>
    </row>
    <row r="1863" spans="1:26" ht="15.75" hidden="1" customHeight="1">
      <c r="A1863" s="284">
        <f>A1860+1</f>
        <v>341</v>
      </c>
      <c r="B1863" s="237"/>
      <c r="C1863" s="285"/>
      <c r="D1863" s="422" t="s">
        <v>2312</v>
      </c>
      <c r="E1863" s="251"/>
      <c r="F1863" s="239"/>
      <c r="G1863" s="253"/>
      <c r="H1863" s="239"/>
      <c r="I1863" s="225"/>
      <c r="J1863" s="225"/>
      <c r="K1863" s="251"/>
      <c r="L1863" s="262">
        <v>20.14</v>
      </c>
      <c r="M1863" s="258">
        <v>0</v>
      </c>
      <c r="N1863" s="257">
        <f>INT($L1863*M1863*100+0.5)/100</f>
        <v>0</v>
      </c>
      <c r="O1863" s="258">
        <v>0</v>
      </c>
      <c r="P1863" s="257">
        <f>INT($L1863*O1863*100+0.5)/100</f>
        <v>0</v>
      </c>
      <c r="Q1863" s="258">
        <v>0</v>
      </c>
      <c r="R1863" s="257">
        <f>INT($L1863*Q1863*100+0.5)/100</f>
        <v>0</v>
      </c>
      <c r="S1863" s="258">
        <v>0</v>
      </c>
      <c r="T1863" s="257">
        <f>INT($L1863*S1863*100+0.5)/100</f>
        <v>0</v>
      </c>
      <c r="U1863" s="258">
        <v>0</v>
      </c>
      <c r="V1863" s="257">
        <f>INT($L1863*U1863*100+0.5)/100</f>
        <v>0</v>
      </c>
      <c r="W1863" s="258">
        <v>0</v>
      </c>
      <c r="X1863" s="257">
        <f>INT($L1863*W1863*100+0.5)/100</f>
        <v>0</v>
      </c>
      <c r="Y1863" s="258">
        <v>0</v>
      </c>
      <c r="Z1863" s="257">
        <f>INT($L1863*Y1863*100+0.5)/100</f>
        <v>0</v>
      </c>
    </row>
    <row r="1864" spans="1:26" ht="15.75" hidden="1" customHeight="1">
      <c r="A1864" s="284"/>
      <c r="B1864" s="237"/>
      <c r="C1864" s="285"/>
      <c r="D1864" s="422" t="s">
        <v>2313</v>
      </c>
      <c r="E1864" s="251"/>
      <c r="F1864" s="239"/>
      <c r="G1864" s="253"/>
      <c r="H1864" s="239"/>
      <c r="I1864" s="225"/>
      <c r="J1864" s="225"/>
      <c r="K1864" s="251"/>
      <c r="L1864" s="346"/>
      <c r="M1864" s="260"/>
      <c r="N1864" s="257"/>
      <c r="O1864" s="260"/>
      <c r="P1864" s="257"/>
      <c r="Q1864" s="260"/>
      <c r="R1864" s="257"/>
      <c r="S1864" s="260"/>
      <c r="T1864" s="257"/>
      <c r="U1864" s="260"/>
      <c r="V1864" s="257"/>
      <c r="W1864" s="260"/>
      <c r="X1864" s="257"/>
      <c r="Y1864" s="260"/>
      <c r="Z1864" s="257"/>
    </row>
    <row r="1865" spans="1:26" ht="15.75" hidden="1" customHeight="1">
      <c r="A1865" s="284"/>
      <c r="B1865" s="237"/>
      <c r="C1865" s="285"/>
      <c r="D1865" s="422"/>
      <c r="E1865" s="251"/>
      <c r="F1865" s="239"/>
      <c r="G1865" s="253"/>
      <c r="H1865" s="239"/>
      <c r="I1865" s="225"/>
      <c r="J1865" s="225"/>
      <c r="K1865" s="251"/>
      <c r="L1865" s="346"/>
      <c r="M1865" s="260"/>
      <c r="N1865" s="257"/>
      <c r="O1865" s="260"/>
      <c r="P1865" s="257"/>
      <c r="Q1865" s="260"/>
      <c r="R1865" s="257"/>
      <c r="S1865" s="260"/>
      <c r="T1865" s="257"/>
      <c r="U1865" s="260"/>
      <c r="V1865" s="257"/>
      <c r="W1865" s="260"/>
      <c r="X1865" s="257"/>
      <c r="Y1865" s="260"/>
      <c r="Z1865" s="257"/>
    </row>
    <row r="1866" spans="1:26" ht="15.75" hidden="1" customHeight="1">
      <c r="A1866" s="284"/>
      <c r="B1866" s="237"/>
      <c r="C1866" s="285"/>
      <c r="D1866" s="335" t="s">
        <v>217</v>
      </c>
      <c r="E1866" s="251"/>
      <c r="F1866" s="239"/>
      <c r="G1866" s="253"/>
      <c r="H1866" s="239"/>
      <c r="I1866" s="225"/>
      <c r="J1866" s="225"/>
      <c r="K1866" s="251"/>
      <c r="L1866" s="346"/>
      <c r="M1866" s="260"/>
      <c r="N1866" s="257"/>
      <c r="O1866" s="260"/>
      <c r="P1866" s="257"/>
      <c r="Q1866" s="260"/>
      <c r="R1866" s="257"/>
      <c r="S1866" s="260"/>
      <c r="T1866" s="257"/>
      <c r="U1866" s="260"/>
      <c r="V1866" s="257"/>
      <c r="W1866" s="260"/>
      <c r="X1866" s="257"/>
      <c r="Y1866" s="260"/>
      <c r="Z1866" s="257"/>
    </row>
    <row r="1867" spans="1:26" ht="15.75" hidden="1" customHeight="1">
      <c r="A1867" s="284"/>
      <c r="B1867" s="237"/>
      <c r="C1867" s="285"/>
      <c r="D1867" s="335" t="s">
        <v>1765</v>
      </c>
      <c r="E1867" s="251"/>
      <c r="F1867" s="239"/>
      <c r="G1867" s="253"/>
      <c r="H1867" s="239"/>
      <c r="I1867" s="225"/>
      <c r="J1867" s="225"/>
      <c r="K1867" s="251"/>
      <c r="L1867" s="346"/>
      <c r="M1867" s="260"/>
      <c r="N1867" s="257"/>
      <c r="O1867" s="260"/>
      <c r="P1867" s="257"/>
      <c r="Q1867" s="260"/>
      <c r="R1867" s="257"/>
      <c r="S1867" s="260"/>
      <c r="T1867" s="257"/>
      <c r="U1867" s="260"/>
      <c r="V1867" s="257"/>
      <c r="W1867" s="260"/>
      <c r="X1867" s="257"/>
      <c r="Y1867" s="260"/>
      <c r="Z1867" s="257"/>
    </row>
    <row r="1868" spans="1:26" ht="15.75" hidden="1" customHeight="1">
      <c r="A1868" s="284">
        <f>A1863+1</f>
        <v>342</v>
      </c>
      <c r="B1868" s="237"/>
      <c r="C1868" s="285"/>
      <c r="D1868" s="422" t="s">
        <v>2041</v>
      </c>
      <c r="E1868" s="251"/>
      <c r="F1868" s="239"/>
      <c r="G1868" s="253"/>
      <c r="H1868" s="239"/>
      <c r="I1868" s="225"/>
      <c r="J1868" s="225"/>
      <c r="K1868" s="251"/>
      <c r="L1868" s="262">
        <v>129.11000000000001</v>
      </c>
      <c r="M1868" s="258">
        <v>0</v>
      </c>
      <c r="N1868" s="257">
        <f>INT($L1868*M1868*100+0.5)/100</f>
        <v>0</v>
      </c>
      <c r="O1868" s="258">
        <v>0</v>
      </c>
      <c r="P1868" s="257">
        <f>INT($L1868*O1868*100+0.5)/100</f>
        <v>0</v>
      </c>
      <c r="Q1868" s="258">
        <v>0</v>
      </c>
      <c r="R1868" s="257">
        <f>INT($L1868*Q1868*100+0.5)/100</f>
        <v>0</v>
      </c>
      <c r="S1868" s="258">
        <v>0</v>
      </c>
      <c r="T1868" s="257">
        <f>INT($L1868*S1868*100+0.5)/100</f>
        <v>0</v>
      </c>
      <c r="U1868" s="258">
        <v>0</v>
      </c>
      <c r="V1868" s="257">
        <f>INT($L1868*U1868*100+0.5)/100</f>
        <v>0</v>
      </c>
      <c r="W1868" s="258">
        <v>0</v>
      </c>
      <c r="X1868" s="257">
        <f>INT($L1868*W1868*100+0.5)/100</f>
        <v>0</v>
      </c>
      <c r="Y1868" s="258">
        <v>0</v>
      </c>
      <c r="Z1868" s="257">
        <f>INT($L1868*Y1868*100+0.5)/100</f>
        <v>0</v>
      </c>
    </row>
    <row r="1869" spans="1:26" ht="15.75" hidden="1" customHeight="1">
      <c r="A1869" s="284"/>
      <c r="B1869" s="237"/>
      <c r="C1869" s="285"/>
      <c r="D1869" s="422" t="s">
        <v>357</v>
      </c>
      <c r="E1869" s="251"/>
      <c r="F1869" s="239"/>
      <c r="G1869" s="253"/>
      <c r="H1869" s="239"/>
      <c r="I1869" s="225"/>
      <c r="J1869" s="225"/>
      <c r="K1869" s="251"/>
      <c r="L1869" s="346"/>
      <c r="M1869" s="260"/>
      <c r="N1869" s="257"/>
      <c r="O1869" s="260"/>
      <c r="P1869" s="257"/>
      <c r="Q1869" s="260"/>
      <c r="R1869" s="257"/>
      <c r="S1869" s="260"/>
      <c r="T1869" s="257"/>
      <c r="U1869" s="260"/>
      <c r="V1869" s="257"/>
      <c r="W1869" s="260"/>
      <c r="X1869" s="257"/>
      <c r="Y1869" s="260"/>
      <c r="Z1869" s="257"/>
    </row>
    <row r="1870" spans="1:26" ht="15.75" hidden="1" customHeight="1">
      <c r="A1870" s="284"/>
      <c r="B1870" s="237"/>
      <c r="C1870" s="285"/>
      <c r="D1870" s="422"/>
      <c r="E1870" s="251"/>
      <c r="F1870" s="239"/>
      <c r="G1870" s="253"/>
      <c r="H1870" s="239"/>
      <c r="I1870" s="225"/>
      <c r="J1870" s="225"/>
      <c r="K1870" s="251"/>
      <c r="L1870" s="346"/>
      <c r="M1870" s="260"/>
      <c r="N1870" s="257"/>
      <c r="O1870" s="260"/>
      <c r="P1870" s="257"/>
      <c r="Q1870" s="260"/>
      <c r="R1870" s="257"/>
      <c r="S1870" s="260"/>
      <c r="T1870" s="257"/>
      <c r="U1870" s="260"/>
      <c r="V1870" s="257"/>
      <c r="W1870" s="260"/>
      <c r="X1870" s="257"/>
      <c r="Y1870" s="260"/>
      <c r="Z1870" s="257"/>
    </row>
    <row r="1871" spans="1:26" ht="15.75" hidden="1" customHeight="1">
      <c r="A1871" s="284">
        <f>A1868+1</f>
        <v>343</v>
      </c>
      <c r="B1871" s="237"/>
      <c r="C1871" s="285"/>
      <c r="D1871" s="422" t="s">
        <v>2042</v>
      </c>
      <c r="E1871" s="251"/>
      <c r="F1871" s="239"/>
      <c r="G1871" s="253"/>
      <c r="H1871" s="239"/>
      <c r="I1871" s="225"/>
      <c r="J1871" s="225"/>
      <c r="K1871" s="251"/>
      <c r="L1871" s="262">
        <v>206.58</v>
      </c>
      <c r="M1871" s="258">
        <v>0</v>
      </c>
      <c r="N1871" s="257">
        <f>INT($L1871*M1871*100+0.5)/100</f>
        <v>0</v>
      </c>
      <c r="O1871" s="258">
        <v>0</v>
      </c>
      <c r="P1871" s="257">
        <f>INT($L1871*O1871*100+0.5)/100</f>
        <v>0</v>
      </c>
      <c r="Q1871" s="258">
        <v>0</v>
      </c>
      <c r="R1871" s="257">
        <f>INT($L1871*Q1871*100+0.5)/100</f>
        <v>0</v>
      </c>
      <c r="S1871" s="258">
        <v>0</v>
      </c>
      <c r="T1871" s="257">
        <f>INT($L1871*S1871*100+0.5)/100</f>
        <v>0</v>
      </c>
      <c r="U1871" s="258">
        <v>0</v>
      </c>
      <c r="V1871" s="257">
        <f>INT($L1871*U1871*100+0.5)/100</f>
        <v>0</v>
      </c>
      <c r="W1871" s="258">
        <v>0</v>
      </c>
      <c r="X1871" s="257">
        <f>INT($L1871*W1871*100+0.5)/100</f>
        <v>0</v>
      </c>
      <c r="Y1871" s="258">
        <v>0</v>
      </c>
      <c r="Z1871" s="257">
        <f>INT($L1871*Y1871*100+0.5)/100</f>
        <v>0</v>
      </c>
    </row>
    <row r="1872" spans="1:26" ht="15.75" hidden="1" customHeight="1">
      <c r="A1872" s="284"/>
      <c r="B1872" s="237"/>
      <c r="C1872" s="285"/>
      <c r="D1872" s="422" t="s">
        <v>358</v>
      </c>
      <c r="E1872" s="251"/>
      <c r="F1872" s="239"/>
      <c r="G1872" s="253"/>
      <c r="H1872" s="239"/>
      <c r="I1872" s="225"/>
      <c r="J1872" s="225"/>
      <c r="K1872" s="251"/>
      <c r="L1872" s="346"/>
      <c r="M1872" s="260"/>
      <c r="N1872" s="257"/>
      <c r="O1872" s="260"/>
      <c r="P1872" s="257"/>
      <c r="Q1872" s="260"/>
      <c r="R1872" s="257"/>
      <c r="S1872" s="260"/>
      <c r="T1872" s="257"/>
      <c r="U1872" s="260"/>
      <c r="V1872" s="257"/>
      <c r="W1872" s="260"/>
      <c r="X1872" s="257"/>
      <c r="Y1872" s="260"/>
      <c r="Z1872" s="257"/>
    </row>
    <row r="1873" spans="1:26" ht="15.75" hidden="1" customHeight="1">
      <c r="A1873" s="284"/>
      <c r="B1873" s="237"/>
      <c r="C1873" s="285"/>
      <c r="D1873" s="422"/>
      <c r="E1873" s="251"/>
      <c r="F1873" s="239"/>
      <c r="G1873" s="253"/>
      <c r="H1873" s="239"/>
      <c r="I1873" s="225"/>
      <c r="J1873" s="225"/>
      <c r="K1873" s="251"/>
      <c r="L1873" s="346"/>
      <c r="M1873" s="260"/>
      <c r="N1873" s="257"/>
      <c r="O1873" s="260"/>
      <c r="P1873" s="257"/>
      <c r="Q1873" s="260"/>
      <c r="R1873" s="257"/>
      <c r="S1873" s="260"/>
      <c r="T1873" s="257"/>
      <c r="U1873" s="260"/>
      <c r="V1873" s="257"/>
      <c r="W1873" s="260"/>
      <c r="X1873" s="257"/>
      <c r="Y1873" s="260"/>
      <c r="Z1873" s="257"/>
    </row>
    <row r="1874" spans="1:26" ht="15.75" hidden="1" customHeight="1">
      <c r="A1874" s="284">
        <f>A1871+1</f>
        <v>344</v>
      </c>
      <c r="B1874" s="237"/>
      <c r="C1874" s="285"/>
      <c r="D1874" s="422" t="s">
        <v>2043</v>
      </c>
      <c r="E1874" s="251"/>
      <c r="F1874" s="239"/>
      <c r="G1874" s="253"/>
      <c r="H1874" s="239"/>
      <c r="I1874" s="225"/>
      <c r="J1874" s="225"/>
      <c r="K1874" s="251"/>
      <c r="L1874" s="262">
        <v>98.13</v>
      </c>
      <c r="M1874" s="258">
        <v>0</v>
      </c>
      <c r="N1874" s="257">
        <f>INT($L1874*M1874*100+0.5)/100</f>
        <v>0</v>
      </c>
      <c r="O1874" s="258">
        <v>0</v>
      </c>
      <c r="P1874" s="257">
        <f>INT($L1874*O1874*100+0.5)/100</f>
        <v>0</v>
      </c>
      <c r="Q1874" s="258">
        <v>0</v>
      </c>
      <c r="R1874" s="257">
        <f>INT($L1874*Q1874*100+0.5)/100</f>
        <v>0</v>
      </c>
      <c r="S1874" s="258">
        <v>0</v>
      </c>
      <c r="T1874" s="257">
        <f>INT($L1874*S1874*100+0.5)/100</f>
        <v>0</v>
      </c>
      <c r="U1874" s="258">
        <v>0</v>
      </c>
      <c r="V1874" s="257">
        <f>INT($L1874*U1874*100+0.5)/100</f>
        <v>0</v>
      </c>
      <c r="W1874" s="258">
        <v>0</v>
      </c>
      <c r="X1874" s="257">
        <f>INT($L1874*W1874*100+0.5)/100</f>
        <v>0</v>
      </c>
      <c r="Y1874" s="258">
        <v>0</v>
      </c>
      <c r="Z1874" s="257">
        <f>INT($L1874*Y1874*100+0.5)/100</f>
        <v>0</v>
      </c>
    </row>
    <row r="1875" spans="1:26" ht="15.75" hidden="1" customHeight="1">
      <c r="A1875" s="284"/>
      <c r="B1875" s="237"/>
      <c r="C1875" s="285"/>
      <c r="D1875" s="422" t="s">
        <v>359</v>
      </c>
      <c r="E1875" s="251"/>
      <c r="F1875" s="239"/>
      <c r="G1875" s="253"/>
      <c r="H1875" s="239"/>
      <c r="I1875" s="225"/>
      <c r="J1875" s="225"/>
      <c r="K1875" s="251"/>
      <c r="L1875" s="346"/>
      <c r="M1875" s="279"/>
      <c r="N1875" s="280"/>
      <c r="O1875" s="279"/>
      <c r="P1875" s="280"/>
      <c r="Q1875" s="279"/>
      <c r="R1875" s="280"/>
      <c r="S1875" s="279"/>
      <c r="T1875" s="280"/>
      <c r="U1875" s="279"/>
      <c r="V1875" s="280"/>
      <c r="W1875" s="279"/>
      <c r="X1875" s="280"/>
      <c r="Y1875" s="279"/>
      <c r="Z1875" s="280"/>
    </row>
    <row r="1876" spans="1:26" ht="15.75" hidden="1" customHeight="1">
      <c r="A1876" s="284"/>
      <c r="B1876" s="237"/>
      <c r="C1876" s="285"/>
      <c r="D1876" s="422"/>
      <c r="E1876" s="251"/>
      <c r="F1876" s="239"/>
      <c r="G1876" s="253"/>
      <c r="H1876" s="239"/>
      <c r="I1876" s="225"/>
      <c r="J1876" s="225"/>
      <c r="K1876" s="251"/>
      <c r="L1876" s="346"/>
      <c r="M1876" s="279"/>
      <c r="N1876" s="280"/>
      <c r="O1876" s="279"/>
      <c r="P1876" s="280"/>
      <c r="Q1876" s="279"/>
      <c r="R1876" s="280"/>
      <c r="S1876" s="279"/>
      <c r="T1876" s="280"/>
      <c r="U1876" s="279"/>
      <c r="V1876" s="280"/>
      <c r="W1876" s="279"/>
      <c r="X1876" s="280"/>
      <c r="Y1876" s="279"/>
      <c r="Z1876" s="280"/>
    </row>
    <row r="1877" spans="1:26" ht="15.75" hidden="1" customHeight="1">
      <c r="A1877" s="284">
        <f>A1874+1</f>
        <v>345</v>
      </c>
      <c r="B1877" s="237"/>
      <c r="C1877" s="285"/>
      <c r="D1877" s="422" t="s">
        <v>2044</v>
      </c>
      <c r="E1877" s="251"/>
      <c r="F1877" s="239"/>
      <c r="G1877" s="253"/>
      <c r="H1877" s="239"/>
      <c r="I1877" s="225"/>
      <c r="J1877" s="225"/>
      <c r="K1877" s="251"/>
      <c r="L1877" s="262">
        <v>103.81</v>
      </c>
      <c r="M1877" s="258">
        <v>0</v>
      </c>
      <c r="N1877" s="257">
        <f>INT($L1877*M1877*100+0.5)/100</f>
        <v>0</v>
      </c>
      <c r="O1877" s="258">
        <v>0</v>
      </c>
      <c r="P1877" s="257">
        <f>INT($L1877*O1877*100+0.5)/100</f>
        <v>0</v>
      </c>
      <c r="Q1877" s="258">
        <v>0</v>
      </c>
      <c r="R1877" s="257">
        <f>INT($L1877*Q1877*100+0.5)/100</f>
        <v>0</v>
      </c>
      <c r="S1877" s="258">
        <v>0</v>
      </c>
      <c r="T1877" s="257">
        <f>INT($L1877*S1877*100+0.5)/100</f>
        <v>0</v>
      </c>
      <c r="U1877" s="258">
        <v>0</v>
      </c>
      <c r="V1877" s="257">
        <f>INT($L1877*U1877*100+0.5)/100</f>
        <v>0</v>
      </c>
      <c r="W1877" s="258">
        <v>0</v>
      </c>
      <c r="X1877" s="257">
        <f>INT($L1877*W1877*100+0.5)/100</f>
        <v>0</v>
      </c>
      <c r="Y1877" s="258">
        <v>0</v>
      </c>
      <c r="Z1877" s="257">
        <f>INT($L1877*Y1877*100+0.5)/100</f>
        <v>0</v>
      </c>
    </row>
    <row r="1878" spans="1:26" ht="15.75" hidden="1" customHeight="1">
      <c r="A1878" s="284"/>
      <c r="B1878" s="237"/>
      <c r="C1878" s="285"/>
      <c r="D1878" s="422" t="s">
        <v>360</v>
      </c>
      <c r="E1878" s="251"/>
      <c r="F1878" s="239"/>
      <c r="G1878" s="253"/>
      <c r="H1878" s="239"/>
      <c r="I1878" s="225"/>
      <c r="J1878" s="225"/>
      <c r="K1878" s="251"/>
      <c r="L1878" s="346"/>
      <c r="M1878" s="260"/>
      <c r="N1878" s="257"/>
      <c r="O1878" s="260"/>
      <c r="P1878" s="257"/>
      <c r="Q1878" s="260"/>
      <c r="R1878" s="257"/>
      <c r="S1878" s="260"/>
      <c r="T1878" s="257"/>
      <c r="U1878" s="260"/>
      <c r="V1878" s="257"/>
      <c r="W1878" s="260"/>
      <c r="X1878" s="257"/>
      <c r="Y1878" s="260"/>
      <c r="Z1878" s="257"/>
    </row>
    <row r="1879" spans="1:26" ht="15.75" hidden="1" customHeight="1">
      <c r="A1879" s="284"/>
      <c r="B1879" s="237"/>
      <c r="C1879" s="285"/>
      <c r="D1879" s="422"/>
      <c r="E1879" s="251"/>
      <c r="F1879" s="239"/>
      <c r="G1879" s="253"/>
      <c r="H1879" s="239"/>
      <c r="I1879" s="225"/>
      <c r="J1879" s="225"/>
      <c r="K1879" s="251"/>
      <c r="L1879" s="346"/>
      <c r="M1879" s="260"/>
      <c r="N1879" s="257"/>
      <c r="O1879" s="260"/>
      <c r="P1879" s="257"/>
      <c r="Q1879" s="260"/>
      <c r="R1879" s="257"/>
      <c r="S1879" s="260"/>
      <c r="T1879" s="257"/>
      <c r="U1879" s="260"/>
      <c r="V1879" s="257"/>
      <c r="W1879" s="260"/>
      <c r="X1879" s="257"/>
      <c r="Y1879" s="260"/>
      <c r="Z1879" s="257"/>
    </row>
    <row r="1880" spans="1:26" ht="15.75" hidden="1" customHeight="1">
      <c r="A1880" s="284">
        <f>A1877+1</f>
        <v>346</v>
      </c>
      <c r="B1880" s="237"/>
      <c r="C1880" s="285"/>
      <c r="D1880" s="422" t="s">
        <v>2045</v>
      </c>
      <c r="E1880" s="251"/>
      <c r="F1880" s="239"/>
      <c r="G1880" s="253"/>
      <c r="H1880" s="239"/>
      <c r="I1880" s="225"/>
      <c r="J1880" s="225"/>
      <c r="K1880" s="251"/>
      <c r="L1880" s="262">
        <v>76.44</v>
      </c>
      <c r="M1880" s="258">
        <v>0</v>
      </c>
      <c r="N1880" s="257">
        <f>INT($L1880*M1880*100+0.5)/100</f>
        <v>0</v>
      </c>
      <c r="O1880" s="258">
        <v>0</v>
      </c>
      <c r="P1880" s="257">
        <f>INT($L1880*O1880*100+0.5)/100</f>
        <v>0</v>
      </c>
      <c r="Q1880" s="258">
        <v>0</v>
      </c>
      <c r="R1880" s="257">
        <f>INT($L1880*Q1880*100+0.5)/100</f>
        <v>0</v>
      </c>
      <c r="S1880" s="258">
        <v>0</v>
      </c>
      <c r="T1880" s="257">
        <f>INT($L1880*S1880*100+0.5)/100</f>
        <v>0</v>
      </c>
      <c r="U1880" s="258">
        <v>0</v>
      </c>
      <c r="V1880" s="257">
        <f>INT($L1880*U1880*100+0.5)/100</f>
        <v>0</v>
      </c>
      <c r="W1880" s="258">
        <v>0</v>
      </c>
      <c r="X1880" s="257">
        <f>INT($L1880*W1880*100+0.5)/100</f>
        <v>0</v>
      </c>
      <c r="Y1880" s="258">
        <v>0</v>
      </c>
      <c r="Z1880" s="257">
        <f>INT($L1880*Y1880*100+0.5)/100</f>
        <v>0</v>
      </c>
    </row>
    <row r="1881" spans="1:26" ht="15.75" hidden="1" customHeight="1">
      <c r="A1881" s="284"/>
      <c r="B1881" s="237"/>
      <c r="C1881" s="285"/>
      <c r="D1881" s="422" t="s">
        <v>361</v>
      </c>
      <c r="E1881" s="251"/>
      <c r="F1881" s="239"/>
      <c r="G1881" s="253"/>
      <c r="H1881" s="239"/>
      <c r="I1881" s="225"/>
      <c r="J1881" s="225"/>
      <c r="K1881" s="251"/>
      <c r="L1881" s="346"/>
      <c r="M1881" s="260"/>
      <c r="N1881" s="257"/>
      <c r="O1881" s="260"/>
      <c r="P1881" s="257"/>
      <c r="Q1881" s="260"/>
      <c r="R1881" s="257"/>
      <c r="S1881" s="260"/>
      <c r="T1881" s="257"/>
      <c r="U1881" s="260"/>
      <c r="V1881" s="257"/>
      <c r="W1881" s="260"/>
      <c r="X1881" s="257"/>
      <c r="Y1881" s="260"/>
      <c r="Z1881" s="257"/>
    </row>
    <row r="1882" spans="1:26" ht="15.75" hidden="1" customHeight="1">
      <c r="A1882" s="284"/>
      <c r="B1882" s="237"/>
      <c r="C1882" s="285"/>
      <c r="D1882" s="422"/>
      <c r="E1882" s="251"/>
      <c r="F1882" s="239"/>
      <c r="G1882" s="253"/>
      <c r="H1882" s="239"/>
      <c r="I1882" s="225"/>
      <c r="J1882" s="225"/>
      <c r="K1882" s="251"/>
      <c r="L1882" s="346"/>
      <c r="M1882" s="260"/>
      <c r="N1882" s="257"/>
      <c r="O1882" s="260"/>
      <c r="P1882" s="257"/>
      <c r="Q1882" s="260"/>
      <c r="R1882" s="257"/>
      <c r="S1882" s="260"/>
      <c r="T1882" s="257"/>
      <c r="U1882" s="260"/>
      <c r="V1882" s="257"/>
      <c r="W1882" s="260"/>
      <c r="X1882" s="257"/>
      <c r="Y1882" s="260"/>
      <c r="Z1882" s="257"/>
    </row>
    <row r="1883" spans="1:26" ht="15.75" hidden="1" customHeight="1">
      <c r="A1883" s="284">
        <f>A1880+1</f>
        <v>347</v>
      </c>
      <c r="B1883" s="237"/>
      <c r="C1883" s="285"/>
      <c r="D1883" s="422" t="s">
        <v>2046</v>
      </c>
      <c r="E1883" s="251"/>
      <c r="F1883" s="239"/>
      <c r="G1883" s="253"/>
      <c r="H1883" s="239"/>
      <c r="I1883" s="225"/>
      <c r="J1883" s="225"/>
      <c r="K1883" s="251"/>
      <c r="L1883" s="262">
        <v>115.17</v>
      </c>
      <c r="M1883" s="258">
        <v>0</v>
      </c>
      <c r="N1883" s="257">
        <f>INT($L1883*M1883*100+0.5)/100</f>
        <v>0</v>
      </c>
      <c r="O1883" s="258">
        <v>0</v>
      </c>
      <c r="P1883" s="257">
        <f>INT($L1883*O1883*100+0.5)/100</f>
        <v>0</v>
      </c>
      <c r="Q1883" s="258">
        <v>0</v>
      </c>
      <c r="R1883" s="257">
        <f>INT($L1883*Q1883*100+0.5)/100</f>
        <v>0</v>
      </c>
      <c r="S1883" s="258">
        <v>0</v>
      </c>
      <c r="T1883" s="257">
        <f>INT($L1883*S1883*100+0.5)/100</f>
        <v>0</v>
      </c>
      <c r="U1883" s="258">
        <v>0</v>
      </c>
      <c r="V1883" s="257">
        <f>INT($L1883*U1883*100+0.5)/100</f>
        <v>0</v>
      </c>
      <c r="W1883" s="258">
        <v>0</v>
      </c>
      <c r="X1883" s="257">
        <f>INT($L1883*W1883*100+0.5)/100</f>
        <v>0</v>
      </c>
      <c r="Y1883" s="258">
        <v>0</v>
      </c>
      <c r="Z1883" s="257">
        <f>INT($L1883*Y1883*100+0.5)/100</f>
        <v>0</v>
      </c>
    </row>
    <row r="1884" spans="1:26" ht="15.75" hidden="1" customHeight="1">
      <c r="A1884" s="284"/>
      <c r="B1884" s="237"/>
      <c r="C1884" s="285"/>
      <c r="D1884" s="422" t="s">
        <v>362</v>
      </c>
      <c r="E1884" s="251"/>
      <c r="F1884" s="239"/>
      <c r="G1884" s="253"/>
      <c r="H1884" s="239"/>
      <c r="I1884" s="225"/>
      <c r="J1884" s="225"/>
      <c r="K1884" s="251"/>
      <c r="L1884" s="346"/>
      <c r="M1884" s="260"/>
      <c r="N1884" s="257"/>
      <c r="O1884" s="260"/>
      <c r="P1884" s="257"/>
      <c r="Q1884" s="260"/>
      <c r="R1884" s="257"/>
      <c r="S1884" s="260"/>
      <c r="T1884" s="257"/>
      <c r="U1884" s="260"/>
      <c r="V1884" s="257"/>
      <c r="W1884" s="260"/>
      <c r="X1884" s="257"/>
      <c r="Y1884" s="260"/>
      <c r="Z1884" s="257"/>
    </row>
    <row r="1885" spans="1:26" ht="15.75" hidden="1" customHeight="1">
      <c r="A1885" s="284"/>
      <c r="B1885" s="237"/>
      <c r="C1885" s="285"/>
      <c r="D1885" s="422"/>
      <c r="E1885" s="251"/>
      <c r="F1885" s="239"/>
      <c r="G1885" s="253"/>
      <c r="H1885" s="239"/>
      <c r="I1885" s="225"/>
      <c r="J1885" s="225"/>
      <c r="K1885" s="251"/>
      <c r="L1885" s="346"/>
      <c r="M1885" s="260"/>
      <c r="N1885" s="257"/>
      <c r="O1885" s="260"/>
      <c r="P1885" s="257"/>
      <c r="Q1885" s="260"/>
      <c r="R1885" s="257"/>
      <c r="S1885" s="260"/>
      <c r="T1885" s="257"/>
      <c r="U1885" s="260"/>
      <c r="V1885" s="257"/>
      <c r="W1885" s="260"/>
      <c r="X1885" s="257"/>
      <c r="Y1885" s="260"/>
      <c r="Z1885" s="257"/>
    </row>
    <row r="1886" spans="1:26" ht="15.75" hidden="1" customHeight="1">
      <c r="A1886" s="284">
        <f>A1883+1</f>
        <v>348</v>
      </c>
      <c r="B1886" s="237"/>
      <c r="C1886" s="285"/>
      <c r="D1886" s="422" t="s">
        <v>2047</v>
      </c>
      <c r="E1886" s="251"/>
      <c r="F1886" s="239"/>
      <c r="G1886" s="253"/>
      <c r="H1886" s="239"/>
      <c r="I1886" s="225"/>
      <c r="J1886" s="225"/>
      <c r="K1886" s="251"/>
      <c r="L1886" s="262">
        <v>46.48</v>
      </c>
      <c r="M1886" s="258">
        <v>0</v>
      </c>
      <c r="N1886" s="257">
        <f>INT($L1886*M1886*100+0.5)/100</f>
        <v>0</v>
      </c>
      <c r="O1886" s="258">
        <v>0</v>
      </c>
      <c r="P1886" s="257">
        <f>INT($L1886*O1886*100+0.5)/100</f>
        <v>0</v>
      </c>
      <c r="Q1886" s="258">
        <v>0</v>
      </c>
      <c r="R1886" s="257">
        <f>INT($L1886*Q1886*100+0.5)/100</f>
        <v>0</v>
      </c>
      <c r="S1886" s="258">
        <v>0</v>
      </c>
      <c r="T1886" s="257">
        <f>INT($L1886*S1886*100+0.5)/100</f>
        <v>0</v>
      </c>
      <c r="U1886" s="258">
        <v>0</v>
      </c>
      <c r="V1886" s="257">
        <f>INT($L1886*U1886*100+0.5)/100</f>
        <v>0</v>
      </c>
      <c r="W1886" s="258">
        <v>0</v>
      </c>
      <c r="X1886" s="257">
        <f>INT($L1886*W1886*100+0.5)/100</f>
        <v>0</v>
      </c>
      <c r="Y1886" s="258">
        <v>0</v>
      </c>
      <c r="Z1886" s="257">
        <f>INT($L1886*Y1886*100+0.5)/100</f>
        <v>0</v>
      </c>
    </row>
    <row r="1887" spans="1:26" ht="15.75" hidden="1" customHeight="1">
      <c r="A1887" s="284"/>
      <c r="B1887" s="237"/>
      <c r="C1887" s="285"/>
      <c r="D1887" s="422" t="s">
        <v>363</v>
      </c>
      <c r="E1887" s="251"/>
      <c r="F1887" s="239"/>
      <c r="G1887" s="253"/>
      <c r="H1887" s="239"/>
      <c r="I1887" s="225"/>
      <c r="J1887" s="225"/>
      <c r="K1887" s="251"/>
      <c r="L1887" s="346"/>
      <c r="M1887" s="260"/>
      <c r="N1887" s="257"/>
      <c r="O1887" s="260"/>
      <c r="P1887" s="257"/>
      <c r="Q1887" s="260"/>
      <c r="R1887" s="257"/>
      <c r="S1887" s="260"/>
      <c r="T1887" s="257"/>
      <c r="U1887" s="260"/>
      <c r="V1887" s="257"/>
      <c r="W1887" s="260"/>
      <c r="X1887" s="257"/>
      <c r="Y1887" s="260"/>
      <c r="Z1887" s="257"/>
    </row>
    <row r="1888" spans="1:26" ht="15.75" hidden="1" customHeight="1">
      <c r="A1888" s="284"/>
      <c r="B1888" s="237"/>
      <c r="C1888" s="285"/>
      <c r="D1888" s="422"/>
      <c r="E1888" s="251"/>
      <c r="F1888" s="239"/>
      <c r="G1888" s="253"/>
      <c r="H1888" s="239"/>
      <c r="I1888" s="225"/>
      <c r="J1888" s="225"/>
      <c r="K1888" s="251"/>
      <c r="L1888" s="346"/>
      <c r="M1888" s="260"/>
      <c r="N1888" s="257"/>
      <c r="O1888" s="260"/>
      <c r="P1888" s="257"/>
      <c r="Q1888" s="260"/>
      <c r="R1888" s="257"/>
      <c r="S1888" s="260"/>
      <c r="T1888" s="257"/>
      <c r="U1888" s="260"/>
      <c r="V1888" s="257"/>
      <c r="W1888" s="260"/>
      <c r="X1888" s="257"/>
      <c r="Y1888" s="260"/>
      <c r="Z1888" s="257"/>
    </row>
    <row r="1889" spans="1:26" ht="15.75" hidden="1" customHeight="1">
      <c r="A1889" s="284"/>
      <c r="B1889" s="237"/>
      <c r="C1889" s="285"/>
      <c r="D1889" s="335" t="s">
        <v>383</v>
      </c>
      <c r="E1889" s="251"/>
      <c r="F1889" s="239"/>
      <c r="G1889" s="253"/>
      <c r="H1889" s="239"/>
      <c r="I1889" s="225"/>
      <c r="J1889" s="225"/>
      <c r="K1889" s="251"/>
      <c r="L1889" s="346"/>
      <c r="M1889" s="260"/>
      <c r="N1889" s="257"/>
      <c r="O1889" s="260"/>
      <c r="P1889" s="257"/>
      <c r="Q1889" s="260"/>
      <c r="R1889" s="257"/>
      <c r="S1889" s="260"/>
      <c r="T1889" s="257"/>
      <c r="U1889" s="260"/>
      <c r="V1889" s="257"/>
      <c r="W1889" s="260"/>
      <c r="X1889" s="257"/>
      <c r="Y1889" s="260"/>
      <c r="Z1889" s="257"/>
    </row>
    <row r="1890" spans="1:26" ht="15.75" hidden="1" customHeight="1">
      <c r="A1890" s="284"/>
      <c r="B1890" s="237"/>
      <c r="C1890" s="285"/>
      <c r="D1890" s="335" t="s">
        <v>384</v>
      </c>
      <c r="E1890" s="251"/>
      <c r="F1890" s="239"/>
      <c r="G1890" s="253"/>
      <c r="H1890" s="239"/>
      <c r="I1890" s="225"/>
      <c r="J1890" s="225"/>
      <c r="K1890" s="251"/>
      <c r="L1890" s="346"/>
      <c r="M1890" s="260"/>
      <c r="N1890" s="257"/>
      <c r="O1890" s="260"/>
      <c r="P1890" s="257"/>
      <c r="Q1890" s="260"/>
      <c r="R1890" s="257"/>
      <c r="S1890" s="260"/>
      <c r="T1890" s="257"/>
      <c r="U1890" s="260"/>
      <c r="V1890" s="257"/>
      <c r="W1890" s="260"/>
      <c r="X1890" s="257"/>
      <c r="Y1890" s="260"/>
      <c r="Z1890" s="257"/>
    </row>
    <row r="1891" spans="1:26" ht="15.75" hidden="1" customHeight="1">
      <c r="A1891" s="284">
        <f>A1886+1</f>
        <v>349</v>
      </c>
      <c r="B1891" s="237"/>
      <c r="C1891" s="285"/>
      <c r="D1891" s="422" t="s">
        <v>2048</v>
      </c>
      <c r="E1891" s="251"/>
      <c r="F1891" s="239"/>
      <c r="G1891" s="253"/>
      <c r="H1891" s="239"/>
      <c r="I1891" s="225"/>
      <c r="J1891" s="225"/>
      <c r="K1891" s="251"/>
      <c r="L1891" s="262">
        <v>35.79</v>
      </c>
      <c r="M1891" s="258">
        <v>0</v>
      </c>
      <c r="N1891" s="257">
        <f>INT($L1891*M1891*100+0.5)/100</f>
        <v>0</v>
      </c>
      <c r="O1891" s="258">
        <v>0</v>
      </c>
      <c r="P1891" s="257">
        <f>INT($L1891*O1891*100+0.5)/100</f>
        <v>0</v>
      </c>
      <c r="Q1891" s="258">
        <v>0</v>
      </c>
      <c r="R1891" s="257">
        <f>INT($L1891*Q1891*100+0.5)/100</f>
        <v>0</v>
      </c>
      <c r="S1891" s="258">
        <v>0</v>
      </c>
      <c r="T1891" s="257">
        <f>INT($L1891*S1891*100+0.5)/100</f>
        <v>0</v>
      </c>
      <c r="U1891" s="258">
        <v>0</v>
      </c>
      <c r="V1891" s="257">
        <f>INT($L1891*U1891*100+0.5)/100</f>
        <v>0</v>
      </c>
      <c r="W1891" s="258">
        <v>0</v>
      </c>
      <c r="X1891" s="257">
        <f>INT($L1891*W1891*100+0.5)/100</f>
        <v>0</v>
      </c>
      <c r="Y1891" s="258">
        <v>0</v>
      </c>
      <c r="Z1891" s="257">
        <f>INT($L1891*Y1891*100+0.5)/100</f>
        <v>0</v>
      </c>
    </row>
    <row r="1892" spans="1:26" ht="15.75" hidden="1" customHeight="1">
      <c r="A1892" s="284"/>
      <c r="B1892" s="237"/>
      <c r="C1892" s="285"/>
      <c r="D1892" s="422" t="s">
        <v>364</v>
      </c>
      <c r="E1892" s="251"/>
      <c r="F1892" s="239"/>
      <c r="G1892" s="253"/>
      <c r="H1892" s="239"/>
      <c r="I1892" s="225"/>
      <c r="J1892" s="225"/>
      <c r="K1892" s="251"/>
      <c r="L1892" s="346"/>
      <c r="M1892" s="260"/>
      <c r="N1892" s="257"/>
      <c r="O1892" s="260"/>
      <c r="P1892" s="257"/>
      <c r="Q1892" s="260"/>
      <c r="R1892" s="257"/>
      <c r="S1892" s="260"/>
      <c r="T1892" s="257"/>
      <c r="U1892" s="260"/>
      <c r="V1892" s="257"/>
      <c r="W1892" s="260"/>
      <c r="X1892" s="257"/>
      <c r="Y1892" s="260"/>
      <c r="Z1892" s="257"/>
    </row>
    <row r="1893" spans="1:26" ht="15.75" hidden="1" customHeight="1">
      <c r="A1893" s="284"/>
      <c r="B1893" s="237"/>
      <c r="C1893" s="285"/>
      <c r="D1893" s="422"/>
      <c r="E1893" s="251"/>
      <c r="F1893" s="239"/>
      <c r="G1893" s="253"/>
      <c r="H1893" s="239"/>
      <c r="I1893" s="225"/>
      <c r="J1893" s="225"/>
      <c r="K1893" s="251"/>
      <c r="L1893" s="346"/>
      <c r="M1893" s="260"/>
      <c r="N1893" s="257"/>
      <c r="O1893" s="260"/>
      <c r="P1893" s="257"/>
      <c r="Q1893" s="260"/>
      <c r="R1893" s="257"/>
      <c r="S1893" s="260"/>
      <c r="T1893" s="257"/>
      <c r="U1893" s="260"/>
      <c r="V1893" s="257"/>
      <c r="W1893" s="260"/>
      <c r="X1893" s="257"/>
      <c r="Y1893" s="260"/>
      <c r="Z1893" s="257"/>
    </row>
    <row r="1894" spans="1:26" ht="15.75" hidden="1" customHeight="1">
      <c r="A1894" s="284">
        <f>A1891+1</f>
        <v>350</v>
      </c>
      <c r="B1894" s="237"/>
      <c r="C1894" s="285"/>
      <c r="D1894" s="422" t="s">
        <v>2049</v>
      </c>
      <c r="E1894" s="251"/>
      <c r="F1894" s="239"/>
      <c r="G1894" s="253"/>
      <c r="H1894" s="239"/>
      <c r="I1894" s="225"/>
      <c r="J1894" s="225"/>
      <c r="K1894" s="251"/>
      <c r="L1894" s="262">
        <v>50.1</v>
      </c>
      <c r="M1894" s="258">
        <v>0</v>
      </c>
      <c r="N1894" s="257">
        <f>INT($L1894*M1894*100+0.5)/100</f>
        <v>0</v>
      </c>
      <c r="O1894" s="258">
        <v>0</v>
      </c>
      <c r="P1894" s="257">
        <f>INT($L1894*O1894*100+0.5)/100</f>
        <v>0</v>
      </c>
      <c r="Q1894" s="258">
        <v>0</v>
      </c>
      <c r="R1894" s="257">
        <f>INT($L1894*Q1894*100+0.5)/100</f>
        <v>0</v>
      </c>
      <c r="S1894" s="258">
        <v>0</v>
      </c>
      <c r="T1894" s="257">
        <f>INT($L1894*S1894*100+0.5)/100</f>
        <v>0</v>
      </c>
      <c r="U1894" s="258">
        <v>0</v>
      </c>
      <c r="V1894" s="257">
        <f>INT($L1894*U1894*100+0.5)/100</f>
        <v>0</v>
      </c>
      <c r="W1894" s="258">
        <v>0</v>
      </c>
      <c r="X1894" s="257">
        <f>INT($L1894*W1894*100+0.5)/100</f>
        <v>0</v>
      </c>
      <c r="Y1894" s="258">
        <v>0</v>
      </c>
      <c r="Z1894" s="257">
        <f>INT($L1894*Y1894*100+0.5)/100</f>
        <v>0</v>
      </c>
    </row>
    <row r="1895" spans="1:26" ht="15.75" hidden="1" customHeight="1">
      <c r="A1895" s="284"/>
      <c r="B1895" s="237"/>
      <c r="C1895" s="285"/>
      <c r="D1895" s="422" t="s">
        <v>365</v>
      </c>
      <c r="E1895" s="251"/>
      <c r="F1895" s="239"/>
      <c r="G1895" s="253"/>
      <c r="H1895" s="239"/>
      <c r="I1895" s="225"/>
      <c r="J1895" s="225"/>
      <c r="K1895" s="251"/>
      <c r="L1895" s="346"/>
      <c r="M1895" s="260"/>
      <c r="N1895" s="257"/>
      <c r="O1895" s="260"/>
      <c r="P1895" s="257"/>
      <c r="Q1895" s="260"/>
      <c r="R1895" s="257"/>
      <c r="S1895" s="260"/>
      <c r="T1895" s="257"/>
      <c r="U1895" s="260"/>
      <c r="V1895" s="257"/>
      <c r="W1895" s="260"/>
      <c r="X1895" s="257"/>
      <c r="Y1895" s="260"/>
      <c r="Z1895" s="257"/>
    </row>
    <row r="1896" spans="1:26" ht="15.75" hidden="1" customHeight="1">
      <c r="A1896" s="284"/>
      <c r="B1896" s="237"/>
      <c r="C1896" s="285"/>
      <c r="D1896" s="422"/>
      <c r="E1896" s="251"/>
      <c r="F1896" s="239"/>
      <c r="G1896" s="253"/>
      <c r="H1896" s="239"/>
      <c r="I1896" s="225"/>
      <c r="J1896" s="225"/>
      <c r="K1896" s="251"/>
      <c r="L1896" s="346"/>
      <c r="M1896" s="260"/>
      <c r="N1896" s="257"/>
      <c r="O1896" s="260"/>
      <c r="P1896" s="257"/>
      <c r="Q1896" s="260"/>
      <c r="R1896" s="257"/>
      <c r="S1896" s="260"/>
      <c r="T1896" s="257"/>
      <c r="U1896" s="260"/>
      <c r="V1896" s="257"/>
      <c r="W1896" s="260"/>
      <c r="X1896" s="257"/>
      <c r="Y1896" s="260"/>
      <c r="Z1896" s="257"/>
    </row>
    <row r="1897" spans="1:26" ht="15.75" hidden="1" customHeight="1">
      <c r="A1897" s="284">
        <f>A1894+1</f>
        <v>351</v>
      </c>
      <c r="B1897" s="237"/>
      <c r="C1897" s="285"/>
      <c r="D1897" s="422" t="s">
        <v>2050</v>
      </c>
      <c r="E1897" s="251"/>
      <c r="F1897" s="239"/>
      <c r="G1897" s="253"/>
      <c r="H1897" s="239"/>
      <c r="I1897" s="225"/>
      <c r="J1897" s="225"/>
      <c r="K1897" s="251"/>
      <c r="L1897" s="262">
        <v>55.26</v>
      </c>
      <c r="M1897" s="258">
        <v>0</v>
      </c>
      <c r="N1897" s="257">
        <f>INT($L1897*M1897*100+0.5)/100</f>
        <v>0</v>
      </c>
      <c r="O1897" s="258">
        <v>0</v>
      </c>
      <c r="P1897" s="257">
        <f>INT($L1897*O1897*100+0.5)/100</f>
        <v>0</v>
      </c>
      <c r="Q1897" s="258">
        <v>0</v>
      </c>
      <c r="R1897" s="257">
        <f>INT($L1897*Q1897*100+0.5)/100</f>
        <v>0</v>
      </c>
      <c r="S1897" s="258">
        <v>0</v>
      </c>
      <c r="T1897" s="257">
        <f>INT($L1897*S1897*100+0.5)/100</f>
        <v>0</v>
      </c>
      <c r="U1897" s="258">
        <v>0</v>
      </c>
      <c r="V1897" s="257">
        <f>INT($L1897*U1897*100+0.5)/100</f>
        <v>0</v>
      </c>
      <c r="W1897" s="258">
        <v>0</v>
      </c>
      <c r="X1897" s="257">
        <f>INT($L1897*W1897*100+0.5)/100</f>
        <v>0</v>
      </c>
      <c r="Y1897" s="258">
        <v>0</v>
      </c>
      <c r="Z1897" s="257">
        <f>INT($L1897*Y1897*100+0.5)/100</f>
        <v>0</v>
      </c>
    </row>
    <row r="1898" spans="1:26" ht="15.75" hidden="1" customHeight="1">
      <c r="A1898" s="284"/>
      <c r="B1898" s="237"/>
      <c r="C1898" s="285"/>
      <c r="D1898" s="422" t="s">
        <v>366</v>
      </c>
      <c r="E1898" s="251"/>
      <c r="F1898" s="239"/>
      <c r="G1898" s="253"/>
      <c r="H1898" s="239"/>
      <c r="I1898" s="225"/>
      <c r="J1898" s="225"/>
      <c r="K1898" s="251"/>
      <c r="L1898" s="346"/>
      <c r="M1898" s="260"/>
      <c r="N1898" s="257"/>
      <c r="O1898" s="260"/>
      <c r="P1898" s="257"/>
      <c r="Q1898" s="260"/>
      <c r="R1898" s="257"/>
      <c r="S1898" s="260"/>
      <c r="T1898" s="257"/>
      <c r="U1898" s="260"/>
      <c r="V1898" s="257"/>
      <c r="W1898" s="260"/>
      <c r="X1898" s="257"/>
      <c r="Y1898" s="260"/>
      <c r="Z1898" s="257"/>
    </row>
    <row r="1899" spans="1:26" ht="15.75" hidden="1" customHeight="1">
      <c r="A1899" s="284"/>
      <c r="B1899" s="237"/>
      <c r="C1899" s="285"/>
      <c r="D1899" s="422"/>
      <c r="E1899" s="251"/>
      <c r="F1899" s="239"/>
      <c r="G1899" s="253"/>
      <c r="H1899" s="239"/>
      <c r="I1899" s="225"/>
      <c r="J1899" s="225"/>
      <c r="K1899" s="251"/>
      <c r="L1899" s="346"/>
      <c r="M1899" s="260"/>
      <c r="N1899" s="257"/>
      <c r="O1899" s="260"/>
      <c r="P1899" s="257"/>
      <c r="Q1899" s="260"/>
      <c r="R1899" s="257"/>
      <c r="S1899" s="260"/>
      <c r="T1899" s="257"/>
      <c r="U1899" s="260"/>
      <c r="V1899" s="257"/>
      <c r="W1899" s="260"/>
      <c r="X1899" s="257"/>
      <c r="Y1899" s="260"/>
      <c r="Z1899" s="257"/>
    </row>
    <row r="1900" spans="1:26" ht="15.75" hidden="1" customHeight="1">
      <c r="A1900" s="284">
        <f>A1897+1</f>
        <v>352</v>
      </c>
      <c r="B1900" s="237"/>
      <c r="C1900" s="285"/>
      <c r="D1900" s="422" t="s">
        <v>2051</v>
      </c>
      <c r="E1900" s="251"/>
      <c r="F1900" s="239"/>
      <c r="G1900" s="253"/>
      <c r="H1900" s="239"/>
      <c r="I1900" s="225"/>
      <c r="J1900" s="225"/>
      <c r="K1900" s="251"/>
      <c r="L1900" s="262">
        <v>49.3</v>
      </c>
      <c r="M1900" s="258">
        <v>0</v>
      </c>
      <c r="N1900" s="257">
        <f>INT($L1900*M1900*100+0.5)/100</f>
        <v>0</v>
      </c>
      <c r="O1900" s="258">
        <v>0</v>
      </c>
      <c r="P1900" s="257">
        <f>INT($L1900*O1900*100+0.5)/100</f>
        <v>0</v>
      </c>
      <c r="Q1900" s="258">
        <v>0</v>
      </c>
      <c r="R1900" s="257">
        <f>INT($L1900*Q1900*100+0.5)/100</f>
        <v>0</v>
      </c>
      <c r="S1900" s="258">
        <v>0</v>
      </c>
      <c r="T1900" s="257">
        <f>INT($L1900*S1900*100+0.5)/100</f>
        <v>0</v>
      </c>
      <c r="U1900" s="258">
        <v>0</v>
      </c>
      <c r="V1900" s="257">
        <f>INT($L1900*U1900*100+0.5)/100</f>
        <v>0</v>
      </c>
      <c r="W1900" s="258">
        <v>0</v>
      </c>
      <c r="X1900" s="257">
        <f>INT($L1900*W1900*100+0.5)/100</f>
        <v>0</v>
      </c>
      <c r="Y1900" s="258">
        <v>0</v>
      </c>
      <c r="Z1900" s="257">
        <f>INT($L1900*Y1900*100+0.5)/100</f>
        <v>0</v>
      </c>
    </row>
    <row r="1901" spans="1:26" ht="15.75" hidden="1" customHeight="1">
      <c r="A1901" s="284"/>
      <c r="B1901" s="237"/>
      <c r="C1901" s="285"/>
      <c r="D1901" s="422" t="s">
        <v>367</v>
      </c>
      <c r="E1901" s="251"/>
      <c r="F1901" s="239"/>
      <c r="G1901" s="253"/>
      <c r="H1901" s="239"/>
      <c r="I1901" s="225"/>
      <c r="J1901" s="225"/>
      <c r="K1901" s="251"/>
      <c r="L1901" s="346"/>
      <c r="M1901" s="260"/>
      <c r="N1901" s="257"/>
      <c r="O1901" s="260"/>
      <c r="P1901" s="257"/>
      <c r="Q1901" s="260"/>
      <c r="R1901" s="257"/>
      <c r="S1901" s="260"/>
      <c r="T1901" s="257"/>
      <c r="U1901" s="260"/>
      <c r="V1901" s="257"/>
      <c r="W1901" s="260"/>
      <c r="X1901" s="257"/>
      <c r="Y1901" s="260"/>
      <c r="Z1901" s="257"/>
    </row>
    <row r="1902" spans="1:26" ht="15.75" hidden="1" customHeight="1">
      <c r="A1902" s="284"/>
      <c r="B1902" s="237"/>
      <c r="C1902" s="285"/>
      <c r="D1902" s="422"/>
      <c r="E1902" s="251"/>
      <c r="F1902" s="239"/>
      <c r="G1902" s="253"/>
      <c r="H1902" s="239"/>
      <c r="I1902" s="225"/>
      <c r="J1902" s="225"/>
      <c r="K1902" s="251"/>
      <c r="L1902" s="346"/>
      <c r="M1902" s="260"/>
      <c r="N1902" s="257"/>
      <c r="O1902" s="260"/>
      <c r="P1902" s="257"/>
      <c r="Q1902" s="260"/>
      <c r="R1902" s="257"/>
      <c r="S1902" s="260"/>
      <c r="T1902" s="257"/>
      <c r="U1902" s="260"/>
      <c r="V1902" s="257"/>
      <c r="W1902" s="260"/>
      <c r="X1902" s="257"/>
      <c r="Y1902" s="260"/>
      <c r="Z1902" s="257"/>
    </row>
    <row r="1903" spans="1:26" ht="15.75" hidden="1" customHeight="1">
      <c r="A1903" s="284">
        <f>A1900+1</f>
        <v>353</v>
      </c>
      <c r="B1903" s="237"/>
      <c r="C1903" s="285"/>
      <c r="D1903" s="422" t="s">
        <v>2052</v>
      </c>
      <c r="E1903" s="251"/>
      <c r="F1903" s="239"/>
      <c r="G1903" s="253"/>
      <c r="H1903" s="239"/>
      <c r="I1903" s="225"/>
      <c r="J1903" s="225"/>
      <c r="K1903" s="251"/>
      <c r="L1903" s="262">
        <v>60.94</v>
      </c>
      <c r="M1903" s="258">
        <v>0</v>
      </c>
      <c r="N1903" s="257">
        <f>INT($L1903*M1903*100+0.5)/100</f>
        <v>0</v>
      </c>
      <c r="O1903" s="258">
        <v>0</v>
      </c>
      <c r="P1903" s="257">
        <f>INT($L1903*O1903*100+0.5)/100</f>
        <v>0</v>
      </c>
      <c r="Q1903" s="258">
        <v>0</v>
      </c>
      <c r="R1903" s="257">
        <f>INT($L1903*Q1903*100+0.5)/100</f>
        <v>0</v>
      </c>
      <c r="S1903" s="258">
        <v>0</v>
      </c>
      <c r="T1903" s="257">
        <f>INT($L1903*S1903*100+0.5)/100</f>
        <v>0</v>
      </c>
      <c r="U1903" s="258">
        <v>0</v>
      </c>
      <c r="V1903" s="257">
        <f>INT($L1903*U1903*100+0.5)/100</f>
        <v>0</v>
      </c>
      <c r="W1903" s="258">
        <v>0</v>
      </c>
      <c r="X1903" s="257">
        <f>INT($L1903*W1903*100+0.5)/100</f>
        <v>0</v>
      </c>
      <c r="Y1903" s="258">
        <v>0</v>
      </c>
      <c r="Z1903" s="257">
        <f>INT($L1903*Y1903*100+0.5)/100</f>
        <v>0</v>
      </c>
    </row>
    <row r="1904" spans="1:26" ht="15.75" hidden="1" customHeight="1">
      <c r="A1904" s="284"/>
      <c r="B1904" s="237"/>
      <c r="C1904" s="285"/>
      <c r="D1904" s="422" t="s">
        <v>368</v>
      </c>
      <c r="E1904" s="251"/>
      <c r="F1904" s="239"/>
      <c r="G1904" s="253"/>
      <c r="H1904" s="239"/>
      <c r="I1904" s="225"/>
      <c r="J1904" s="225"/>
      <c r="K1904" s="251"/>
      <c r="L1904" s="346"/>
      <c r="M1904" s="260"/>
      <c r="N1904" s="257"/>
      <c r="O1904" s="260"/>
      <c r="P1904" s="257"/>
      <c r="Q1904" s="260"/>
      <c r="R1904" s="257"/>
      <c r="S1904" s="260"/>
      <c r="T1904" s="257"/>
      <c r="U1904" s="260"/>
      <c r="V1904" s="257"/>
      <c r="W1904" s="260"/>
      <c r="X1904" s="257"/>
      <c r="Y1904" s="260"/>
      <c r="Z1904" s="257"/>
    </row>
    <row r="1905" spans="1:26" ht="15.75" hidden="1" customHeight="1">
      <c r="A1905" s="284"/>
      <c r="B1905" s="237"/>
      <c r="C1905" s="285"/>
      <c r="D1905" s="422"/>
      <c r="E1905" s="251"/>
      <c r="F1905" s="239"/>
      <c r="G1905" s="253"/>
      <c r="H1905" s="239"/>
      <c r="I1905" s="225"/>
      <c r="J1905" s="225"/>
      <c r="K1905" s="251"/>
      <c r="L1905" s="346"/>
      <c r="M1905" s="260"/>
      <c r="N1905" s="257"/>
      <c r="O1905" s="260"/>
      <c r="P1905" s="257"/>
      <c r="Q1905" s="260"/>
      <c r="R1905" s="257"/>
      <c r="S1905" s="260"/>
      <c r="T1905" s="257"/>
      <c r="U1905" s="260"/>
      <c r="V1905" s="257"/>
      <c r="W1905" s="260"/>
      <c r="X1905" s="257"/>
      <c r="Y1905" s="260"/>
      <c r="Z1905" s="257"/>
    </row>
    <row r="1906" spans="1:26" ht="15.75" hidden="1" customHeight="1">
      <c r="A1906" s="284">
        <f>A1903+1</f>
        <v>354</v>
      </c>
      <c r="B1906" s="237"/>
      <c r="C1906" s="285"/>
      <c r="D1906" s="422" t="s">
        <v>380</v>
      </c>
      <c r="E1906" s="251"/>
      <c r="F1906" s="239"/>
      <c r="G1906" s="253"/>
      <c r="H1906" s="239"/>
      <c r="I1906" s="225"/>
      <c r="J1906" s="225"/>
      <c r="K1906" s="251"/>
      <c r="L1906" s="262">
        <v>82.63</v>
      </c>
      <c r="M1906" s="258">
        <v>0</v>
      </c>
      <c r="N1906" s="257">
        <f>INT($L1906*M1906*100+0.5)/100</f>
        <v>0</v>
      </c>
      <c r="O1906" s="258">
        <v>0</v>
      </c>
      <c r="P1906" s="257">
        <f>INT($L1906*O1906*100+0.5)/100</f>
        <v>0</v>
      </c>
      <c r="Q1906" s="258">
        <v>0</v>
      </c>
      <c r="R1906" s="257">
        <f>INT($L1906*Q1906*100+0.5)/100</f>
        <v>0</v>
      </c>
      <c r="S1906" s="258">
        <v>0</v>
      </c>
      <c r="T1906" s="257">
        <f>INT($L1906*S1906*100+0.5)/100</f>
        <v>0</v>
      </c>
      <c r="U1906" s="258">
        <v>0</v>
      </c>
      <c r="V1906" s="257">
        <f>INT($L1906*U1906*100+0.5)/100</f>
        <v>0</v>
      </c>
      <c r="W1906" s="258">
        <v>0</v>
      </c>
      <c r="X1906" s="257">
        <f>INT($L1906*W1906*100+0.5)/100</f>
        <v>0</v>
      </c>
      <c r="Y1906" s="258">
        <v>0</v>
      </c>
      <c r="Z1906" s="257">
        <f>INT($L1906*Y1906*100+0.5)/100</f>
        <v>0</v>
      </c>
    </row>
    <row r="1907" spans="1:26" ht="15.75" hidden="1" customHeight="1">
      <c r="A1907" s="284"/>
      <c r="B1907" s="237"/>
      <c r="C1907" s="285"/>
      <c r="D1907" s="422" t="s">
        <v>369</v>
      </c>
      <c r="E1907" s="251"/>
      <c r="F1907" s="239"/>
      <c r="G1907" s="253"/>
      <c r="H1907" s="239"/>
      <c r="I1907" s="225"/>
      <c r="J1907" s="225"/>
      <c r="K1907" s="251"/>
      <c r="L1907" s="346"/>
      <c r="M1907" s="260"/>
      <c r="N1907" s="257"/>
      <c r="O1907" s="260"/>
      <c r="P1907" s="257"/>
      <c r="Q1907" s="260"/>
      <c r="R1907" s="257"/>
      <c r="S1907" s="260"/>
      <c r="T1907" s="257"/>
      <c r="U1907" s="260"/>
      <c r="V1907" s="257"/>
      <c r="W1907" s="260"/>
      <c r="X1907" s="257"/>
      <c r="Y1907" s="260"/>
      <c r="Z1907" s="257"/>
    </row>
    <row r="1908" spans="1:26" ht="15.75" hidden="1" customHeight="1">
      <c r="A1908" s="284"/>
      <c r="B1908" s="237"/>
      <c r="C1908" s="285"/>
      <c r="D1908" s="422"/>
      <c r="E1908" s="251"/>
      <c r="F1908" s="239"/>
      <c r="G1908" s="253"/>
      <c r="H1908" s="239"/>
      <c r="I1908" s="225"/>
      <c r="J1908" s="225"/>
      <c r="K1908" s="251"/>
      <c r="L1908" s="346"/>
      <c r="M1908" s="260"/>
      <c r="N1908" s="257"/>
      <c r="O1908" s="260"/>
      <c r="P1908" s="257"/>
      <c r="Q1908" s="260"/>
      <c r="R1908" s="257"/>
      <c r="S1908" s="260"/>
      <c r="T1908" s="257"/>
      <c r="U1908" s="260"/>
      <c r="V1908" s="257"/>
      <c r="W1908" s="260"/>
      <c r="X1908" s="257"/>
      <c r="Y1908" s="260"/>
      <c r="Z1908" s="257"/>
    </row>
    <row r="1909" spans="1:26" ht="15.75" hidden="1" customHeight="1">
      <c r="A1909" s="284">
        <f>A1906+1</f>
        <v>355</v>
      </c>
      <c r="B1909" s="237"/>
      <c r="C1909" s="285"/>
      <c r="D1909" s="422" t="s">
        <v>2053</v>
      </c>
      <c r="E1909" s="251"/>
      <c r="F1909" s="239"/>
      <c r="G1909" s="253"/>
      <c r="H1909" s="239"/>
      <c r="I1909" s="225"/>
      <c r="J1909" s="225"/>
      <c r="K1909" s="251"/>
      <c r="L1909" s="262">
        <v>700</v>
      </c>
      <c r="M1909" s="258">
        <v>0</v>
      </c>
      <c r="N1909" s="257">
        <f>INT($L1909*M1909*100+0.5)/100</f>
        <v>0</v>
      </c>
      <c r="O1909" s="258">
        <v>0</v>
      </c>
      <c r="P1909" s="257">
        <f>INT($L1909*O1909*100+0.5)/100</f>
        <v>0</v>
      </c>
      <c r="Q1909" s="258">
        <v>0</v>
      </c>
      <c r="R1909" s="257">
        <f>INT($L1909*Q1909*100+0.5)/100</f>
        <v>0</v>
      </c>
      <c r="S1909" s="258">
        <v>0</v>
      </c>
      <c r="T1909" s="257">
        <f>INT($L1909*S1909*100+0.5)/100</f>
        <v>0</v>
      </c>
      <c r="U1909" s="258">
        <v>0</v>
      </c>
      <c r="V1909" s="257">
        <f>INT($L1909*U1909*100+0.5)/100</f>
        <v>0</v>
      </c>
      <c r="W1909" s="258">
        <v>0</v>
      </c>
      <c r="X1909" s="257">
        <f>INT($L1909*W1909*100+0.5)/100</f>
        <v>0</v>
      </c>
      <c r="Y1909" s="258">
        <v>0</v>
      </c>
      <c r="Z1909" s="257">
        <f>INT($L1909*Y1909*100+0.5)/100</f>
        <v>0</v>
      </c>
    </row>
    <row r="1910" spans="1:26" ht="15.75" hidden="1" customHeight="1">
      <c r="A1910" s="284"/>
      <c r="B1910" s="237"/>
      <c r="C1910" s="285"/>
      <c r="D1910" s="422" t="s">
        <v>2033</v>
      </c>
      <c r="E1910" s="251"/>
      <c r="F1910" s="239"/>
      <c r="G1910" s="253"/>
      <c r="H1910" s="239"/>
      <c r="I1910" s="225"/>
      <c r="J1910" s="225"/>
      <c r="K1910" s="251"/>
      <c r="L1910" s="346"/>
      <c r="M1910" s="260"/>
      <c r="N1910" s="257"/>
      <c r="O1910" s="260"/>
      <c r="P1910" s="257"/>
      <c r="Q1910" s="260"/>
      <c r="R1910" s="257"/>
      <c r="S1910" s="260"/>
      <c r="T1910" s="257"/>
      <c r="U1910" s="260"/>
      <c r="V1910" s="257"/>
      <c r="W1910" s="260"/>
      <c r="X1910" s="257"/>
      <c r="Y1910" s="260"/>
      <c r="Z1910" s="257"/>
    </row>
    <row r="1911" spans="1:26" ht="15.75" hidden="1" customHeight="1">
      <c r="A1911" s="284"/>
      <c r="B1911" s="237"/>
      <c r="C1911" s="285"/>
      <c r="D1911" s="422"/>
      <c r="E1911" s="251"/>
      <c r="F1911" s="239"/>
      <c r="G1911" s="253"/>
      <c r="H1911" s="239"/>
      <c r="I1911" s="225"/>
      <c r="J1911" s="225"/>
      <c r="K1911" s="251"/>
      <c r="L1911" s="346"/>
      <c r="M1911" s="260"/>
      <c r="N1911" s="257"/>
      <c r="O1911" s="260"/>
      <c r="P1911" s="257"/>
      <c r="Q1911" s="260"/>
      <c r="R1911" s="257"/>
      <c r="S1911" s="260"/>
      <c r="T1911" s="257"/>
      <c r="U1911" s="260"/>
      <c r="V1911" s="257"/>
      <c r="W1911" s="260"/>
      <c r="X1911" s="257"/>
      <c r="Y1911" s="260"/>
      <c r="Z1911" s="257"/>
    </row>
    <row r="1912" spans="1:26" ht="15.75" hidden="1" customHeight="1">
      <c r="A1912" s="284">
        <f>A1909+1</f>
        <v>356</v>
      </c>
      <c r="B1912" s="237"/>
      <c r="C1912" s="285"/>
      <c r="D1912" s="422" t="s">
        <v>2054</v>
      </c>
      <c r="E1912" s="251"/>
      <c r="F1912" s="239"/>
      <c r="G1912" s="253"/>
      <c r="H1912" s="239"/>
      <c r="I1912" s="225"/>
      <c r="J1912" s="225"/>
      <c r="K1912" s="251"/>
      <c r="L1912" s="262">
        <v>700</v>
      </c>
      <c r="M1912" s="258">
        <v>0</v>
      </c>
      <c r="N1912" s="257">
        <f>INT($L1912*M1912*100+0.5)/100</f>
        <v>0</v>
      </c>
      <c r="O1912" s="258">
        <v>0</v>
      </c>
      <c r="P1912" s="257">
        <f>INT($L1912*O1912*100+0.5)/100</f>
        <v>0</v>
      </c>
      <c r="Q1912" s="258">
        <v>0</v>
      </c>
      <c r="R1912" s="257">
        <f>INT($L1912*Q1912*100+0.5)/100</f>
        <v>0</v>
      </c>
      <c r="S1912" s="258">
        <v>0</v>
      </c>
      <c r="T1912" s="257">
        <f>INT($L1912*S1912*100+0.5)/100</f>
        <v>0</v>
      </c>
      <c r="U1912" s="258">
        <v>0</v>
      </c>
      <c r="V1912" s="257">
        <f>INT($L1912*U1912*100+0.5)/100</f>
        <v>0</v>
      </c>
      <c r="W1912" s="258">
        <v>0</v>
      </c>
      <c r="X1912" s="257">
        <f>INT($L1912*W1912*100+0.5)/100</f>
        <v>0</v>
      </c>
      <c r="Y1912" s="258">
        <v>0</v>
      </c>
      <c r="Z1912" s="257">
        <f>INT($L1912*Y1912*100+0.5)/100</f>
        <v>0</v>
      </c>
    </row>
    <row r="1913" spans="1:26" ht="15.75" hidden="1" customHeight="1">
      <c r="A1913" s="284"/>
      <c r="B1913" s="237"/>
      <c r="C1913" s="285"/>
      <c r="D1913" s="422" t="s">
        <v>2034</v>
      </c>
      <c r="E1913" s="251"/>
      <c r="F1913" s="239"/>
      <c r="G1913" s="253"/>
      <c r="H1913" s="239"/>
      <c r="I1913" s="225"/>
      <c r="J1913" s="225"/>
      <c r="K1913" s="251"/>
      <c r="L1913" s="346"/>
      <c r="M1913" s="260"/>
      <c r="N1913" s="257"/>
      <c r="O1913" s="260"/>
      <c r="P1913" s="257"/>
      <c r="Q1913" s="260"/>
      <c r="R1913" s="257"/>
      <c r="S1913" s="260"/>
      <c r="T1913" s="257"/>
      <c r="U1913" s="260"/>
      <c r="V1913" s="257"/>
      <c r="W1913" s="260"/>
      <c r="X1913" s="257"/>
      <c r="Y1913" s="260"/>
      <c r="Z1913" s="257"/>
    </row>
    <row r="1914" spans="1:26" ht="15.75" hidden="1" customHeight="1">
      <c r="A1914" s="284"/>
      <c r="B1914" s="237"/>
      <c r="C1914" s="285"/>
      <c r="D1914" s="422"/>
      <c r="E1914" s="251"/>
      <c r="F1914" s="239"/>
      <c r="G1914" s="253"/>
      <c r="H1914" s="239"/>
      <c r="I1914" s="225"/>
      <c r="J1914" s="225"/>
      <c r="K1914" s="251"/>
      <c r="L1914" s="346"/>
      <c r="M1914" s="260"/>
      <c r="N1914" s="257"/>
      <c r="O1914" s="260"/>
      <c r="P1914" s="257"/>
      <c r="Q1914" s="260"/>
      <c r="R1914" s="257"/>
      <c r="S1914" s="260"/>
      <c r="T1914" s="257"/>
      <c r="U1914" s="260"/>
      <c r="V1914" s="257"/>
      <c r="W1914" s="260"/>
      <c r="X1914" s="257"/>
      <c r="Y1914" s="260"/>
      <c r="Z1914" s="257"/>
    </row>
    <row r="1915" spans="1:26" ht="15.75" hidden="1" customHeight="1">
      <c r="A1915" s="284">
        <f>A1912+1</f>
        <v>357</v>
      </c>
      <c r="B1915" s="237"/>
      <c r="C1915" s="285"/>
      <c r="D1915" s="422" t="s">
        <v>466</v>
      </c>
      <c r="E1915" s="251"/>
      <c r="F1915" s="239"/>
      <c r="G1915" s="253"/>
      <c r="H1915" s="239"/>
      <c r="I1915" s="225"/>
      <c r="J1915" s="225"/>
      <c r="K1915" s="251"/>
      <c r="L1915" s="262">
        <v>3000</v>
      </c>
      <c r="M1915" s="258">
        <v>0</v>
      </c>
      <c r="N1915" s="257">
        <f>INT($L1915*M1915*100+0.5)/100</f>
        <v>0</v>
      </c>
      <c r="O1915" s="258">
        <v>0</v>
      </c>
      <c r="P1915" s="257">
        <f>INT($L1915*O1915*100+0.5)/100</f>
        <v>0</v>
      </c>
      <c r="Q1915" s="258">
        <v>0</v>
      </c>
      <c r="R1915" s="257">
        <f>INT($L1915*Q1915*100+0.5)/100</f>
        <v>0</v>
      </c>
      <c r="S1915" s="258">
        <v>0</v>
      </c>
      <c r="T1915" s="257">
        <f>INT($L1915*S1915*100+0.5)/100</f>
        <v>0</v>
      </c>
      <c r="U1915" s="258">
        <v>0</v>
      </c>
      <c r="V1915" s="257">
        <f>INT($L1915*U1915*100+0.5)/100</f>
        <v>0</v>
      </c>
      <c r="W1915" s="258">
        <v>0</v>
      </c>
      <c r="X1915" s="257">
        <f>INT($L1915*W1915*100+0.5)/100</f>
        <v>0</v>
      </c>
      <c r="Y1915" s="258">
        <v>0</v>
      </c>
      <c r="Z1915" s="257">
        <f>INT($L1915*Y1915*100+0.5)/100</f>
        <v>0</v>
      </c>
    </row>
    <row r="1916" spans="1:26" ht="15.75" hidden="1" customHeight="1">
      <c r="A1916" s="284"/>
      <c r="B1916" s="237"/>
      <c r="C1916" s="285"/>
      <c r="D1916" s="422" t="s">
        <v>521</v>
      </c>
      <c r="E1916" s="251"/>
      <c r="F1916" s="239"/>
      <c r="G1916" s="253"/>
      <c r="H1916" s="239"/>
      <c r="I1916" s="225"/>
      <c r="J1916" s="225"/>
      <c r="K1916" s="251"/>
      <c r="L1916" s="346"/>
      <c r="M1916" s="260"/>
      <c r="N1916" s="257"/>
      <c r="O1916" s="260"/>
      <c r="P1916" s="257"/>
      <c r="Q1916" s="260"/>
      <c r="R1916" s="257"/>
      <c r="S1916" s="260"/>
      <c r="T1916" s="257"/>
      <c r="U1916" s="260"/>
      <c r="V1916" s="257"/>
      <c r="W1916" s="260"/>
      <c r="X1916" s="257"/>
      <c r="Y1916" s="260"/>
      <c r="Z1916" s="257"/>
    </row>
    <row r="1917" spans="1:26" ht="15.75" hidden="1" customHeight="1">
      <c r="A1917" s="284"/>
      <c r="B1917" s="237"/>
      <c r="C1917" s="285"/>
      <c r="D1917" s="422"/>
      <c r="E1917" s="251"/>
      <c r="F1917" s="239"/>
      <c r="G1917" s="253"/>
      <c r="H1917" s="239"/>
      <c r="I1917" s="225"/>
      <c r="J1917" s="225"/>
      <c r="K1917" s="251"/>
      <c r="L1917" s="346"/>
      <c r="M1917" s="260"/>
      <c r="N1917" s="257"/>
      <c r="O1917" s="260"/>
      <c r="P1917" s="257"/>
      <c r="Q1917" s="260"/>
      <c r="R1917" s="257"/>
      <c r="S1917" s="260"/>
      <c r="T1917" s="257"/>
      <c r="U1917" s="260"/>
      <c r="V1917" s="257"/>
      <c r="W1917" s="260"/>
      <c r="X1917" s="257"/>
      <c r="Y1917" s="260"/>
      <c r="Z1917" s="257"/>
    </row>
    <row r="1918" spans="1:26" ht="15.75" hidden="1" customHeight="1">
      <c r="A1918" s="284">
        <f>A1915+1</f>
        <v>358</v>
      </c>
      <c r="B1918" s="237"/>
      <c r="C1918" s="285"/>
      <c r="D1918" s="422" t="s">
        <v>2055</v>
      </c>
      <c r="E1918" s="251"/>
      <c r="F1918" s="239"/>
      <c r="G1918" s="253"/>
      <c r="H1918" s="239"/>
      <c r="I1918" s="225"/>
      <c r="J1918" s="225"/>
      <c r="K1918" s="251"/>
      <c r="L1918" s="262">
        <v>90</v>
      </c>
      <c r="M1918" s="258">
        <v>0</v>
      </c>
      <c r="N1918" s="257">
        <f>INT($L1918*M1918*100+0.5)/100</f>
        <v>0</v>
      </c>
      <c r="O1918" s="258">
        <v>0</v>
      </c>
      <c r="P1918" s="257">
        <f>INT($L1918*O1918*100+0.5)/100</f>
        <v>0</v>
      </c>
      <c r="Q1918" s="258">
        <v>0</v>
      </c>
      <c r="R1918" s="257">
        <f>INT($L1918*Q1918*100+0.5)/100</f>
        <v>0</v>
      </c>
      <c r="S1918" s="258">
        <v>0</v>
      </c>
      <c r="T1918" s="257">
        <f>INT($L1918*S1918*100+0.5)/100</f>
        <v>0</v>
      </c>
      <c r="U1918" s="258">
        <v>0</v>
      </c>
      <c r="V1918" s="257">
        <f>INT($L1918*U1918*100+0.5)/100</f>
        <v>0</v>
      </c>
      <c r="W1918" s="258">
        <v>0</v>
      </c>
      <c r="X1918" s="257">
        <f>INT($L1918*W1918*100+0.5)/100</f>
        <v>0</v>
      </c>
      <c r="Y1918" s="258">
        <v>0</v>
      </c>
      <c r="Z1918" s="257">
        <f>INT($L1918*Y1918*100+0.5)/100</f>
        <v>0</v>
      </c>
    </row>
    <row r="1919" spans="1:26" ht="15.75" hidden="1" customHeight="1">
      <c r="A1919" s="284"/>
      <c r="B1919" s="237"/>
      <c r="C1919" s="285"/>
      <c r="D1919" s="422" t="s">
        <v>2035</v>
      </c>
      <c r="E1919" s="251"/>
      <c r="F1919" s="239"/>
      <c r="G1919" s="253"/>
      <c r="H1919" s="239"/>
      <c r="I1919" s="225"/>
      <c r="J1919" s="225"/>
      <c r="K1919" s="251"/>
      <c r="L1919" s="346"/>
      <c r="M1919" s="260"/>
      <c r="N1919" s="257"/>
      <c r="O1919" s="260"/>
      <c r="P1919" s="257"/>
      <c r="Q1919" s="260"/>
      <c r="R1919" s="257"/>
      <c r="S1919" s="260"/>
      <c r="T1919" s="257"/>
      <c r="U1919" s="260"/>
      <c r="V1919" s="257"/>
      <c r="W1919" s="260"/>
      <c r="X1919" s="257"/>
      <c r="Y1919" s="260"/>
      <c r="Z1919" s="257"/>
    </row>
    <row r="1920" spans="1:26" ht="15.75" hidden="1" customHeight="1">
      <c r="A1920" s="284"/>
      <c r="B1920" s="237"/>
      <c r="C1920" s="285"/>
      <c r="D1920" s="422"/>
      <c r="E1920" s="251"/>
      <c r="F1920" s="239"/>
      <c r="G1920" s="253"/>
      <c r="H1920" s="239"/>
      <c r="I1920" s="225"/>
      <c r="J1920" s="225"/>
      <c r="K1920" s="251"/>
      <c r="L1920" s="262"/>
      <c r="M1920" s="260"/>
      <c r="N1920" s="257"/>
      <c r="O1920" s="260"/>
      <c r="P1920" s="257"/>
      <c r="Q1920" s="260"/>
      <c r="R1920" s="257"/>
      <c r="S1920" s="260"/>
      <c r="T1920" s="257"/>
      <c r="U1920" s="260"/>
      <c r="V1920" s="257"/>
      <c r="W1920" s="260"/>
      <c r="X1920" s="257"/>
      <c r="Y1920" s="260"/>
      <c r="Z1920" s="257"/>
    </row>
    <row r="1921" spans="1:27" ht="15" hidden="1" customHeight="1">
      <c r="A1921" s="284">
        <f>A1918+1</f>
        <v>359</v>
      </c>
      <c r="B1921" s="237"/>
      <c r="C1921" s="285"/>
      <c r="D1921" s="422" t="s">
        <v>2056</v>
      </c>
      <c r="E1921" s="251"/>
      <c r="F1921" s="239"/>
      <c r="G1921" s="253"/>
      <c r="H1921" s="239"/>
      <c r="I1921" s="225"/>
      <c r="J1921" s="225"/>
      <c r="K1921" s="251"/>
      <c r="L1921" s="262">
        <v>68.69</v>
      </c>
      <c r="M1921" s="258">
        <v>0</v>
      </c>
      <c r="N1921" s="257">
        <f>INT($L1921*M1921*100+0.5)/100</f>
        <v>0</v>
      </c>
      <c r="O1921" s="258">
        <v>0</v>
      </c>
      <c r="P1921" s="257">
        <f>INT($L1921*O1921*100+0.5)/100</f>
        <v>0</v>
      </c>
      <c r="Q1921" s="258">
        <v>0</v>
      </c>
      <c r="R1921" s="257">
        <f>INT($L1921*Q1921*100+0.5)/100</f>
        <v>0</v>
      </c>
      <c r="S1921" s="258">
        <v>0</v>
      </c>
      <c r="T1921" s="257">
        <f>INT($L1921*S1921*100+0.5)/100</f>
        <v>0</v>
      </c>
      <c r="U1921" s="258">
        <v>0</v>
      </c>
      <c r="V1921" s="257">
        <f>INT($L1921*U1921*100+0.5)/100</f>
        <v>0</v>
      </c>
      <c r="W1921" s="258">
        <v>0</v>
      </c>
      <c r="X1921" s="257">
        <f>INT($L1921*W1921*100+0.5)/100</f>
        <v>0</v>
      </c>
      <c r="Y1921" s="258">
        <v>0</v>
      </c>
      <c r="Z1921" s="257">
        <f>INT($L1921*Y1921*100+0.5)/100</f>
        <v>0</v>
      </c>
    </row>
    <row r="1922" spans="1:27" ht="15.75" hidden="1" customHeight="1">
      <c r="A1922" s="284"/>
      <c r="B1922" s="237"/>
      <c r="C1922" s="285"/>
      <c r="D1922" s="422" t="s">
        <v>2036</v>
      </c>
      <c r="E1922" s="251"/>
      <c r="F1922" s="239"/>
      <c r="G1922" s="253"/>
      <c r="H1922" s="239"/>
      <c r="I1922" s="225"/>
      <c r="J1922" s="225"/>
      <c r="K1922" s="251"/>
      <c r="L1922" s="262"/>
      <c r="M1922" s="260"/>
      <c r="N1922" s="257"/>
      <c r="O1922" s="260"/>
      <c r="P1922" s="257"/>
      <c r="Q1922" s="260"/>
      <c r="R1922" s="257"/>
      <c r="S1922" s="260"/>
      <c r="T1922" s="257"/>
      <c r="U1922" s="260"/>
      <c r="V1922" s="257"/>
      <c r="W1922" s="260"/>
      <c r="X1922" s="257"/>
      <c r="Y1922" s="260"/>
      <c r="Z1922" s="257"/>
    </row>
    <row r="1923" spans="1:27" ht="15.75" hidden="1" customHeight="1">
      <c r="A1923" s="284"/>
      <c r="B1923" s="237"/>
      <c r="C1923" s="285"/>
      <c r="D1923" s="335"/>
      <c r="E1923" s="251"/>
      <c r="F1923" s="239"/>
      <c r="G1923" s="253"/>
      <c r="H1923" s="239"/>
      <c r="I1923" s="225"/>
      <c r="J1923" s="225"/>
      <c r="K1923" s="251"/>
      <c r="L1923" s="262"/>
      <c r="M1923" s="260"/>
      <c r="N1923" s="257"/>
      <c r="O1923" s="260"/>
      <c r="P1923" s="257"/>
      <c r="Q1923" s="260"/>
      <c r="R1923" s="257"/>
      <c r="S1923" s="260"/>
      <c r="T1923" s="257"/>
      <c r="U1923" s="260"/>
      <c r="V1923" s="257"/>
      <c r="W1923" s="260"/>
      <c r="X1923" s="257"/>
      <c r="Y1923" s="260"/>
      <c r="Z1923" s="257"/>
    </row>
    <row r="1924" spans="1:27" s="247" customFormat="1" ht="15.75" hidden="1">
      <c r="A1924" s="284">
        <f>A1921+1</f>
        <v>360</v>
      </c>
      <c r="B1924" s="251"/>
      <c r="C1924" s="563" t="s">
        <v>1804</v>
      </c>
      <c r="D1924" s="276" t="s">
        <v>381</v>
      </c>
      <c r="E1924" s="251" t="s">
        <v>539</v>
      </c>
      <c r="F1924" s="252"/>
      <c r="G1924" s="253"/>
      <c r="H1924" s="254">
        <f>F1924*G1924</f>
        <v>0</v>
      </c>
      <c r="I1924" s="336"/>
      <c r="J1924" s="336"/>
      <c r="K1924" s="251" t="s">
        <v>539</v>
      </c>
      <c r="L1924" s="262">
        <v>100</v>
      </c>
      <c r="M1924" s="288">
        <v>0</v>
      </c>
      <c r="N1924" s="257">
        <f>INT($L1924*M1924*100+0.5)/100</f>
        <v>0</v>
      </c>
      <c r="O1924" s="288">
        <v>0</v>
      </c>
      <c r="P1924" s="257">
        <f>INT($L1924*O1924*100+0.5)/100</f>
        <v>0</v>
      </c>
      <c r="Q1924" s="288">
        <v>0</v>
      </c>
      <c r="R1924" s="257">
        <f>INT($L1924*Q1924*100+0.5)/100</f>
        <v>0</v>
      </c>
      <c r="S1924" s="288">
        <v>0</v>
      </c>
      <c r="T1924" s="257">
        <f>INT($L1924*S1924*100+0.5)/100</f>
        <v>0</v>
      </c>
      <c r="U1924" s="288">
        <v>0</v>
      </c>
      <c r="V1924" s="257">
        <f>INT($L1924*U1924*100+0.5)/100</f>
        <v>0</v>
      </c>
      <c r="W1924" s="288">
        <v>0</v>
      </c>
      <c r="X1924" s="257">
        <f>INT($L1924*W1924*100+0.5)/100</f>
        <v>0</v>
      </c>
      <c r="Y1924" s="288">
        <v>0</v>
      </c>
      <c r="Z1924" s="257">
        <f>INT($L1924*Y1924*100+0.5)/100</f>
        <v>0</v>
      </c>
    </row>
    <row r="1925" spans="1:27" s="247" customFormat="1" ht="15.75" hidden="1">
      <c r="A1925" s="250"/>
      <c r="B1925" s="251"/>
      <c r="C1925" s="326"/>
      <c r="D1925" s="335" t="s">
        <v>382</v>
      </c>
      <c r="E1925" s="251" t="s">
        <v>1416</v>
      </c>
      <c r="F1925" s="337"/>
      <c r="G1925" s="253"/>
      <c r="H1925" s="337"/>
      <c r="I1925" s="336"/>
      <c r="J1925" s="336"/>
      <c r="K1925" s="251" t="s">
        <v>1416</v>
      </c>
      <c r="L1925" s="262"/>
      <c r="M1925" s="288"/>
      <c r="N1925" s="257"/>
      <c r="O1925" s="288"/>
      <c r="P1925" s="257"/>
      <c r="Q1925" s="288"/>
      <c r="R1925" s="257"/>
      <c r="S1925" s="288"/>
      <c r="T1925" s="257"/>
      <c r="U1925" s="288"/>
      <c r="V1925" s="257"/>
      <c r="W1925" s="288"/>
      <c r="X1925" s="257"/>
      <c r="Y1925" s="288"/>
      <c r="Z1925" s="257"/>
    </row>
    <row r="1926" spans="1:27" s="325" customFormat="1" ht="15">
      <c r="A1926" s="318"/>
      <c r="B1926" s="319"/>
      <c r="C1926" s="267" t="s">
        <v>1585</v>
      </c>
      <c r="D1926" s="333" t="s">
        <v>1586</v>
      </c>
      <c r="E1926" s="319"/>
      <c r="F1926" s="348"/>
      <c r="G1926" s="523"/>
      <c r="H1926" s="339"/>
      <c r="I1926" s="322">
        <f>N1926+P1926+R1926+V1926+X1926+Z1926</f>
        <v>0</v>
      </c>
      <c r="J1926" s="322"/>
      <c r="K1926" s="319"/>
      <c r="L1926" s="272"/>
      <c r="M1926" s="322"/>
      <c r="N1926" s="322">
        <f>SUM(N1698:N1925)</f>
        <v>0</v>
      </c>
      <c r="O1926" s="322"/>
      <c r="P1926" s="322">
        <f>SUM(P1698:P1925)</f>
        <v>0</v>
      </c>
      <c r="Q1926" s="322"/>
      <c r="R1926" s="322">
        <f>SUM(R1698:R1925)</f>
        <v>0</v>
      </c>
      <c r="S1926" s="322"/>
      <c r="T1926" s="322">
        <f>SUM(T1698:T1925)</f>
        <v>0</v>
      </c>
      <c r="U1926" s="322"/>
      <c r="V1926" s="322">
        <f>SUM(V1698:V1925)</f>
        <v>0</v>
      </c>
      <c r="W1926" s="322"/>
      <c r="X1926" s="322">
        <f>SUM(X1698:X1925)</f>
        <v>0</v>
      </c>
      <c r="Y1926" s="322"/>
      <c r="Z1926" s="324">
        <f>SUM(Z1698:Z1925)</f>
        <v>0</v>
      </c>
    </row>
    <row r="1927" spans="1:27" s="247" customFormat="1" ht="15.75">
      <c r="A1927" s="284"/>
      <c r="B1927" s="237"/>
      <c r="C1927" s="453"/>
      <c r="D1927" s="330"/>
      <c r="E1927" s="237"/>
      <c r="F1927" s="349"/>
      <c r="G1927" s="465" t="s">
        <v>2022</v>
      </c>
      <c r="H1927" s="336"/>
      <c r="I1927" s="336">
        <f>I106+I110+I210+I516+I535+I1063+I553+I599+I629+I647+I671+I705+I1250+I1280+I1313+I1526+I1590+I1615+I1630+I1637+I1695+I1926</f>
        <v>1438969.2500000002</v>
      </c>
      <c r="J1927" s="336"/>
      <c r="K1927" s="237"/>
      <c r="L1927" s="253"/>
      <c r="M1927" s="309"/>
      <c r="N1927" s="350"/>
      <c r="O1927" s="440">
        <f>P1927/(150+250)</f>
        <v>297.68765000000008</v>
      </c>
      <c r="P1927" s="350">
        <f>P106+P110+P210+P516+P535+P553+P599+P629+P647+P671+P705+P1250+P1280+P1313+P1526+P1590+P1615+P1630+P1637+P1695+P1926</f>
        <v>119075.06000000003</v>
      </c>
      <c r="Q1927" s="440"/>
      <c r="R1927" s="350"/>
      <c r="S1927" s="309"/>
      <c r="T1927" s="350"/>
      <c r="U1927" s="309"/>
      <c r="V1927" s="350"/>
      <c r="W1927" s="309"/>
      <c r="X1927" s="350"/>
      <c r="Y1927" s="309"/>
      <c r="Z1927" s="242"/>
    </row>
    <row r="1928" spans="1:27" s="351" customFormat="1" ht="31.5">
      <c r="A1928" s="399"/>
      <c r="B1928" s="400"/>
      <c r="C1928" s="401"/>
      <c r="D1928" s="402" t="s">
        <v>1457</v>
      </c>
      <c r="E1928" s="400"/>
      <c r="F1928" s="403"/>
      <c r="G1928" s="404"/>
      <c r="H1928" s="405">
        <f>SUM(H17:H1927)</f>
        <v>1267601.3600000003</v>
      </c>
      <c r="I1928" s="406">
        <f>N1928+P1928+R1928+T1928+V1928+X1928+Z1928</f>
        <v>1438969.2500000002</v>
      </c>
      <c r="J1928" s="406"/>
      <c r="K1928" s="400"/>
      <c r="L1928" s="407"/>
      <c r="M1928" s="407"/>
      <c r="N1928" s="408">
        <f>N106+N110+N210+N516+N535+N553+N599+N629+N647+N671+N705+N1063+N1250+N1280+N1313+N1526+N1590+N1615+N1630+N1637+N1695+N1926</f>
        <v>200777.00000000003</v>
      </c>
      <c r="O1928" s="407"/>
      <c r="P1928" s="408">
        <f>P106+P110+P210+P516+P535+P553+P599+P629+P647+P671+P705+P1063+P1250+P1280+P1313+P1526+P1590+P1615+P1630+P1637+P1695+P1926</f>
        <v>284963.35000000003</v>
      </c>
      <c r="Q1928" s="407"/>
      <c r="R1928" s="408">
        <f>R106+R110+R210+R516+R535+R553+R599+R629+R647+R671+R705+R1063+R1250+R1280+R1313+R1526+R1590+R1615+R1630+R1637+R1695+R1926</f>
        <v>316264.17000000004</v>
      </c>
      <c r="S1928" s="407"/>
      <c r="T1928" s="408">
        <f>T106+T110+T210+T516+T535+T553+T599+T629+T647+T671+T705+T1063+T1250+T1280+T1313+T1526+T1590+T1615+T1630+T1637+T1695+T1926</f>
        <v>10843.619999999999</v>
      </c>
      <c r="U1928" s="407"/>
      <c r="V1928" s="408">
        <f>V106+V110+V210+V516+V535+V553+V599+V629+V647+V671+V705+V1063+V1250+V1280+V1313+V1526+V1590+V1615+V1630+V1637+V1695+V1926</f>
        <v>365428.78</v>
      </c>
      <c r="W1928" s="407"/>
      <c r="X1928" s="408">
        <f>X106+X110+X210+X516+X535+X553+X599+X629+X647+X671+X705+X1063+X1250+X1280+X1313+X1526+X1590+X1615+X1630+X1637+X1695+X1926</f>
        <v>29775.96</v>
      </c>
      <c r="Y1928" s="407"/>
      <c r="Z1928" s="566">
        <f>Z106+Z110+Z210+Z516+Z535+Z553+Z599+Z629+Z647+Z671+Z705+Z1063+Z1250+Z1280+Z1313+Z1526+Z1590+Z1615+Z1630+Z1637+Z1695+Z1926</f>
        <v>230916.37000000005</v>
      </c>
    </row>
    <row r="1929" spans="1:27" s="247" customFormat="1" ht="15.75">
      <c r="A1929" s="284"/>
      <c r="B1929" s="237"/>
      <c r="C1929" s="352"/>
      <c r="D1929" s="249"/>
      <c r="E1929" s="237"/>
      <c r="F1929" s="349"/>
      <c r="G1929" s="567"/>
      <c r="H1929" s="397">
        <f>H1928-P1927+P1928</f>
        <v>1433489.6500000004</v>
      </c>
      <c r="I1929" s="398" t="s">
        <v>2021</v>
      </c>
      <c r="J1929" s="240">
        <f>SUM(J17:J1927)</f>
        <v>1438969.2500000002</v>
      </c>
      <c r="K1929" s="237"/>
      <c r="L1929" s="253"/>
      <c r="M1929" s="309"/>
      <c r="N1929" s="495">
        <f>N107+N111+N211+N517+N536+N554+N600+N630+N648+N672+N706+N1064+N1251+N1281+N1314+N1527+N1591+N1616+N1631+N1638+N1696+N1927</f>
        <v>0.99999999999999989</v>
      </c>
      <c r="O1929" s="461">
        <f>P1928/(150+250)</f>
        <v>712.40837500000009</v>
      </c>
      <c r="P1929" s="398"/>
      <c r="Q1929" s="461"/>
      <c r="R1929" s="350"/>
      <c r="S1929" s="309"/>
      <c r="T1929" s="350"/>
      <c r="U1929" s="309"/>
      <c r="V1929" s="350"/>
      <c r="W1929" s="309"/>
      <c r="X1929" s="350"/>
      <c r="Y1929" s="309"/>
      <c r="Z1929" s="242"/>
    </row>
    <row r="1930" spans="1:27" s="247" customFormat="1" ht="15.75">
      <c r="A1930" s="284"/>
      <c r="B1930" s="237"/>
      <c r="C1930" s="352"/>
      <c r="D1930" s="249"/>
      <c r="E1930" s="237"/>
      <c r="F1930" s="349"/>
      <c r="G1930" s="253"/>
      <c r="H1930" s="353"/>
      <c r="I1930" s="240"/>
      <c r="J1930" s="336"/>
      <c r="K1930" s="237"/>
      <c r="L1930" s="253"/>
      <c r="M1930" s="309"/>
      <c r="N1930" s="353"/>
      <c r="O1930" s="462" t="s">
        <v>2390</v>
      </c>
      <c r="P1930" s="309"/>
      <c r="Q1930" s="462"/>
      <c r="R1930" s="350"/>
      <c r="S1930" s="309"/>
      <c r="T1930" s="350"/>
      <c r="U1930" s="309"/>
      <c r="V1930" s="350"/>
      <c r="W1930" s="309"/>
      <c r="X1930" s="350"/>
      <c r="Y1930" s="309"/>
      <c r="Z1930" s="242"/>
      <c r="AA1930" s="183"/>
    </row>
    <row r="1931" spans="1:27" ht="15">
      <c r="A1931" s="250"/>
      <c r="B1931" s="251"/>
      <c r="C1931" s="326"/>
      <c r="D1931" s="292"/>
      <c r="E1931" s="307"/>
      <c r="F1931" s="307"/>
      <c r="G1931" s="253"/>
      <c r="H1931" s="307"/>
      <c r="I1931" s="225"/>
      <c r="J1931" s="225"/>
      <c r="K1931" s="307"/>
      <c r="L1931" s="253"/>
      <c r="M1931" s="568"/>
      <c r="N1931" s="225"/>
      <c r="O1931" s="568"/>
      <c r="P1931" s="568"/>
      <c r="Q1931" s="568"/>
      <c r="R1931" s="225"/>
      <c r="S1931" s="309"/>
      <c r="T1931" s="225"/>
      <c r="U1931" s="568"/>
      <c r="V1931" s="225"/>
      <c r="W1931" s="309"/>
      <c r="X1931" s="225"/>
      <c r="Y1931" s="309"/>
      <c r="Z1931" s="260"/>
    </row>
    <row r="1932" spans="1:27" ht="25.5">
      <c r="A1932" s="356" t="s">
        <v>1369</v>
      </c>
      <c r="B1932" s="357"/>
      <c r="C1932" s="358"/>
      <c r="D1932" s="359" t="s">
        <v>2099</v>
      </c>
      <c r="E1932" s="360"/>
      <c r="F1932" s="361"/>
      <c r="G1932" s="361"/>
      <c r="H1932" s="362"/>
      <c r="I1932" s="364"/>
      <c r="J1932" s="364"/>
      <c r="K1932" s="360"/>
      <c r="L1932" s="363"/>
      <c r="M1932" s="363"/>
      <c r="N1932" s="364"/>
      <c r="O1932" s="363"/>
      <c r="P1932" s="364"/>
      <c r="Q1932" s="363"/>
      <c r="R1932" s="364"/>
      <c r="S1932" s="364"/>
      <c r="T1932" s="365"/>
      <c r="U1932" s="363"/>
      <c r="V1932" s="364"/>
      <c r="W1932" s="364"/>
      <c r="X1932" s="365"/>
      <c r="Y1932" s="364"/>
      <c r="Z1932" s="365"/>
    </row>
    <row r="1933" spans="1:27" ht="15">
      <c r="A1933" s="366" t="s">
        <v>249</v>
      </c>
      <c r="B1933" s="367"/>
      <c r="C1933" s="540" t="s">
        <v>864</v>
      </c>
      <c r="D1933" s="526" t="s">
        <v>1592</v>
      </c>
      <c r="E1933" s="285" t="s">
        <v>1898</v>
      </c>
      <c r="F1933" s="285">
        <f t="shared" ref="F1933:F1953" si="293">M1933+O1933+Q1933+U1933+W1933+Y1933</f>
        <v>6</v>
      </c>
      <c r="G1933" s="253">
        <f t="shared" ref="G1933:G1953" si="294">L1933</f>
        <v>76.31</v>
      </c>
      <c r="H1933" s="243">
        <f>INT(F1933*G1933*100+0.5)/100</f>
        <v>457.86</v>
      </c>
      <c r="I1933" s="240">
        <f t="shared" ref="I1933:I1954" si="295">N1933+P1933+R1933+V1933+X1933+Z1933</f>
        <v>457.86</v>
      </c>
      <c r="J1933" s="240"/>
      <c r="K1933" s="285" t="s">
        <v>1901</v>
      </c>
      <c r="L1933" s="253">
        <v>76.31</v>
      </c>
      <c r="M1933" s="309">
        <v>3</v>
      </c>
      <c r="N1933" s="350">
        <f t="shared" ref="N1933:N1953" si="296">INT($L1933*M1933*100+0.5)/100</f>
        <v>228.93</v>
      </c>
      <c r="O1933" s="309">
        <v>3</v>
      </c>
      <c r="P1933" s="350">
        <f t="shared" ref="P1933:P1953" si="297">INT($L1933*O1933*100+0.5)/100</f>
        <v>228.93</v>
      </c>
      <c r="Q1933" s="309"/>
      <c r="R1933" s="350">
        <f t="shared" ref="R1933:R1953" si="298">INT($L1933*Q1933*100+0.5)/100</f>
        <v>0</v>
      </c>
      <c r="S1933" s="309">
        <v>0</v>
      </c>
      <c r="T1933" s="350">
        <f t="shared" ref="T1933:T1953" si="299">INT($L1933*S1933*100+0.5)/100</f>
        <v>0</v>
      </c>
      <c r="U1933" s="309"/>
      <c r="V1933" s="350">
        <f t="shared" ref="V1933:V1953" si="300">INT($L1933*U1933*100+0.5)/100</f>
        <v>0</v>
      </c>
      <c r="W1933" s="309">
        <v>0</v>
      </c>
      <c r="X1933" s="350">
        <f t="shared" ref="X1933:X1953" si="301">INT($L1933*W1933*100+0.5)/100</f>
        <v>0</v>
      </c>
      <c r="Y1933" s="309"/>
      <c r="Z1933" s="242">
        <f t="shared" ref="Z1933:Z1953" si="302">INT($L1933*Y1933*100+0.5)/100</f>
        <v>0</v>
      </c>
    </row>
    <row r="1934" spans="1:27" ht="15">
      <c r="A1934" s="250" t="s">
        <v>250</v>
      </c>
      <c r="B1934" s="251"/>
      <c r="C1934" s="540" t="s">
        <v>598</v>
      </c>
      <c r="D1934" s="526" t="s">
        <v>1593</v>
      </c>
      <c r="E1934" s="285" t="s">
        <v>1901</v>
      </c>
      <c r="F1934" s="285">
        <f t="shared" si="293"/>
        <v>50</v>
      </c>
      <c r="G1934" s="253">
        <f t="shared" si="294"/>
        <v>31.5</v>
      </c>
      <c r="H1934" s="243">
        <f t="shared" ref="H1934:H1944" si="303">F1934*G1934</f>
        <v>1575</v>
      </c>
      <c r="I1934" s="240">
        <f t="shared" si="295"/>
        <v>1575</v>
      </c>
      <c r="J1934" s="240"/>
      <c r="K1934" s="285" t="s">
        <v>1901</v>
      </c>
      <c r="L1934" s="253">
        <v>31.5</v>
      </c>
      <c r="M1934" s="309">
        <v>10</v>
      </c>
      <c r="N1934" s="350">
        <f t="shared" si="296"/>
        <v>315</v>
      </c>
      <c r="O1934" s="309">
        <v>10</v>
      </c>
      <c r="P1934" s="350">
        <f t="shared" si="297"/>
        <v>315</v>
      </c>
      <c r="Q1934" s="309">
        <v>10</v>
      </c>
      <c r="R1934" s="350">
        <f t="shared" si="298"/>
        <v>315</v>
      </c>
      <c r="S1934" s="309">
        <v>0</v>
      </c>
      <c r="T1934" s="350">
        <f t="shared" si="299"/>
        <v>0</v>
      </c>
      <c r="U1934" s="309">
        <v>10</v>
      </c>
      <c r="V1934" s="350">
        <f t="shared" si="300"/>
        <v>315</v>
      </c>
      <c r="W1934" s="309">
        <v>0</v>
      </c>
      <c r="X1934" s="350">
        <f t="shared" si="301"/>
        <v>0</v>
      </c>
      <c r="Y1934" s="309">
        <v>10</v>
      </c>
      <c r="Z1934" s="242">
        <f t="shared" si="302"/>
        <v>315</v>
      </c>
    </row>
    <row r="1935" spans="1:27" ht="15">
      <c r="A1935" s="250" t="s">
        <v>251</v>
      </c>
      <c r="B1935" s="251"/>
      <c r="C1935" s="540" t="s">
        <v>866</v>
      </c>
      <c r="D1935" s="526" t="s">
        <v>1594</v>
      </c>
      <c r="E1935" s="285" t="s">
        <v>2475</v>
      </c>
      <c r="F1935" s="285">
        <f t="shared" si="293"/>
        <v>2500</v>
      </c>
      <c r="G1935" s="253">
        <f t="shared" si="294"/>
        <v>5.5</v>
      </c>
      <c r="H1935" s="243">
        <f t="shared" si="303"/>
        <v>13750</v>
      </c>
      <c r="I1935" s="671">
        <f t="shared" si="295"/>
        <v>13750</v>
      </c>
      <c r="J1935" s="240"/>
      <c r="K1935" s="285" t="s">
        <v>2100</v>
      </c>
      <c r="L1935" s="671">
        <v>5.5</v>
      </c>
      <c r="M1935" s="309">
        <v>500</v>
      </c>
      <c r="N1935" s="350">
        <f t="shared" si="296"/>
        <v>2750</v>
      </c>
      <c r="O1935" s="309">
        <v>500</v>
      </c>
      <c r="P1935" s="350">
        <f t="shared" si="297"/>
        <v>2750</v>
      </c>
      <c r="Q1935" s="309">
        <v>500</v>
      </c>
      <c r="R1935" s="350">
        <f t="shared" si="298"/>
        <v>2750</v>
      </c>
      <c r="S1935" s="309">
        <v>0</v>
      </c>
      <c r="T1935" s="350">
        <f t="shared" si="299"/>
        <v>0</v>
      </c>
      <c r="U1935" s="309">
        <v>500</v>
      </c>
      <c r="V1935" s="350">
        <f t="shared" si="300"/>
        <v>2750</v>
      </c>
      <c r="W1935" s="309">
        <v>0</v>
      </c>
      <c r="X1935" s="350">
        <f t="shared" si="301"/>
        <v>0</v>
      </c>
      <c r="Y1935" s="309">
        <v>500</v>
      </c>
      <c r="Z1935" s="242">
        <f t="shared" si="302"/>
        <v>2750</v>
      </c>
    </row>
    <row r="1936" spans="1:27" ht="15">
      <c r="A1936" s="250" t="s">
        <v>252</v>
      </c>
      <c r="B1936" s="251"/>
      <c r="C1936" s="540" t="s">
        <v>865</v>
      </c>
      <c r="D1936" s="526" t="s">
        <v>1594</v>
      </c>
      <c r="E1936" s="285" t="s">
        <v>2100</v>
      </c>
      <c r="F1936" s="285">
        <f>M1936+O1936+Q1936+U1936+W1936+Y1936</f>
        <v>5000</v>
      </c>
      <c r="G1936" s="253">
        <f>L1936</f>
        <v>0.5</v>
      </c>
      <c r="H1936" s="243">
        <f>F1936*G1936</f>
        <v>2500</v>
      </c>
      <c r="I1936" s="240">
        <f>N1936+P1936+R1936+V1936+X1936+Z1936</f>
        <v>2500</v>
      </c>
      <c r="J1936" s="240"/>
      <c r="K1936" s="285" t="s">
        <v>2100</v>
      </c>
      <c r="L1936" s="253">
        <v>0.5</v>
      </c>
      <c r="M1936" s="309">
        <v>1000</v>
      </c>
      <c r="N1936" s="350">
        <f t="shared" si="296"/>
        <v>500</v>
      </c>
      <c r="O1936" s="309">
        <v>1000</v>
      </c>
      <c r="P1936" s="350">
        <f t="shared" si="297"/>
        <v>500</v>
      </c>
      <c r="Q1936" s="309">
        <v>1000</v>
      </c>
      <c r="R1936" s="350">
        <f t="shared" si="298"/>
        <v>500</v>
      </c>
      <c r="S1936" s="309">
        <v>0</v>
      </c>
      <c r="T1936" s="350">
        <f t="shared" si="299"/>
        <v>0</v>
      </c>
      <c r="U1936" s="309">
        <v>1000</v>
      </c>
      <c r="V1936" s="350">
        <f t="shared" si="300"/>
        <v>500</v>
      </c>
      <c r="W1936" s="309">
        <v>0</v>
      </c>
      <c r="X1936" s="350">
        <f t="shared" si="301"/>
        <v>0</v>
      </c>
      <c r="Y1936" s="309">
        <v>1000</v>
      </c>
      <c r="Z1936" s="242">
        <f t="shared" si="302"/>
        <v>500</v>
      </c>
    </row>
    <row r="1937" spans="1:26" ht="15">
      <c r="A1937" s="250" t="s">
        <v>253</v>
      </c>
      <c r="B1937" s="251"/>
      <c r="C1937" s="540" t="s">
        <v>599</v>
      </c>
      <c r="D1937" s="526" t="s">
        <v>1595</v>
      </c>
      <c r="E1937" s="285" t="s">
        <v>1901</v>
      </c>
      <c r="F1937" s="285">
        <f t="shared" si="293"/>
        <v>5</v>
      </c>
      <c r="G1937" s="253">
        <f t="shared" si="294"/>
        <v>142.44</v>
      </c>
      <c r="H1937" s="243">
        <f t="shared" si="303"/>
        <v>712.2</v>
      </c>
      <c r="I1937" s="240">
        <f t="shared" si="295"/>
        <v>712.2</v>
      </c>
      <c r="J1937" s="240"/>
      <c r="K1937" s="285" t="s">
        <v>1901</v>
      </c>
      <c r="L1937" s="253">
        <v>142.44</v>
      </c>
      <c r="M1937" s="309">
        <v>1</v>
      </c>
      <c r="N1937" s="350">
        <f t="shared" si="296"/>
        <v>142.44</v>
      </c>
      <c r="O1937" s="309">
        <v>1</v>
      </c>
      <c r="P1937" s="350">
        <f t="shared" si="297"/>
        <v>142.44</v>
      </c>
      <c r="Q1937" s="309">
        <v>1</v>
      </c>
      <c r="R1937" s="350">
        <f t="shared" si="298"/>
        <v>142.44</v>
      </c>
      <c r="S1937" s="309">
        <v>0</v>
      </c>
      <c r="T1937" s="350">
        <f t="shared" si="299"/>
        <v>0</v>
      </c>
      <c r="U1937" s="309">
        <v>1</v>
      </c>
      <c r="V1937" s="350">
        <f t="shared" si="300"/>
        <v>142.44</v>
      </c>
      <c r="W1937" s="309">
        <v>0</v>
      </c>
      <c r="X1937" s="350">
        <f t="shared" si="301"/>
        <v>0</v>
      </c>
      <c r="Y1937" s="309">
        <v>1</v>
      </c>
      <c r="Z1937" s="242">
        <f t="shared" si="302"/>
        <v>142.44</v>
      </c>
    </row>
    <row r="1938" spans="1:26" ht="15">
      <c r="A1938" s="250" t="s">
        <v>254</v>
      </c>
      <c r="B1938" s="251"/>
      <c r="C1938" s="540" t="s">
        <v>600</v>
      </c>
      <c r="D1938" s="526" t="s">
        <v>1596</v>
      </c>
      <c r="E1938" s="285" t="s">
        <v>1901</v>
      </c>
      <c r="F1938" s="285">
        <f t="shared" si="293"/>
        <v>15</v>
      </c>
      <c r="G1938" s="253">
        <f t="shared" si="294"/>
        <v>100</v>
      </c>
      <c r="H1938" s="243">
        <f t="shared" si="303"/>
        <v>1500</v>
      </c>
      <c r="I1938" s="240">
        <f t="shared" si="295"/>
        <v>1500</v>
      </c>
      <c r="J1938" s="240"/>
      <c r="K1938" s="285" t="s">
        <v>1901</v>
      </c>
      <c r="L1938" s="253">
        <v>100</v>
      </c>
      <c r="M1938" s="309">
        <v>3</v>
      </c>
      <c r="N1938" s="350">
        <f t="shared" si="296"/>
        <v>300</v>
      </c>
      <c r="O1938" s="309">
        <v>3</v>
      </c>
      <c r="P1938" s="350">
        <f t="shared" si="297"/>
        <v>300</v>
      </c>
      <c r="Q1938" s="309">
        <v>3</v>
      </c>
      <c r="R1938" s="350">
        <f t="shared" si="298"/>
        <v>300</v>
      </c>
      <c r="S1938" s="309">
        <v>0</v>
      </c>
      <c r="T1938" s="350">
        <f t="shared" si="299"/>
        <v>0</v>
      </c>
      <c r="U1938" s="309">
        <v>3</v>
      </c>
      <c r="V1938" s="350">
        <f t="shared" si="300"/>
        <v>300</v>
      </c>
      <c r="W1938" s="309">
        <v>0</v>
      </c>
      <c r="X1938" s="350">
        <f t="shared" si="301"/>
        <v>0</v>
      </c>
      <c r="Y1938" s="309">
        <v>3</v>
      </c>
      <c r="Z1938" s="242">
        <f t="shared" si="302"/>
        <v>300</v>
      </c>
    </row>
    <row r="1939" spans="1:26" ht="25.5">
      <c r="A1939" s="250" t="s">
        <v>254</v>
      </c>
      <c r="B1939" s="251"/>
      <c r="C1939" s="540" t="s">
        <v>601</v>
      </c>
      <c r="D1939" s="526" t="s">
        <v>1324</v>
      </c>
      <c r="E1939" s="285" t="s">
        <v>2461</v>
      </c>
      <c r="F1939" s="285">
        <f t="shared" si="293"/>
        <v>0</v>
      </c>
      <c r="G1939" s="253">
        <f t="shared" si="294"/>
        <v>0.7</v>
      </c>
      <c r="H1939" s="243">
        <f t="shared" si="303"/>
        <v>0</v>
      </c>
      <c r="I1939" s="240">
        <f t="shared" si="295"/>
        <v>0</v>
      </c>
      <c r="J1939" s="240"/>
      <c r="K1939" s="285" t="s">
        <v>2461</v>
      </c>
      <c r="L1939" s="253">
        <v>0.7</v>
      </c>
      <c r="M1939" s="309">
        <v>0</v>
      </c>
      <c r="N1939" s="350">
        <f t="shared" si="296"/>
        <v>0</v>
      </c>
      <c r="O1939" s="309">
        <v>0</v>
      </c>
      <c r="P1939" s="350">
        <f t="shared" si="297"/>
        <v>0</v>
      </c>
      <c r="Q1939" s="309">
        <v>0</v>
      </c>
      <c r="R1939" s="350">
        <f t="shared" si="298"/>
        <v>0</v>
      </c>
      <c r="S1939" s="309">
        <v>0</v>
      </c>
      <c r="T1939" s="350">
        <f t="shared" si="299"/>
        <v>0</v>
      </c>
      <c r="U1939" s="309">
        <v>0</v>
      </c>
      <c r="V1939" s="350">
        <f t="shared" si="300"/>
        <v>0</v>
      </c>
      <c r="W1939" s="309">
        <v>0</v>
      </c>
      <c r="X1939" s="350">
        <f t="shared" si="301"/>
        <v>0</v>
      </c>
      <c r="Y1939" s="309">
        <v>0</v>
      </c>
      <c r="Z1939" s="242">
        <f t="shared" si="302"/>
        <v>0</v>
      </c>
    </row>
    <row r="1940" spans="1:26" ht="15">
      <c r="A1940" s="250" t="s">
        <v>255</v>
      </c>
      <c r="B1940" s="251"/>
      <c r="C1940" s="540" t="s">
        <v>602</v>
      </c>
      <c r="D1940" s="526" t="s">
        <v>1597</v>
      </c>
      <c r="E1940" s="285" t="s">
        <v>1898</v>
      </c>
      <c r="F1940" s="285">
        <f t="shared" si="293"/>
        <v>1000</v>
      </c>
      <c r="G1940" s="253">
        <f t="shared" si="294"/>
        <v>16</v>
      </c>
      <c r="H1940" s="243">
        <f t="shared" si="303"/>
        <v>16000</v>
      </c>
      <c r="I1940" s="240">
        <f t="shared" si="295"/>
        <v>16000</v>
      </c>
      <c r="J1940" s="240"/>
      <c r="K1940" s="285" t="s">
        <v>1898</v>
      </c>
      <c r="L1940" s="253">
        <v>16</v>
      </c>
      <c r="M1940" s="309">
        <v>200</v>
      </c>
      <c r="N1940" s="350">
        <f t="shared" si="296"/>
        <v>3200</v>
      </c>
      <c r="O1940" s="309">
        <v>200</v>
      </c>
      <c r="P1940" s="350">
        <f t="shared" si="297"/>
        <v>3200</v>
      </c>
      <c r="Q1940" s="309">
        <v>200</v>
      </c>
      <c r="R1940" s="350">
        <f t="shared" si="298"/>
        <v>3200</v>
      </c>
      <c r="S1940" s="309">
        <v>0</v>
      </c>
      <c r="T1940" s="350">
        <f t="shared" si="299"/>
        <v>0</v>
      </c>
      <c r="U1940" s="309">
        <v>200</v>
      </c>
      <c r="V1940" s="350">
        <f t="shared" si="300"/>
        <v>3200</v>
      </c>
      <c r="W1940" s="309">
        <v>0</v>
      </c>
      <c r="X1940" s="350">
        <f t="shared" si="301"/>
        <v>0</v>
      </c>
      <c r="Y1940" s="309">
        <v>200</v>
      </c>
      <c r="Z1940" s="242">
        <f t="shared" si="302"/>
        <v>3200</v>
      </c>
    </row>
    <row r="1941" spans="1:26" ht="15">
      <c r="A1941" s="250" t="s">
        <v>256</v>
      </c>
      <c r="B1941" s="251"/>
      <c r="C1941" s="540" t="s">
        <v>603</v>
      </c>
      <c r="D1941" s="526" t="s">
        <v>512</v>
      </c>
      <c r="E1941" s="285" t="s">
        <v>1901</v>
      </c>
      <c r="F1941" s="285">
        <f t="shared" si="293"/>
        <v>20</v>
      </c>
      <c r="G1941" s="253">
        <f t="shared" si="294"/>
        <v>75.47</v>
      </c>
      <c r="H1941" s="243">
        <f t="shared" si="303"/>
        <v>1509.4</v>
      </c>
      <c r="I1941" s="240">
        <f t="shared" si="295"/>
        <v>1509.4</v>
      </c>
      <c r="J1941" s="240"/>
      <c r="K1941" s="285" t="s">
        <v>1901</v>
      </c>
      <c r="L1941" s="253">
        <f>75+0.47</f>
        <v>75.47</v>
      </c>
      <c r="M1941" s="309">
        <v>4</v>
      </c>
      <c r="N1941" s="350">
        <f t="shared" si="296"/>
        <v>301.88</v>
      </c>
      <c r="O1941" s="309">
        <v>4</v>
      </c>
      <c r="P1941" s="350">
        <f t="shared" si="297"/>
        <v>301.88</v>
      </c>
      <c r="Q1941" s="309">
        <v>4</v>
      </c>
      <c r="R1941" s="350">
        <f t="shared" si="298"/>
        <v>301.88</v>
      </c>
      <c r="S1941" s="309">
        <v>0</v>
      </c>
      <c r="T1941" s="350">
        <f t="shared" si="299"/>
        <v>0</v>
      </c>
      <c r="U1941" s="309">
        <v>4</v>
      </c>
      <c r="V1941" s="350">
        <f t="shared" si="300"/>
        <v>301.88</v>
      </c>
      <c r="W1941" s="309">
        <v>0</v>
      </c>
      <c r="X1941" s="350">
        <f t="shared" si="301"/>
        <v>0</v>
      </c>
      <c r="Y1941" s="309">
        <v>4</v>
      </c>
      <c r="Z1941" s="242">
        <f t="shared" si="302"/>
        <v>301.88</v>
      </c>
    </row>
    <row r="1942" spans="1:26" ht="15">
      <c r="A1942" s="250"/>
      <c r="B1942" s="251"/>
      <c r="C1942" s="540" t="s">
        <v>604</v>
      </c>
      <c r="D1942" s="526" t="s">
        <v>1884</v>
      </c>
      <c r="E1942" s="285" t="s">
        <v>1885</v>
      </c>
      <c r="F1942" s="285">
        <f t="shared" si="293"/>
        <v>0</v>
      </c>
      <c r="G1942" s="253">
        <f t="shared" si="294"/>
        <v>2</v>
      </c>
      <c r="H1942" s="243">
        <f t="shared" si="303"/>
        <v>0</v>
      </c>
      <c r="I1942" s="240">
        <f t="shared" si="295"/>
        <v>0</v>
      </c>
      <c r="J1942" s="240"/>
      <c r="K1942" s="285" t="s">
        <v>1885</v>
      </c>
      <c r="L1942" s="253">
        <v>2</v>
      </c>
      <c r="M1942" s="309">
        <v>0</v>
      </c>
      <c r="N1942" s="350">
        <f t="shared" si="296"/>
        <v>0</v>
      </c>
      <c r="O1942" s="309">
        <v>0</v>
      </c>
      <c r="P1942" s="350">
        <f t="shared" si="297"/>
        <v>0</v>
      </c>
      <c r="Q1942" s="309">
        <v>0</v>
      </c>
      <c r="R1942" s="350">
        <f t="shared" si="298"/>
        <v>0</v>
      </c>
      <c r="S1942" s="309">
        <v>0</v>
      </c>
      <c r="T1942" s="350">
        <f t="shared" si="299"/>
        <v>0</v>
      </c>
      <c r="U1942" s="309">
        <v>0</v>
      </c>
      <c r="V1942" s="350">
        <f t="shared" si="300"/>
        <v>0</v>
      </c>
      <c r="W1942" s="309">
        <v>0</v>
      </c>
      <c r="X1942" s="350">
        <f t="shared" si="301"/>
        <v>0</v>
      </c>
      <c r="Y1942" s="309">
        <v>0</v>
      </c>
      <c r="Z1942" s="242">
        <f t="shared" si="302"/>
        <v>0</v>
      </c>
    </row>
    <row r="1943" spans="1:26" ht="15">
      <c r="A1943" s="250" t="s">
        <v>257</v>
      </c>
      <c r="B1943" s="251"/>
      <c r="C1943" s="540" t="s">
        <v>604</v>
      </c>
      <c r="D1943" s="526" t="s">
        <v>504</v>
      </c>
      <c r="E1943" s="285" t="s">
        <v>1598</v>
      </c>
      <c r="F1943" s="285">
        <f t="shared" si="293"/>
        <v>0</v>
      </c>
      <c r="G1943" s="253">
        <f t="shared" si="294"/>
        <v>30</v>
      </c>
      <c r="H1943" s="243">
        <f t="shared" si="303"/>
        <v>0</v>
      </c>
      <c r="I1943" s="240">
        <f t="shared" si="295"/>
        <v>0</v>
      </c>
      <c r="J1943" s="240"/>
      <c r="K1943" s="285" t="s">
        <v>1598</v>
      </c>
      <c r="L1943" s="253">
        <v>30</v>
      </c>
      <c r="M1943" s="309">
        <v>0</v>
      </c>
      <c r="N1943" s="350">
        <f t="shared" si="296"/>
        <v>0</v>
      </c>
      <c r="O1943" s="309">
        <v>0</v>
      </c>
      <c r="P1943" s="350">
        <f t="shared" si="297"/>
        <v>0</v>
      </c>
      <c r="Q1943" s="309">
        <v>0</v>
      </c>
      <c r="R1943" s="350">
        <f t="shared" si="298"/>
        <v>0</v>
      </c>
      <c r="S1943" s="309">
        <v>0</v>
      </c>
      <c r="T1943" s="350">
        <f t="shared" si="299"/>
        <v>0</v>
      </c>
      <c r="U1943" s="309">
        <v>0</v>
      </c>
      <c r="V1943" s="350">
        <f t="shared" si="300"/>
        <v>0</v>
      </c>
      <c r="W1943" s="309">
        <v>0</v>
      </c>
      <c r="X1943" s="350">
        <f t="shared" si="301"/>
        <v>0</v>
      </c>
      <c r="Y1943" s="309">
        <v>0</v>
      </c>
      <c r="Z1943" s="242">
        <f t="shared" si="302"/>
        <v>0</v>
      </c>
    </row>
    <row r="1944" spans="1:26" ht="15">
      <c r="A1944" s="250" t="s">
        <v>258</v>
      </c>
      <c r="B1944" s="251"/>
      <c r="C1944" s="540" t="s">
        <v>511</v>
      </c>
      <c r="D1944" s="526" t="s">
        <v>505</v>
      </c>
      <c r="E1944" s="285" t="s">
        <v>1598</v>
      </c>
      <c r="F1944" s="285">
        <f t="shared" si="293"/>
        <v>0</v>
      </c>
      <c r="G1944" s="253">
        <f t="shared" si="294"/>
        <v>30</v>
      </c>
      <c r="H1944" s="243">
        <f t="shared" si="303"/>
        <v>0</v>
      </c>
      <c r="I1944" s="240">
        <f t="shared" si="295"/>
        <v>0</v>
      </c>
      <c r="J1944" s="240"/>
      <c r="K1944" s="285" t="s">
        <v>1598</v>
      </c>
      <c r="L1944" s="253">
        <v>30</v>
      </c>
      <c r="M1944" s="309">
        <v>0</v>
      </c>
      <c r="N1944" s="350">
        <f t="shared" si="296"/>
        <v>0</v>
      </c>
      <c r="O1944" s="309">
        <v>0</v>
      </c>
      <c r="P1944" s="350">
        <f t="shared" si="297"/>
        <v>0</v>
      </c>
      <c r="Q1944" s="309">
        <v>0</v>
      </c>
      <c r="R1944" s="350">
        <f t="shared" si="298"/>
        <v>0</v>
      </c>
      <c r="S1944" s="309">
        <v>0</v>
      </c>
      <c r="T1944" s="350">
        <f t="shared" si="299"/>
        <v>0</v>
      </c>
      <c r="U1944" s="309">
        <v>0</v>
      </c>
      <c r="V1944" s="350">
        <f t="shared" si="300"/>
        <v>0</v>
      </c>
      <c r="W1944" s="309">
        <v>0</v>
      </c>
      <c r="X1944" s="350">
        <f t="shared" si="301"/>
        <v>0</v>
      </c>
      <c r="Y1944" s="309">
        <v>0</v>
      </c>
      <c r="Z1944" s="242">
        <f t="shared" si="302"/>
        <v>0</v>
      </c>
    </row>
    <row r="1945" spans="1:26" ht="15">
      <c r="A1945" s="250" t="s">
        <v>259</v>
      </c>
      <c r="B1945" s="251"/>
      <c r="C1945" s="540"/>
      <c r="D1945" s="526" t="s">
        <v>1599</v>
      </c>
      <c r="E1945" s="285"/>
      <c r="F1945" s="285">
        <f t="shared" si="293"/>
        <v>0</v>
      </c>
      <c r="G1945" s="253">
        <f t="shared" si="294"/>
        <v>0</v>
      </c>
      <c r="H1945" s="243"/>
      <c r="I1945" s="240">
        <f t="shared" si="295"/>
        <v>0</v>
      </c>
      <c r="J1945" s="240"/>
      <c r="K1945" s="285"/>
      <c r="L1945" s="253"/>
      <c r="M1945" s="309"/>
      <c r="N1945" s="350"/>
      <c r="O1945" s="309"/>
      <c r="P1945" s="350"/>
      <c r="Q1945" s="309"/>
      <c r="R1945" s="350"/>
      <c r="S1945" s="309"/>
      <c r="T1945" s="350"/>
      <c r="U1945" s="309"/>
      <c r="V1945" s="350"/>
      <c r="W1945" s="309"/>
      <c r="X1945" s="350"/>
      <c r="Y1945" s="309"/>
      <c r="Z1945" s="242"/>
    </row>
    <row r="1946" spans="1:26" ht="15">
      <c r="A1946" s="368" t="s">
        <v>260</v>
      </c>
      <c r="B1946" s="251">
        <v>1</v>
      </c>
      <c r="C1946" s="540" t="s">
        <v>513</v>
      </c>
      <c r="D1946" s="526" t="s">
        <v>1600</v>
      </c>
      <c r="E1946" s="285" t="s">
        <v>1901</v>
      </c>
      <c r="F1946" s="285">
        <f t="shared" si="293"/>
        <v>44</v>
      </c>
      <c r="G1946" s="253">
        <f t="shared" si="294"/>
        <v>14</v>
      </c>
      <c r="H1946" s="243">
        <f t="shared" ref="H1946:H1953" si="304">F1946*G1946</f>
        <v>616</v>
      </c>
      <c r="I1946" s="240">
        <f t="shared" si="295"/>
        <v>616</v>
      </c>
      <c r="J1946" s="240"/>
      <c r="K1946" s="285" t="s">
        <v>1901</v>
      </c>
      <c r="L1946" s="253">
        <v>14</v>
      </c>
      <c r="M1946" s="309">
        <v>8</v>
      </c>
      <c r="N1946" s="350">
        <f t="shared" si="296"/>
        <v>112</v>
      </c>
      <c r="O1946" s="309">
        <v>8</v>
      </c>
      <c r="P1946" s="350">
        <f t="shared" si="297"/>
        <v>112</v>
      </c>
      <c r="Q1946" s="309">
        <v>8</v>
      </c>
      <c r="R1946" s="350">
        <f t="shared" si="298"/>
        <v>112</v>
      </c>
      <c r="S1946" s="309">
        <v>0</v>
      </c>
      <c r="T1946" s="350">
        <f t="shared" si="299"/>
        <v>0</v>
      </c>
      <c r="U1946" s="309">
        <v>8</v>
      </c>
      <c r="V1946" s="350">
        <f t="shared" si="300"/>
        <v>112</v>
      </c>
      <c r="W1946" s="309">
        <v>4</v>
      </c>
      <c r="X1946" s="350">
        <f t="shared" si="301"/>
        <v>56</v>
      </c>
      <c r="Y1946" s="309">
        <v>8</v>
      </c>
      <c r="Z1946" s="242">
        <f t="shared" si="302"/>
        <v>112</v>
      </c>
    </row>
    <row r="1947" spans="1:26" ht="15">
      <c r="A1947" s="368" t="s">
        <v>261</v>
      </c>
      <c r="B1947" s="251">
        <v>2</v>
      </c>
      <c r="C1947" s="540" t="s">
        <v>514</v>
      </c>
      <c r="D1947" s="526" t="s">
        <v>1601</v>
      </c>
      <c r="E1947" s="285" t="s">
        <v>1901</v>
      </c>
      <c r="F1947" s="285">
        <f t="shared" si="293"/>
        <v>44</v>
      </c>
      <c r="G1947" s="253">
        <f t="shared" si="294"/>
        <v>46</v>
      </c>
      <c r="H1947" s="243">
        <f t="shared" si="304"/>
        <v>2024</v>
      </c>
      <c r="I1947" s="240">
        <f t="shared" si="295"/>
        <v>2024</v>
      </c>
      <c r="J1947" s="240"/>
      <c r="K1947" s="285" t="s">
        <v>1901</v>
      </c>
      <c r="L1947" s="253">
        <v>46</v>
      </c>
      <c r="M1947" s="309">
        <v>8</v>
      </c>
      <c r="N1947" s="350">
        <f t="shared" si="296"/>
        <v>368</v>
      </c>
      <c r="O1947" s="309">
        <v>8</v>
      </c>
      <c r="P1947" s="350">
        <f t="shared" si="297"/>
        <v>368</v>
      </c>
      <c r="Q1947" s="309">
        <v>8</v>
      </c>
      <c r="R1947" s="350">
        <f t="shared" si="298"/>
        <v>368</v>
      </c>
      <c r="S1947" s="309">
        <v>0</v>
      </c>
      <c r="T1947" s="350">
        <f t="shared" si="299"/>
        <v>0</v>
      </c>
      <c r="U1947" s="309">
        <v>8</v>
      </c>
      <c r="V1947" s="350">
        <f t="shared" si="300"/>
        <v>368</v>
      </c>
      <c r="W1947" s="309">
        <v>4</v>
      </c>
      <c r="X1947" s="350">
        <f t="shared" si="301"/>
        <v>184</v>
      </c>
      <c r="Y1947" s="309">
        <v>8</v>
      </c>
      <c r="Z1947" s="242">
        <f t="shared" si="302"/>
        <v>368</v>
      </c>
    </row>
    <row r="1948" spans="1:26" ht="15">
      <c r="A1948" s="368" t="s">
        <v>262</v>
      </c>
      <c r="B1948" s="251">
        <v>3</v>
      </c>
      <c r="C1948" s="540" t="s">
        <v>515</v>
      </c>
      <c r="D1948" s="526" t="s">
        <v>1602</v>
      </c>
      <c r="E1948" s="285" t="s">
        <v>1901</v>
      </c>
      <c r="F1948" s="285">
        <f t="shared" si="293"/>
        <v>44</v>
      </c>
      <c r="G1948" s="253">
        <f t="shared" si="294"/>
        <v>24</v>
      </c>
      <c r="H1948" s="243">
        <f t="shared" si="304"/>
        <v>1056</v>
      </c>
      <c r="I1948" s="240">
        <f t="shared" si="295"/>
        <v>1056</v>
      </c>
      <c r="J1948" s="240"/>
      <c r="K1948" s="285" t="s">
        <v>1901</v>
      </c>
      <c r="L1948" s="253">
        <v>24</v>
      </c>
      <c r="M1948" s="309">
        <v>8</v>
      </c>
      <c r="N1948" s="350">
        <f t="shared" si="296"/>
        <v>192</v>
      </c>
      <c r="O1948" s="309">
        <v>8</v>
      </c>
      <c r="P1948" s="350">
        <f t="shared" si="297"/>
        <v>192</v>
      </c>
      <c r="Q1948" s="309">
        <v>8</v>
      </c>
      <c r="R1948" s="350">
        <f t="shared" si="298"/>
        <v>192</v>
      </c>
      <c r="S1948" s="309">
        <v>0</v>
      </c>
      <c r="T1948" s="350">
        <f t="shared" si="299"/>
        <v>0</v>
      </c>
      <c r="U1948" s="309">
        <v>8</v>
      </c>
      <c r="V1948" s="350">
        <f t="shared" si="300"/>
        <v>192</v>
      </c>
      <c r="W1948" s="309">
        <v>4</v>
      </c>
      <c r="X1948" s="350">
        <f t="shared" si="301"/>
        <v>96</v>
      </c>
      <c r="Y1948" s="309">
        <v>8</v>
      </c>
      <c r="Z1948" s="242">
        <f t="shared" si="302"/>
        <v>192</v>
      </c>
    </row>
    <row r="1949" spans="1:26" ht="15">
      <c r="A1949" s="368" t="s">
        <v>263</v>
      </c>
      <c r="B1949" s="251">
        <v>4</v>
      </c>
      <c r="C1949" s="540" t="s">
        <v>516</v>
      </c>
      <c r="D1949" s="526" t="s">
        <v>1603</v>
      </c>
      <c r="E1949" s="285" t="s">
        <v>1901</v>
      </c>
      <c r="F1949" s="285">
        <f t="shared" si="293"/>
        <v>44</v>
      </c>
      <c r="G1949" s="253">
        <f t="shared" si="294"/>
        <v>16</v>
      </c>
      <c r="H1949" s="243">
        <f t="shared" si="304"/>
        <v>704</v>
      </c>
      <c r="I1949" s="240">
        <f t="shared" si="295"/>
        <v>704</v>
      </c>
      <c r="J1949" s="240"/>
      <c r="K1949" s="285" t="s">
        <v>1901</v>
      </c>
      <c r="L1949" s="253">
        <v>16</v>
      </c>
      <c r="M1949" s="309">
        <v>8</v>
      </c>
      <c r="N1949" s="350">
        <f t="shared" si="296"/>
        <v>128</v>
      </c>
      <c r="O1949" s="309">
        <v>8</v>
      </c>
      <c r="P1949" s="350">
        <f t="shared" si="297"/>
        <v>128</v>
      </c>
      <c r="Q1949" s="309">
        <v>8</v>
      </c>
      <c r="R1949" s="350">
        <f t="shared" si="298"/>
        <v>128</v>
      </c>
      <c r="S1949" s="309">
        <v>0</v>
      </c>
      <c r="T1949" s="350">
        <f t="shared" si="299"/>
        <v>0</v>
      </c>
      <c r="U1949" s="309">
        <v>8</v>
      </c>
      <c r="V1949" s="350">
        <f t="shared" si="300"/>
        <v>128</v>
      </c>
      <c r="W1949" s="309">
        <v>4</v>
      </c>
      <c r="X1949" s="350">
        <f t="shared" si="301"/>
        <v>64</v>
      </c>
      <c r="Y1949" s="309">
        <v>8</v>
      </c>
      <c r="Z1949" s="242">
        <f t="shared" si="302"/>
        <v>128</v>
      </c>
    </row>
    <row r="1950" spans="1:26" ht="15">
      <c r="A1950" s="368" t="s">
        <v>264</v>
      </c>
      <c r="B1950" s="251">
        <v>5</v>
      </c>
      <c r="C1950" s="540" t="s">
        <v>517</v>
      </c>
      <c r="D1950" s="526" t="s">
        <v>1604</v>
      </c>
      <c r="E1950" s="285" t="s">
        <v>1901</v>
      </c>
      <c r="F1950" s="285">
        <f t="shared" si="293"/>
        <v>44</v>
      </c>
      <c r="G1950" s="253">
        <f t="shared" si="294"/>
        <v>9</v>
      </c>
      <c r="H1950" s="243">
        <f t="shared" si="304"/>
        <v>396</v>
      </c>
      <c r="I1950" s="240">
        <f t="shared" si="295"/>
        <v>396</v>
      </c>
      <c r="J1950" s="240"/>
      <c r="K1950" s="285" t="s">
        <v>1901</v>
      </c>
      <c r="L1950" s="253">
        <v>9</v>
      </c>
      <c r="M1950" s="309">
        <v>8</v>
      </c>
      <c r="N1950" s="350">
        <f t="shared" si="296"/>
        <v>72</v>
      </c>
      <c r="O1950" s="309">
        <v>8</v>
      </c>
      <c r="P1950" s="350">
        <f t="shared" si="297"/>
        <v>72</v>
      </c>
      <c r="Q1950" s="309">
        <v>8</v>
      </c>
      <c r="R1950" s="350">
        <f t="shared" si="298"/>
        <v>72</v>
      </c>
      <c r="S1950" s="309">
        <v>0</v>
      </c>
      <c r="T1950" s="350">
        <f t="shared" si="299"/>
        <v>0</v>
      </c>
      <c r="U1950" s="309">
        <v>8</v>
      </c>
      <c r="V1950" s="350">
        <f t="shared" si="300"/>
        <v>72</v>
      </c>
      <c r="W1950" s="309">
        <v>4</v>
      </c>
      <c r="X1950" s="350">
        <f t="shared" si="301"/>
        <v>36</v>
      </c>
      <c r="Y1950" s="309">
        <v>8</v>
      </c>
      <c r="Z1950" s="242">
        <f t="shared" si="302"/>
        <v>72</v>
      </c>
    </row>
    <row r="1951" spans="1:26" ht="15">
      <c r="A1951" s="368" t="s">
        <v>265</v>
      </c>
      <c r="B1951" s="251">
        <v>6</v>
      </c>
      <c r="C1951" s="540" t="s">
        <v>518</v>
      </c>
      <c r="D1951" s="526" t="s">
        <v>1605</v>
      </c>
      <c r="E1951" s="285" t="s">
        <v>1901</v>
      </c>
      <c r="F1951" s="285">
        <f t="shared" si="293"/>
        <v>44</v>
      </c>
      <c r="G1951" s="253">
        <f t="shared" si="294"/>
        <v>44</v>
      </c>
      <c r="H1951" s="243">
        <f t="shared" si="304"/>
        <v>1936</v>
      </c>
      <c r="I1951" s="240">
        <f t="shared" si="295"/>
        <v>1936</v>
      </c>
      <c r="J1951" s="240"/>
      <c r="K1951" s="285" t="s">
        <v>1901</v>
      </c>
      <c r="L1951" s="253">
        <v>44</v>
      </c>
      <c r="M1951" s="309">
        <v>8</v>
      </c>
      <c r="N1951" s="350">
        <f t="shared" si="296"/>
        <v>352</v>
      </c>
      <c r="O1951" s="309">
        <v>8</v>
      </c>
      <c r="P1951" s="350">
        <f t="shared" si="297"/>
        <v>352</v>
      </c>
      <c r="Q1951" s="309">
        <v>8</v>
      </c>
      <c r="R1951" s="350">
        <f t="shared" si="298"/>
        <v>352</v>
      </c>
      <c r="S1951" s="309">
        <v>0</v>
      </c>
      <c r="T1951" s="350">
        <f t="shared" si="299"/>
        <v>0</v>
      </c>
      <c r="U1951" s="309">
        <v>8</v>
      </c>
      <c r="V1951" s="350">
        <f t="shared" si="300"/>
        <v>352</v>
      </c>
      <c r="W1951" s="309">
        <v>4</v>
      </c>
      <c r="X1951" s="350">
        <f t="shared" si="301"/>
        <v>176</v>
      </c>
      <c r="Y1951" s="309">
        <v>8</v>
      </c>
      <c r="Z1951" s="242">
        <f t="shared" si="302"/>
        <v>352</v>
      </c>
    </row>
    <row r="1952" spans="1:26" ht="15">
      <c r="A1952" s="368" t="s">
        <v>266</v>
      </c>
      <c r="B1952" s="251">
        <v>7</v>
      </c>
      <c r="C1952" s="540" t="s">
        <v>519</v>
      </c>
      <c r="D1952" s="526" t="s">
        <v>2097</v>
      </c>
      <c r="E1952" s="285" t="s">
        <v>1901</v>
      </c>
      <c r="F1952" s="285">
        <f t="shared" si="293"/>
        <v>44</v>
      </c>
      <c r="G1952" s="253">
        <f t="shared" si="294"/>
        <v>4</v>
      </c>
      <c r="H1952" s="243">
        <f t="shared" si="304"/>
        <v>176</v>
      </c>
      <c r="I1952" s="240">
        <f t="shared" si="295"/>
        <v>176</v>
      </c>
      <c r="J1952" s="240"/>
      <c r="K1952" s="285" t="s">
        <v>1901</v>
      </c>
      <c r="L1952" s="253">
        <v>4</v>
      </c>
      <c r="M1952" s="309">
        <v>8</v>
      </c>
      <c r="N1952" s="350">
        <f t="shared" si="296"/>
        <v>32</v>
      </c>
      <c r="O1952" s="309">
        <v>8</v>
      </c>
      <c r="P1952" s="350">
        <f t="shared" si="297"/>
        <v>32</v>
      </c>
      <c r="Q1952" s="309">
        <v>8</v>
      </c>
      <c r="R1952" s="350">
        <f t="shared" si="298"/>
        <v>32</v>
      </c>
      <c r="S1952" s="309">
        <v>0</v>
      </c>
      <c r="T1952" s="350">
        <f t="shared" si="299"/>
        <v>0</v>
      </c>
      <c r="U1952" s="309">
        <v>8</v>
      </c>
      <c r="V1952" s="350">
        <f t="shared" si="300"/>
        <v>32</v>
      </c>
      <c r="W1952" s="309">
        <v>4</v>
      </c>
      <c r="X1952" s="350">
        <f t="shared" si="301"/>
        <v>16</v>
      </c>
      <c r="Y1952" s="309">
        <v>8</v>
      </c>
      <c r="Z1952" s="242">
        <f t="shared" si="302"/>
        <v>32</v>
      </c>
    </row>
    <row r="1953" spans="1:26" ht="15">
      <c r="A1953" s="369" t="s">
        <v>267</v>
      </c>
      <c r="B1953" s="370">
        <v>8</v>
      </c>
      <c r="C1953" s="540" t="s">
        <v>520</v>
      </c>
      <c r="D1953" s="526" t="s">
        <v>2098</v>
      </c>
      <c r="E1953" s="371" t="s">
        <v>1901</v>
      </c>
      <c r="F1953" s="371">
        <f t="shared" si="293"/>
        <v>44</v>
      </c>
      <c r="G1953" s="253">
        <f t="shared" si="294"/>
        <v>5.3</v>
      </c>
      <c r="H1953" s="373">
        <f t="shared" si="304"/>
        <v>233.2</v>
      </c>
      <c r="I1953" s="240">
        <f t="shared" si="295"/>
        <v>233.2</v>
      </c>
      <c r="J1953" s="240"/>
      <c r="K1953" s="371" t="s">
        <v>1901</v>
      </c>
      <c r="L1953" s="253">
        <v>5.3</v>
      </c>
      <c r="M1953" s="374">
        <v>8</v>
      </c>
      <c r="N1953" s="372">
        <f t="shared" si="296"/>
        <v>42.4</v>
      </c>
      <c r="O1953" s="374">
        <v>8</v>
      </c>
      <c r="P1953" s="372">
        <f t="shared" si="297"/>
        <v>42.4</v>
      </c>
      <c r="Q1953" s="374">
        <v>8</v>
      </c>
      <c r="R1953" s="372">
        <f t="shared" si="298"/>
        <v>42.4</v>
      </c>
      <c r="S1953" s="374">
        <v>0</v>
      </c>
      <c r="T1953" s="372">
        <f t="shared" si="299"/>
        <v>0</v>
      </c>
      <c r="U1953" s="374">
        <v>8</v>
      </c>
      <c r="V1953" s="372">
        <f t="shared" si="300"/>
        <v>42.4</v>
      </c>
      <c r="W1953" s="374">
        <v>4</v>
      </c>
      <c r="X1953" s="372">
        <f t="shared" si="301"/>
        <v>21.2</v>
      </c>
      <c r="Y1953" s="374">
        <v>8</v>
      </c>
      <c r="Z1953" s="569">
        <f t="shared" si="302"/>
        <v>42.4</v>
      </c>
    </row>
    <row r="1954" spans="1:26" ht="25.5">
      <c r="A1954" s="356" t="s">
        <v>1369</v>
      </c>
      <c r="B1954" s="357"/>
      <c r="C1954" s="375"/>
      <c r="D1954" s="359" t="s">
        <v>2099</v>
      </c>
      <c r="E1954" s="361"/>
      <c r="F1954" s="361"/>
      <c r="G1954" s="364"/>
      <c r="H1954" s="376">
        <f>INT(SUM(H1933:H1953)*100+0.5)/100</f>
        <v>45145.66</v>
      </c>
      <c r="I1954" s="376">
        <f t="shared" si="295"/>
        <v>45145.659999999996</v>
      </c>
      <c r="J1954" s="414"/>
      <c r="K1954" s="361"/>
      <c r="L1954" s="363"/>
      <c r="M1954" s="363"/>
      <c r="N1954" s="364">
        <f>SUM(N1933:N1953)</f>
        <v>9036.65</v>
      </c>
      <c r="O1954" s="363"/>
      <c r="P1954" s="364">
        <f>SUM(P1933:P1953)</f>
        <v>9036.65</v>
      </c>
      <c r="Q1954" s="363"/>
      <c r="R1954" s="364">
        <f>SUM(R1933:R1953)</f>
        <v>8807.7199999999993</v>
      </c>
      <c r="S1954" s="363"/>
      <c r="T1954" s="364">
        <f>SUM(T1933:T1953)</f>
        <v>0</v>
      </c>
      <c r="U1954" s="363"/>
      <c r="V1954" s="364">
        <f>SUM(V1933:V1953)</f>
        <v>8807.7199999999993</v>
      </c>
      <c r="W1954" s="363"/>
      <c r="X1954" s="364">
        <f>SUM(X1933:X1953)</f>
        <v>649.20000000000005</v>
      </c>
      <c r="Y1954" s="363"/>
      <c r="Z1954" s="365">
        <f>SUM(Z1933:Z1953)</f>
        <v>8807.7199999999993</v>
      </c>
    </row>
    <row r="1955" spans="1:26" ht="14.25">
      <c r="A1955" s="250"/>
      <c r="B1955" s="251"/>
      <c r="C1955" s="326"/>
      <c r="D1955" s="292"/>
      <c r="E1955" s="307"/>
      <c r="F1955" s="307"/>
      <c r="G1955" s="307"/>
      <c r="H1955" s="307"/>
      <c r="I1955" s="495">
        <f>I1954/I1956</f>
        <v>3.1373609964215697E-2</v>
      </c>
      <c r="J1955" s="225"/>
      <c r="K1955" s="307"/>
      <c r="L1955" s="568"/>
      <c r="M1955" s="568"/>
      <c r="N1955" s="495">
        <f>N1954/N1928</f>
        <v>4.5008392395543308E-2</v>
      </c>
      <c r="O1955" s="568"/>
      <c r="P1955" s="495">
        <f>P1954/P1928</f>
        <v>3.1711621862951844E-2</v>
      </c>
      <c r="Q1955" s="568"/>
      <c r="R1955" s="495">
        <f>R1954/R1928</f>
        <v>2.7849250201184655E-2</v>
      </c>
      <c r="S1955" s="309"/>
      <c r="T1955" s="495">
        <f>T1954/T1928</f>
        <v>0</v>
      </c>
      <c r="U1955" s="568"/>
      <c r="V1955" s="495">
        <f>V1954/V1928</f>
        <v>2.4102425649123745E-2</v>
      </c>
      <c r="W1955" s="309"/>
      <c r="X1955" s="495">
        <f>X1954/X1928</f>
        <v>2.1802823485791895E-2</v>
      </c>
      <c r="Y1955" s="309"/>
      <c r="Z1955" s="570">
        <f>Z1954/Z1928</f>
        <v>3.8142466902627986E-2</v>
      </c>
    </row>
    <row r="1956" spans="1:26" s="351" customFormat="1" ht="31.5">
      <c r="A1956" s="492" t="s">
        <v>1455</v>
      </c>
      <c r="B1956" s="400"/>
      <c r="C1956" s="401"/>
      <c r="D1956" s="402" t="s">
        <v>1457</v>
      </c>
      <c r="E1956" s="400"/>
      <c r="F1956" s="403"/>
      <c r="G1956" s="403"/>
      <c r="H1956" s="405">
        <f>SUM(H49:H1955)</f>
        <v>4021304.7300000014</v>
      </c>
      <c r="I1956" s="524">
        <f>I1928</f>
        <v>1438969.2500000002</v>
      </c>
      <c r="J1956" s="406"/>
      <c r="K1956" s="400"/>
      <c r="L1956" s="407"/>
      <c r="M1956" s="407"/>
      <c r="N1956" s="408">
        <f>N1928</f>
        <v>200777.00000000003</v>
      </c>
      <c r="O1956" s="407"/>
      <c r="P1956" s="408">
        <f>P1928</f>
        <v>284963.35000000003</v>
      </c>
      <c r="Q1956" s="407"/>
      <c r="R1956" s="408">
        <f>R1928</f>
        <v>316264.17000000004</v>
      </c>
      <c r="S1956" s="407"/>
      <c r="T1956" s="408">
        <f>T1928</f>
        <v>10843.619999999999</v>
      </c>
      <c r="U1956" s="407"/>
      <c r="V1956" s="408">
        <f>V1928</f>
        <v>365428.78</v>
      </c>
      <c r="W1956" s="407"/>
      <c r="X1956" s="408">
        <f>X1928</f>
        <v>29775.96</v>
      </c>
      <c r="Y1956" s="407"/>
      <c r="Z1956" s="566">
        <f>Z1928</f>
        <v>230916.37000000005</v>
      </c>
    </row>
    <row r="1957" spans="1:26" ht="14.25">
      <c r="A1957" s="250"/>
      <c r="B1957" s="251"/>
      <c r="C1957" s="326"/>
      <c r="D1957" s="292"/>
      <c r="E1957" s="307"/>
      <c r="F1957" s="307"/>
      <c r="G1957" s="307"/>
      <c r="H1957" s="307"/>
      <c r="I1957" s="225"/>
      <c r="J1957" s="225"/>
      <c r="K1957" s="307"/>
      <c r="L1957" s="568"/>
      <c r="M1957" s="568"/>
      <c r="N1957" s="495"/>
      <c r="O1957" s="568"/>
      <c r="P1957" s="495"/>
      <c r="Q1957" s="568"/>
      <c r="R1957" s="495"/>
      <c r="S1957" s="309"/>
      <c r="T1957" s="495"/>
      <c r="U1957" s="568"/>
      <c r="V1957" s="495"/>
      <c r="W1957" s="309"/>
      <c r="X1957" s="495"/>
      <c r="Y1957" s="309"/>
      <c r="Z1957" s="570"/>
    </row>
    <row r="1958" spans="1:26" ht="25.5">
      <c r="A1958" s="356" t="s">
        <v>1456</v>
      </c>
      <c r="B1958" s="357"/>
      <c r="C1958" s="375"/>
      <c r="D1958" s="359" t="s">
        <v>2099</v>
      </c>
      <c r="E1958" s="361"/>
      <c r="F1958" s="361"/>
      <c r="G1958" s="364"/>
      <c r="H1958" s="376">
        <f>INT(SUM(H1938:H1957)*100+0.5)/100</f>
        <v>4092600.99</v>
      </c>
      <c r="I1958" s="376">
        <f>I1954</f>
        <v>45145.659999999996</v>
      </c>
      <c r="J1958" s="414"/>
      <c r="K1958" s="361"/>
      <c r="L1958" s="363"/>
      <c r="M1958" s="363"/>
      <c r="N1958" s="364">
        <f>N1954</f>
        <v>9036.65</v>
      </c>
      <c r="O1958" s="363"/>
      <c r="P1958" s="364">
        <f>P1954</f>
        <v>9036.65</v>
      </c>
      <c r="Q1958" s="363"/>
      <c r="R1958" s="364">
        <f>R1954</f>
        <v>8807.7199999999993</v>
      </c>
      <c r="S1958" s="363"/>
      <c r="T1958" s="364">
        <f>T1954</f>
        <v>0</v>
      </c>
      <c r="U1958" s="363"/>
      <c r="V1958" s="364">
        <f>V1954</f>
        <v>8807.7199999999993</v>
      </c>
      <c r="W1958" s="363"/>
      <c r="X1958" s="364">
        <f>X1954</f>
        <v>649.20000000000005</v>
      </c>
      <c r="Y1958" s="363"/>
      <c r="Z1958" s="365">
        <f>Z1954</f>
        <v>8807.7199999999993</v>
      </c>
    </row>
    <row r="1959" spans="1:26" ht="14.25">
      <c r="A1959" s="250"/>
      <c r="B1959" s="251"/>
      <c r="C1959" s="326"/>
      <c r="D1959" s="292"/>
      <c r="E1959" s="307"/>
      <c r="F1959" s="307"/>
      <c r="G1959" s="307"/>
      <c r="H1959" s="307"/>
      <c r="I1959" s="225">
        <f>SUM(I1956:I1958)</f>
        <v>1484114.9100000001</v>
      </c>
      <c r="J1959" s="225"/>
      <c r="K1959" s="307"/>
      <c r="L1959" s="568"/>
      <c r="M1959" s="568"/>
      <c r="N1959" s="225">
        <f>SUM(N1956:N1958)</f>
        <v>209813.65000000002</v>
      </c>
      <c r="O1959" s="571">
        <f>P1959/(250-100+250)</f>
        <v>735.00000000000011</v>
      </c>
      <c r="P1959" s="225">
        <f>SUM(P1956:P1958)</f>
        <v>294000.00000000006</v>
      </c>
      <c r="Q1959" s="568"/>
      <c r="R1959" s="225">
        <f>SUM(R1956:R1958)</f>
        <v>325071.89</v>
      </c>
      <c r="S1959" s="309"/>
      <c r="T1959" s="225">
        <f>SUM(T1956:T1958)</f>
        <v>10843.619999999999</v>
      </c>
      <c r="U1959" s="568"/>
      <c r="V1959" s="225">
        <f>SUM(V1956:V1958)</f>
        <v>374236.5</v>
      </c>
      <c r="W1959" s="309"/>
      <c r="X1959" s="225">
        <f>SUM(X1956:X1958)</f>
        <v>30425.16</v>
      </c>
      <c r="Y1959" s="309"/>
      <c r="Z1959" s="260">
        <f>SUM(Z1956:Z1958)</f>
        <v>239724.09000000005</v>
      </c>
    </row>
    <row r="1960" spans="1:26" ht="14.25">
      <c r="A1960" s="250"/>
      <c r="B1960" s="251"/>
      <c r="C1960" s="326"/>
      <c r="D1960" s="292"/>
      <c r="E1960" s="307"/>
      <c r="F1960" s="307"/>
      <c r="G1960" s="307"/>
      <c r="H1960" s="307"/>
      <c r="I1960" s="225"/>
      <c r="J1960" s="225"/>
      <c r="K1960" s="307"/>
      <c r="L1960" s="568"/>
      <c r="M1960" s="568"/>
      <c r="N1960" s="495"/>
      <c r="O1960" s="462" t="s">
        <v>2390</v>
      </c>
      <c r="P1960" s="495"/>
      <c r="Q1960" s="568"/>
      <c r="R1960" s="495"/>
      <c r="S1960" s="309"/>
      <c r="T1960" s="495"/>
      <c r="U1960" s="568"/>
      <c r="V1960" s="495"/>
      <c r="W1960" s="309"/>
      <c r="X1960" s="495"/>
      <c r="Y1960" s="309"/>
      <c r="Z1960" s="570"/>
    </row>
    <row r="1961" spans="1:26" s="383" customFormat="1" ht="31.5">
      <c r="A1961" s="377" t="s">
        <v>1368</v>
      </c>
      <c r="B1961" s="378"/>
      <c r="C1961" s="379"/>
      <c r="D1961" s="380" t="s">
        <v>342</v>
      </c>
      <c r="E1961" s="381"/>
      <c r="F1961" s="381"/>
      <c r="G1961" s="381"/>
      <c r="H1961" s="382">
        <f>H1929+H1954</f>
        <v>1478635.3100000003</v>
      </c>
      <c r="I1961" s="382">
        <f>I1928+I1954</f>
        <v>1484114.9100000001</v>
      </c>
      <c r="J1961" s="382"/>
      <c r="K1961" s="381"/>
      <c r="L1961" s="382"/>
      <c r="M1961" s="382"/>
      <c r="N1961" s="382">
        <f>N1928+N1954</f>
        <v>209813.65000000002</v>
      </c>
      <c r="O1961" s="382"/>
      <c r="P1961" s="382">
        <f>P1928+P1954+P1930</f>
        <v>294000.00000000006</v>
      </c>
      <c r="Q1961" s="382"/>
      <c r="R1961" s="382">
        <f>R1928+R1954</f>
        <v>325071.89</v>
      </c>
      <c r="S1961" s="382"/>
      <c r="T1961" s="382">
        <f>T1928+T1954</f>
        <v>10843.619999999999</v>
      </c>
      <c r="U1961" s="382"/>
      <c r="V1961" s="382">
        <f>V1928+V1954</f>
        <v>374236.5</v>
      </c>
      <c r="W1961" s="382"/>
      <c r="X1961" s="382">
        <f>X1928+X1954</f>
        <v>30425.16</v>
      </c>
      <c r="Y1961" s="382"/>
      <c r="Z1961" s="572">
        <f>Z1928+Z1954</f>
        <v>239724.09000000005</v>
      </c>
    </row>
    <row r="1962" spans="1:26" ht="15">
      <c r="A1962" s="201"/>
      <c r="B1962" s="202"/>
      <c r="C1962" s="573"/>
      <c r="D1962" s="529"/>
      <c r="E1962" s="226"/>
      <c r="F1962" s="226"/>
      <c r="G1962" s="226"/>
      <c r="H1962" s="226"/>
      <c r="I1962" s="574">
        <f>SUM(N1962:Z1962)</f>
        <v>1</v>
      </c>
      <c r="J1962" s="222"/>
      <c r="K1962" s="226"/>
      <c r="L1962" s="253"/>
      <c r="M1962" s="222"/>
      <c r="N1962" s="574">
        <f>N1961/$I$1961</f>
        <v>0.14137291431160137</v>
      </c>
      <c r="O1962" s="222"/>
      <c r="P1962" s="574">
        <f>P1961/$I$1961</f>
        <v>0.19809786831128867</v>
      </c>
      <c r="Q1962" s="223"/>
      <c r="R1962" s="574">
        <f>R1961/$I$1961</f>
        <v>0.21903417842490375</v>
      </c>
      <c r="S1962" s="224"/>
      <c r="T1962" s="574">
        <f>T1961/$I$1961</f>
        <v>7.3064558053661747E-3</v>
      </c>
      <c r="U1962" s="222"/>
      <c r="V1962" s="574">
        <f>V1961/$I$1961</f>
        <v>0.25216140440230467</v>
      </c>
      <c r="W1962" s="224"/>
      <c r="X1962" s="574">
        <f>X1961/$I$1961</f>
        <v>2.0500541969489409E-2</v>
      </c>
      <c r="Y1962" s="224"/>
      <c r="Z1962" s="575">
        <f>Z1961/$I$1961</f>
        <v>0.16152663677504597</v>
      </c>
    </row>
    <row r="1963" spans="1:26" ht="15.75" thickBot="1">
      <c r="A1963" s="201"/>
      <c r="B1963" s="202"/>
      <c r="C1963" s="573"/>
      <c r="D1963" s="529"/>
      <c r="E1963" s="226"/>
      <c r="F1963" s="226"/>
      <c r="G1963" s="226"/>
      <c r="H1963" s="226"/>
      <c r="I1963" s="222"/>
      <c r="J1963" s="222"/>
      <c r="K1963" s="226"/>
      <c r="L1963" s="253"/>
      <c r="M1963" s="184" t="s">
        <v>1806</v>
      </c>
      <c r="N1963" s="184"/>
      <c r="O1963" s="184"/>
      <c r="P1963" s="184"/>
      <c r="Q1963" s="184"/>
      <c r="R1963" s="184"/>
      <c r="S1963" s="184"/>
      <c r="T1963" s="184"/>
      <c r="U1963" s="184"/>
      <c r="V1963" s="184"/>
      <c r="W1963" s="184"/>
      <c r="X1963" s="184"/>
      <c r="Y1963" s="184"/>
      <c r="Z1963" s="184"/>
    </row>
    <row r="1964" spans="1:26" ht="18">
      <c r="A1964" s="210"/>
      <c r="B1964" s="211"/>
      <c r="C1964" s="576"/>
      <c r="D1964" s="577" t="s">
        <v>1806</v>
      </c>
      <c r="E1964" s="466"/>
      <c r="F1964" s="466"/>
      <c r="G1964" s="466"/>
      <c r="H1964" s="466"/>
      <c r="I1964" s="500"/>
      <c r="J1964" s="500"/>
      <c r="K1964" s="466"/>
      <c r="L1964" s="523"/>
      <c r="M1964" s="189" t="s">
        <v>2466</v>
      </c>
      <c r="N1964" s="189"/>
      <c r="O1964" s="189" t="s">
        <v>2467</v>
      </c>
      <c r="P1964" s="189"/>
      <c r="Q1964" s="189" t="s">
        <v>2468</v>
      </c>
      <c r="R1964" s="189"/>
      <c r="S1964" s="190" t="s">
        <v>23</v>
      </c>
      <c r="T1964" s="189"/>
      <c r="U1964" s="189" t="s">
        <v>2469</v>
      </c>
      <c r="V1964" s="189"/>
      <c r="W1964" s="190" t="s">
        <v>341</v>
      </c>
      <c r="X1964" s="189"/>
      <c r="Y1964" s="190" t="s">
        <v>2470</v>
      </c>
      <c r="Z1964" s="189"/>
    </row>
    <row r="1965" spans="1:26" s="247" customFormat="1" ht="18.75" thickBot="1">
      <c r="A1965" s="385"/>
      <c r="B1965" s="385"/>
      <c r="C1965" s="386"/>
      <c r="D1965" s="423"/>
      <c r="I1965" s="220"/>
      <c r="J1965" s="220"/>
      <c r="L1965" s="305"/>
      <c r="M1965" s="220"/>
      <c r="N1965" s="220"/>
      <c r="O1965" s="220"/>
      <c r="P1965" s="220"/>
      <c r="Q1965" s="387"/>
      <c r="R1965" s="220"/>
      <c r="S1965" s="220"/>
      <c r="T1965" s="220"/>
      <c r="U1965" s="220"/>
      <c r="V1965" s="220"/>
      <c r="W1965" s="220"/>
      <c r="X1965" s="220"/>
      <c r="Y1965" s="220"/>
      <c r="Z1965" s="220"/>
    </row>
    <row r="1966" spans="1:26" ht="32.25" thickBot="1">
      <c r="A1966" s="616" t="s">
        <v>553</v>
      </c>
      <c r="B1966" s="191"/>
      <c r="C1966" s="384"/>
      <c r="D1966" s="613" t="s">
        <v>346</v>
      </c>
      <c r="I1966" s="612">
        <f>SUM(N1961:Z1961)</f>
        <v>1484114.9100000001</v>
      </c>
      <c r="L1966" s="287"/>
      <c r="O1966" s="388"/>
      <c r="P1966" s="388"/>
      <c r="Q1966" s="388"/>
      <c r="R1966" s="388"/>
    </row>
    <row r="1967" spans="1:26" ht="16.5" thickBot="1">
      <c r="A1967" s="191"/>
      <c r="B1967" s="191"/>
      <c r="C1967" s="384"/>
      <c r="D1967" s="424" t="s">
        <v>343</v>
      </c>
      <c r="L1967" s="287"/>
      <c r="N1967" s="389">
        <f>N1961</f>
        <v>209813.65000000002</v>
      </c>
      <c r="O1967" s="388"/>
      <c r="P1967" s="388"/>
      <c r="Q1967" s="388"/>
      <c r="R1967" s="388"/>
    </row>
    <row r="1968" spans="1:26" ht="16.5" thickBot="1">
      <c r="A1968" s="191"/>
      <c r="B1968" s="191"/>
      <c r="C1968" s="384"/>
      <c r="D1968" s="425" t="s">
        <v>344</v>
      </c>
      <c r="L1968" s="287"/>
      <c r="M1968"/>
      <c r="N1968"/>
      <c r="O1968" s="388"/>
      <c r="P1968" s="611">
        <f>P1961</f>
        <v>294000.00000000006</v>
      </c>
      <c r="Q1968" s="388"/>
      <c r="R1968" s="388"/>
    </row>
    <row r="1969" spans="1:26" ht="16.5" thickBot="1">
      <c r="A1969" s="191"/>
      <c r="B1969" s="191"/>
      <c r="C1969" s="384"/>
      <c r="D1969" s="426" t="s">
        <v>345</v>
      </c>
      <c r="L1969" s="287"/>
      <c r="M1969"/>
      <c r="N1969"/>
      <c r="O1969" s="388"/>
      <c r="P1969"/>
      <c r="Q1969" s="388"/>
      <c r="R1969" s="428">
        <f>R1961</f>
        <v>325071.89</v>
      </c>
      <c r="S1969" s="429"/>
      <c r="T1969" s="428">
        <f>T1961</f>
        <v>10843.619999999999</v>
      </c>
      <c r="U1969" s="429"/>
      <c r="V1969" s="428">
        <f>V1961</f>
        <v>374236.5</v>
      </c>
      <c r="W1969" s="429"/>
      <c r="X1969" s="428">
        <f>X1961</f>
        <v>30425.16</v>
      </c>
      <c r="Y1969" s="429"/>
      <c r="Z1969" s="428">
        <f>Z1961</f>
        <v>239724.09000000005</v>
      </c>
    </row>
    <row r="1970" spans="1:26" ht="16.5" thickBot="1">
      <c r="A1970" s="191"/>
      <c r="B1970" s="191"/>
      <c r="C1970" s="384"/>
      <c r="L1970" s="287"/>
      <c r="M1970"/>
      <c r="N1970"/>
      <c r="O1970" s="219"/>
      <c r="P1970" s="219"/>
      <c r="Q1970" s="219"/>
      <c r="R1970" s="496">
        <f>SUM(R1969:Z1969)</f>
        <v>980301.26000000013</v>
      </c>
      <c r="S1970" s="497"/>
      <c r="T1970" s="497"/>
      <c r="U1970" s="497"/>
      <c r="V1970" s="497"/>
      <c r="W1970" s="497"/>
      <c r="X1970" s="497"/>
      <c r="Y1970" s="497"/>
      <c r="Z1970" s="498"/>
    </row>
    <row r="1971" spans="1:26" s="303" customFormat="1" ht="14.25">
      <c r="A1971" s="415"/>
      <c r="B1971" s="415"/>
      <c r="C1971" s="417"/>
      <c r="D1971" s="427" t="s">
        <v>1971</v>
      </c>
      <c r="I1971" s="302"/>
      <c r="J1971" s="419"/>
      <c r="L1971" s="355"/>
      <c r="M1971" s="302"/>
      <c r="N1971" s="602">
        <f>N1967/I1966</f>
        <v>0.14137291431160137</v>
      </c>
      <c r="O1971" s="302"/>
      <c r="P1971" s="602">
        <f>P1968/I1966</f>
        <v>0.19809786831128867</v>
      </c>
      <c r="Q1971" s="302"/>
      <c r="R1971" s="601">
        <f>R1970/I1966</f>
        <v>0.66052921737711001</v>
      </c>
      <c r="S1971" s="598"/>
      <c r="T1971" s="599"/>
      <c r="U1971" s="599"/>
      <c r="V1971" s="599"/>
      <c r="W1971" s="598"/>
      <c r="X1971" s="599"/>
      <c r="Y1971" s="598"/>
      <c r="Z1971" s="600"/>
    </row>
    <row r="1972" spans="1:26" s="303" customFormat="1" ht="15">
      <c r="A1972" s="415"/>
      <c r="B1972" s="415"/>
      <c r="C1972" s="417"/>
      <c r="D1972" s="427"/>
      <c r="I1972" s="302"/>
      <c r="J1972" s="419"/>
      <c r="L1972" s="355"/>
      <c r="M1972" s="302"/>
      <c r="N1972" s="499"/>
      <c r="O1972" s="302"/>
      <c r="P1972" s="302"/>
      <c r="Q1972" s="302"/>
      <c r="R1972" s="302"/>
      <c r="S1972" s="418"/>
      <c r="T1972" s="302"/>
      <c r="U1972" s="302"/>
      <c r="V1972" s="302"/>
      <c r="W1972" s="418"/>
      <c r="X1972" s="302"/>
      <c r="Y1972" s="418"/>
      <c r="Z1972" s="302"/>
    </row>
    <row r="1973" spans="1:26" s="303" customFormat="1" ht="31.5">
      <c r="A1973" s="415"/>
      <c r="B1973" s="415"/>
      <c r="C1973" s="417"/>
      <c r="D1973" s="430" t="s">
        <v>2378</v>
      </c>
      <c r="I1973" s="302"/>
      <c r="J1973" s="419"/>
      <c r="L1973" s="355"/>
      <c r="M1973" s="302"/>
      <c r="N1973" s="302"/>
      <c r="O1973" s="302"/>
      <c r="P1973" s="302"/>
      <c r="Q1973" s="302"/>
      <c r="R1973" s="302"/>
      <c r="S1973" s="418"/>
      <c r="T1973" s="302"/>
      <c r="U1973" s="302"/>
      <c r="V1973" s="302"/>
      <c r="W1973" s="418"/>
      <c r="X1973" s="302"/>
      <c r="Y1973" s="418"/>
      <c r="Z1973" s="302"/>
    </row>
    <row r="1974" spans="1:26" s="303" customFormat="1" ht="28.5">
      <c r="A1974" s="415"/>
      <c r="B1974" s="415"/>
      <c r="C1974" s="417"/>
      <c r="D1974" s="603" t="s">
        <v>2023</v>
      </c>
      <c r="I1974" s="302"/>
      <c r="J1974" s="419"/>
      <c r="L1974" s="355"/>
      <c r="M1974" s="302"/>
      <c r="N1974" s="949">
        <f>120000*1.05</f>
        <v>126000</v>
      </c>
      <c r="O1974" s="302"/>
      <c r="P1974" s="302"/>
      <c r="Q1974" s="302"/>
      <c r="R1974" s="302"/>
      <c r="S1974" s="418"/>
      <c r="T1974" s="302"/>
      <c r="U1974" s="302"/>
      <c r="V1974" s="302"/>
      <c r="W1974" s="418"/>
      <c r="X1974" s="302"/>
      <c r="Y1974" s="418"/>
      <c r="Z1974" s="302"/>
    </row>
    <row r="1975" spans="1:26" s="303" customFormat="1" ht="14.25">
      <c r="A1975" s="415"/>
      <c r="B1975" s="415"/>
      <c r="C1975" s="417"/>
      <c r="D1975" s="604" t="s">
        <v>2176</v>
      </c>
      <c r="I1975" s="302"/>
      <c r="J1975" s="419"/>
      <c r="L1975" s="355"/>
      <c r="M1975" s="309"/>
      <c r="N1975" s="950"/>
      <c r="O1975" s="302"/>
      <c r="P1975" s="302"/>
      <c r="Q1975" s="302"/>
      <c r="R1975" s="302"/>
      <c r="S1975" s="418"/>
      <c r="T1975" s="302"/>
      <c r="U1975" s="302"/>
      <c r="V1975" s="302"/>
      <c r="W1975" s="418"/>
      <c r="X1975" s="302"/>
      <c r="Y1975" s="418"/>
      <c r="Z1975" s="302"/>
    </row>
    <row r="1976" spans="1:26" s="303" customFormat="1" ht="14.25">
      <c r="A1976" s="415"/>
      <c r="B1976" s="415"/>
      <c r="C1976" s="417"/>
      <c r="D1976" s="604" t="s">
        <v>2177</v>
      </c>
      <c r="I1976" s="302"/>
      <c r="J1976" s="419"/>
      <c r="L1976" s="355"/>
      <c r="M1976" s="309"/>
      <c r="N1976" s="950"/>
      <c r="O1976" s="302"/>
      <c r="P1976" s="302"/>
      <c r="Q1976" s="302"/>
      <c r="R1976" s="302"/>
      <c r="S1976" s="418"/>
      <c r="T1976" s="302"/>
      <c r="U1976" s="302"/>
      <c r="V1976" s="302"/>
      <c r="W1976" s="418"/>
      <c r="X1976" s="302"/>
      <c r="Y1976" s="418"/>
      <c r="Z1976" s="302"/>
    </row>
    <row r="1977" spans="1:26" s="303" customFormat="1" ht="14.25">
      <c r="A1977" s="415"/>
      <c r="B1977" s="415"/>
      <c r="C1977" s="417"/>
      <c r="D1977" s="604" t="s">
        <v>2174</v>
      </c>
      <c r="I1977" s="302"/>
      <c r="J1977" s="419"/>
      <c r="L1977" s="355"/>
      <c r="M1977" s="309"/>
      <c r="N1977" s="950"/>
      <c r="O1977" s="302"/>
      <c r="P1977" s="302"/>
      <c r="Q1977" s="302"/>
      <c r="R1977" s="302"/>
      <c r="S1977" s="418"/>
      <c r="T1977" s="302"/>
      <c r="U1977" s="302"/>
      <c r="V1977" s="302"/>
      <c r="W1977" s="418"/>
      <c r="X1977" s="302"/>
      <c r="Y1977" s="418"/>
      <c r="Z1977" s="302"/>
    </row>
    <row r="1978" spans="1:26" s="303" customFormat="1" ht="14.25">
      <c r="A1978" s="415"/>
      <c r="B1978" s="415"/>
      <c r="C1978" s="417"/>
      <c r="D1978" s="604" t="s">
        <v>1774</v>
      </c>
      <c r="I1978" s="302"/>
      <c r="J1978" s="419"/>
      <c r="L1978"/>
      <c r="M1978" s="309"/>
      <c r="N1978" s="950"/>
      <c r="O1978" s="302"/>
      <c r="P1978" s="302"/>
      <c r="Q1978" s="302"/>
      <c r="R1978" s="302"/>
      <c r="S1978" s="418"/>
      <c r="T1978" s="302"/>
      <c r="U1978" s="302"/>
      <c r="V1978" s="302"/>
      <c r="W1978" s="418"/>
      <c r="X1978" s="302"/>
      <c r="Y1978" s="418"/>
      <c r="Z1978" s="302"/>
    </row>
    <row r="1979" spans="1:26" s="303" customFormat="1" ht="14.25">
      <c r="A1979" s="415"/>
      <c r="B1979" s="415"/>
      <c r="C1979" s="417"/>
      <c r="D1979" s="604" t="s">
        <v>1945</v>
      </c>
      <c r="I1979" s="302"/>
      <c r="J1979" s="419"/>
      <c r="L1979"/>
      <c r="M1979" s="309"/>
      <c r="N1979" s="950"/>
      <c r="O1979" s="302"/>
      <c r="P1979" s="302"/>
      <c r="Q1979" s="302"/>
      <c r="R1979" s="302"/>
      <c r="S1979" s="418"/>
      <c r="T1979" s="302"/>
      <c r="U1979" s="302"/>
      <c r="V1979" s="302"/>
      <c r="W1979" s="418"/>
      <c r="X1979" s="302"/>
      <c r="Y1979" s="418"/>
      <c r="Z1979" s="302"/>
    </row>
    <row r="1980" spans="1:26" s="303" customFormat="1" ht="28.5">
      <c r="A1980" s="415"/>
      <c r="B1980" s="415"/>
      <c r="C1980" s="510"/>
      <c r="D1980" s="604" t="s">
        <v>943</v>
      </c>
      <c r="I1980" s="302"/>
      <c r="J1980" s="419"/>
      <c r="L1980" s="355"/>
      <c r="M1980" s="309"/>
      <c r="N1980" s="950"/>
      <c r="O1980" s="302"/>
      <c r="P1980" s="302"/>
      <c r="Q1980" s="302"/>
      <c r="R1980" s="302"/>
      <c r="S1980" s="418"/>
      <c r="T1980" s="302"/>
      <c r="U1980" s="302"/>
      <c r="V1980" s="302"/>
      <c r="W1980" s="418"/>
      <c r="X1980" s="302"/>
      <c r="Y1980" s="418"/>
      <c r="Z1980" s="302"/>
    </row>
    <row r="1981" spans="1:26" s="303" customFormat="1" ht="14.25">
      <c r="A1981" s="415"/>
      <c r="B1981" s="415"/>
      <c r="C1981" s="510"/>
      <c r="D1981" s="604" t="s">
        <v>2389</v>
      </c>
      <c r="I1981" s="302"/>
      <c r="J1981" s="419"/>
      <c r="L1981" s="355"/>
      <c r="M1981" s="309"/>
      <c r="N1981" s="950"/>
      <c r="O1981" s="302"/>
      <c r="P1981" s="302"/>
      <c r="Q1981" s="302"/>
      <c r="R1981" s="302"/>
      <c r="S1981" s="418"/>
      <c r="T1981" s="302"/>
      <c r="U1981" s="302"/>
      <c r="V1981" s="302"/>
      <c r="W1981" s="418"/>
      <c r="X1981" s="302"/>
      <c r="Y1981" s="418"/>
      <c r="Z1981" s="302"/>
    </row>
    <row r="1982" spans="1:26" s="303" customFormat="1" ht="14.25">
      <c r="A1982" s="415"/>
      <c r="B1982" s="415"/>
      <c r="C1982" s="510"/>
      <c r="D1982" s="604" t="s">
        <v>1936</v>
      </c>
      <c r="I1982" s="302"/>
      <c r="J1982" s="419"/>
      <c r="L1982" s="355"/>
      <c r="M1982" s="309"/>
      <c r="N1982" s="950"/>
      <c r="O1982" s="302"/>
      <c r="P1982" s="302"/>
      <c r="Q1982" s="302"/>
      <c r="R1982" s="302"/>
      <c r="S1982" s="418"/>
      <c r="T1982" s="302"/>
      <c r="U1982" s="302"/>
      <c r="V1982" s="302"/>
      <c r="W1982" s="418"/>
      <c r="X1982" s="302"/>
      <c r="Y1982" s="418"/>
      <c r="Z1982" s="302"/>
    </row>
    <row r="1983" spans="1:26" s="303" customFormat="1" ht="14.25">
      <c r="A1983" s="415"/>
      <c r="B1983" s="415"/>
      <c r="C1983" s="510"/>
      <c r="D1983" s="605" t="s">
        <v>1938</v>
      </c>
      <c r="I1983" s="302"/>
      <c r="J1983" s="419"/>
      <c r="L1983" s="355"/>
      <c r="M1983" s="309"/>
      <c r="N1983" s="951"/>
      <c r="O1983" s="302"/>
      <c r="P1983" s="302"/>
      <c r="Q1983" s="302"/>
      <c r="R1983" s="302"/>
      <c r="S1983" s="418"/>
      <c r="T1983" s="302"/>
      <c r="U1983" s="302"/>
      <c r="V1983" s="302"/>
      <c r="W1983" s="418"/>
      <c r="X1983" s="302"/>
      <c r="Y1983" s="418"/>
      <c r="Z1983" s="302"/>
    </row>
    <row r="1984" spans="1:26" s="303" customFormat="1" ht="14.25">
      <c r="A1984" s="415"/>
      <c r="B1984" s="415"/>
      <c r="C1984" s="510"/>
      <c r="D1984" s="606" t="s">
        <v>1937</v>
      </c>
      <c r="I1984" s="302"/>
      <c r="J1984" s="419"/>
      <c r="L1984" s="355"/>
      <c r="M1984" s="309"/>
      <c r="N1984" s="323">
        <f>17000*1.05</f>
        <v>17850</v>
      </c>
      <c r="O1984" s="302"/>
      <c r="P1984" s="302"/>
      <c r="Q1984" s="302"/>
      <c r="R1984" s="302"/>
      <c r="S1984" s="418"/>
      <c r="T1984" s="302"/>
      <c r="U1984" s="302"/>
      <c r="V1984" s="302"/>
      <c r="W1984" s="418"/>
      <c r="X1984" s="302"/>
      <c r="Y1984" s="418"/>
      <c r="Z1984" s="302"/>
    </row>
    <row r="1985" spans="1:26" s="303" customFormat="1" ht="14.25">
      <c r="A1985" s="415"/>
      <c r="B1985" s="415"/>
      <c r="C1985" s="952"/>
      <c r="D1985" s="603" t="s">
        <v>2387</v>
      </c>
      <c r="I1985" s="302"/>
      <c r="J1985" s="419"/>
      <c r="L1985" s="355"/>
      <c r="M1985" s="309"/>
      <c r="N1985" s="949">
        <f>18000*1.05</f>
        <v>18900</v>
      </c>
      <c r="O1985" s="302"/>
      <c r="P1985" s="302"/>
      <c r="Q1985" s="302"/>
      <c r="R1985" s="302"/>
      <c r="S1985" s="418"/>
      <c r="T1985" s="302"/>
      <c r="U1985" s="302"/>
      <c r="V1985" s="302"/>
      <c r="W1985" s="418"/>
      <c r="X1985" s="302"/>
      <c r="Y1985" s="418"/>
      <c r="Z1985" s="302"/>
    </row>
    <row r="1986" spans="1:26" s="303" customFormat="1" ht="14.25">
      <c r="A1986" s="415"/>
      <c r="B1986" s="415"/>
      <c r="C1986" s="952"/>
      <c r="D1986" s="605" t="s">
        <v>2388</v>
      </c>
      <c r="I1986" s="302"/>
      <c r="J1986" s="419"/>
      <c r="L1986" s="355"/>
      <c r="M1986" s="309"/>
      <c r="N1986" s="953"/>
      <c r="O1986" s="302"/>
      <c r="P1986" s="302"/>
      <c r="Q1986" s="302"/>
      <c r="R1986" s="302"/>
      <c r="S1986" s="418"/>
      <c r="T1986" s="302"/>
      <c r="U1986" s="302"/>
      <c r="V1986" s="302"/>
      <c r="W1986" s="418"/>
      <c r="X1986" s="302"/>
      <c r="Y1986" s="418"/>
      <c r="Z1986" s="302"/>
    </row>
    <row r="1987" spans="1:26" s="303" customFormat="1" ht="29.25">
      <c r="A1987" s="415"/>
      <c r="B1987" s="415"/>
      <c r="C1987" s="510"/>
      <c r="D1987" s="606" t="s">
        <v>1939</v>
      </c>
      <c r="I1987" s="614">
        <f>N1987</f>
        <v>162750</v>
      </c>
      <c r="J1987" s="419"/>
      <c r="L1987" s="355"/>
      <c r="M1987" s="302"/>
      <c r="N1987" s="614">
        <f>SUM(N1974:N1986)</f>
        <v>162750</v>
      </c>
      <c r="O1987" s="302"/>
      <c r="P1987" s="302"/>
      <c r="Q1987" s="302"/>
      <c r="R1987" s="302"/>
      <c r="S1987" s="418"/>
      <c r="T1987" s="302"/>
      <c r="U1987" s="302"/>
      <c r="V1987" s="302"/>
      <c r="W1987" s="418"/>
      <c r="X1987" s="302"/>
      <c r="Y1987" s="418"/>
      <c r="Z1987" s="302"/>
    </row>
    <row r="1988" spans="1:26" s="303" customFormat="1" ht="14.25">
      <c r="A1988" s="415"/>
      <c r="B1988" s="415"/>
      <c r="C1988" s="510"/>
      <c r="D1988" s="427"/>
      <c r="I1988" s="302"/>
      <c r="J1988" s="419"/>
      <c r="L1988" s="355"/>
      <c r="M1988" s="302"/>
      <c r="N1988" s="302"/>
      <c r="O1988" s="302"/>
      <c r="P1988" s="302"/>
      <c r="Q1988" s="302"/>
      <c r="R1988" s="302"/>
      <c r="S1988" s="418"/>
      <c r="T1988" s="302"/>
      <c r="U1988" s="302"/>
      <c r="V1988" s="302"/>
      <c r="W1988" s="418"/>
      <c r="X1988" s="302"/>
      <c r="Y1988" s="418"/>
      <c r="Z1988" s="302"/>
    </row>
    <row r="1989" spans="1:26" s="433" customFormat="1" ht="31.5">
      <c r="A1989" s="616" t="s">
        <v>2382</v>
      </c>
      <c r="B1989" s="432"/>
      <c r="C1989" s="511"/>
      <c r="D1989" s="430" t="s">
        <v>2379</v>
      </c>
      <c r="F1989" s="617"/>
      <c r="G1989" s="617"/>
      <c r="H1989" s="617"/>
      <c r="I1989" s="618">
        <f>I1961+I1987</f>
        <v>1646864.9100000001</v>
      </c>
      <c r="J1989" s="619">
        <f>SUM(N1989:Z1989)</f>
        <v>1646864.9100000001</v>
      </c>
      <c r="L1989" s="434"/>
      <c r="M1989" s="434"/>
      <c r="N1989" s="620">
        <f>N1961+N1987</f>
        <v>372563.65</v>
      </c>
      <c r="O1989" s="434"/>
      <c r="P1989" s="621">
        <f>P1961+P1987</f>
        <v>294000.00000000006</v>
      </c>
      <c r="Q1989" s="434"/>
      <c r="R1989" s="622">
        <f>R1961+R1987</f>
        <v>325071.89</v>
      </c>
      <c r="S1989" s="623"/>
      <c r="T1989" s="622">
        <f>T1961+T1987</f>
        <v>10843.619999999999</v>
      </c>
      <c r="U1989" s="618"/>
      <c r="V1989" s="622">
        <f>V1961+V1987</f>
        <v>374236.5</v>
      </c>
      <c r="W1989" s="623"/>
      <c r="X1989" s="622">
        <f>X1961+X1987</f>
        <v>30425.16</v>
      </c>
      <c r="Y1989" s="623"/>
      <c r="Z1989" s="622">
        <f>Z1961+Z1987</f>
        <v>239724.09000000005</v>
      </c>
    </row>
    <row r="1990" spans="1:26" s="439" customFormat="1" ht="15">
      <c r="A1990" s="431"/>
      <c r="B1990" s="431"/>
      <c r="C1990" s="512"/>
      <c r="F1990" s="624"/>
      <c r="G1990" s="624"/>
      <c r="H1990" s="624"/>
      <c r="I1990" s="624"/>
      <c r="J1990" s="624"/>
      <c r="L1990" s="624"/>
      <c r="M1990" s="624"/>
      <c r="N1990" s="624"/>
      <c r="O1990" s="624"/>
      <c r="P1990" s="624"/>
      <c r="Q1990" s="416"/>
      <c r="R1990" s="625">
        <f>R1989/$I$1989</f>
        <v>0.19738831523224329</v>
      </c>
      <c r="S1990" s="626"/>
      <c r="T1990" s="625">
        <f>T1989/$I$1989</f>
        <v>6.5844016313396335E-3</v>
      </c>
      <c r="U1990" s="627"/>
      <c r="V1990" s="625">
        <f>V1989/$I$1989</f>
        <v>0.22724177176135227</v>
      </c>
      <c r="W1990" s="626"/>
      <c r="X1990" s="625">
        <f>X1989/$I$1989</f>
        <v>1.8474593644720986E-2</v>
      </c>
      <c r="Y1990" s="626"/>
      <c r="Z1990" s="625">
        <f>Z1989/$I$1989</f>
        <v>0.14556390663518359</v>
      </c>
    </row>
    <row r="1991" spans="1:26" s="439" customFormat="1" ht="15">
      <c r="A1991" s="431"/>
      <c r="B1991" s="431"/>
      <c r="C1991" s="512"/>
      <c r="D1991" s="438"/>
      <c r="F1991" s="624"/>
      <c r="G1991" s="624"/>
      <c r="H1991" s="624"/>
      <c r="I1991" s="628"/>
      <c r="J1991" s="629"/>
      <c r="L1991" s="416"/>
      <c r="M1991" s="416"/>
      <c r="N1991" s="628"/>
      <c r="O1991" s="416"/>
      <c r="P1991" s="628"/>
      <c r="Q1991" s="416"/>
      <c r="R1991" s="630">
        <f>SUM(R1989:Z1989)</f>
        <v>980301.26000000013</v>
      </c>
      <c r="S1991" s="631"/>
      <c r="T1991" s="631"/>
      <c r="U1991" s="631"/>
      <c r="V1991" s="631"/>
      <c r="W1991" s="631"/>
      <c r="X1991" s="631"/>
      <c r="Y1991" s="631"/>
      <c r="Z1991" s="632"/>
    </row>
    <row r="1992" spans="1:26" s="439" customFormat="1" ht="15">
      <c r="A1992" s="431"/>
      <c r="B1992" s="431"/>
      <c r="C1992" s="437"/>
      <c r="D1992" s="438" t="s">
        <v>1948</v>
      </c>
      <c r="F1992" s="624"/>
      <c r="G1992" s="624"/>
      <c r="H1992" s="624"/>
      <c r="I1992" s="633">
        <f>SUM(N1992:Z1992)</f>
        <v>0.99999999999999989</v>
      </c>
      <c r="J1992" s="629"/>
      <c r="L1992" s="416"/>
      <c r="M1992" s="416"/>
      <c r="N1992" s="633">
        <f>N1989/$I$1989</f>
        <v>0.22622599324191078</v>
      </c>
      <c r="O1992" s="416"/>
      <c r="P1992" s="633">
        <f>P1989/$I$1989</f>
        <v>0.17852101785324945</v>
      </c>
      <c r="Q1992" s="416"/>
      <c r="R1992" s="634">
        <f>SUM(R1990:Z1990)</f>
        <v>0.59525298890483969</v>
      </c>
      <c r="S1992" s="635"/>
      <c r="T1992" s="636"/>
      <c r="U1992" s="636"/>
      <c r="V1992" s="637"/>
      <c r="W1992" s="635"/>
      <c r="X1992" s="637"/>
      <c r="Y1992" s="635"/>
      <c r="Z1992" s="638"/>
    </row>
    <row r="1993" spans="1:26" s="439" customFormat="1" ht="15">
      <c r="A1993" s="431"/>
      <c r="B1993" s="431"/>
      <c r="C1993" s="437"/>
      <c r="D1993" s="438"/>
      <c r="F1993" s="624"/>
      <c r="G1993" s="624"/>
      <c r="H1993" s="624"/>
      <c r="I1993" s="628"/>
      <c r="J1993" s="629"/>
      <c r="L1993" s="416"/>
      <c r="M1993" s="639"/>
      <c r="N1993" s="639"/>
      <c r="O1993" s="416"/>
      <c r="P1993" s="628"/>
      <c r="Q1993" s="416"/>
      <c r="R1993" s="628"/>
      <c r="S1993" s="640"/>
      <c r="T1993" s="416"/>
      <c r="U1993" s="416"/>
      <c r="V1993" s="628"/>
      <c r="W1993" s="640"/>
      <c r="X1993" s="628"/>
      <c r="Y1993" s="640"/>
      <c r="Z1993" s="628"/>
    </row>
    <row r="1994" spans="1:26" s="439" customFormat="1" ht="15">
      <c r="A1994" s="431"/>
      <c r="B1994" s="431"/>
      <c r="C1994" s="437"/>
      <c r="D1994" s="246" t="s">
        <v>931</v>
      </c>
      <c r="F1994" s="624"/>
      <c r="G1994" s="624"/>
      <c r="H1994" s="624"/>
      <c r="I1994" s="628"/>
      <c r="J1994" s="629"/>
      <c r="L1994" s="416"/>
      <c r="M1994" s="639"/>
      <c r="N1994" s="639"/>
      <c r="O1994" s="416"/>
      <c r="P1994" s="628"/>
      <c r="Q1994" s="416"/>
      <c r="R1994" s="628"/>
      <c r="S1994" s="640"/>
      <c r="T1994" s="416"/>
      <c r="U1994" s="416"/>
      <c r="V1994" s="628"/>
      <c r="W1994" s="640"/>
      <c r="X1994" s="628"/>
      <c r="Y1994" s="640"/>
      <c r="Z1994" s="628"/>
    </row>
    <row r="1995" spans="1:26" s="439" customFormat="1" ht="15">
      <c r="A1995" s="431"/>
      <c r="B1995" s="431"/>
      <c r="C1995" s="437"/>
      <c r="D1995" s="438"/>
      <c r="F1995" s="624"/>
      <c r="G1995" s="624"/>
      <c r="H1995" s="624"/>
      <c r="I1995" s="628"/>
      <c r="J1995" s="629"/>
      <c r="L1995" s="416"/>
      <c r="M1995" s="416"/>
      <c r="N1995" s="628"/>
      <c r="O1995" s="416"/>
      <c r="P1995" s="628"/>
      <c r="Q1995" s="416"/>
      <c r="R1995" s="628"/>
      <c r="S1995" s="640"/>
      <c r="T1995" s="416"/>
      <c r="U1995" s="416"/>
      <c r="V1995" s="628"/>
      <c r="W1995" s="640"/>
      <c r="X1995" s="628"/>
      <c r="Y1995" s="640"/>
      <c r="Z1995" s="628"/>
    </row>
    <row r="1996" spans="1:26" s="439" customFormat="1" ht="30">
      <c r="A1996" s="616" t="s">
        <v>1942</v>
      </c>
      <c r="B1996" s="431"/>
      <c r="C1996" s="437"/>
      <c r="D1996" s="438" t="s">
        <v>502</v>
      </c>
      <c r="F1996" s="624"/>
      <c r="G1996" s="624"/>
      <c r="H1996" s="624"/>
      <c r="I1996" s="416">
        <f>SUM(N1996:Z1996)</f>
        <v>97043.245500000005</v>
      </c>
      <c r="J1996" s="629"/>
      <c r="L1996" s="416"/>
      <c r="M1996" s="416"/>
      <c r="N1996" s="416">
        <f>N1989*5/100</f>
        <v>18628.182499999999</v>
      </c>
      <c r="O1996" s="416"/>
      <c r="P1996" s="416">
        <f>P1989*10/100</f>
        <v>29400.000000000004</v>
      </c>
      <c r="Q1996" s="416"/>
      <c r="R1996" s="416">
        <f>R1989*5/100</f>
        <v>16253.594500000001</v>
      </c>
      <c r="S1996" s="416"/>
      <c r="T1996" s="416">
        <f>T1989*5/100</f>
        <v>542.18099999999993</v>
      </c>
      <c r="U1996" s="416"/>
      <c r="V1996" s="416">
        <f>V1989*5/100</f>
        <v>18711.825000000001</v>
      </c>
      <c r="W1996" s="640"/>
      <c r="X1996" s="416">
        <f>X1989*5/100</f>
        <v>1521.2579999999998</v>
      </c>
      <c r="Y1996" s="640"/>
      <c r="Z1996" s="416">
        <f>Z1989*5/100</f>
        <v>11986.204500000002</v>
      </c>
    </row>
    <row r="1997" spans="1:26" s="439" customFormat="1" ht="27.75">
      <c r="A1997" s="616" t="s">
        <v>1943</v>
      </c>
      <c r="B1997" s="431"/>
      <c r="C1997" s="437"/>
      <c r="D1997" s="438" t="s">
        <v>2160</v>
      </c>
      <c r="F1997" s="624"/>
      <c r="G1997" s="624"/>
      <c r="H1997" s="624"/>
      <c r="I1997" s="416">
        <f>SpeseTecniche!F190</f>
        <v>142531.85</v>
      </c>
      <c r="J1997" s="629">
        <f>SUM(N1997:Z1997)</f>
        <v>142531.85</v>
      </c>
      <c r="L1997" s="416"/>
      <c r="M1997" s="416"/>
      <c r="N1997" s="416">
        <f>$I$1997*N1992</f>
        <v>32244.409334857042</v>
      </c>
      <c r="O1997" s="416"/>
      <c r="P1997" s="416">
        <f>$I$1997*P1992</f>
        <v>25444.930938506674</v>
      </c>
      <c r="Q1997" s="416"/>
      <c r="R1997" s="416">
        <f>$I$1997*R1990</f>
        <v>28134.121738434817</v>
      </c>
      <c r="S1997" s="416"/>
      <c r="T1997" s="416">
        <f>$I$1997*T1990</f>
        <v>938.48694565785593</v>
      </c>
      <c r="U1997" s="416"/>
      <c r="V1997" s="416">
        <f>$I$1997*V1990</f>
        <v>32389.190126423298</v>
      </c>
      <c r="W1997" s="640"/>
      <c r="X1997" s="416">
        <f>$I$1997*X1990</f>
        <v>2633.2180101803251</v>
      </c>
      <c r="Y1997" s="640"/>
      <c r="Z1997" s="416">
        <f>$I$1997*Z1990</f>
        <v>20747.492905939995</v>
      </c>
    </row>
    <row r="1998" spans="1:26" s="439" customFormat="1" ht="15">
      <c r="A1998" s="616" t="s">
        <v>1944</v>
      </c>
      <c r="B1998" s="431"/>
      <c r="C1998" s="437"/>
      <c r="D1998" s="438" t="s">
        <v>1006</v>
      </c>
      <c r="F1998" s="624"/>
      <c r="G1998" s="624"/>
      <c r="H1998" s="624"/>
      <c r="I1998" s="416">
        <v>6000</v>
      </c>
      <c r="J1998" s="629">
        <f>SUM(N1998:Z1998)</f>
        <v>5999.9999999999991</v>
      </c>
      <c r="L1998" s="416"/>
      <c r="M1998" s="416"/>
      <c r="N1998" s="416">
        <f>$I$1998*N1992</f>
        <v>1357.3559594514647</v>
      </c>
      <c r="O1998" s="416"/>
      <c r="P1998" s="416">
        <f>$I$1998*P1992</f>
        <v>1071.1261071194967</v>
      </c>
      <c r="Q1998" s="416"/>
      <c r="R1998" s="416">
        <f>$I$1998*R1990</f>
        <v>1184.3298913934598</v>
      </c>
      <c r="S1998" s="416"/>
      <c r="T1998" s="416">
        <f>$I$1998*T1990</f>
        <v>39.5064097880378</v>
      </c>
      <c r="U1998" s="416"/>
      <c r="V1998" s="416">
        <f>$I$1998*V1990</f>
        <v>1363.4506305681136</v>
      </c>
      <c r="W1998" s="640"/>
      <c r="X1998" s="416">
        <f>$I$1998*X1990</f>
        <v>110.84756186832591</v>
      </c>
      <c r="Y1998" s="640"/>
      <c r="Z1998" s="416">
        <f>$I$1998*Z1990</f>
        <v>873.38343981110154</v>
      </c>
    </row>
    <row r="1999" spans="1:26" s="439" customFormat="1" ht="15">
      <c r="A1999" s="431"/>
      <c r="B1999" s="431"/>
      <c r="C1999" s="437"/>
      <c r="D1999" s="438"/>
      <c r="F1999" s="624"/>
      <c r="G1999" s="624"/>
      <c r="H1999" s="624"/>
      <c r="I1999" s="416"/>
      <c r="J1999" s="629"/>
      <c r="L1999" s="416"/>
      <c r="M1999" s="416"/>
      <c r="N1999" s="416"/>
      <c r="O1999" s="416"/>
      <c r="P1999" s="416"/>
      <c r="Q1999" s="416"/>
      <c r="R1999" s="416"/>
      <c r="S1999" s="416"/>
      <c r="T1999" s="416"/>
      <c r="U1999" s="416"/>
      <c r="V1999" s="416"/>
      <c r="W1999" s="640"/>
      <c r="X1999" s="416"/>
      <c r="Y1999" s="640"/>
      <c r="Z1999" s="416"/>
    </row>
    <row r="2000" spans="1:26" s="439" customFormat="1" ht="15.75">
      <c r="A2000" s="431"/>
      <c r="B2000" s="431"/>
      <c r="C2000" s="437"/>
      <c r="D2000" s="430" t="s">
        <v>2380</v>
      </c>
      <c r="F2000" s="624"/>
      <c r="G2000" s="624"/>
      <c r="H2000" s="624"/>
      <c r="I2000" s="434">
        <f>I1996+I1997+I1998</f>
        <v>245575.0955</v>
      </c>
      <c r="J2000" s="629"/>
      <c r="L2000" s="416"/>
      <c r="M2000" s="416"/>
      <c r="N2000" s="434">
        <f>N1996+N1997+N1998</f>
        <v>52229.947794308508</v>
      </c>
      <c r="O2000" s="416"/>
      <c r="P2000" s="434">
        <f>P1996+P1997+P1998</f>
        <v>55916.05704562617</v>
      </c>
      <c r="Q2000" s="416"/>
      <c r="R2000" s="434">
        <f>R1996+R1997+R1998</f>
        <v>45572.046129828283</v>
      </c>
      <c r="S2000" s="416"/>
      <c r="T2000" s="434">
        <f>T1996+T1997+T1998</f>
        <v>1520.1743554458938</v>
      </c>
      <c r="U2000" s="416"/>
      <c r="V2000" s="434">
        <f>V1996+V1997+V1998</f>
        <v>52464.465756991412</v>
      </c>
      <c r="W2000" s="640"/>
      <c r="X2000" s="434">
        <f>X1996+X1997+X1998</f>
        <v>4265.3235720486509</v>
      </c>
      <c r="Y2000" s="640"/>
      <c r="Z2000" s="434">
        <f>Z1996+Z1997+Z1998</f>
        <v>33607.080845751094</v>
      </c>
    </row>
    <row r="2001" spans="1:26" s="439" customFormat="1" ht="15.75">
      <c r="A2001" s="431"/>
      <c r="B2001" s="431"/>
      <c r="C2001" s="437"/>
      <c r="D2001" s="430"/>
      <c r="F2001" s="624"/>
      <c r="G2001" s="624"/>
      <c r="H2001" s="624"/>
      <c r="I2001" s="434"/>
      <c r="J2001" s="629"/>
      <c r="L2001" s="416"/>
      <c r="M2001" s="416"/>
      <c r="N2001" s="434"/>
      <c r="O2001" s="416"/>
      <c r="P2001" s="434"/>
      <c r="Q2001" s="416"/>
      <c r="R2001" s="434"/>
      <c r="S2001" s="416"/>
      <c r="T2001" s="434"/>
      <c r="U2001" s="416"/>
      <c r="V2001" s="434"/>
      <c r="W2001" s="640"/>
      <c r="X2001" s="434"/>
      <c r="Y2001" s="640"/>
      <c r="Z2001" s="434"/>
    </row>
    <row r="2002" spans="1:26" s="439" customFormat="1" ht="15.75">
      <c r="A2002" s="431"/>
      <c r="B2002" s="431"/>
      <c r="C2002" s="437"/>
      <c r="D2002" s="430" t="s">
        <v>2384</v>
      </c>
      <c r="F2002" s="624"/>
      <c r="G2002" s="624"/>
      <c r="H2002" s="624"/>
      <c r="I2002" s="434">
        <f>I1989+I2000</f>
        <v>1892440.0055000002</v>
      </c>
      <c r="J2002" s="629"/>
      <c r="L2002" s="416"/>
      <c r="M2002" s="416"/>
      <c r="N2002" s="434">
        <f>N1989+N2000</f>
        <v>424793.59779430856</v>
      </c>
      <c r="O2002" s="416"/>
      <c r="P2002" s="434">
        <f>P1989+P2000</f>
        <v>349916.05704562622</v>
      </c>
      <c r="Q2002" s="416"/>
      <c r="R2002" s="434">
        <f>R1989+R2000</f>
        <v>370643.93612982827</v>
      </c>
      <c r="S2002" s="416"/>
      <c r="T2002" s="434">
        <f>T1989+T2000</f>
        <v>12363.794355445893</v>
      </c>
      <c r="U2002" s="416"/>
      <c r="V2002" s="434">
        <f>V1989+V2000</f>
        <v>426700.96575699141</v>
      </c>
      <c r="W2002" s="640"/>
      <c r="X2002" s="434">
        <f>X1989+X2000</f>
        <v>34690.483572048652</v>
      </c>
      <c r="Y2002" s="640"/>
      <c r="Z2002" s="434">
        <f>Z1989+Z2000</f>
        <v>273331.17084575113</v>
      </c>
    </row>
    <row r="2003" spans="1:26" s="439" customFormat="1" ht="15">
      <c r="A2003" s="431"/>
      <c r="B2003" s="431"/>
      <c r="C2003" s="437"/>
      <c r="D2003" s="438"/>
      <c r="F2003" s="624"/>
      <c r="G2003" s="624"/>
      <c r="H2003" s="624"/>
      <c r="I2003" s="416"/>
      <c r="J2003" s="629"/>
      <c r="L2003" s="639"/>
      <c r="M2003" s="639"/>
      <c r="N2003" s="639"/>
      <c r="O2003" s="639"/>
      <c r="P2003" s="639"/>
      <c r="Q2003" s="639"/>
      <c r="R2003" s="639"/>
      <c r="S2003" s="639"/>
      <c r="T2003" s="639"/>
      <c r="U2003" s="639"/>
      <c r="V2003" s="639"/>
      <c r="W2003" s="639"/>
      <c r="X2003" s="416"/>
      <c r="Y2003" s="640"/>
      <c r="Z2003" s="416"/>
    </row>
    <row r="2004" spans="1:26" s="439" customFormat="1" ht="15">
      <c r="A2004" s="431"/>
      <c r="B2004" s="431"/>
      <c r="C2004" s="437"/>
      <c r="D2004" s="438" t="s">
        <v>2383</v>
      </c>
      <c r="E2004" s="673">
        <v>0.1</v>
      </c>
      <c r="F2004" s="624"/>
      <c r="G2004" s="624"/>
      <c r="H2004" s="624"/>
      <c r="I2004" s="416">
        <f>(I1989+I1996)*E2004</f>
        <v>174390.81555000003</v>
      </c>
      <c r="J2004" s="629"/>
      <c r="L2004" s="416"/>
      <c r="M2004" s="639"/>
      <c r="N2004" s="416">
        <f>(N1989+N1996)*E2004</f>
        <v>39119.183250000002</v>
      </c>
      <c r="O2004" s="416"/>
      <c r="P2004" s="416">
        <f>(P1989+P1996)*E2004</f>
        <v>32340.000000000007</v>
      </c>
      <c r="Q2004" s="416"/>
      <c r="R2004" s="416">
        <f>(R1989+R1996)*E2004</f>
        <v>34132.548450000002</v>
      </c>
      <c r="S2004" s="416"/>
      <c r="T2004" s="416">
        <f>(T1989+T1996)*E2004</f>
        <v>1138.5800999999999</v>
      </c>
      <c r="U2004" s="416"/>
      <c r="V2004" s="416">
        <f>(V1989+V1996)*E2004</f>
        <v>39294.832500000004</v>
      </c>
      <c r="W2004" s="640"/>
      <c r="X2004" s="416">
        <f>(X1989+X1996)*E2004</f>
        <v>3194.6417999999999</v>
      </c>
      <c r="Y2004" s="640"/>
      <c r="Z2004" s="416">
        <f>(Z1989+Z1996)*E2004</f>
        <v>25171.029450000005</v>
      </c>
    </row>
    <row r="2005" spans="1:26" s="439" customFormat="1" ht="15">
      <c r="A2005" s="431"/>
      <c r="B2005" s="431"/>
      <c r="C2005" s="437"/>
      <c r="D2005" s="438" t="s">
        <v>2381</v>
      </c>
      <c r="E2005" s="673">
        <v>0.22</v>
      </c>
      <c r="F2005" s="624"/>
      <c r="G2005" s="624"/>
      <c r="H2005" s="624"/>
      <c r="I2005" s="416">
        <f>(I1997+I1998)*E2005</f>
        <v>32677.007000000001</v>
      </c>
      <c r="J2005" s="629">
        <f>SUM(N2005:Z2005)</f>
        <v>32677.007000000001</v>
      </c>
      <c r="L2005" s="416"/>
      <c r="M2005" s="639"/>
      <c r="N2005" s="416">
        <f>(N1997+N1998)*E2005</f>
        <v>7392.3883647478715</v>
      </c>
      <c r="O2005" s="416"/>
      <c r="P2005" s="416">
        <f>(P1997+P1998)*E2005</f>
        <v>5833.5325500377576</v>
      </c>
      <c r="Q2005" s="416"/>
      <c r="R2005" s="416">
        <f>(R1997+R1998)*E2005</f>
        <v>6450.059358562221</v>
      </c>
      <c r="S2005" s="416"/>
      <c r="T2005" s="416">
        <f>(T1997+T1998)*E2005</f>
        <v>215.15853819809661</v>
      </c>
      <c r="U2005" s="416"/>
      <c r="V2005" s="416">
        <f>(V1997+V1998)*E2005</f>
        <v>7425.5809665381112</v>
      </c>
      <c r="W2005" s="640"/>
      <c r="X2005" s="416">
        <f>(X1997+X1998)*E2005</f>
        <v>603.69442585070328</v>
      </c>
      <c r="Y2005" s="640"/>
      <c r="Z2005" s="416">
        <f>(Z1997+Z1998)*E2005</f>
        <v>4756.5927960652416</v>
      </c>
    </row>
    <row r="2006" spans="1:26" s="439" customFormat="1" ht="15">
      <c r="A2006" s="431"/>
      <c r="B2006" s="431"/>
      <c r="C2006" s="437"/>
      <c r="D2006" s="438"/>
      <c r="F2006" s="624"/>
      <c r="G2006" s="624"/>
      <c r="H2006" s="624"/>
      <c r="I2006" s="416"/>
      <c r="J2006" s="629"/>
      <c r="L2006" s="416"/>
      <c r="M2006" s="639"/>
      <c r="N2006" s="416"/>
      <c r="O2006" s="416"/>
      <c r="P2006" s="416"/>
      <c r="Q2006" s="416"/>
      <c r="R2006" s="416"/>
      <c r="S2006" s="416"/>
      <c r="T2006" s="416"/>
      <c r="U2006" s="416"/>
      <c r="V2006" s="416"/>
      <c r="W2006" s="640"/>
      <c r="X2006" s="416"/>
      <c r="Y2006" s="640"/>
      <c r="Z2006" s="416"/>
    </row>
    <row r="2007" spans="1:26" s="439" customFormat="1" ht="15">
      <c r="A2007" s="431"/>
      <c r="B2007" s="431"/>
      <c r="C2007" s="437"/>
      <c r="D2007" s="438"/>
      <c r="F2007" s="624"/>
      <c r="G2007" s="624"/>
      <c r="H2007" s="624"/>
      <c r="I2007" s="416"/>
      <c r="J2007" s="629"/>
      <c r="L2007" s="416"/>
      <c r="M2007" s="416"/>
      <c r="N2007" s="416"/>
      <c r="O2007" s="416"/>
      <c r="P2007" s="416"/>
      <c r="Q2007" s="416"/>
      <c r="R2007" s="416"/>
      <c r="S2007" s="416"/>
      <c r="T2007" s="416"/>
      <c r="U2007" s="416"/>
      <c r="V2007" s="416"/>
      <c r="W2007" s="640"/>
      <c r="X2007" s="416"/>
      <c r="Y2007" s="640"/>
      <c r="Z2007" s="416"/>
    </row>
    <row r="2008" spans="1:26" s="439" customFormat="1" ht="15.75">
      <c r="A2008" s="431"/>
      <c r="B2008" s="431"/>
      <c r="C2008" s="437"/>
      <c r="D2008" s="430" t="s">
        <v>2385</v>
      </c>
      <c r="F2008" s="624"/>
      <c r="G2008" s="624"/>
      <c r="H2008" s="624"/>
      <c r="I2008" s="618">
        <f>I2002+I2004+I2005</f>
        <v>2099507.8280500001</v>
      </c>
      <c r="J2008" s="629">
        <f>SUM(N2008:Z2008)</f>
        <v>2099507.8280500001</v>
      </c>
      <c r="L2008" s="416"/>
      <c r="M2008" s="416"/>
      <c r="N2008" s="620">
        <f>N2002+N2004+N2005</f>
        <v>471305.16940905643</v>
      </c>
      <c r="O2008" s="416"/>
      <c r="P2008" s="621">
        <f>P2002+P2004+P2005</f>
        <v>388089.589595664</v>
      </c>
      <c r="Q2008" s="416"/>
      <c r="R2008" s="622">
        <f>R2002+R2004+R2005</f>
        <v>411226.5439383905</v>
      </c>
      <c r="S2008" s="416"/>
      <c r="T2008" s="622">
        <f>T2002+T2004+T2005</f>
        <v>13717.532993643988</v>
      </c>
      <c r="U2008" s="416"/>
      <c r="V2008" s="622">
        <f>V2002+V2004+V2005</f>
        <v>473421.37922352954</v>
      </c>
      <c r="W2008" s="640"/>
      <c r="X2008" s="622">
        <f>X2002+X2004+X2005</f>
        <v>38488.819797899356</v>
      </c>
      <c r="Y2008" s="640"/>
      <c r="Z2008" s="622">
        <f>Z2002+Z2004+Z2005</f>
        <v>303258.79309181642</v>
      </c>
    </row>
    <row r="2009" spans="1:26" ht="15">
      <c r="A2009" s="191"/>
      <c r="B2009" s="191"/>
      <c r="C2009" s="384"/>
      <c r="F2009" s="935" t="s">
        <v>1806</v>
      </c>
      <c r="G2009" s="941"/>
      <c r="H2009" s="941"/>
      <c r="I2009" s="942"/>
      <c r="J2009" s="221"/>
      <c r="L2009" s="287"/>
      <c r="M2009" s="185" t="s">
        <v>2466</v>
      </c>
      <c r="N2009" s="185"/>
      <c r="O2009" s="502" t="s">
        <v>2467</v>
      </c>
      <c r="P2009" s="502"/>
      <c r="Q2009" s="641" t="s">
        <v>2468</v>
      </c>
      <c r="R2009" s="641"/>
      <c r="S2009" s="641" t="s">
        <v>2468</v>
      </c>
      <c r="T2009" s="641"/>
      <c r="U2009" s="641" t="s">
        <v>2469</v>
      </c>
      <c r="V2009" s="641"/>
      <c r="W2009" s="641" t="s">
        <v>341</v>
      </c>
      <c r="X2009" s="641"/>
      <c r="Y2009" s="641" t="s">
        <v>2470</v>
      </c>
      <c r="Z2009" s="641"/>
    </row>
    <row r="2010" spans="1:26" ht="15">
      <c r="A2010" s="191"/>
      <c r="B2010" s="191"/>
      <c r="C2010" s="384"/>
      <c r="F2010" s="943"/>
      <c r="G2010" s="944"/>
      <c r="H2010" s="944"/>
      <c r="I2010" s="945"/>
      <c r="J2010" s="221"/>
      <c r="L2010" s="287"/>
      <c r="M2010" s="184" t="s">
        <v>1806</v>
      </c>
      <c r="N2010" s="184"/>
      <c r="O2010" s="184"/>
      <c r="P2010" s="184"/>
      <c r="Q2010" s="184"/>
      <c r="R2010" s="184"/>
      <c r="S2010" s="184"/>
      <c r="T2010" s="184"/>
      <c r="U2010" s="184"/>
      <c r="V2010" s="184"/>
      <c r="W2010" s="184"/>
      <c r="X2010" s="184"/>
      <c r="Y2010" s="184"/>
      <c r="Z2010" s="184"/>
    </row>
    <row r="2011" spans="1:26" ht="15.75">
      <c r="A2011" s="191"/>
      <c r="B2011" s="191"/>
      <c r="C2011" s="384"/>
      <c r="D2011" s="183"/>
      <c r="F2011" s="286"/>
      <c r="G2011" s="286"/>
      <c r="H2011" s="286"/>
      <c r="I2011" s="221"/>
      <c r="J2011" s="221"/>
      <c r="L2011" s="287"/>
      <c r="M2011" s="221"/>
      <c r="N2011" s="286"/>
      <c r="O2011" s="286"/>
      <c r="P2011" s="286"/>
      <c r="Q2011" s="932">
        <f>R2008+T2008+V2008+X2008+Z2008</f>
        <v>1240113.0690452799</v>
      </c>
      <c r="R2011" s="933"/>
      <c r="S2011" s="933"/>
      <c r="T2011" s="933"/>
      <c r="U2011" s="933"/>
      <c r="V2011" s="933"/>
      <c r="W2011" s="933"/>
      <c r="X2011" s="933"/>
      <c r="Y2011" s="933"/>
      <c r="Z2011" s="934"/>
    </row>
    <row r="2012" spans="1:26" ht="15.75">
      <c r="A2012" s="191"/>
      <c r="B2012" s="191"/>
      <c r="C2012" s="384"/>
      <c r="D2012" s="427" t="s">
        <v>1971</v>
      </c>
      <c r="F2012" s="286"/>
      <c r="G2012" s="286"/>
      <c r="H2012" s="286"/>
      <c r="I2012" s="221"/>
      <c r="J2012" s="221"/>
      <c r="L2012" s="287"/>
      <c r="M2012" s="221"/>
      <c r="N2012" s="642">
        <f>N2008/I2008</f>
        <v>0.22448364474392055</v>
      </c>
      <c r="O2012" s="354"/>
      <c r="P2012" s="642">
        <f>P2008/I2008</f>
        <v>0.18484788882931547</v>
      </c>
      <c r="Q2012" s="643">
        <f>Q2011/I2008</f>
        <v>0.59066846642676407</v>
      </c>
      <c r="R2012" s="644"/>
      <c r="S2012" s="644"/>
      <c r="T2012" s="644"/>
      <c r="U2012" s="644"/>
      <c r="V2012" s="644"/>
      <c r="W2012" s="644"/>
      <c r="X2012" s="644"/>
      <c r="Y2012" s="644"/>
      <c r="Z2012" s="645"/>
    </row>
    <row r="2013" spans="1:26" ht="15">
      <c r="A2013" s="191"/>
      <c r="B2013" s="191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 s="219"/>
    </row>
    <row r="2014" spans="1:26" ht="15">
      <c r="A2014" s="191"/>
      <c r="B2014" s="191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 s="219"/>
    </row>
    <row r="2015" spans="1:26" ht="15">
      <c r="A2015" s="191"/>
      <c r="B2015" s="191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 s="219"/>
    </row>
    <row r="2016" spans="1:2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spans="2:17" customFormat="1"/>
    <row r="2210" spans="2:17" customFormat="1"/>
    <row r="2211" spans="2:17" customFormat="1"/>
    <row r="2212" spans="2:17" customFormat="1"/>
    <row r="2213" spans="2:17" customFormat="1"/>
    <row r="2214" spans="2:17" customFormat="1"/>
    <row r="2215" spans="2:17" customFormat="1"/>
    <row r="2216" spans="2:17" customFormat="1"/>
    <row r="2217" spans="2:17" customFormat="1"/>
    <row r="2218" spans="2:17" ht="15">
      <c r="B2218" s="191"/>
      <c r="L2218" s="287"/>
      <c r="Q2218" s="219"/>
    </row>
    <row r="2219" spans="2:17" ht="15">
      <c r="B2219" s="191"/>
      <c r="L2219" s="287"/>
      <c r="Q2219" s="219"/>
    </row>
    <row r="2220" spans="2:17" ht="15">
      <c r="B2220" s="191"/>
      <c r="L2220" s="287"/>
      <c r="Q2220" s="219"/>
    </row>
    <row r="2221" spans="2:17" ht="15">
      <c r="B2221" s="191"/>
      <c r="L2221" s="287"/>
      <c r="Q2221" s="219"/>
    </row>
    <row r="2222" spans="2:17" ht="15">
      <c r="B2222" s="191"/>
      <c r="L2222" s="287"/>
      <c r="Q2222" s="219"/>
    </row>
    <row r="2223" spans="2:17" ht="15">
      <c r="B2223" s="191"/>
      <c r="L2223" s="287"/>
      <c r="Q2223" s="219"/>
    </row>
    <row r="2224" spans="2:17" ht="15">
      <c r="B2224" s="191"/>
      <c r="L2224" s="287"/>
      <c r="Q2224" s="219"/>
    </row>
    <row r="2225" spans="2:17" ht="15">
      <c r="B2225" s="191"/>
      <c r="L2225" s="287"/>
      <c r="Q2225" s="219"/>
    </row>
    <row r="2226" spans="2:17" ht="15">
      <c r="B2226" s="191"/>
      <c r="L2226" s="287"/>
      <c r="Q2226" s="219"/>
    </row>
    <row r="2227" spans="2:17" ht="15">
      <c r="B2227" s="191"/>
      <c r="L2227" s="287"/>
      <c r="Q2227" s="219"/>
    </row>
    <row r="2228" spans="2:17" ht="15">
      <c r="B2228" s="191"/>
      <c r="L2228" s="287"/>
      <c r="Q2228" s="219"/>
    </row>
    <row r="2229" spans="2:17" ht="15">
      <c r="B2229" s="191"/>
      <c r="L2229" s="287"/>
    </row>
    <row r="2230" spans="2:17" ht="15">
      <c r="B2230" s="191"/>
      <c r="L2230" s="287"/>
    </row>
    <row r="2231" spans="2:17" ht="15">
      <c r="B2231" s="191"/>
      <c r="L2231" s="287"/>
    </row>
    <row r="2232" spans="2:17" ht="15">
      <c r="B2232" s="191"/>
      <c r="L2232" s="287"/>
    </row>
    <row r="2233" spans="2:17" ht="15">
      <c r="B2233" s="191"/>
      <c r="L2233" s="287"/>
    </row>
    <row r="2234" spans="2:17" ht="15">
      <c r="B2234" s="191"/>
      <c r="L2234" s="287"/>
    </row>
    <row r="2235" spans="2:17" ht="15">
      <c r="B2235" s="191"/>
      <c r="L2235" s="287"/>
    </row>
    <row r="2236" spans="2:17" ht="15">
      <c r="B2236" s="191"/>
      <c r="L2236" s="287"/>
    </row>
    <row r="2237" spans="2:17" ht="15">
      <c r="B2237" s="191"/>
      <c r="L2237" s="287"/>
    </row>
    <row r="2238" spans="2:17" ht="15">
      <c r="B2238" s="191"/>
      <c r="L2238" s="287"/>
    </row>
    <row r="2239" spans="2:17" ht="15">
      <c r="B2239" s="191"/>
      <c r="L2239" s="287"/>
    </row>
    <row r="2240" spans="2:17" ht="15">
      <c r="B2240" s="191"/>
      <c r="L2240" s="287"/>
    </row>
    <row r="2241" spans="2:12" ht="15">
      <c r="B2241" s="191"/>
      <c r="L2241" s="287"/>
    </row>
    <row r="2242" spans="2:12" ht="15">
      <c r="B2242" s="191"/>
      <c r="L2242" s="287"/>
    </row>
    <row r="2243" spans="2:12" ht="15">
      <c r="B2243" s="191"/>
      <c r="L2243" s="287"/>
    </row>
    <row r="2244" spans="2:12" ht="15">
      <c r="B2244" s="191"/>
      <c r="L2244" s="287"/>
    </row>
    <row r="2245" spans="2:12" ht="15">
      <c r="B2245" s="191"/>
      <c r="L2245" s="287"/>
    </row>
    <row r="2246" spans="2:12" ht="15">
      <c r="B2246" s="191"/>
      <c r="L2246" s="287"/>
    </row>
    <row r="2247" spans="2:12" ht="15">
      <c r="B2247" s="191"/>
      <c r="L2247" s="287"/>
    </row>
    <row r="2248" spans="2:12" ht="15">
      <c r="B2248" s="191"/>
      <c r="L2248" s="287"/>
    </row>
    <row r="2249" spans="2:12" ht="15">
      <c r="B2249" s="191"/>
      <c r="L2249" s="287"/>
    </row>
    <row r="2250" spans="2:12" ht="15">
      <c r="B2250" s="191"/>
      <c r="L2250" s="287"/>
    </row>
    <row r="2251" spans="2:12" ht="15">
      <c r="B2251" s="191"/>
      <c r="L2251" s="287"/>
    </row>
    <row r="2252" spans="2:12" ht="15">
      <c r="B2252" s="191"/>
      <c r="L2252" s="287"/>
    </row>
    <row r="2253" spans="2:12" ht="15">
      <c r="B2253" s="191"/>
      <c r="L2253" s="287"/>
    </row>
    <row r="2254" spans="2:12" ht="15">
      <c r="B2254" s="191"/>
      <c r="L2254" s="287"/>
    </row>
    <row r="2255" spans="2:12" ht="15">
      <c r="B2255" s="191"/>
      <c r="L2255" s="287"/>
    </row>
    <row r="2256" spans="2:12" ht="15">
      <c r="B2256" s="191"/>
      <c r="L2256" s="287"/>
    </row>
    <row r="2257" spans="2:12" ht="15">
      <c r="B2257" s="191"/>
      <c r="L2257" s="287"/>
    </row>
    <row r="2258" spans="2:12" ht="15">
      <c r="B2258" s="191"/>
      <c r="L2258" s="287"/>
    </row>
    <row r="2259" spans="2:12" ht="15">
      <c r="B2259" s="191"/>
      <c r="L2259" s="287"/>
    </row>
    <row r="2260" spans="2:12" ht="15">
      <c r="B2260" s="191"/>
      <c r="L2260" s="287"/>
    </row>
    <row r="2261" spans="2:12" ht="15">
      <c r="B2261" s="191"/>
      <c r="L2261" s="287"/>
    </row>
    <row r="2262" spans="2:12" ht="15">
      <c r="B2262" s="191"/>
      <c r="L2262" s="287"/>
    </row>
    <row r="2263" spans="2:12" ht="15">
      <c r="B2263" s="191"/>
      <c r="L2263" s="287"/>
    </row>
    <row r="2264" spans="2:12" ht="15">
      <c r="B2264" s="191"/>
      <c r="L2264" s="287"/>
    </row>
    <row r="2265" spans="2:12" ht="15">
      <c r="B2265" s="191"/>
      <c r="L2265" s="287"/>
    </row>
    <row r="2266" spans="2:12">
      <c r="B2266" s="191"/>
    </row>
    <row r="2267" spans="2:12">
      <c r="B2267" s="191"/>
    </row>
    <row r="2268" spans="2:12">
      <c r="B2268" s="191"/>
    </row>
    <row r="2269" spans="2:12">
      <c r="B2269" s="191"/>
    </row>
    <row r="2270" spans="2:12">
      <c r="B2270" s="191"/>
    </row>
    <row r="2271" spans="2:12">
      <c r="B2271" s="191"/>
    </row>
    <row r="2272" spans="2:12">
      <c r="B2272" s="191"/>
    </row>
    <row r="2273" spans="2:2">
      <c r="B2273" s="191"/>
    </row>
    <row r="2274" spans="2:2">
      <c r="B2274" s="191"/>
    </row>
    <row r="2275" spans="2:2">
      <c r="B2275" s="191"/>
    </row>
    <row r="2276" spans="2:2">
      <c r="B2276" s="191"/>
    </row>
    <row r="2277" spans="2:2">
      <c r="B2277" s="191"/>
    </row>
    <row r="2278" spans="2:2">
      <c r="B2278" s="191"/>
    </row>
    <row r="2279" spans="2:2">
      <c r="B2279" s="191"/>
    </row>
    <row r="2280" spans="2:2">
      <c r="B2280" s="191"/>
    </row>
    <row r="2281" spans="2:2">
      <c r="B2281" s="191"/>
    </row>
    <row r="2282" spans="2:2">
      <c r="B2282" s="191"/>
    </row>
    <row r="2283" spans="2:2">
      <c r="B2283" s="191"/>
    </row>
    <row r="2284" spans="2:2">
      <c r="B2284" s="191"/>
    </row>
    <row r="2285" spans="2:2">
      <c r="B2285" s="191"/>
    </row>
    <row r="2286" spans="2:2">
      <c r="B2286" s="191"/>
    </row>
    <row r="2287" spans="2:2">
      <c r="B2287" s="191"/>
    </row>
    <row r="2288" spans="2:2">
      <c r="B2288" s="191"/>
    </row>
    <row r="2289" spans="2:2">
      <c r="B2289" s="191"/>
    </row>
    <row r="2290" spans="2:2">
      <c r="B2290" s="191"/>
    </row>
    <row r="2291" spans="2:2">
      <c r="B2291" s="191"/>
    </row>
    <row r="2292" spans="2:2">
      <c r="B2292" s="191"/>
    </row>
    <row r="2293" spans="2:2">
      <c r="B2293" s="191"/>
    </row>
    <row r="2294" spans="2:2">
      <c r="B2294" s="191"/>
    </row>
    <row r="2295" spans="2:2">
      <c r="B2295" s="191"/>
    </row>
    <row r="2296" spans="2:2">
      <c r="B2296" s="191"/>
    </row>
    <row r="2297" spans="2:2">
      <c r="B2297" s="191"/>
    </row>
    <row r="2298" spans="2:2">
      <c r="B2298" s="191"/>
    </row>
    <row r="2299" spans="2:2">
      <c r="B2299" s="191"/>
    </row>
    <row r="2300" spans="2:2">
      <c r="B2300" s="191"/>
    </row>
    <row r="2301" spans="2:2">
      <c r="B2301" s="191"/>
    </row>
    <row r="2302" spans="2:2">
      <c r="B2302" s="191"/>
    </row>
    <row r="2303" spans="2:2">
      <c r="B2303" s="191"/>
    </row>
    <row r="2304" spans="2:2">
      <c r="B2304" s="191"/>
    </row>
    <row r="2305" spans="2:2">
      <c r="B2305" s="191"/>
    </row>
    <row r="2306" spans="2:2">
      <c r="B2306" s="191"/>
    </row>
    <row r="2307" spans="2:2">
      <c r="B2307" s="191"/>
    </row>
    <row r="2308" spans="2:2">
      <c r="B2308" s="191"/>
    </row>
    <row r="2309" spans="2:2">
      <c r="B2309" s="191"/>
    </row>
    <row r="2310" spans="2:2">
      <c r="B2310" s="191"/>
    </row>
    <row r="2311" spans="2:2">
      <c r="B2311" s="191"/>
    </row>
    <row r="2312" spans="2:2">
      <c r="B2312" s="191"/>
    </row>
    <row r="2313" spans="2:2">
      <c r="B2313" s="191"/>
    </row>
    <row r="2314" spans="2:2">
      <c r="B2314" s="191"/>
    </row>
    <row r="2315" spans="2:2">
      <c r="B2315" s="191"/>
    </row>
    <row r="2316" spans="2:2">
      <c r="B2316" s="191"/>
    </row>
    <row r="2317" spans="2:2">
      <c r="B2317" s="191"/>
    </row>
    <row r="2318" spans="2:2">
      <c r="B2318" s="191"/>
    </row>
    <row r="2319" spans="2:2">
      <c r="B2319" s="191"/>
    </row>
    <row r="2320" spans="2:2">
      <c r="B2320" s="191"/>
    </row>
    <row r="2321" spans="2:2">
      <c r="B2321" s="191"/>
    </row>
    <row r="2322" spans="2:2">
      <c r="B2322" s="191"/>
    </row>
    <row r="2323" spans="2:2">
      <c r="B2323" s="191"/>
    </row>
    <row r="2324" spans="2:2">
      <c r="B2324" s="191"/>
    </row>
    <row r="2325" spans="2:2">
      <c r="B2325" s="191"/>
    </row>
    <row r="2326" spans="2:2">
      <c r="B2326" s="191"/>
    </row>
    <row r="2327" spans="2:2">
      <c r="B2327" s="191"/>
    </row>
    <row r="2328" spans="2:2">
      <c r="B2328" s="191"/>
    </row>
    <row r="2329" spans="2:2">
      <c r="B2329" s="191"/>
    </row>
    <row r="2330" spans="2:2">
      <c r="B2330" s="191"/>
    </row>
    <row r="2331" spans="2:2">
      <c r="B2331" s="191"/>
    </row>
    <row r="2332" spans="2:2">
      <c r="B2332" s="191"/>
    </row>
    <row r="2333" spans="2:2">
      <c r="B2333" s="191"/>
    </row>
    <row r="2334" spans="2:2">
      <c r="B2334" s="191"/>
    </row>
    <row r="2335" spans="2:2">
      <c r="B2335" s="191"/>
    </row>
    <row r="2336" spans="2:2">
      <c r="B2336" s="191"/>
    </row>
    <row r="2337" spans="2:2">
      <c r="B2337" s="191"/>
    </row>
    <row r="2338" spans="2:2">
      <c r="B2338" s="191"/>
    </row>
    <row r="2339" spans="2:2">
      <c r="B2339" s="191"/>
    </row>
    <row r="2340" spans="2:2">
      <c r="B2340" s="191"/>
    </row>
    <row r="2341" spans="2:2">
      <c r="B2341" s="191"/>
    </row>
    <row r="2342" spans="2:2">
      <c r="B2342" s="191"/>
    </row>
    <row r="2343" spans="2:2">
      <c r="B2343" s="191"/>
    </row>
    <row r="2344" spans="2:2">
      <c r="B2344" s="191"/>
    </row>
    <row r="2345" spans="2:2">
      <c r="B2345" s="191"/>
    </row>
    <row r="2346" spans="2:2">
      <c r="B2346" s="191"/>
    </row>
    <row r="2347" spans="2:2">
      <c r="B2347" s="191"/>
    </row>
    <row r="2348" spans="2:2">
      <c r="B2348" s="191"/>
    </row>
    <row r="2349" spans="2:2">
      <c r="B2349" s="191"/>
    </row>
    <row r="2350" spans="2:2">
      <c r="B2350" s="191"/>
    </row>
    <row r="2351" spans="2:2">
      <c r="B2351" s="191"/>
    </row>
    <row r="2352" spans="2:2">
      <c r="B2352" s="191"/>
    </row>
    <row r="2353" spans="2:2">
      <c r="B2353" s="191"/>
    </row>
    <row r="2354" spans="2:2">
      <c r="B2354" s="191"/>
    </row>
    <row r="2355" spans="2:2">
      <c r="B2355" s="191"/>
    </row>
    <row r="2356" spans="2:2">
      <c r="B2356" s="191"/>
    </row>
    <row r="2357" spans="2:2">
      <c r="B2357" s="191"/>
    </row>
    <row r="2358" spans="2:2">
      <c r="B2358" s="191"/>
    </row>
    <row r="2359" spans="2:2">
      <c r="B2359" s="191"/>
    </row>
    <row r="2360" spans="2:2">
      <c r="B2360" s="191"/>
    </row>
    <row r="2361" spans="2:2">
      <c r="B2361" s="191"/>
    </row>
    <row r="2362" spans="2:2">
      <c r="B2362" s="191"/>
    </row>
    <row r="2363" spans="2:2">
      <c r="B2363" s="191"/>
    </row>
    <row r="2364" spans="2:2">
      <c r="B2364" s="191"/>
    </row>
    <row r="2365" spans="2:2">
      <c r="B2365" s="191"/>
    </row>
    <row r="2366" spans="2:2">
      <c r="B2366" s="191"/>
    </row>
    <row r="2367" spans="2:2">
      <c r="B2367" s="191"/>
    </row>
    <row r="2368" spans="2:2">
      <c r="B2368" s="191"/>
    </row>
    <row r="2369" spans="2:2">
      <c r="B2369" s="191"/>
    </row>
    <row r="2370" spans="2:2">
      <c r="B2370" s="191"/>
    </row>
    <row r="2371" spans="2:2">
      <c r="B2371" s="191"/>
    </row>
    <row r="2372" spans="2:2">
      <c r="B2372" s="191"/>
    </row>
    <row r="2373" spans="2:2">
      <c r="B2373" s="191"/>
    </row>
    <row r="2374" spans="2:2">
      <c r="B2374" s="191"/>
    </row>
    <row r="2375" spans="2:2">
      <c r="B2375" s="191"/>
    </row>
    <row r="2376" spans="2:2">
      <c r="B2376" s="191"/>
    </row>
    <row r="2377" spans="2:2">
      <c r="B2377" s="191"/>
    </row>
    <row r="2378" spans="2:2">
      <c r="B2378" s="191"/>
    </row>
    <row r="2379" spans="2:2">
      <c r="B2379" s="191"/>
    </row>
    <row r="2380" spans="2:2">
      <c r="B2380" s="191"/>
    </row>
    <row r="2381" spans="2:2">
      <c r="B2381" s="191"/>
    </row>
    <row r="2382" spans="2:2">
      <c r="B2382" s="191"/>
    </row>
    <row r="2383" spans="2:2">
      <c r="B2383" s="191"/>
    </row>
    <row r="2384" spans="2:2">
      <c r="B2384" s="191"/>
    </row>
    <row r="2385" spans="2:2">
      <c r="B2385" s="191"/>
    </row>
    <row r="2386" spans="2:2">
      <c r="B2386" s="191"/>
    </row>
    <row r="2387" spans="2:2">
      <c r="B2387" s="191"/>
    </row>
    <row r="2388" spans="2:2">
      <c r="B2388" s="191"/>
    </row>
    <row r="2389" spans="2:2">
      <c r="B2389" s="191"/>
    </row>
    <row r="2390" spans="2:2">
      <c r="B2390" s="191"/>
    </row>
    <row r="2391" spans="2:2">
      <c r="B2391" s="191"/>
    </row>
    <row r="2392" spans="2:2">
      <c r="B2392" s="191"/>
    </row>
    <row r="2393" spans="2:2">
      <c r="B2393" s="191"/>
    </row>
    <row r="2394" spans="2:2">
      <c r="B2394" s="191"/>
    </row>
    <row r="2395" spans="2:2">
      <c r="B2395" s="191"/>
    </row>
    <row r="2396" spans="2:2">
      <c r="B2396" s="191"/>
    </row>
    <row r="2397" spans="2:2">
      <c r="B2397" s="191"/>
    </row>
    <row r="2398" spans="2:2">
      <c r="B2398" s="191"/>
    </row>
    <row r="2399" spans="2:2">
      <c r="B2399" s="191"/>
    </row>
    <row r="2400" spans="2:2">
      <c r="B2400" s="191"/>
    </row>
    <row r="2401" spans="2:2">
      <c r="B2401" s="191"/>
    </row>
    <row r="2402" spans="2:2">
      <c r="B2402" s="191"/>
    </row>
    <row r="2403" spans="2:2">
      <c r="B2403" s="191"/>
    </row>
    <row r="2404" spans="2:2">
      <c r="B2404" s="191"/>
    </row>
    <row r="2405" spans="2:2">
      <c r="B2405" s="191"/>
    </row>
    <row r="2406" spans="2:2">
      <c r="B2406" s="191"/>
    </row>
    <row r="2407" spans="2:2">
      <c r="B2407" s="191"/>
    </row>
    <row r="2408" spans="2:2">
      <c r="B2408" s="191"/>
    </row>
    <row r="2409" spans="2:2">
      <c r="B2409" s="191"/>
    </row>
    <row r="2410" spans="2:2">
      <c r="B2410" s="191"/>
    </row>
    <row r="2411" spans="2:2">
      <c r="B2411" s="191"/>
    </row>
    <row r="2412" spans="2:2">
      <c r="B2412" s="191"/>
    </row>
    <row r="2413" spans="2:2">
      <c r="B2413" s="191"/>
    </row>
    <row r="2414" spans="2:2">
      <c r="B2414" s="191"/>
    </row>
    <row r="2415" spans="2:2">
      <c r="B2415" s="191"/>
    </row>
    <row r="2416" spans="2:2">
      <c r="B2416" s="191"/>
    </row>
    <row r="2417" spans="2:2">
      <c r="B2417" s="191"/>
    </row>
    <row r="2418" spans="2:2">
      <c r="B2418" s="191"/>
    </row>
    <row r="2419" spans="2:2">
      <c r="B2419" s="191"/>
    </row>
    <row r="2420" spans="2:2">
      <c r="B2420" s="191"/>
    </row>
    <row r="2421" spans="2:2">
      <c r="B2421" s="191"/>
    </row>
    <row r="2422" spans="2:2">
      <c r="B2422" s="191"/>
    </row>
    <row r="2423" spans="2:2">
      <c r="B2423" s="191"/>
    </row>
    <row r="2424" spans="2:2">
      <c r="B2424" s="191"/>
    </row>
    <row r="2425" spans="2:2">
      <c r="B2425" s="191"/>
    </row>
    <row r="2426" spans="2:2">
      <c r="B2426" s="191"/>
    </row>
    <row r="2427" spans="2:2">
      <c r="B2427" s="191"/>
    </row>
    <row r="2428" spans="2:2">
      <c r="B2428" s="191"/>
    </row>
    <row r="2429" spans="2:2">
      <c r="B2429" s="191"/>
    </row>
    <row r="2430" spans="2:2">
      <c r="B2430" s="191"/>
    </row>
    <row r="2431" spans="2:2">
      <c r="B2431" s="191"/>
    </row>
    <row r="2432" spans="2:2">
      <c r="B2432" s="191"/>
    </row>
    <row r="2433" spans="2:2">
      <c r="B2433" s="191"/>
    </row>
    <row r="2434" spans="2:2">
      <c r="B2434" s="191"/>
    </row>
    <row r="2435" spans="2:2">
      <c r="B2435" s="191"/>
    </row>
    <row r="2436" spans="2:2">
      <c r="B2436" s="191"/>
    </row>
    <row r="2437" spans="2:2">
      <c r="B2437" s="191"/>
    </row>
    <row r="2438" spans="2:2">
      <c r="B2438" s="191"/>
    </row>
    <row r="2439" spans="2:2">
      <c r="B2439" s="191"/>
    </row>
    <row r="2440" spans="2:2">
      <c r="B2440" s="191"/>
    </row>
    <row r="2441" spans="2:2">
      <c r="B2441" s="191"/>
    </row>
    <row r="2442" spans="2:2">
      <c r="B2442" s="191"/>
    </row>
    <row r="2443" spans="2:2">
      <c r="B2443" s="191"/>
    </row>
    <row r="2444" spans="2:2">
      <c r="B2444" s="191"/>
    </row>
    <row r="2445" spans="2:2">
      <c r="B2445" s="191"/>
    </row>
    <row r="2446" spans="2:2">
      <c r="B2446" s="191"/>
    </row>
    <row r="2447" spans="2:2">
      <c r="B2447" s="191"/>
    </row>
    <row r="2448" spans="2:2">
      <c r="B2448" s="191"/>
    </row>
    <row r="2449" spans="2:2">
      <c r="B2449" s="191"/>
    </row>
    <row r="2450" spans="2:2">
      <c r="B2450" s="191"/>
    </row>
    <row r="2451" spans="2:2">
      <c r="B2451" s="191"/>
    </row>
    <row r="2452" spans="2:2">
      <c r="B2452" s="191"/>
    </row>
    <row r="2453" spans="2:2">
      <c r="B2453" s="191"/>
    </row>
    <row r="2454" spans="2:2">
      <c r="B2454" s="191"/>
    </row>
    <row r="2455" spans="2:2">
      <c r="B2455" s="191"/>
    </row>
    <row r="2456" spans="2:2">
      <c r="B2456" s="191"/>
    </row>
    <row r="2457" spans="2:2">
      <c r="B2457" s="191"/>
    </row>
    <row r="2458" spans="2:2">
      <c r="B2458" s="191"/>
    </row>
    <row r="2459" spans="2:2">
      <c r="B2459" s="191"/>
    </row>
    <row r="2460" spans="2:2">
      <c r="B2460" s="191"/>
    </row>
    <row r="2461" spans="2:2">
      <c r="B2461" s="191"/>
    </row>
    <row r="2462" spans="2:2">
      <c r="B2462" s="191"/>
    </row>
    <row r="2463" spans="2:2">
      <c r="B2463" s="191"/>
    </row>
    <row r="2464" spans="2:2">
      <c r="B2464" s="191"/>
    </row>
    <row r="2465" spans="2:2">
      <c r="B2465" s="191"/>
    </row>
    <row r="2466" spans="2:2">
      <c r="B2466" s="191"/>
    </row>
    <row r="2467" spans="2:2">
      <c r="B2467" s="191"/>
    </row>
    <row r="2468" spans="2:2">
      <c r="B2468" s="191"/>
    </row>
    <row r="2469" spans="2:2">
      <c r="B2469" s="191"/>
    </row>
    <row r="2470" spans="2:2">
      <c r="B2470" s="191"/>
    </row>
    <row r="2471" spans="2:2">
      <c r="B2471" s="191"/>
    </row>
    <row r="2472" spans="2:2">
      <c r="B2472" s="191"/>
    </row>
    <row r="2473" spans="2:2">
      <c r="B2473" s="191"/>
    </row>
    <row r="2474" spans="2:2">
      <c r="B2474" s="191"/>
    </row>
    <row r="2475" spans="2:2">
      <c r="B2475" s="191"/>
    </row>
    <row r="2476" spans="2:2">
      <c r="B2476" s="191"/>
    </row>
    <row r="2477" spans="2:2">
      <c r="B2477" s="191"/>
    </row>
    <row r="2478" spans="2:2">
      <c r="B2478" s="191"/>
    </row>
    <row r="2479" spans="2:2">
      <c r="B2479" s="191"/>
    </row>
    <row r="2480" spans="2:2">
      <c r="B2480" s="191"/>
    </row>
    <row r="2481" spans="2:2">
      <c r="B2481" s="191"/>
    </row>
    <row r="2482" spans="2:2">
      <c r="B2482" s="191"/>
    </row>
    <row r="2483" spans="2:2">
      <c r="B2483" s="191"/>
    </row>
    <row r="2484" spans="2:2">
      <c r="B2484" s="191"/>
    </row>
    <row r="2485" spans="2:2">
      <c r="B2485" s="191"/>
    </row>
    <row r="2486" spans="2:2">
      <c r="B2486" s="191"/>
    </row>
    <row r="2487" spans="2:2">
      <c r="B2487" s="191"/>
    </row>
    <row r="2488" spans="2:2">
      <c r="B2488" s="191"/>
    </row>
    <row r="2489" spans="2:2">
      <c r="B2489" s="191"/>
    </row>
    <row r="2490" spans="2:2">
      <c r="B2490" s="191"/>
    </row>
    <row r="2491" spans="2:2">
      <c r="B2491" s="191"/>
    </row>
    <row r="2492" spans="2:2">
      <c r="B2492" s="191"/>
    </row>
    <row r="2493" spans="2:2">
      <c r="B2493" s="191"/>
    </row>
    <row r="2494" spans="2:2">
      <c r="B2494" s="191"/>
    </row>
    <row r="2495" spans="2:2">
      <c r="B2495" s="191"/>
    </row>
    <row r="2496" spans="2:2">
      <c r="B2496" s="191"/>
    </row>
    <row r="2497" spans="2:2">
      <c r="B2497" s="191"/>
    </row>
    <row r="2498" spans="2:2">
      <c r="B2498" s="191"/>
    </row>
    <row r="2499" spans="2:2">
      <c r="B2499" s="191"/>
    </row>
    <row r="2500" spans="2:2">
      <c r="B2500" s="191"/>
    </row>
    <row r="2501" spans="2:2">
      <c r="B2501" s="191"/>
    </row>
    <row r="2502" spans="2:2">
      <c r="B2502" s="191"/>
    </row>
    <row r="2503" spans="2:2">
      <c r="B2503" s="191"/>
    </row>
    <row r="2504" spans="2:2">
      <c r="B2504" s="191"/>
    </row>
    <row r="2505" spans="2:2">
      <c r="B2505" s="191"/>
    </row>
    <row r="2506" spans="2:2">
      <c r="B2506" s="191"/>
    </row>
    <row r="2507" spans="2:2">
      <c r="B2507" s="191"/>
    </row>
    <row r="2508" spans="2:2">
      <c r="B2508" s="191"/>
    </row>
    <row r="2509" spans="2:2">
      <c r="B2509" s="191"/>
    </row>
    <row r="2510" spans="2:2">
      <c r="B2510" s="191"/>
    </row>
    <row r="2511" spans="2:2">
      <c r="B2511" s="191"/>
    </row>
    <row r="2512" spans="2:2">
      <c r="B2512" s="191"/>
    </row>
    <row r="2513" spans="2:2">
      <c r="B2513" s="191"/>
    </row>
    <row r="2514" spans="2:2">
      <c r="B2514" s="191"/>
    </row>
    <row r="2515" spans="2:2">
      <c r="B2515" s="191"/>
    </row>
    <row r="2516" spans="2:2">
      <c r="B2516" s="191"/>
    </row>
    <row r="2517" spans="2:2">
      <c r="B2517" s="191"/>
    </row>
    <row r="2518" spans="2:2">
      <c r="B2518" s="191"/>
    </row>
    <row r="2519" spans="2:2">
      <c r="B2519" s="191"/>
    </row>
    <row r="2520" spans="2:2">
      <c r="B2520" s="191"/>
    </row>
    <row r="2521" spans="2:2">
      <c r="B2521" s="191"/>
    </row>
    <row r="2522" spans="2:2">
      <c r="B2522" s="191"/>
    </row>
    <row r="2523" spans="2:2">
      <c r="B2523" s="191"/>
    </row>
    <row r="2524" spans="2:2">
      <c r="B2524" s="191"/>
    </row>
    <row r="2525" spans="2:2">
      <c r="B2525" s="191"/>
    </row>
    <row r="2526" spans="2:2">
      <c r="B2526" s="191"/>
    </row>
    <row r="2527" spans="2:2">
      <c r="B2527" s="191"/>
    </row>
    <row r="2528" spans="2:2">
      <c r="B2528" s="191"/>
    </row>
    <row r="2529" spans="2:2">
      <c r="B2529" s="191"/>
    </row>
    <row r="2530" spans="2:2">
      <c r="B2530" s="191"/>
    </row>
    <row r="2531" spans="2:2">
      <c r="B2531" s="191"/>
    </row>
    <row r="2532" spans="2:2">
      <c r="B2532" s="191"/>
    </row>
    <row r="2533" spans="2:2">
      <c r="B2533" s="191"/>
    </row>
    <row r="2534" spans="2:2">
      <c r="B2534" s="191"/>
    </row>
    <row r="2535" spans="2:2">
      <c r="B2535" s="191"/>
    </row>
    <row r="2536" spans="2:2">
      <c r="B2536" s="191"/>
    </row>
    <row r="2537" spans="2:2">
      <c r="B2537" s="191"/>
    </row>
    <row r="2538" spans="2:2">
      <c r="B2538" s="191"/>
    </row>
    <row r="2539" spans="2:2">
      <c r="B2539" s="191"/>
    </row>
    <row r="2540" spans="2:2">
      <c r="B2540" s="191"/>
    </row>
    <row r="2541" spans="2:2">
      <c r="B2541" s="191"/>
    </row>
    <row r="2542" spans="2:2">
      <c r="B2542" s="191"/>
    </row>
    <row r="2543" spans="2:2">
      <c r="B2543" s="191"/>
    </row>
    <row r="2544" spans="2:2">
      <c r="B2544" s="191"/>
    </row>
    <row r="2545" spans="2:2">
      <c r="B2545" s="191"/>
    </row>
    <row r="2546" spans="2:2">
      <c r="B2546" s="191"/>
    </row>
    <row r="2547" spans="2:2">
      <c r="B2547" s="191"/>
    </row>
    <row r="2548" spans="2:2">
      <c r="B2548" s="191"/>
    </row>
    <row r="2549" spans="2:2">
      <c r="B2549" s="191"/>
    </row>
    <row r="2550" spans="2:2">
      <c r="B2550" s="191"/>
    </row>
    <row r="2551" spans="2:2">
      <c r="B2551" s="191"/>
    </row>
    <row r="2552" spans="2:2">
      <c r="B2552" s="191"/>
    </row>
    <row r="2553" spans="2:2">
      <c r="B2553" s="191"/>
    </row>
    <row r="2554" spans="2:2">
      <c r="B2554" s="191"/>
    </row>
    <row r="2555" spans="2:2">
      <c r="B2555" s="191"/>
    </row>
    <row r="2556" spans="2:2">
      <c r="B2556" s="191"/>
    </row>
    <row r="2557" spans="2:2">
      <c r="B2557" s="191"/>
    </row>
    <row r="2558" spans="2:2">
      <c r="B2558" s="191"/>
    </row>
    <row r="2559" spans="2:2">
      <c r="B2559" s="191"/>
    </row>
    <row r="2560" spans="2:2">
      <c r="B2560" s="191"/>
    </row>
    <row r="2561" spans="2:2">
      <c r="B2561" s="191"/>
    </row>
    <row r="2562" spans="2:2">
      <c r="B2562" s="191"/>
    </row>
    <row r="2563" spans="2:2">
      <c r="B2563" s="191"/>
    </row>
    <row r="2564" spans="2:2">
      <c r="B2564" s="191"/>
    </row>
    <row r="2565" spans="2:2">
      <c r="B2565" s="191"/>
    </row>
    <row r="2566" spans="2:2">
      <c r="B2566" s="191"/>
    </row>
    <row r="2567" spans="2:2">
      <c r="B2567" s="191"/>
    </row>
    <row r="2568" spans="2:2">
      <c r="B2568" s="191"/>
    </row>
    <row r="2569" spans="2:2">
      <c r="B2569" s="191"/>
    </row>
    <row r="2570" spans="2:2">
      <c r="B2570" s="191"/>
    </row>
    <row r="2571" spans="2:2">
      <c r="B2571" s="191"/>
    </row>
    <row r="2572" spans="2:2">
      <c r="B2572" s="191"/>
    </row>
    <row r="2573" spans="2:2">
      <c r="B2573" s="191"/>
    </row>
    <row r="2574" spans="2:2">
      <c r="B2574" s="191"/>
    </row>
    <row r="2575" spans="2:2">
      <c r="B2575" s="191"/>
    </row>
    <row r="2576" spans="2:2">
      <c r="B2576" s="191"/>
    </row>
    <row r="2577" spans="2:2">
      <c r="B2577" s="191"/>
    </row>
    <row r="2578" spans="2:2">
      <c r="B2578" s="191"/>
    </row>
    <row r="2579" spans="2:2">
      <c r="B2579" s="191"/>
    </row>
    <row r="2580" spans="2:2">
      <c r="B2580" s="191"/>
    </row>
    <row r="2581" spans="2:2">
      <c r="B2581" s="191"/>
    </row>
    <row r="2582" spans="2:2">
      <c r="B2582" s="191"/>
    </row>
    <row r="2583" spans="2:2">
      <c r="B2583" s="191"/>
    </row>
    <row r="2584" spans="2:2">
      <c r="B2584" s="191"/>
    </row>
    <row r="2585" spans="2:2">
      <c r="B2585" s="191"/>
    </row>
    <row r="2586" spans="2:2">
      <c r="B2586" s="191"/>
    </row>
    <row r="2587" spans="2:2">
      <c r="B2587" s="191"/>
    </row>
    <row r="2588" spans="2:2">
      <c r="B2588" s="191"/>
    </row>
    <row r="2589" spans="2:2">
      <c r="B2589" s="191"/>
    </row>
    <row r="2590" spans="2:2">
      <c r="B2590" s="191"/>
    </row>
    <row r="2591" spans="2:2">
      <c r="B2591" s="191"/>
    </row>
    <row r="2592" spans="2:2">
      <c r="B2592" s="191"/>
    </row>
    <row r="2593" spans="2:2">
      <c r="B2593" s="191"/>
    </row>
    <row r="2594" spans="2:2">
      <c r="B2594" s="191"/>
    </row>
    <row r="2595" spans="2:2">
      <c r="B2595" s="191"/>
    </row>
    <row r="2596" spans="2:2">
      <c r="B2596" s="191"/>
    </row>
    <row r="2597" spans="2:2">
      <c r="B2597" s="191"/>
    </row>
    <row r="2598" spans="2:2">
      <c r="B2598" s="191"/>
    </row>
    <row r="2599" spans="2:2">
      <c r="B2599" s="191"/>
    </row>
    <row r="2600" spans="2:2">
      <c r="B2600" s="191"/>
    </row>
    <row r="2601" spans="2:2">
      <c r="B2601" s="191"/>
    </row>
    <row r="2602" spans="2:2">
      <c r="B2602" s="191"/>
    </row>
    <row r="2603" spans="2:2">
      <c r="B2603" s="191"/>
    </row>
    <row r="2604" spans="2:2">
      <c r="B2604" s="191"/>
    </row>
    <row r="2605" spans="2:2">
      <c r="B2605" s="191"/>
    </row>
    <row r="2606" spans="2:2">
      <c r="B2606" s="191"/>
    </row>
    <row r="2607" spans="2:2">
      <c r="B2607" s="191"/>
    </row>
    <row r="2608" spans="2:2">
      <c r="B2608" s="191"/>
    </row>
    <row r="2609" spans="2:2">
      <c r="B2609" s="191"/>
    </row>
    <row r="2610" spans="2:2">
      <c r="B2610" s="191"/>
    </row>
    <row r="2611" spans="2:2">
      <c r="B2611" s="191"/>
    </row>
    <row r="2612" spans="2:2">
      <c r="B2612" s="191"/>
    </row>
    <row r="2613" spans="2:2">
      <c r="B2613" s="191"/>
    </row>
    <row r="2614" spans="2:2">
      <c r="B2614" s="191"/>
    </row>
    <row r="2615" spans="2:2">
      <c r="B2615" s="191"/>
    </row>
    <row r="2616" spans="2:2">
      <c r="B2616" s="191"/>
    </row>
    <row r="2617" spans="2:2">
      <c r="B2617" s="191"/>
    </row>
    <row r="2618" spans="2:2">
      <c r="B2618" s="191"/>
    </row>
    <row r="2619" spans="2:2">
      <c r="B2619" s="191"/>
    </row>
    <row r="2620" spans="2:2">
      <c r="B2620" s="191"/>
    </row>
    <row r="2621" spans="2:2">
      <c r="B2621" s="191"/>
    </row>
    <row r="2622" spans="2:2">
      <c r="B2622" s="191"/>
    </row>
    <row r="2623" spans="2:2">
      <c r="B2623" s="191"/>
    </row>
    <row r="2624" spans="2:2">
      <c r="B2624" s="191"/>
    </row>
    <row r="2625" spans="2:2">
      <c r="B2625" s="191"/>
    </row>
    <row r="2626" spans="2:2">
      <c r="B2626" s="191"/>
    </row>
    <row r="2627" spans="2:2">
      <c r="B2627" s="191"/>
    </row>
    <row r="2628" spans="2:2">
      <c r="B2628" s="191"/>
    </row>
    <row r="2629" spans="2:2">
      <c r="B2629" s="191"/>
    </row>
    <row r="2630" spans="2:2">
      <c r="B2630" s="191"/>
    </row>
    <row r="2631" spans="2:2">
      <c r="B2631" s="191"/>
    </row>
    <row r="2632" spans="2:2">
      <c r="B2632" s="191"/>
    </row>
    <row r="2633" spans="2:2">
      <c r="B2633" s="191"/>
    </row>
    <row r="2634" spans="2:2">
      <c r="B2634" s="191"/>
    </row>
    <row r="2635" spans="2:2">
      <c r="B2635" s="191"/>
    </row>
    <row r="2636" spans="2:2">
      <c r="B2636" s="191"/>
    </row>
    <row r="2637" spans="2:2">
      <c r="B2637" s="191"/>
    </row>
    <row r="2638" spans="2:2">
      <c r="B2638" s="191"/>
    </row>
    <row r="2639" spans="2:2">
      <c r="B2639" s="191"/>
    </row>
    <row r="2640" spans="2:2">
      <c r="B2640" s="191"/>
    </row>
    <row r="2641" spans="2:2">
      <c r="B2641" s="191"/>
    </row>
    <row r="2642" spans="2:2">
      <c r="B2642" s="191"/>
    </row>
    <row r="2643" spans="2:2">
      <c r="B2643" s="191"/>
    </row>
    <row r="2644" spans="2:2">
      <c r="B2644" s="191"/>
    </row>
    <row r="2645" spans="2:2">
      <c r="B2645" s="191"/>
    </row>
    <row r="2646" spans="2:2">
      <c r="B2646" s="191"/>
    </row>
    <row r="2647" spans="2:2">
      <c r="B2647" s="191"/>
    </row>
    <row r="2648" spans="2:2">
      <c r="B2648" s="191"/>
    </row>
    <row r="2649" spans="2:2">
      <c r="B2649" s="191"/>
    </row>
    <row r="2650" spans="2:2">
      <c r="B2650" s="191"/>
    </row>
    <row r="2651" spans="2:2">
      <c r="B2651" s="191"/>
    </row>
    <row r="2652" spans="2:2">
      <c r="B2652" s="191"/>
    </row>
    <row r="2653" spans="2:2">
      <c r="B2653" s="191"/>
    </row>
    <row r="2654" spans="2:2">
      <c r="B2654" s="191"/>
    </row>
    <row r="2655" spans="2:2">
      <c r="B2655" s="191"/>
    </row>
    <row r="2656" spans="2:2">
      <c r="B2656" s="191"/>
    </row>
    <row r="2657" spans="2:2">
      <c r="B2657" s="191"/>
    </row>
    <row r="2658" spans="2:2">
      <c r="B2658" s="191"/>
    </row>
    <row r="2659" spans="2:2">
      <c r="B2659" s="191"/>
    </row>
    <row r="2660" spans="2:2">
      <c r="B2660" s="191"/>
    </row>
    <row r="2661" spans="2:2">
      <c r="B2661" s="191"/>
    </row>
    <row r="2662" spans="2:2">
      <c r="B2662" s="191"/>
    </row>
    <row r="2663" spans="2:2">
      <c r="B2663" s="191"/>
    </row>
    <row r="2664" spans="2:2">
      <c r="B2664" s="191"/>
    </row>
    <row r="2665" spans="2:2">
      <c r="B2665" s="191"/>
    </row>
    <row r="2666" spans="2:2">
      <c r="B2666" s="191"/>
    </row>
    <row r="2667" spans="2:2">
      <c r="B2667" s="191"/>
    </row>
    <row r="2668" spans="2:2">
      <c r="B2668" s="191"/>
    </row>
    <row r="2669" spans="2:2">
      <c r="B2669" s="191"/>
    </row>
    <row r="2670" spans="2:2">
      <c r="B2670" s="191"/>
    </row>
    <row r="2671" spans="2:2">
      <c r="B2671" s="191"/>
    </row>
    <row r="2672" spans="2:2">
      <c r="B2672" s="191"/>
    </row>
    <row r="2673" spans="2:2">
      <c r="B2673" s="191"/>
    </row>
    <row r="2674" spans="2:2">
      <c r="B2674" s="191"/>
    </row>
    <row r="2675" spans="2:2">
      <c r="B2675" s="191"/>
    </row>
    <row r="2676" spans="2:2">
      <c r="B2676" s="191"/>
    </row>
    <row r="2677" spans="2:2">
      <c r="B2677" s="191"/>
    </row>
    <row r="2678" spans="2:2">
      <c r="B2678" s="191"/>
    </row>
    <row r="2679" spans="2:2">
      <c r="B2679" s="191"/>
    </row>
    <row r="2680" spans="2:2">
      <c r="B2680" s="191"/>
    </row>
    <row r="2681" spans="2:2">
      <c r="B2681" s="191"/>
    </row>
    <row r="2682" spans="2:2">
      <c r="B2682" s="191"/>
    </row>
    <row r="2683" spans="2:2">
      <c r="B2683" s="191"/>
    </row>
    <row r="2684" spans="2:2">
      <c r="B2684" s="191"/>
    </row>
    <row r="2685" spans="2:2">
      <c r="B2685" s="191"/>
    </row>
    <row r="2686" spans="2:2">
      <c r="B2686" s="191"/>
    </row>
    <row r="2687" spans="2:2">
      <c r="B2687" s="191"/>
    </row>
    <row r="2688" spans="2:2">
      <c r="B2688" s="191"/>
    </row>
    <row r="2689" spans="2:2">
      <c r="B2689" s="191"/>
    </row>
    <row r="2690" spans="2:2">
      <c r="B2690" s="191"/>
    </row>
    <row r="2691" spans="2:2">
      <c r="B2691" s="191"/>
    </row>
    <row r="2692" spans="2:2">
      <c r="B2692" s="191"/>
    </row>
    <row r="2693" spans="2:2">
      <c r="B2693" s="191"/>
    </row>
    <row r="2694" spans="2:2">
      <c r="B2694" s="191"/>
    </row>
    <row r="2695" spans="2:2">
      <c r="B2695" s="191"/>
    </row>
    <row r="2696" spans="2:2">
      <c r="B2696" s="191"/>
    </row>
    <row r="2697" spans="2:2">
      <c r="B2697" s="191"/>
    </row>
    <row r="2698" spans="2:2">
      <c r="B2698" s="191"/>
    </row>
    <row r="2699" spans="2:2">
      <c r="B2699" s="191"/>
    </row>
    <row r="2700" spans="2:2">
      <c r="B2700" s="191"/>
    </row>
    <row r="2701" spans="2:2">
      <c r="B2701" s="191"/>
    </row>
    <row r="2702" spans="2:2">
      <c r="B2702" s="191"/>
    </row>
    <row r="2703" spans="2:2">
      <c r="B2703" s="191"/>
    </row>
    <row r="2704" spans="2:2">
      <c r="B2704" s="191"/>
    </row>
    <row r="2705" spans="2:2">
      <c r="B2705" s="191"/>
    </row>
    <row r="2706" spans="2:2">
      <c r="B2706" s="191"/>
    </row>
    <row r="2707" spans="2:2">
      <c r="B2707" s="191"/>
    </row>
    <row r="2708" spans="2:2">
      <c r="B2708" s="191"/>
    </row>
    <row r="2709" spans="2:2">
      <c r="B2709" s="191"/>
    </row>
    <row r="2710" spans="2:2">
      <c r="B2710" s="191"/>
    </row>
    <row r="2711" spans="2:2">
      <c r="B2711" s="191"/>
    </row>
    <row r="2712" spans="2:2">
      <c r="B2712" s="191"/>
    </row>
    <row r="2713" spans="2:2">
      <c r="B2713" s="191"/>
    </row>
    <row r="2714" spans="2:2">
      <c r="B2714" s="191"/>
    </row>
    <row r="2715" spans="2:2">
      <c r="B2715" s="191"/>
    </row>
    <row r="2716" spans="2:2">
      <c r="B2716" s="191"/>
    </row>
    <row r="2717" spans="2:2">
      <c r="B2717" s="191"/>
    </row>
    <row r="2718" spans="2:2">
      <c r="B2718" s="191"/>
    </row>
    <row r="2719" spans="2:2">
      <c r="B2719" s="191"/>
    </row>
    <row r="2720" spans="2:2">
      <c r="B2720" s="191"/>
    </row>
    <row r="2721" spans="2:2">
      <c r="B2721" s="191"/>
    </row>
    <row r="2722" spans="2:2">
      <c r="B2722" s="191"/>
    </row>
    <row r="2723" spans="2:2">
      <c r="B2723" s="191"/>
    </row>
    <row r="2724" spans="2:2">
      <c r="B2724" s="191"/>
    </row>
    <row r="2725" spans="2:2">
      <c r="B2725" s="191"/>
    </row>
    <row r="2726" spans="2:2">
      <c r="B2726" s="191"/>
    </row>
    <row r="2727" spans="2:2">
      <c r="B2727" s="191"/>
    </row>
    <row r="2728" spans="2:2">
      <c r="B2728" s="191"/>
    </row>
    <row r="2729" spans="2:2">
      <c r="B2729" s="191"/>
    </row>
    <row r="2730" spans="2:2">
      <c r="B2730" s="191"/>
    </row>
    <row r="2731" spans="2:2">
      <c r="B2731" s="191"/>
    </row>
    <row r="2732" spans="2:2">
      <c r="B2732" s="191"/>
    </row>
    <row r="2733" spans="2:2">
      <c r="B2733" s="191"/>
    </row>
    <row r="2734" spans="2:2">
      <c r="B2734" s="191"/>
    </row>
    <row r="2735" spans="2:2">
      <c r="B2735" s="191"/>
    </row>
    <row r="2736" spans="2:2">
      <c r="B2736" s="191"/>
    </row>
    <row r="2737" spans="2:2">
      <c r="B2737" s="191"/>
    </row>
    <row r="2738" spans="2:2">
      <c r="B2738" s="191"/>
    </row>
    <row r="2739" spans="2:2">
      <c r="B2739" s="191"/>
    </row>
    <row r="2740" spans="2:2">
      <c r="B2740" s="191"/>
    </row>
    <row r="2741" spans="2:2">
      <c r="B2741" s="191"/>
    </row>
    <row r="2742" spans="2:2">
      <c r="B2742" s="191"/>
    </row>
    <row r="2743" spans="2:2">
      <c r="B2743" s="191"/>
    </row>
    <row r="2744" spans="2:2">
      <c r="B2744" s="191"/>
    </row>
    <row r="2745" spans="2:2">
      <c r="B2745" s="191"/>
    </row>
    <row r="2746" spans="2:2">
      <c r="B2746" s="191"/>
    </row>
    <row r="2747" spans="2:2">
      <c r="B2747" s="191"/>
    </row>
    <row r="2748" spans="2:2">
      <c r="B2748" s="191"/>
    </row>
    <row r="2749" spans="2:2">
      <c r="B2749" s="191"/>
    </row>
    <row r="2750" spans="2:2">
      <c r="B2750" s="191"/>
    </row>
    <row r="2751" spans="2:2">
      <c r="B2751" s="191"/>
    </row>
    <row r="2752" spans="2:2">
      <c r="B2752" s="191"/>
    </row>
    <row r="2753" spans="2:2">
      <c r="B2753" s="191"/>
    </row>
    <row r="2754" spans="2:2">
      <c r="B2754" s="191"/>
    </row>
    <row r="2755" spans="2:2">
      <c r="B2755" s="191"/>
    </row>
    <row r="2756" spans="2:2">
      <c r="B2756" s="191"/>
    </row>
    <row r="2757" spans="2:2">
      <c r="B2757" s="191"/>
    </row>
    <row r="2758" spans="2:2">
      <c r="B2758" s="191"/>
    </row>
    <row r="2759" spans="2:2">
      <c r="B2759" s="191"/>
    </row>
    <row r="2760" spans="2:2">
      <c r="B2760" s="191"/>
    </row>
    <row r="2761" spans="2:2">
      <c r="B2761" s="191"/>
    </row>
    <row r="2762" spans="2:2">
      <c r="B2762" s="191"/>
    </row>
    <row r="2763" spans="2:2">
      <c r="B2763" s="191"/>
    </row>
    <row r="2764" spans="2:2">
      <c r="B2764" s="191"/>
    </row>
    <row r="2765" spans="2:2">
      <c r="B2765" s="191"/>
    </row>
    <row r="2766" spans="2:2">
      <c r="B2766" s="191"/>
    </row>
    <row r="2767" spans="2:2">
      <c r="B2767" s="191"/>
    </row>
    <row r="2768" spans="2:2">
      <c r="B2768" s="191"/>
    </row>
    <row r="2769" spans="2:2">
      <c r="B2769" s="191"/>
    </row>
    <row r="2770" spans="2:2">
      <c r="B2770" s="191"/>
    </row>
    <row r="2771" spans="2:2">
      <c r="B2771" s="191"/>
    </row>
    <row r="2772" spans="2:2">
      <c r="B2772" s="191"/>
    </row>
    <row r="2773" spans="2:2">
      <c r="B2773" s="191"/>
    </row>
    <row r="2774" spans="2:2">
      <c r="B2774" s="191"/>
    </row>
    <row r="2775" spans="2:2">
      <c r="B2775" s="191"/>
    </row>
    <row r="2776" spans="2:2">
      <c r="B2776" s="191"/>
    </row>
    <row r="2777" spans="2:2">
      <c r="B2777" s="191"/>
    </row>
    <row r="2778" spans="2:2">
      <c r="B2778" s="191"/>
    </row>
    <row r="2779" spans="2:2">
      <c r="B2779" s="191"/>
    </row>
    <row r="2780" spans="2:2">
      <c r="B2780" s="191"/>
    </row>
    <row r="2781" spans="2:2">
      <c r="B2781" s="191"/>
    </row>
    <row r="2782" spans="2:2">
      <c r="B2782" s="191"/>
    </row>
    <row r="2783" spans="2:2">
      <c r="B2783" s="191"/>
    </row>
    <row r="2784" spans="2:2">
      <c r="B2784" s="191"/>
    </row>
    <row r="2785" spans="2:2">
      <c r="B2785" s="191"/>
    </row>
    <row r="2786" spans="2:2">
      <c r="B2786" s="191"/>
    </row>
    <row r="2787" spans="2:2">
      <c r="B2787" s="191"/>
    </row>
    <row r="2788" spans="2:2">
      <c r="B2788" s="191"/>
    </row>
    <row r="2789" spans="2:2">
      <c r="B2789" s="191"/>
    </row>
    <row r="2790" spans="2:2">
      <c r="B2790" s="191"/>
    </row>
    <row r="2791" spans="2:2">
      <c r="B2791" s="191"/>
    </row>
    <row r="2792" spans="2:2">
      <c r="B2792" s="191"/>
    </row>
    <row r="2793" spans="2:2">
      <c r="B2793" s="191"/>
    </row>
    <row r="2794" spans="2:2">
      <c r="B2794" s="191"/>
    </row>
    <row r="2795" spans="2:2">
      <c r="B2795" s="191"/>
    </row>
    <row r="2796" spans="2:2">
      <c r="B2796" s="191"/>
    </row>
    <row r="2797" spans="2:2">
      <c r="B2797" s="191"/>
    </row>
    <row r="2798" spans="2:2">
      <c r="B2798" s="191"/>
    </row>
    <row r="2799" spans="2:2">
      <c r="B2799" s="191"/>
    </row>
    <row r="2800" spans="2:2">
      <c r="B2800" s="191"/>
    </row>
    <row r="2801" spans="2:2">
      <c r="B2801" s="191"/>
    </row>
    <row r="2802" spans="2:2">
      <c r="B2802" s="191"/>
    </row>
    <row r="2803" spans="2:2">
      <c r="B2803" s="191"/>
    </row>
    <row r="2804" spans="2:2">
      <c r="B2804" s="191"/>
    </row>
    <row r="2805" spans="2:2">
      <c r="B2805" s="191"/>
    </row>
    <row r="2806" spans="2:2">
      <c r="B2806" s="191"/>
    </row>
    <row r="2807" spans="2:2">
      <c r="B2807" s="191"/>
    </row>
    <row r="2808" spans="2:2">
      <c r="B2808" s="191"/>
    </row>
    <row r="2809" spans="2:2">
      <c r="B2809" s="191"/>
    </row>
    <row r="2810" spans="2:2">
      <c r="B2810" s="191"/>
    </row>
    <row r="2811" spans="2:2">
      <c r="B2811" s="191"/>
    </row>
    <row r="2812" spans="2:2">
      <c r="B2812" s="191"/>
    </row>
    <row r="2813" spans="2:2">
      <c r="B2813" s="191"/>
    </row>
    <row r="2814" spans="2:2">
      <c r="B2814" s="191"/>
    </row>
    <row r="2815" spans="2:2">
      <c r="B2815" s="191"/>
    </row>
    <row r="2816" spans="2:2">
      <c r="B2816" s="191"/>
    </row>
    <row r="2817" spans="2:2">
      <c r="B2817" s="191"/>
    </row>
    <row r="2818" spans="2:2">
      <c r="B2818" s="191"/>
    </row>
    <row r="2819" spans="2:2">
      <c r="B2819" s="191"/>
    </row>
    <row r="2820" spans="2:2">
      <c r="B2820" s="191"/>
    </row>
    <row r="2821" spans="2:2">
      <c r="B2821" s="191"/>
    </row>
    <row r="2822" spans="2:2">
      <c r="B2822" s="191"/>
    </row>
    <row r="2823" spans="2:2">
      <c r="B2823" s="191"/>
    </row>
    <row r="2824" spans="2:2">
      <c r="B2824" s="191"/>
    </row>
    <row r="2825" spans="2:2">
      <c r="B2825" s="191"/>
    </row>
    <row r="2826" spans="2:2">
      <c r="B2826" s="191"/>
    </row>
    <row r="2827" spans="2:2">
      <c r="B2827" s="191"/>
    </row>
    <row r="2828" spans="2:2">
      <c r="B2828" s="191"/>
    </row>
    <row r="2829" spans="2:2">
      <c r="B2829" s="191"/>
    </row>
    <row r="2830" spans="2:2">
      <c r="B2830" s="191"/>
    </row>
    <row r="2831" spans="2:2">
      <c r="B2831" s="191"/>
    </row>
    <row r="2832" spans="2:2">
      <c r="B2832" s="191"/>
    </row>
    <row r="2833" spans="2:2">
      <c r="B2833" s="191"/>
    </row>
    <row r="2834" spans="2:2">
      <c r="B2834" s="191"/>
    </row>
    <row r="2835" spans="2:2">
      <c r="B2835" s="191"/>
    </row>
    <row r="2836" spans="2:2">
      <c r="B2836" s="191"/>
    </row>
    <row r="2837" spans="2:2">
      <c r="B2837" s="191"/>
    </row>
    <row r="2838" spans="2:2">
      <c r="B2838" s="191"/>
    </row>
    <row r="2839" spans="2:2">
      <c r="B2839" s="191"/>
    </row>
    <row r="2840" spans="2:2">
      <c r="B2840" s="191"/>
    </row>
    <row r="2841" spans="2:2">
      <c r="B2841" s="191"/>
    </row>
    <row r="2842" spans="2:2">
      <c r="B2842" s="191"/>
    </row>
    <row r="2843" spans="2:2">
      <c r="B2843" s="191"/>
    </row>
    <row r="2844" spans="2:2">
      <c r="B2844" s="191"/>
    </row>
    <row r="2845" spans="2:2">
      <c r="B2845" s="191"/>
    </row>
    <row r="2846" spans="2:2">
      <c r="B2846" s="191"/>
    </row>
    <row r="2847" spans="2:2">
      <c r="B2847" s="191"/>
    </row>
    <row r="2848" spans="2:2">
      <c r="B2848" s="191"/>
    </row>
    <row r="2849" spans="2:2">
      <c r="B2849" s="191"/>
    </row>
    <row r="2850" spans="2:2">
      <c r="B2850" s="191"/>
    </row>
    <row r="2851" spans="2:2">
      <c r="B2851" s="191"/>
    </row>
    <row r="2852" spans="2:2">
      <c r="B2852" s="191"/>
    </row>
    <row r="2853" spans="2:2">
      <c r="B2853" s="191"/>
    </row>
    <row r="2854" spans="2:2">
      <c r="B2854" s="191"/>
    </row>
    <row r="2855" spans="2:2">
      <c r="B2855" s="191"/>
    </row>
    <row r="2856" spans="2:2">
      <c r="B2856" s="191"/>
    </row>
    <row r="2857" spans="2:2">
      <c r="B2857" s="191"/>
    </row>
    <row r="2858" spans="2:2">
      <c r="B2858" s="191"/>
    </row>
    <row r="2859" spans="2:2">
      <c r="B2859" s="191"/>
    </row>
    <row r="2860" spans="2:2">
      <c r="B2860" s="191"/>
    </row>
    <row r="2861" spans="2:2">
      <c r="B2861" s="191"/>
    </row>
    <row r="2862" spans="2:2">
      <c r="B2862" s="191"/>
    </row>
    <row r="2863" spans="2:2">
      <c r="B2863" s="191"/>
    </row>
    <row r="2864" spans="2:2">
      <c r="B2864" s="191"/>
    </row>
    <row r="2865" spans="2:2">
      <c r="B2865" s="191"/>
    </row>
    <row r="2866" spans="2:2">
      <c r="B2866" s="191"/>
    </row>
    <row r="2867" spans="2:2">
      <c r="B2867" s="191"/>
    </row>
    <row r="2868" spans="2:2">
      <c r="B2868" s="191"/>
    </row>
    <row r="2869" spans="2:2">
      <c r="B2869" s="191"/>
    </row>
    <row r="2870" spans="2:2">
      <c r="B2870" s="191"/>
    </row>
    <row r="2871" spans="2:2">
      <c r="B2871" s="191"/>
    </row>
    <row r="2872" spans="2:2">
      <c r="B2872" s="191"/>
    </row>
    <row r="2873" spans="2:2">
      <c r="B2873" s="191"/>
    </row>
    <row r="2874" spans="2:2">
      <c r="B2874" s="191"/>
    </row>
    <row r="2875" spans="2:2">
      <c r="B2875" s="191"/>
    </row>
    <row r="2876" spans="2:2">
      <c r="B2876" s="191"/>
    </row>
    <row r="2877" spans="2:2">
      <c r="B2877" s="191"/>
    </row>
    <row r="2878" spans="2:2">
      <c r="B2878" s="191"/>
    </row>
    <row r="2879" spans="2:2">
      <c r="B2879" s="191"/>
    </row>
    <row r="2880" spans="2:2">
      <c r="B2880" s="191"/>
    </row>
    <row r="2881" spans="2:2">
      <c r="B2881" s="191"/>
    </row>
    <row r="2882" spans="2:2">
      <c r="B2882" s="191"/>
    </row>
    <row r="2883" spans="2:2">
      <c r="B2883" s="191"/>
    </row>
    <row r="2884" spans="2:2">
      <c r="B2884" s="191"/>
    </row>
    <row r="2885" spans="2:2">
      <c r="B2885" s="191"/>
    </row>
    <row r="2886" spans="2:2">
      <c r="B2886" s="191"/>
    </row>
    <row r="2887" spans="2:2">
      <c r="B2887" s="191"/>
    </row>
    <row r="2888" spans="2:2">
      <c r="B2888" s="191"/>
    </row>
    <row r="2889" spans="2:2">
      <c r="B2889" s="191"/>
    </row>
    <row r="2890" spans="2:2">
      <c r="B2890" s="191"/>
    </row>
    <row r="2891" spans="2:2">
      <c r="B2891" s="191"/>
    </row>
    <row r="2892" spans="2:2">
      <c r="B2892" s="191"/>
    </row>
    <row r="2893" spans="2:2">
      <c r="B2893" s="191"/>
    </row>
    <row r="2894" spans="2:2">
      <c r="B2894" s="191"/>
    </row>
    <row r="2895" spans="2:2">
      <c r="B2895" s="191"/>
    </row>
    <row r="2896" spans="2:2">
      <c r="B2896" s="191"/>
    </row>
    <row r="2897" spans="2:2">
      <c r="B2897" s="191"/>
    </row>
    <row r="2898" spans="2:2">
      <c r="B2898" s="191"/>
    </row>
    <row r="2899" spans="2:2">
      <c r="B2899" s="191"/>
    </row>
    <row r="2900" spans="2:2">
      <c r="B2900" s="191"/>
    </row>
    <row r="2901" spans="2:2">
      <c r="B2901" s="191"/>
    </row>
    <row r="2902" spans="2:2">
      <c r="B2902" s="191"/>
    </row>
    <row r="2903" spans="2:2">
      <c r="B2903" s="191"/>
    </row>
    <row r="2904" spans="2:2">
      <c r="B2904" s="191"/>
    </row>
    <row r="2905" spans="2:2">
      <c r="B2905" s="191"/>
    </row>
    <row r="2906" spans="2:2">
      <c r="B2906" s="191"/>
    </row>
    <row r="2907" spans="2:2">
      <c r="B2907" s="191"/>
    </row>
    <row r="2908" spans="2:2">
      <c r="B2908" s="191"/>
    </row>
    <row r="2909" spans="2:2">
      <c r="B2909" s="191"/>
    </row>
    <row r="2910" spans="2:2">
      <c r="B2910" s="191"/>
    </row>
    <row r="2911" spans="2:2">
      <c r="B2911" s="191"/>
    </row>
    <row r="2912" spans="2:2">
      <c r="B2912" s="191"/>
    </row>
    <row r="2913" spans="2:2">
      <c r="B2913" s="191"/>
    </row>
    <row r="2914" spans="2:2">
      <c r="B2914" s="191"/>
    </row>
    <row r="2915" spans="2:2">
      <c r="B2915" s="191"/>
    </row>
    <row r="2916" spans="2:2">
      <c r="B2916" s="191"/>
    </row>
    <row r="2917" spans="2:2">
      <c r="B2917" s="191"/>
    </row>
    <row r="2918" spans="2:2">
      <c r="B2918" s="191"/>
    </row>
    <row r="2919" spans="2:2">
      <c r="B2919" s="191"/>
    </row>
    <row r="2920" spans="2:2">
      <c r="B2920" s="191"/>
    </row>
    <row r="2921" spans="2:2">
      <c r="B2921" s="191"/>
    </row>
    <row r="2922" spans="2:2">
      <c r="B2922" s="191"/>
    </row>
    <row r="2923" spans="2:2">
      <c r="B2923" s="191"/>
    </row>
    <row r="2924" spans="2:2">
      <c r="B2924" s="191"/>
    </row>
    <row r="2925" spans="2:2">
      <c r="B2925" s="191"/>
    </row>
    <row r="2926" spans="2:2">
      <c r="B2926" s="191"/>
    </row>
    <row r="2927" spans="2:2">
      <c r="B2927" s="191"/>
    </row>
    <row r="2928" spans="2:2">
      <c r="B2928" s="191"/>
    </row>
    <row r="2929" spans="2:2">
      <c r="B2929" s="191"/>
    </row>
    <row r="2930" spans="2:2">
      <c r="B2930" s="191"/>
    </row>
    <row r="2931" spans="2:2">
      <c r="B2931" s="191"/>
    </row>
    <row r="2932" spans="2:2">
      <c r="B2932" s="191"/>
    </row>
    <row r="2933" spans="2:2">
      <c r="B2933" s="191"/>
    </row>
    <row r="2934" spans="2:2">
      <c r="B2934" s="191"/>
    </row>
    <row r="2935" spans="2:2">
      <c r="B2935" s="191"/>
    </row>
    <row r="2936" spans="2:2">
      <c r="B2936" s="191"/>
    </row>
    <row r="2937" spans="2:2">
      <c r="B2937" s="191"/>
    </row>
    <row r="2938" spans="2:2">
      <c r="B2938" s="191"/>
    </row>
    <row r="2939" spans="2:2">
      <c r="B2939" s="191"/>
    </row>
    <row r="2940" spans="2:2">
      <c r="B2940" s="191"/>
    </row>
    <row r="2941" spans="2:2">
      <c r="B2941" s="191"/>
    </row>
    <row r="2942" spans="2:2">
      <c r="B2942" s="191"/>
    </row>
    <row r="2943" spans="2:2">
      <c r="B2943" s="191"/>
    </row>
    <row r="2944" spans="2:2">
      <c r="B2944" s="191"/>
    </row>
    <row r="2945" spans="2:2">
      <c r="B2945" s="191"/>
    </row>
    <row r="2946" spans="2:2">
      <c r="B2946" s="191"/>
    </row>
    <row r="2947" spans="2:2">
      <c r="B2947" s="191"/>
    </row>
    <row r="2948" spans="2:2">
      <c r="B2948" s="191"/>
    </row>
    <row r="2949" spans="2:2">
      <c r="B2949" s="191"/>
    </row>
    <row r="2950" spans="2:2">
      <c r="B2950" s="191"/>
    </row>
    <row r="2951" spans="2:2">
      <c r="B2951" s="191"/>
    </row>
    <row r="2952" spans="2:2">
      <c r="B2952" s="191"/>
    </row>
    <row r="2953" spans="2:2">
      <c r="B2953" s="191"/>
    </row>
    <row r="2954" spans="2:2">
      <c r="B2954" s="191"/>
    </row>
    <row r="2955" spans="2:2">
      <c r="B2955" s="191"/>
    </row>
    <row r="2956" spans="2:2">
      <c r="B2956" s="191"/>
    </row>
    <row r="2957" spans="2:2">
      <c r="B2957" s="191"/>
    </row>
    <row r="2958" spans="2:2">
      <c r="B2958" s="191"/>
    </row>
    <row r="2959" spans="2:2">
      <c r="B2959" s="191"/>
    </row>
    <row r="2960" spans="2:2">
      <c r="B2960" s="191"/>
    </row>
    <row r="2961" spans="2:2">
      <c r="B2961" s="191"/>
    </row>
    <row r="2962" spans="2:2">
      <c r="B2962" s="191"/>
    </row>
    <row r="2963" spans="2:2">
      <c r="B2963" s="191"/>
    </row>
    <row r="2964" spans="2:2">
      <c r="B2964" s="191"/>
    </row>
    <row r="2965" spans="2:2">
      <c r="B2965" s="191"/>
    </row>
    <row r="2966" spans="2:2">
      <c r="B2966" s="191"/>
    </row>
    <row r="2967" spans="2:2">
      <c r="B2967" s="191"/>
    </row>
    <row r="2968" spans="2:2">
      <c r="B2968" s="191"/>
    </row>
    <row r="2969" spans="2:2">
      <c r="B2969" s="191"/>
    </row>
    <row r="2970" spans="2:2">
      <c r="B2970" s="191"/>
    </row>
    <row r="2971" spans="2:2">
      <c r="B2971" s="191"/>
    </row>
    <row r="2972" spans="2:2">
      <c r="B2972" s="191"/>
    </row>
    <row r="2973" spans="2:2">
      <c r="B2973" s="191"/>
    </row>
    <row r="2974" spans="2:2">
      <c r="B2974" s="191"/>
    </row>
    <row r="2975" spans="2:2">
      <c r="B2975" s="191"/>
    </row>
    <row r="2976" spans="2:2">
      <c r="B2976" s="191"/>
    </row>
    <row r="2977" spans="2:2">
      <c r="B2977" s="191"/>
    </row>
    <row r="2978" spans="2:2">
      <c r="B2978" s="191"/>
    </row>
    <row r="2979" spans="2:2">
      <c r="B2979" s="191"/>
    </row>
    <row r="2980" spans="2:2">
      <c r="B2980" s="191"/>
    </row>
    <row r="2981" spans="2:2">
      <c r="B2981" s="191"/>
    </row>
    <row r="2982" spans="2:2">
      <c r="B2982" s="191"/>
    </row>
    <row r="2983" spans="2:2">
      <c r="B2983" s="191"/>
    </row>
    <row r="2984" spans="2:2">
      <c r="B2984" s="191"/>
    </row>
    <row r="2985" spans="2:2">
      <c r="B2985" s="191"/>
    </row>
    <row r="2986" spans="2:2">
      <c r="B2986" s="191"/>
    </row>
    <row r="2987" spans="2:2">
      <c r="B2987" s="191"/>
    </row>
    <row r="2988" spans="2:2">
      <c r="B2988" s="191"/>
    </row>
    <row r="2989" spans="2:2">
      <c r="B2989" s="191"/>
    </row>
    <row r="2990" spans="2:2">
      <c r="B2990" s="191"/>
    </row>
    <row r="2991" spans="2:2">
      <c r="B2991" s="191"/>
    </row>
    <row r="2992" spans="2:2">
      <c r="B2992" s="191"/>
    </row>
    <row r="2993" spans="2:2">
      <c r="B2993" s="191"/>
    </row>
    <row r="2994" spans="2:2">
      <c r="B2994" s="191"/>
    </row>
    <row r="2995" spans="2:2">
      <c r="B2995" s="191"/>
    </row>
    <row r="2996" spans="2:2">
      <c r="B2996" s="191"/>
    </row>
    <row r="2997" spans="2:2">
      <c r="B2997" s="191"/>
    </row>
    <row r="2998" spans="2:2">
      <c r="B2998" s="191"/>
    </row>
    <row r="2999" spans="2:2">
      <c r="B2999" s="191"/>
    </row>
    <row r="3000" spans="2:2">
      <c r="B3000" s="191"/>
    </row>
    <row r="3001" spans="2:2">
      <c r="B3001" s="191"/>
    </row>
    <row r="3002" spans="2:2">
      <c r="B3002" s="191"/>
    </row>
    <row r="3003" spans="2:2">
      <c r="B3003" s="191"/>
    </row>
    <row r="3004" spans="2:2">
      <c r="B3004" s="191"/>
    </row>
    <row r="3005" spans="2:2">
      <c r="B3005" s="191"/>
    </row>
    <row r="3006" spans="2:2">
      <c r="B3006" s="191"/>
    </row>
    <row r="3007" spans="2:2">
      <c r="B3007" s="191"/>
    </row>
    <row r="3008" spans="2:2">
      <c r="B3008" s="191"/>
    </row>
    <row r="3009" spans="2:2">
      <c r="B3009" s="191"/>
    </row>
    <row r="3010" spans="2:2">
      <c r="B3010" s="191"/>
    </row>
    <row r="3011" spans="2:2">
      <c r="B3011" s="191"/>
    </row>
    <row r="3012" spans="2:2">
      <c r="B3012" s="191"/>
    </row>
    <row r="3013" spans="2:2">
      <c r="B3013" s="191"/>
    </row>
    <row r="3014" spans="2:2">
      <c r="B3014" s="191"/>
    </row>
    <row r="3015" spans="2:2">
      <c r="B3015" s="191"/>
    </row>
    <row r="3016" spans="2:2">
      <c r="B3016" s="191"/>
    </row>
    <row r="3017" spans="2:2">
      <c r="B3017" s="191"/>
    </row>
    <row r="3018" spans="2:2">
      <c r="B3018" s="191"/>
    </row>
    <row r="3019" spans="2:2">
      <c r="B3019" s="191"/>
    </row>
    <row r="3020" spans="2:2">
      <c r="B3020" s="191"/>
    </row>
    <row r="3021" spans="2:2">
      <c r="B3021" s="191"/>
    </row>
    <row r="3022" spans="2:2">
      <c r="B3022" s="191"/>
    </row>
    <row r="3023" spans="2:2">
      <c r="B3023" s="191"/>
    </row>
    <row r="3024" spans="2:2">
      <c r="B3024" s="191"/>
    </row>
    <row r="3025" spans="2:2">
      <c r="B3025" s="191"/>
    </row>
    <row r="3026" spans="2:2">
      <c r="B3026" s="191"/>
    </row>
    <row r="3027" spans="2:2">
      <c r="B3027" s="191"/>
    </row>
    <row r="3028" spans="2:2">
      <c r="B3028" s="191"/>
    </row>
    <row r="3029" spans="2:2">
      <c r="B3029" s="191"/>
    </row>
    <row r="3030" spans="2:2">
      <c r="B3030" s="191"/>
    </row>
    <row r="3031" spans="2:2">
      <c r="B3031" s="191"/>
    </row>
    <row r="3032" spans="2:2">
      <c r="B3032" s="191"/>
    </row>
    <row r="3033" spans="2:2">
      <c r="B3033" s="191"/>
    </row>
    <row r="3034" spans="2:2">
      <c r="B3034" s="191"/>
    </row>
    <row r="3035" spans="2:2">
      <c r="B3035" s="191"/>
    </row>
    <row r="3036" spans="2:2">
      <c r="B3036" s="191"/>
    </row>
    <row r="3037" spans="2:2">
      <c r="B3037" s="191"/>
    </row>
    <row r="3038" spans="2:2">
      <c r="B3038" s="191"/>
    </row>
    <row r="3039" spans="2:2">
      <c r="B3039" s="191"/>
    </row>
    <row r="3040" spans="2:2">
      <c r="B3040" s="191"/>
    </row>
    <row r="3041" spans="2:2">
      <c r="B3041" s="191"/>
    </row>
    <row r="3042" spans="2:2">
      <c r="B3042" s="191"/>
    </row>
    <row r="3043" spans="2:2">
      <c r="B3043" s="191"/>
    </row>
    <row r="3044" spans="2:2">
      <c r="B3044" s="191"/>
    </row>
    <row r="3045" spans="2:2">
      <c r="B3045" s="191"/>
    </row>
    <row r="3046" spans="2:2">
      <c r="B3046" s="191"/>
    </row>
    <row r="3047" spans="2:2">
      <c r="B3047" s="191"/>
    </row>
    <row r="3048" spans="2:2">
      <c r="B3048" s="191"/>
    </row>
    <row r="3049" spans="2:2">
      <c r="B3049" s="191"/>
    </row>
    <row r="3050" spans="2:2">
      <c r="B3050" s="191"/>
    </row>
    <row r="3051" spans="2:2">
      <c r="B3051" s="191"/>
    </row>
    <row r="3052" spans="2:2">
      <c r="B3052" s="191"/>
    </row>
    <row r="3053" spans="2:2">
      <c r="B3053" s="191"/>
    </row>
    <row r="3054" spans="2:2">
      <c r="B3054" s="191"/>
    </row>
    <row r="3055" spans="2:2">
      <c r="B3055" s="191"/>
    </row>
    <row r="3056" spans="2:2">
      <c r="B3056" s="191"/>
    </row>
    <row r="3057" spans="2:2">
      <c r="B3057" s="191"/>
    </row>
    <row r="3058" spans="2:2">
      <c r="B3058" s="191"/>
    </row>
    <row r="3059" spans="2:2">
      <c r="B3059" s="191"/>
    </row>
    <row r="3060" spans="2:2">
      <c r="B3060" s="191"/>
    </row>
    <row r="3061" spans="2:2">
      <c r="B3061" s="191"/>
    </row>
    <row r="3062" spans="2:2">
      <c r="B3062" s="191"/>
    </row>
    <row r="3063" spans="2:2">
      <c r="B3063" s="191"/>
    </row>
    <row r="3064" spans="2:2">
      <c r="B3064" s="191"/>
    </row>
    <row r="3065" spans="2:2">
      <c r="B3065" s="191"/>
    </row>
    <row r="3066" spans="2:2">
      <c r="B3066" s="191"/>
    </row>
    <row r="3067" spans="2:2">
      <c r="B3067" s="191"/>
    </row>
    <row r="3068" spans="2:2">
      <c r="B3068" s="191"/>
    </row>
    <row r="3069" spans="2:2">
      <c r="B3069" s="191"/>
    </row>
    <row r="3070" spans="2:2">
      <c r="B3070" s="191"/>
    </row>
    <row r="3071" spans="2:2">
      <c r="B3071" s="191"/>
    </row>
    <row r="3072" spans="2:2">
      <c r="B3072" s="191"/>
    </row>
    <row r="3073" spans="2:2">
      <c r="B3073" s="191"/>
    </row>
    <row r="3074" spans="2:2">
      <c r="B3074" s="191"/>
    </row>
    <row r="3075" spans="2:2">
      <c r="B3075" s="191"/>
    </row>
    <row r="3076" spans="2:2">
      <c r="B3076" s="191"/>
    </row>
    <row r="3077" spans="2:2">
      <c r="B3077" s="191"/>
    </row>
    <row r="3078" spans="2:2">
      <c r="B3078" s="191"/>
    </row>
    <row r="3079" spans="2:2">
      <c r="B3079" s="191"/>
    </row>
    <row r="3080" spans="2:2">
      <c r="B3080" s="191"/>
    </row>
    <row r="3081" spans="2:2">
      <c r="B3081" s="191"/>
    </row>
    <row r="3082" spans="2:2">
      <c r="B3082" s="191"/>
    </row>
    <row r="3083" spans="2:2">
      <c r="B3083" s="191"/>
    </row>
    <row r="3084" spans="2:2">
      <c r="B3084" s="191"/>
    </row>
    <row r="3085" spans="2:2">
      <c r="B3085" s="191"/>
    </row>
    <row r="3086" spans="2:2">
      <c r="B3086" s="191"/>
    </row>
    <row r="3087" spans="2:2">
      <c r="B3087" s="191"/>
    </row>
    <row r="3088" spans="2:2">
      <c r="B3088" s="191"/>
    </row>
    <row r="3089" spans="2:2">
      <c r="B3089" s="191"/>
    </row>
    <row r="3090" spans="2:2">
      <c r="B3090" s="191"/>
    </row>
    <row r="3091" spans="2:2">
      <c r="B3091" s="191"/>
    </row>
    <row r="3092" spans="2:2">
      <c r="B3092" s="191"/>
    </row>
    <row r="3093" spans="2:2">
      <c r="B3093" s="191"/>
    </row>
    <row r="3094" spans="2:2">
      <c r="B3094" s="191"/>
    </row>
    <row r="3095" spans="2:2">
      <c r="B3095" s="191"/>
    </row>
    <row r="3096" spans="2:2">
      <c r="B3096" s="191"/>
    </row>
    <row r="3097" spans="2:2">
      <c r="B3097" s="191"/>
    </row>
    <row r="3098" spans="2:2">
      <c r="B3098" s="191"/>
    </row>
    <row r="3099" spans="2:2">
      <c r="B3099" s="191"/>
    </row>
    <row r="3100" spans="2:2">
      <c r="B3100" s="191"/>
    </row>
    <row r="3101" spans="2:2">
      <c r="B3101" s="191"/>
    </row>
    <row r="3102" spans="2:2">
      <c r="B3102" s="191"/>
    </row>
    <row r="3103" spans="2:2">
      <c r="B3103" s="191"/>
    </row>
    <row r="3104" spans="2:2">
      <c r="B3104" s="191"/>
    </row>
    <row r="3105" spans="2:2">
      <c r="B3105" s="191"/>
    </row>
    <row r="3106" spans="2:2">
      <c r="B3106" s="191"/>
    </row>
    <row r="3107" spans="2:2">
      <c r="B3107" s="191"/>
    </row>
    <row r="3108" spans="2:2">
      <c r="B3108" s="191"/>
    </row>
    <row r="3109" spans="2:2">
      <c r="B3109" s="191"/>
    </row>
    <row r="3110" spans="2:2">
      <c r="B3110" s="191"/>
    </row>
    <row r="3111" spans="2:2">
      <c r="B3111" s="191"/>
    </row>
    <row r="3112" spans="2:2">
      <c r="B3112" s="191"/>
    </row>
    <row r="3113" spans="2:2">
      <c r="B3113" s="191"/>
    </row>
    <row r="3114" spans="2:2">
      <c r="B3114" s="191"/>
    </row>
    <row r="3115" spans="2:2">
      <c r="B3115" s="191"/>
    </row>
    <row r="3116" spans="2:2">
      <c r="B3116" s="191"/>
    </row>
    <row r="3117" spans="2:2">
      <c r="B3117" s="191"/>
    </row>
    <row r="3118" spans="2:2">
      <c r="B3118" s="191"/>
    </row>
    <row r="3119" spans="2:2">
      <c r="B3119" s="191"/>
    </row>
    <row r="3120" spans="2:2">
      <c r="B3120" s="191"/>
    </row>
    <row r="3121" spans="2:2">
      <c r="B3121" s="191"/>
    </row>
    <row r="3122" spans="2:2">
      <c r="B3122" s="191"/>
    </row>
    <row r="3123" spans="2:2">
      <c r="B3123" s="191"/>
    </row>
    <row r="3124" spans="2:2">
      <c r="B3124" s="191"/>
    </row>
    <row r="3125" spans="2:2">
      <c r="B3125" s="191"/>
    </row>
    <row r="3126" spans="2:2">
      <c r="B3126" s="191"/>
    </row>
    <row r="3127" spans="2:2">
      <c r="B3127" s="191"/>
    </row>
    <row r="3128" spans="2:2">
      <c r="B3128" s="191"/>
    </row>
    <row r="3129" spans="2:2">
      <c r="B3129" s="191"/>
    </row>
    <row r="3130" spans="2:2">
      <c r="B3130" s="191"/>
    </row>
    <row r="3131" spans="2:2">
      <c r="B3131" s="191"/>
    </row>
    <row r="3132" spans="2:2">
      <c r="B3132" s="191"/>
    </row>
    <row r="3133" spans="2:2">
      <c r="B3133" s="191"/>
    </row>
    <row r="3134" spans="2:2">
      <c r="B3134" s="191"/>
    </row>
    <row r="3135" spans="2:2">
      <c r="B3135" s="191"/>
    </row>
    <row r="3136" spans="2:2">
      <c r="B3136" s="191"/>
    </row>
    <row r="3137" spans="2:2">
      <c r="B3137" s="191"/>
    </row>
    <row r="3138" spans="2:2">
      <c r="B3138" s="191"/>
    </row>
    <row r="3139" spans="2:2">
      <c r="B3139" s="191"/>
    </row>
    <row r="3140" spans="2:2">
      <c r="B3140" s="191"/>
    </row>
    <row r="3141" spans="2:2">
      <c r="B3141" s="191"/>
    </row>
    <row r="3142" spans="2:2">
      <c r="B3142" s="191"/>
    </row>
    <row r="3143" spans="2:2">
      <c r="B3143" s="191"/>
    </row>
    <row r="3144" spans="2:2">
      <c r="B3144" s="191"/>
    </row>
    <row r="3145" spans="2:2">
      <c r="B3145" s="191"/>
    </row>
    <row r="3146" spans="2:2">
      <c r="B3146" s="191"/>
    </row>
    <row r="3147" spans="2:2">
      <c r="B3147" s="191"/>
    </row>
    <row r="3148" spans="2:2">
      <c r="B3148" s="191"/>
    </row>
    <row r="3149" spans="2:2">
      <c r="B3149" s="191"/>
    </row>
    <row r="3150" spans="2:2">
      <c r="B3150" s="191"/>
    </row>
    <row r="3151" spans="2:2">
      <c r="B3151" s="191"/>
    </row>
    <row r="3152" spans="2:2">
      <c r="B3152" s="191"/>
    </row>
    <row r="3153" spans="2:2">
      <c r="B3153" s="191"/>
    </row>
    <row r="3154" spans="2:2">
      <c r="B3154" s="191"/>
    </row>
    <row r="3155" spans="2:2">
      <c r="B3155" s="191"/>
    </row>
    <row r="3156" spans="2:2">
      <c r="B3156" s="191"/>
    </row>
    <row r="3157" spans="2:2">
      <c r="B3157" s="191"/>
    </row>
    <row r="3158" spans="2:2">
      <c r="B3158" s="191"/>
    </row>
    <row r="3159" spans="2:2">
      <c r="B3159" s="191"/>
    </row>
    <row r="3160" spans="2:2">
      <c r="B3160" s="191"/>
    </row>
    <row r="3161" spans="2:2">
      <c r="B3161" s="191"/>
    </row>
    <row r="3162" spans="2:2">
      <c r="B3162" s="191"/>
    </row>
    <row r="3163" spans="2:2">
      <c r="B3163" s="191"/>
    </row>
    <row r="3164" spans="2:2">
      <c r="B3164" s="191"/>
    </row>
    <row r="3165" spans="2:2">
      <c r="B3165" s="191"/>
    </row>
    <row r="3166" spans="2:2">
      <c r="B3166" s="191"/>
    </row>
    <row r="3167" spans="2:2">
      <c r="B3167" s="191"/>
    </row>
    <row r="3168" spans="2:2">
      <c r="B3168" s="191"/>
    </row>
    <row r="3169" spans="2:2">
      <c r="B3169" s="191"/>
    </row>
    <row r="3170" spans="2:2">
      <c r="B3170" s="191"/>
    </row>
    <row r="3171" spans="2:2">
      <c r="B3171" s="191"/>
    </row>
    <row r="3172" spans="2:2">
      <c r="B3172" s="191"/>
    </row>
    <row r="3173" spans="2:2">
      <c r="B3173" s="191"/>
    </row>
    <row r="3174" spans="2:2">
      <c r="B3174" s="191"/>
    </row>
    <row r="3175" spans="2:2">
      <c r="B3175" s="191"/>
    </row>
    <row r="3176" spans="2:2">
      <c r="B3176" s="191"/>
    </row>
    <row r="3177" spans="2:2">
      <c r="B3177" s="191"/>
    </row>
    <row r="3178" spans="2:2">
      <c r="B3178" s="191"/>
    </row>
    <row r="3179" spans="2:2">
      <c r="B3179" s="191"/>
    </row>
    <row r="3180" spans="2:2">
      <c r="B3180" s="191"/>
    </row>
    <row r="3181" spans="2:2">
      <c r="B3181" s="191"/>
    </row>
    <row r="3182" spans="2:2">
      <c r="B3182" s="191"/>
    </row>
    <row r="3183" spans="2:2">
      <c r="B3183" s="191"/>
    </row>
    <row r="3184" spans="2:2">
      <c r="B3184" s="191"/>
    </row>
    <row r="3185" spans="2:2">
      <c r="B3185" s="191"/>
    </row>
    <row r="3186" spans="2:2">
      <c r="B3186" s="191"/>
    </row>
    <row r="3187" spans="2:2">
      <c r="B3187" s="191"/>
    </row>
    <row r="3188" spans="2:2">
      <c r="B3188" s="191"/>
    </row>
    <row r="3189" spans="2:2">
      <c r="B3189" s="191"/>
    </row>
    <row r="3190" spans="2:2">
      <c r="B3190" s="191"/>
    </row>
    <row r="3191" spans="2:2">
      <c r="B3191" s="191"/>
    </row>
    <row r="3192" spans="2:2">
      <c r="B3192" s="191"/>
    </row>
    <row r="3193" spans="2:2">
      <c r="B3193" s="191"/>
    </row>
    <row r="3194" spans="2:2">
      <c r="B3194" s="191"/>
    </row>
    <row r="3195" spans="2:2">
      <c r="B3195" s="191"/>
    </row>
    <row r="3196" spans="2:2">
      <c r="B3196" s="191"/>
    </row>
    <row r="3197" spans="2:2">
      <c r="B3197" s="191"/>
    </row>
    <row r="3198" spans="2:2">
      <c r="B3198" s="191"/>
    </row>
    <row r="3199" spans="2:2">
      <c r="B3199" s="191"/>
    </row>
    <row r="3200" spans="2:2">
      <c r="B3200" s="191"/>
    </row>
    <row r="3201" spans="2:2">
      <c r="B3201" s="191"/>
    </row>
    <row r="3202" spans="2:2">
      <c r="B3202" s="191"/>
    </row>
    <row r="3203" spans="2:2">
      <c r="B3203" s="191"/>
    </row>
    <row r="3204" spans="2:2">
      <c r="B3204" s="191"/>
    </row>
    <row r="3205" spans="2:2">
      <c r="B3205" s="191"/>
    </row>
    <row r="3206" spans="2:2">
      <c r="B3206" s="191"/>
    </row>
    <row r="3207" spans="2:2">
      <c r="B3207" s="191"/>
    </row>
    <row r="3208" spans="2:2">
      <c r="B3208" s="191"/>
    </row>
    <row r="3209" spans="2:2">
      <c r="B3209" s="191"/>
    </row>
    <row r="3210" spans="2:2">
      <c r="B3210" s="191"/>
    </row>
    <row r="3211" spans="2:2">
      <c r="B3211" s="191"/>
    </row>
    <row r="3212" spans="2:2">
      <c r="B3212" s="191"/>
    </row>
    <row r="3213" spans="2:2">
      <c r="B3213" s="191"/>
    </row>
    <row r="3214" spans="2:2">
      <c r="B3214" s="191"/>
    </row>
    <row r="3215" spans="2:2">
      <c r="B3215" s="191"/>
    </row>
    <row r="3216" spans="2:2">
      <c r="B3216" s="191"/>
    </row>
    <row r="3217" spans="2:2">
      <c r="B3217" s="191"/>
    </row>
    <row r="3218" spans="2:2">
      <c r="B3218" s="191"/>
    </row>
    <row r="3219" spans="2:2">
      <c r="B3219" s="191"/>
    </row>
    <row r="3220" spans="2:2">
      <c r="B3220" s="191"/>
    </row>
    <row r="3221" spans="2:2">
      <c r="B3221" s="191"/>
    </row>
    <row r="3222" spans="2:2">
      <c r="B3222" s="191"/>
    </row>
    <row r="3223" spans="2:2">
      <c r="B3223" s="191"/>
    </row>
    <row r="3224" spans="2:2">
      <c r="B3224" s="191"/>
    </row>
    <row r="3225" spans="2:2">
      <c r="B3225" s="191"/>
    </row>
    <row r="3226" spans="2:2">
      <c r="B3226" s="191"/>
    </row>
    <row r="3227" spans="2:2">
      <c r="B3227" s="191"/>
    </row>
    <row r="3228" spans="2:2">
      <c r="B3228" s="191"/>
    </row>
    <row r="3229" spans="2:2">
      <c r="B3229" s="191"/>
    </row>
    <row r="3230" spans="2:2">
      <c r="B3230" s="191"/>
    </row>
    <row r="3231" spans="2:2">
      <c r="B3231" s="191"/>
    </row>
    <row r="3232" spans="2:2">
      <c r="B3232" s="191"/>
    </row>
    <row r="3233" spans="2:2">
      <c r="B3233" s="191"/>
    </row>
    <row r="3234" spans="2:2">
      <c r="B3234" s="191"/>
    </row>
    <row r="3235" spans="2:2">
      <c r="B3235" s="191"/>
    </row>
    <row r="3236" spans="2:2">
      <c r="B3236" s="191"/>
    </row>
    <row r="3237" spans="2:2">
      <c r="B3237" s="191"/>
    </row>
    <row r="3238" spans="2:2">
      <c r="B3238" s="191"/>
    </row>
    <row r="3239" spans="2:2">
      <c r="B3239" s="191"/>
    </row>
    <row r="3240" spans="2:2">
      <c r="B3240" s="191"/>
    </row>
    <row r="3241" spans="2:2">
      <c r="B3241" s="191"/>
    </row>
    <row r="3242" spans="2:2">
      <c r="B3242" s="191"/>
    </row>
    <row r="3243" spans="2:2">
      <c r="B3243" s="191"/>
    </row>
    <row r="3244" spans="2:2">
      <c r="B3244" s="191"/>
    </row>
    <row r="3245" spans="2:2">
      <c r="B3245" s="191"/>
    </row>
    <row r="3246" spans="2:2">
      <c r="B3246" s="191"/>
    </row>
    <row r="3247" spans="2:2">
      <c r="B3247" s="191"/>
    </row>
    <row r="3248" spans="2:2">
      <c r="B3248" s="191"/>
    </row>
    <row r="3249" spans="2:2">
      <c r="B3249" s="191"/>
    </row>
    <row r="3250" spans="2:2">
      <c r="B3250" s="191"/>
    </row>
    <row r="3251" spans="2:2">
      <c r="B3251" s="191"/>
    </row>
    <row r="3252" spans="2:2">
      <c r="B3252" s="191"/>
    </row>
    <row r="3253" spans="2:2">
      <c r="B3253" s="191"/>
    </row>
    <row r="3254" spans="2:2">
      <c r="B3254" s="191"/>
    </row>
    <row r="3255" spans="2:2">
      <c r="B3255" s="191"/>
    </row>
    <row r="3256" spans="2:2">
      <c r="B3256" s="191"/>
    </row>
    <row r="3257" spans="2:2">
      <c r="B3257" s="191"/>
    </row>
    <row r="3258" spans="2:2">
      <c r="B3258" s="191"/>
    </row>
    <row r="3259" spans="2:2">
      <c r="B3259" s="191"/>
    </row>
    <row r="3260" spans="2:2">
      <c r="B3260" s="191"/>
    </row>
    <row r="3261" spans="2:2">
      <c r="B3261" s="191"/>
    </row>
    <row r="3262" spans="2:2">
      <c r="B3262" s="191"/>
    </row>
    <row r="3263" spans="2:2">
      <c r="B3263" s="191"/>
    </row>
    <row r="3264" spans="2:2">
      <c r="B3264" s="191"/>
    </row>
    <row r="3265" spans="2:2">
      <c r="B3265" s="191"/>
    </row>
    <row r="3266" spans="2:2">
      <c r="B3266" s="191"/>
    </row>
    <row r="3267" spans="2:2">
      <c r="B3267" s="191"/>
    </row>
    <row r="3268" spans="2:2">
      <c r="B3268" s="191"/>
    </row>
    <row r="3269" spans="2:2">
      <c r="B3269" s="191"/>
    </row>
    <row r="3270" spans="2:2">
      <c r="B3270" s="191"/>
    </row>
    <row r="3271" spans="2:2">
      <c r="B3271" s="191"/>
    </row>
    <row r="3272" spans="2:2">
      <c r="B3272" s="191"/>
    </row>
    <row r="3273" spans="2:2">
      <c r="B3273" s="191"/>
    </row>
    <row r="3274" spans="2:2">
      <c r="B3274" s="191"/>
    </row>
    <row r="3275" spans="2:2">
      <c r="B3275" s="191"/>
    </row>
    <row r="3276" spans="2:2">
      <c r="B3276" s="191"/>
    </row>
    <row r="3277" spans="2:2">
      <c r="B3277" s="191"/>
    </row>
    <row r="3278" spans="2:2">
      <c r="B3278" s="191"/>
    </row>
    <row r="3279" spans="2:2">
      <c r="B3279" s="191"/>
    </row>
    <row r="3280" spans="2:2">
      <c r="B3280" s="191"/>
    </row>
    <row r="3281" spans="2:2">
      <c r="B3281" s="191"/>
    </row>
    <row r="3282" spans="2:2">
      <c r="B3282" s="191"/>
    </row>
    <row r="3283" spans="2:2">
      <c r="B3283" s="191"/>
    </row>
    <row r="3284" spans="2:2">
      <c r="B3284" s="191"/>
    </row>
    <row r="3285" spans="2:2">
      <c r="B3285" s="191"/>
    </row>
    <row r="3286" spans="2:2">
      <c r="B3286" s="191"/>
    </row>
    <row r="3287" spans="2:2">
      <c r="B3287" s="191"/>
    </row>
    <row r="3288" spans="2:2">
      <c r="B3288" s="191"/>
    </row>
    <row r="3289" spans="2:2">
      <c r="B3289" s="191"/>
    </row>
    <row r="3290" spans="2:2">
      <c r="B3290" s="191"/>
    </row>
    <row r="3291" spans="2:2">
      <c r="B3291" s="191"/>
    </row>
    <row r="3292" spans="2:2">
      <c r="B3292" s="191"/>
    </row>
    <row r="3293" spans="2:2">
      <c r="B3293" s="191"/>
    </row>
    <row r="3294" spans="2:2">
      <c r="B3294" s="191"/>
    </row>
    <row r="3295" spans="2:2">
      <c r="B3295" s="191"/>
    </row>
    <row r="3296" spans="2:2">
      <c r="B3296" s="191"/>
    </row>
    <row r="3297" spans="2:2">
      <c r="B3297" s="191"/>
    </row>
    <row r="3298" spans="2:2">
      <c r="B3298" s="191"/>
    </row>
    <row r="3299" spans="2:2">
      <c r="B3299" s="191"/>
    </row>
    <row r="3300" spans="2:2">
      <c r="B3300" s="191"/>
    </row>
    <row r="3301" spans="2:2">
      <c r="B3301" s="191"/>
    </row>
    <row r="3302" spans="2:2">
      <c r="B3302" s="191"/>
    </row>
    <row r="3303" spans="2:2">
      <c r="B3303" s="191"/>
    </row>
    <row r="3304" spans="2:2">
      <c r="B3304" s="191"/>
    </row>
    <row r="3305" spans="2:2">
      <c r="B3305" s="191"/>
    </row>
    <row r="3306" spans="2:2">
      <c r="B3306" s="191"/>
    </row>
    <row r="3307" spans="2:2">
      <c r="B3307" s="191"/>
    </row>
    <row r="3308" spans="2:2">
      <c r="B3308" s="191"/>
    </row>
    <row r="3309" spans="2:2">
      <c r="B3309" s="191"/>
    </row>
    <row r="3310" spans="2:2">
      <c r="B3310" s="191"/>
    </row>
    <row r="3311" spans="2:2">
      <c r="B3311" s="191"/>
    </row>
    <row r="3312" spans="2:2">
      <c r="B3312" s="191"/>
    </row>
    <row r="3313" spans="2:2">
      <c r="B3313" s="191"/>
    </row>
    <row r="3314" spans="2:2">
      <c r="B3314" s="191"/>
    </row>
    <row r="3315" spans="2:2">
      <c r="B3315" s="191"/>
    </row>
    <row r="3316" spans="2:2">
      <c r="B3316" s="191"/>
    </row>
    <row r="3317" spans="2:2">
      <c r="B3317" s="191"/>
    </row>
    <row r="3318" spans="2:2">
      <c r="B3318" s="191"/>
    </row>
    <row r="3319" spans="2:2">
      <c r="B3319" s="191"/>
    </row>
    <row r="3320" spans="2:2">
      <c r="B3320" s="191"/>
    </row>
    <row r="3321" spans="2:2">
      <c r="B3321" s="191"/>
    </row>
    <row r="3322" spans="2:2">
      <c r="B3322" s="191"/>
    </row>
    <row r="3323" spans="2:2">
      <c r="B3323" s="191"/>
    </row>
    <row r="3324" spans="2:2">
      <c r="B3324" s="191"/>
    </row>
    <row r="3325" spans="2:2">
      <c r="B3325" s="191"/>
    </row>
    <row r="3326" spans="2:2">
      <c r="B3326" s="191"/>
    </row>
    <row r="3327" spans="2:2">
      <c r="B3327" s="191"/>
    </row>
    <row r="3328" spans="2:2">
      <c r="B3328" s="191"/>
    </row>
    <row r="3329" spans="2:2">
      <c r="B3329" s="191"/>
    </row>
    <row r="3330" spans="2:2">
      <c r="B3330" s="191"/>
    </row>
    <row r="3331" spans="2:2">
      <c r="B3331" s="191"/>
    </row>
    <row r="3332" spans="2:2">
      <c r="B3332" s="191"/>
    </row>
    <row r="3333" spans="2:2">
      <c r="B3333" s="191"/>
    </row>
    <row r="3334" spans="2:2">
      <c r="B3334" s="191"/>
    </row>
    <row r="3335" spans="2:2">
      <c r="B3335" s="191"/>
    </row>
    <row r="3336" spans="2:2">
      <c r="B3336" s="191"/>
    </row>
    <row r="3337" spans="2:2">
      <c r="B3337" s="191"/>
    </row>
    <row r="3338" spans="2:2">
      <c r="B3338" s="191"/>
    </row>
    <row r="3339" spans="2:2">
      <c r="B3339" s="191"/>
    </row>
    <row r="3340" spans="2:2">
      <c r="B3340" s="191"/>
    </row>
    <row r="3341" spans="2:2">
      <c r="B3341" s="191"/>
    </row>
    <row r="3342" spans="2:2">
      <c r="B3342" s="191"/>
    </row>
    <row r="3343" spans="2:2">
      <c r="B3343" s="191"/>
    </row>
    <row r="3344" spans="2:2">
      <c r="B3344" s="191"/>
    </row>
    <row r="3345" spans="2:2">
      <c r="B3345" s="191"/>
    </row>
    <row r="3346" spans="2:2">
      <c r="B3346" s="191"/>
    </row>
    <row r="3347" spans="2:2">
      <c r="B3347" s="191"/>
    </row>
    <row r="3348" spans="2:2">
      <c r="B3348" s="191"/>
    </row>
    <row r="3349" spans="2:2">
      <c r="B3349" s="191"/>
    </row>
    <row r="3350" spans="2:2">
      <c r="B3350" s="191"/>
    </row>
    <row r="3351" spans="2:2">
      <c r="B3351" s="191"/>
    </row>
    <row r="3352" spans="2:2">
      <c r="B3352" s="191"/>
    </row>
    <row r="3353" spans="2:2">
      <c r="B3353" s="191"/>
    </row>
    <row r="3354" spans="2:2">
      <c r="B3354" s="191"/>
    </row>
    <row r="3355" spans="2:2">
      <c r="B3355" s="191"/>
    </row>
    <row r="3356" spans="2:2">
      <c r="B3356" s="191"/>
    </row>
    <row r="3357" spans="2:2">
      <c r="B3357" s="191"/>
    </row>
    <row r="3358" spans="2:2">
      <c r="B3358" s="191"/>
    </row>
    <row r="3359" spans="2:2">
      <c r="B3359" s="191"/>
    </row>
    <row r="3360" spans="2:2">
      <c r="B3360" s="191"/>
    </row>
    <row r="3361" spans="2:2">
      <c r="B3361" s="191"/>
    </row>
    <row r="3362" spans="2:2">
      <c r="B3362" s="191"/>
    </row>
    <row r="3363" spans="2:2">
      <c r="B3363" s="191"/>
    </row>
    <row r="3364" spans="2:2">
      <c r="B3364" s="191"/>
    </row>
    <row r="3365" spans="2:2">
      <c r="B3365" s="191"/>
    </row>
    <row r="3366" spans="2:2">
      <c r="B3366" s="191"/>
    </row>
    <row r="3367" spans="2:2">
      <c r="B3367" s="191"/>
    </row>
    <row r="3368" spans="2:2">
      <c r="B3368" s="191"/>
    </row>
    <row r="3369" spans="2:2">
      <c r="B3369" s="191"/>
    </row>
    <row r="3370" spans="2:2">
      <c r="B3370" s="191"/>
    </row>
    <row r="3371" spans="2:2">
      <c r="B3371" s="191"/>
    </row>
    <row r="3372" spans="2:2">
      <c r="B3372" s="191"/>
    </row>
    <row r="3373" spans="2:2">
      <c r="B3373" s="191"/>
    </row>
    <row r="3374" spans="2:2">
      <c r="B3374" s="191"/>
    </row>
    <row r="3375" spans="2:2">
      <c r="B3375" s="191"/>
    </row>
    <row r="3376" spans="2:2">
      <c r="B3376" s="191"/>
    </row>
    <row r="3377" spans="2:2">
      <c r="B3377" s="191"/>
    </row>
    <row r="3378" spans="2:2">
      <c r="B3378" s="191"/>
    </row>
    <row r="3379" spans="2:2">
      <c r="B3379" s="191"/>
    </row>
    <row r="3380" spans="2:2">
      <c r="B3380" s="191"/>
    </row>
    <row r="3381" spans="2:2">
      <c r="B3381" s="191"/>
    </row>
    <row r="3382" spans="2:2">
      <c r="B3382" s="191"/>
    </row>
    <row r="3383" spans="2:2">
      <c r="B3383" s="191"/>
    </row>
    <row r="3384" spans="2:2">
      <c r="B3384" s="191"/>
    </row>
    <row r="3385" spans="2:2">
      <c r="B3385" s="191"/>
    </row>
    <row r="3386" spans="2:2">
      <c r="B3386" s="191"/>
    </row>
    <row r="3387" spans="2:2">
      <c r="B3387" s="191"/>
    </row>
    <row r="3388" spans="2:2">
      <c r="B3388" s="191"/>
    </row>
    <row r="3389" spans="2:2">
      <c r="B3389" s="191"/>
    </row>
    <row r="3390" spans="2:2">
      <c r="B3390" s="191"/>
    </row>
    <row r="3391" spans="2:2">
      <c r="B3391" s="191"/>
    </row>
    <row r="3392" spans="2:2">
      <c r="B3392" s="191"/>
    </row>
    <row r="3393" spans="2:2">
      <c r="B3393" s="191"/>
    </row>
    <row r="3394" spans="2:2">
      <c r="B3394" s="191"/>
    </row>
    <row r="3395" spans="2:2">
      <c r="B3395" s="191"/>
    </row>
    <row r="3396" spans="2:2">
      <c r="B3396" s="191"/>
    </row>
    <row r="3397" spans="2:2">
      <c r="B3397" s="191"/>
    </row>
    <row r="3398" spans="2:2">
      <c r="B3398" s="191"/>
    </row>
    <row r="3399" spans="2:2">
      <c r="B3399" s="191"/>
    </row>
    <row r="3400" spans="2:2">
      <c r="B3400" s="191"/>
    </row>
    <row r="3401" spans="2:2">
      <c r="B3401" s="191"/>
    </row>
    <row r="3402" spans="2:2">
      <c r="B3402" s="191"/>
    </row>
    <row r="3403" spans="2:2">
      <c r="B3403" s="191"/>
    </row>
    <row r="3404" spans="2:2">
      <c r="B3404" s="191"/>
    </row>
    <row r="3405" spans="2:2">
      <c r="B3405" s="191"/>
    </row>
    <row r="3406" spans="2:2">
      <c r="B3406" s="191"/>
    </row>
    <row r="3407" spans="2:2">
      <c r="B3407" s="191"/>
    </row>
    <row r="3408" spans="2:2">
      <c r="B3408" s="191"/>
    </row>
    <row r="3409" spans="2:2">
      <c r="B3409" s="191"/>
    </row>
    <row r="3410" spans="2:2">
      <c r="B3410" s="191"/>
    </row>
    <row r="3411" spans="2:2">
      <c r="B3411" s="191"/>
    </row>
    <row r="3412" spans="2:2">
      <c r="B3412" s="191"/>
    </row>
    <row r="3413" spans="2:2">
      <c r="B3413" s="191"/>
    </row>
    <row r="3414" spans="2:2">
      <c r="B3414" s="191"/>
    </row>
    <row r="3415" spans="2:2">
      <c r="B3415" s="191"/>
    </row>
    <row r="3416" spans="2:2">
      <c r="B3416" s="191"/>
    </row>
    <row r="3417" spans="2:2">
      <c r="B3417" s="191"/>
    </row>
    <row r="3418" spans="2:2">
      <c r="B3418" s="191"/>
    </row>
    <row r="3419" spans="2:2">
      <c r="B3419" s="191"/>
    </row>
    <row r="3420" spans="2:2">
      <c r="B3420" s="191"/>
    </row>
    <row r="3421" spans="2:2">
      <c r="B3421" s="191"/>
    </row>
    <row r="3422" spans="2:2">
      <c r="B3422" s="191"/>
    </row>
    <row r="3423" spans="2:2">
      <c r="B3423" s="191"/>
    </row>
    <row r="3424" spans="2:2">
      <c r="B3424" s="191"/>
    </row>
    <row r="3425" spans="2:2">
      <c r="B3425" s="191"/>
    </row>
    <row r="3426" spans="2:2">
      <c r="B3426" s="191"/>
    </row>
    <row r="3427" spans="2:2">
      <c r="B3427" s="191"/>
    </row>
    <row r="3428" spans="2:2">
      <c r="B3428" s="191"/>
    </row>
    <row r="3429" spans="2:2">
      <c r="B3429" s="191"/>
    </row>
    <row r="3430" spans="2:2">
      <c r="B3430" s="191"/>
    </row>
    <row r="3431" spans="2:2">
      <c r="B3431" s="191"/>
    </row>
    <row r="3432" spans="2:2">
      <c r="B3432" s="191"/>
    </row>
    <row r="3433" spans="2:2">
      <c r="B3433" s="191"/>
    </row>
    <row r="3434" spans="2:2">
      <c r="B3434" s="191"/>
    </row>
    <row r="3435" spans="2:2">
      <c r="B3435" s="191"/>
    </row>
    <row r="3436" spans="2:2">
      <c r="B3436" s="191"/>
    </row>
    <row r="3437" spans="2:2">
      <c r="B3437" s="191"/>
    </row>
    <row r="3438" spans="2:2">
      <c r="B3438" s="191"/>
    </row>
    <row r="3439" spans="2:2">
      <c r="B3439" s="191"/>
    </row>
    <row r="3440" spans="2:2">
      <c r="B3440" s="191"/>
    </row>
    <row r="3441" spans="2:2">
      <c r="B3441" s="191"/>
    </row>
    <row r="3442" spans="2:2">
      <c r="B3442" s="191"/>
    </row>
    <row r="3443" spans="2:2">
      <c r="B3443" s="191"/>
    </row>
    <row r="3444" spans="2:2">
      <c r="B3444" s="191"/>
    </row>
    <row r="3445" spans="2:2">
      <c r="B3445" s="191"/>
    </row>
    <row r="3446" spans="2:2">
      <c r="B3446" s="191"/>
    </row>
    <row r="3447" spans="2:2">
      <c r="B3447" s="191"/>
    </row>
    <row r="3448" spans="2:2">
      <c r="B3448" s="191"/>
    </row>
    <row r="3449" spans="2:2">
      <c r="B3449" s="191"/>
    </row>
    <row r="3450" spans="2:2">
      <c r="B3450" s="191"/>
    </row>
    <row r="3451" spans="2:2">
      <c r="B3451" s="191"/>
    </row>
    <row r="3452" spans="2:2">
      <c r="B3452" s="191"/>
    </row>
    <row r="3453" spans="2:2">
      <c r="B3453" s="191"/>
    </row>
    <row r="3454" spans="2:2">
      <c r="B3454" s="191"/>
    </row>
    <row r="3455" spans="2:2">
      <c r="B3455" s="191"/>
    </row>
    <row r="3456" spans="2:2">
      <c r="B3456" s="191"/>
    </row>
    <row r="3457" spans="2:2">
      <c r="B3457" s="191"/>
    </row>
    <row r="3458" spans="2:2">
      <c r="B3458" s="191"/>
    </row>
    <row r="3459" spans="2:2">
      <c r="B3459" s="191"/>
    </row>
    <row r="3460" spans="2:2">
      <c r="B3460" s="191"/>
    </row>
    <row r="3461" spans="2:2">
      <c r="B3461" s="191"/>
    </row>
    <row r="3462" spans="2:2">
      <c r="B3462" s="191"/>
    </row>
    <row r="3463" spans="2:2">
      <c r="B3463" s="191"/>
    </row>
    <row r="3464" spans="2:2">
      <c r="B3464" s="191"/>
    </row>
    <row r="3465" spans="2:2">
      <c r="B3465" s="191"/>
    </row>
    <row r="3466" spans="2:2">
      <c r="B3466" s="191"/>
    </row>
    <row r="3467" spans="2:2">
      <c r="B3467" s="191"/>
    </row>
    <row r="3468" spans="2:2">
      <c r="B3468" s="191"/>
    </row>
    <row r="3469" spans="2:2">
      <c r="B3469" s="191"/>
    </row>
    <row r="3470" spans="2:2">
      <c r="B3470" s="191"/>
    </row>
    <row r="3471" spans="2:2">
      <c r="B3471" s="191"/>
    </row>
    <row r="3472" spans="2:2">
      <c r="B3472" s="191"/>
    </row>
    <row r="3473" spans="2:2">
      <c r="B3473" s="191"/>
    </row>
    <row r="3474" spans="2:2">
      <c r="B3474" s="191"/>
    </row>
    <row r="3475" spans="2:2">
      <c r="B3475" s="191"/>
    </row>
    <row r="3476" spans="2:2">
      <c r="B3476" s="191"/>
    </row>
    <row r="3477" spans="2:2">
      <c r="B3477" s="191"/>
    </row>
    <row r="3478" spans="2:2">
      <c r="B3478" s="191"/>
    </row>
    <row r="3479" spans="2:2">
      <c r="B3479" s="191"/>
    </row>
    <row r="3480" spans="2:2">
      <c r="B3480" s="191"/>
    </row>
    <row r="3481" spans="2:2">
      <c r="B3481" s="191"/>
    </row>
    <row r="3482" spans="2:2">
      <c r="B3482" s="191"/>
    </row>
    <row r="3483" spans="2:2">
      <c r="B3483" s="191"/>
    </row>
    <row r="3484" spans="2:2">
      <c r="B3484" s="191"/>
    </row>
    <row r="3485" spans="2:2">
      <c r="B3485" s="191"/>
    </row>
    <row r="3486" spans="2:2">
      <c r="B3486" s="191"/>
    </row>
    <row r="3487" spans="2:2">
      <c r="B3487" s="191"/>
    </row>
    <row r="3488" spans="2:2">
      <c r="B3488" s="191"/>
    </row>
    <row r="3489" spans="2:2">
      <c r="B3489" s="191"/>
    </row>
    <row r="3490" spans="2:2">
      <c r="B3490" s="191"/>
    </row>
    <row r="3491" spans="2:2">
      <c r="B3491" s="191"/>
    </row>
    <row r="3492" spans="2:2">
      <c r="B3492" s="191"/>
    </row>
    <row r="3493" spans="2:2">
      <c r="B3493" s="191"/>
    </row>
    <row r="3494" spans="2:2">
      <c r="B3494" s="191"/>
    </row>
    <row r="3495" spans="2:2">
      <c r="B3495" s="191"/>
    </row>
    <row r="3496" spans="2:2">
      <c r="B3496" s="191"/>
    </row>
    <row r="3497" spans="2:2">
      <c r="B3497" s="191"/>
    </row>
    <row r="3498" spans="2:2">
      <c r="B3498" s="191"/>
    </row>
    <row r="3499" spans="2:2">
      <c r="B3499" s="191"/>
    </row>
    <row r="3500" spans="2:2">
      <c r="B3500" s="191"/>
    </row>
    <row r="3501" spans="2:2">
      <c r="B3501" s="191"/>
    </row>
    <row r="3502" spans="2:2">
      <c r="B3502" s="191"/>
    </row>
    <row r="3503" spans="2:2">
      <c r="B3503" s="191"/>
    </row>
    <row r="3504" spans="2:2">
      <c r="B3504" s="191"/>
    </row>
    <row r="3505" spans="2:2">
      <c r="B3505" s="191"/>
    </row>
    <row r="3506" spans="2:2">
      <c r="B3506" s="191"/>
    </row>
    <row r="3507" spans="2:2">
      <c r="B3507" s="191"/>
    </row>
    <row r="3508" spans="2:2">
      <c r="B3508" s="191"/>
    </row>
    <row r="3509" spans="2:2">
      <c r="B3509" s="191"/>
    </row>
    <row r="3510" spans="2:2">
      <c r="B3510" s="191"/>
    </row>
    <row r="3511" spans="2:2">
      <c r="B3511" s="191"/>
    </row>
    <row r="3512" spans="2:2">
      <c r="B3512" s="191"/>
    </row>
    <row r="3513" spans="2:2">
      <c r="B3513" s="191"/>
    </row>
    <row r="3514" spans="2:2">
      <c r="B3514" s="191"/>
    </row>
    <row r="3515" spans="2:2">
      <c r="B3515" s="191"/>
    </row>
    <row r="3516" spans="2:2">
      <c r="B3516" s="191"/>
    </row>
    <row r="3517" spans="2:2">
      <c r="B3517" s="191"/>
    </row>
    <row r="3518" spans="2:2">
      <c r="B3518" s="191"/>
    </row>
    <row r="3519" spans="2:2">
      <c r="B3519" s="191"/>
    </row>
    <row r="3520" spans="2:2">
      <c r="B3520" s="191"/>
    </row>
    <row r="3521" spans="2:2">
      <c r="B3521" s="191"/>
    </row>
    <row r="3522" spans="2:2">
      <c r="B3522" s="191"/>
    </row>
    <row r="3523" spans="2:2">
      <c r="B3523" s="191"/>
    </row>
    <row r="3524" spans="2:2">
      <c r="B3524" s="191"/>
    </row>
    <row r="3525" spans="2:2">
      <c r="B3525" s="191"/>
    </row>
    <row r="3526" spans="2:2">
      <c r="B3526" s="191"/>
    </row>
    <row r="3527" spans="2:2">
      <c r="B3527" s="191"/>
    </row>
    <row r="3528" spans="2:2">
      <c r="B3528" s="191"/>
    </row>
    <row r="3529" spans="2:2">
      <c r="B3529" s="191"/>
    </row>
    <row r="3530" spans="2:2">
      <c r="B3530" s="191"/>
    </row>
    <row r="3531" spans="2:2">
      <c r="B3531" s="191"/>
    </row>
    <row r="3532" spans="2:2">
      <c r="B3532" s="191"/>
    </row>
    <row r="3533" spans="2:2">
      <c r="B3533" s="191"/>
    </row>
    <row r="3534" spans="2:2">
      <c r="B3534" s="191"/>
    </row>
    <row r="3535" spans="2:2">
      <c r="B3535" s="191"/>
    </row>
    <row r="3536" spans="2:2">
      <c r="B3536" s="191"/>
    </row>
    <row r="3537" spans="2:2">
      <c r="B3537" s="191"/>
    </row>
    <row r="3538" spans="2:2">
      <c r="B3538" s="191"/>
    </row>
    <row r="3539" spans="2:2">
      <c r="B3539" s="191"/>
    </row>
    <row r="3540" spans="2:2">
      <c r="B3540" s="191"/>
    </row>
    <row r="3541" spans="2:2">
      <c r="B3541" s="191"/>
    </row>
    <row r="3542" spans="2:2">
      <c r="B3542" s="191"/>
    </row>
    <row r="3543" spans="2:2">
      <c r="B3543" s="191"/>
    </row>
    <row r="3544" spans="2:2">
      <c r="B3544" s="191"/>
    </row>
    <row r="3545" spans="2:2">
      <c r="B3545" s="191"/>
    </row>
    <row r="3546" spans="2:2">
      <c r="B3546" s="191"/>
    </row>
    <row r="3547" spans="2:2">
      <c r="B3547" s="191"/>
    </row>
    <row r="3548" spans="2:2">
      <c r="B3548" s="191"/>
    </row>
    <row r="3549" spans="2:2">
      <c r="B3549" s="191"/>
    </row>
    <row r="3550" spans="2:2">
      <c r="B3550" s="191"/>
    </row>
    <row r="3551" spans="2:2">
      <c r="B3551" s="191"/>
    </row>
    <row r="3552" spans="2:2">
      <c r="B3552" s="191"/>
    </row>
    <row r="3553" spans="2:2">
      <c r="B3553" s="191"/>
    </row>
    <row r="3554" spans="2:2">
      <c r="B3554" s="191"/>
    </row>
    <row r="3555" spans="2:2">
      <c r="B3555" s="191"/>
    </row>
    <row r="3556" spans="2:2">
      <c r="B3556" s="191"/>
    </row>
    <row r="3557" spans="2:2">
      <c r="B3557" s="191"/>
    </row>
    <row r="3558" spans="2:2">
      <c r="B3558" s="191"/>
    </row>
    <row r="3559" spans="2:2">
      <c r="B3559" s="191"/>
    </row>
    <row r="3560" spans="2:2">
      <c r="B3560" s="191"/>
    </row>
    <row r="3561" spans="2:2">
      <c r="B3561" s="191"/>
    </row>
    <row r="3562" spans="2:2">
      <c r="B3562" s="191"/>
    </row>
    <row r="3563" spans="2:2">
      <c r="B3563" s="191"/>
    </row>
    <row r="3564" spans="2:2">
      <c r="B3564" s="191"/>
    </row>
    <row r="3565" spans="2:2">
      <c r="B3565" s="191"/>
    </row>
    <row r="3566" spans="2:2">
      <c r="B3566" s="191"/>
    </row>
    <row r="3567" spans="2:2">
      <c r="B3567" s="191"/>
    </row>
    <row r="3568" spans="2:2">
      <c r="B3568" s="191"/>
    </row>
    <row r="3569" spans="2:2">
      <c r="B3569" s="191"/>
    </row>
    <row r="3570" spans="2:2">
      <c r="B3570" s="191"/>
    </row>
    <row r="3571" spans="2:2">
      <c r="B3571" s="191"/>
    </row>
    <row r="3572" spans="2:2">
      <c r="B3572" s="191"/>
    </row>
    <row r="3573" spans="2:2">
      <c r="B3573" s="191"/>
    </row>
    <row r="3574" spans="2:2">
      <c r="B3574" s="191"/>
    </row>
    <row r="3575" spans="2:2">
      <c r="B3575" s="191"/>
    </row>
    <row r="3576" spans="2:2">
      <c r="B3576" s="191"/>
    </row>
    <row r="3577" spans="2:2">
      <c r="B3577" s="191"/>
    </row>
    <row r="3578" spans="2:2">
      <c r="B3578" s="191"/>
    </row>
    <row r="3579" spans="2:2">
      <c r="B3579" s="191"/>
    </row>
    <row r="3580" spans="2:2">
      <c r="B3580" s="191"/>
    </row>
    <row r="3581" spans="2:2">
      <c r="B3581" s="191"/>
    </row>
    <row r="3582" spans="2:2">
      <c r="B3582" s="191"/>
    </row>
    <row r="3583" spans="2:2">
      <c r="B3583" s="191"/>
    </row>
    <row r="3584" spans="2:2">
      <c r="B3584" s="191"/>
    </row>
    <row r="3585" spans="2:2">
      <c r="B3585" s="191"/>
    </row>
    <row r="3586" spans="2:2">
      <c r="B3586" s="191"/>
    </row>
    <row r="3587" spans="2:2">
      <c r="B3587" s="191"/>
    </row>
    <row r="3588" spans="2:2">
      <c r="B3588" s="191"/>
    </row>
    <row r="3589" spans="2:2">
      <c r="B3589" s="191"/>
    </row>
    <row r="3590" spans="2:2">
      <c r="B3590" s="191"/>
    </row>
    <row r="3591" spans="2:2">
      <c r="B3591" s="191"/>
    </row>
    <row r="3592" spans="2:2">
      <c r="B3592" s="191"/>
    </row>
    <row r="3593" spans="2:2">
      <c r="B3593" s="191"/>
    </row>
    <row r="3594" spans="2:2">
      <c r="B3594" s="191"/>
    </row>
    <row r="3595" spans="2:2">
      <c r="B3595" s="191"/>
    </row>
    <row r="3596" spans="2:2">
      <c r="B3596" s="191"/>
    </row>
    <row r="3597" spans="2:2">
      <c r="B3597" s="191"/>
    </row>
    <row r="3598" spans="2:2">
      <c r="B3598" s="191"/>
    </row>
    <row r="3599" spans="2:2">
      <c r="B3599" s="191"/>
    </row>
    <row r="3600" spans="2:2">
      <c r="B3600" s="191"/>
    </row>
    <row r="3601" spans="2:2">
      <c r="B3601" s="191"/>
    </row>
    <row r="3602" spans="2:2">
      <c r="B3602" s="191"/>
    </row>
    <row r="3603" spans="2:2">
      <c r="B3603" s="191"/>
    </row>
    <row r="3604" spans="2:2">
      <c r="B3604" s="191"/>
    </row>
    <row r="3605" spans="2:2">
      <c r="B3605" s="191"/>
    </row>
    <row r="3606" spans="2:2">
      <c r="B3606" s="191"/>
    </row>
    <row r="3607" spans="2:2">
      <c r="B3607" s="191"/>
    </row>
    <row r="3608" spans="2:2">
      <c r="B3608" s="191"/>
    </row>
    <row r="3609" spans="2:2">
      <c r="B3609" s="191"/>
    </row>
    <row r="3610" spans="2:2">
      <c r="B3610" s="191"/>
    </row>
    <row r="3611" spans="2:2">
      <c r="B3611" s="191"/>
    </row>
    <row r="3612" spans="2:2">
      <c r="B3612" s="191"/>
    </row>
    <row r="3613" spans="2:2">
      <c r="B3613" s="191"/>
    </row>
    <row r="3614" spans="2:2">
      <c r="B3614" s="191"/>
    </row>
    <row r="3615" spans="2:2">
      <c r="B3615" s="191"/>
    </row>
    <row r="3616" spans="2:2">
      <c r="B3616" s="191"/>
    </row>
    <row r="3617" spans="2:2">
      <c r="B3617" s="191"/>
    </row>
    <row r="3618" spans="2:2">
      <c r="B3618" s="191"/>
    </row>
    <row r="3619" spans="2:2">
      <c r="B3619" s="191"/>
    </row>
    <row r="3620" spans="2:2">
      <c r="B3620" s="191"/>
    </row>
    <row r="3621" spans="2:2">
      <c r="B3621" s="191"/>
    </row>
    <row r="3622" spans="2:2">
      <c r="B3622" s="191"/>
    </row>
    <row r="3623" spans="2:2">
      <c r="B3623" s="191"/>
    </row>
    <row r="3624" spans="2:2">
      <c r="B3624" s="191"/>
    </row>
    <row r="3625" spans="2:2">
      <c r="B3625" s="191"/>
    </row>
    <row r="3626" spans="2:2">
      <c r="B3626" s="191"/>
    </row>
    <row r="3627" spans="2:2">
      <c r="B3627" s="191"/>
    </row>
    <row r="3628" spans="2:2">
      <c r="B3628" s="191"/>
    </row>
    <row r="3629" spans="2:2">
      <c r="B3629" s="191"/>
    </row>
    <row r="3630" spans="2:2">
      <c r="B3630" s="191"/>
    </row>
    <row r="3631" spans="2:2">
      <c r="B3631" s="191"/>
    </row>
    <row r="3632" spans="2:2">
      <c r="B3632" s="191"/>
    </row>
    <row r="3633" spans="2:2">
      <c r="B3633" s="191"/>
    </row>
    <row r="3634" spans="2:2">
      <c r="B3634" s="191"/>
    </row>
    <row r="3635" spans="2:2">
      <c r="B3635" s="191"/>
    </row>
    <row r="3636" spans="2:2">
      <c r="B3636" s="191"/>
    </row>
    <row r="3637" spans="2:2">
      <c r="B3637" s="191"/>
    </row>
    <row r="3638" spans="2:2">
      <c r="B3638" s="191"/>
    </row>
    <row r="3639" spans="2:2">
      <c r="B3639" s="191"/>
    </row>
    <row r="3640" spans="2:2">
      <c r="B3640" s="191"/>
    </row>
    <row r="3641" spans="2:2">
      <c r="B3641" s="191"/>
    </row>
    <row r="3642" spans="2:2">
      <c r="B3642" s="191"/>
    </row>
    <row r="3643" spans="2:2">
      <c r="B3643" s="191"/>
    </row>
    <row r="3644" spans="2:2">
      <c r="B3644" s="191"/>
    </row>
    <row r="3645" spans="2:2">
      <c r="B3645" s="191"/>
    </row>
    <row r="3646" spans="2:2">
      <c r="B3646" s="191"/>
    </row>
    <row r="3647" spans="2:2">
      <c r="B3647" s="191"/>
    </row>
    <row r="3648" spans="2:2">
      <c r="B3648" s="191"/>
    </row>
    <row r="3649" spans="2:2">
      <c r="B3649" s="191"/>
    </row>
    <row r="3650" spans="2:2">
      <c r="B3650" s="191"/>
    </row>
    <row r="3651" spans="2:2">
      <c r="B3651" s="191"/>
    </row>
    <row r="3652" spans="2:2">
      <c r="B3652" s="191"/>
    </row>
    <row r="3653" spans="2:2">
      <c r="B3653" s="191"/>
    </row>
    <row r="3654" spans="2:2">
      <c r="B3654" s="191"/>
    </row>
    <row r="3655" spans="2:2">
      <c r="B3655" s="191"/>
    </row>
    <row r="3656" spans="2:2">
      <c r="B3656" s="191"/>
    </row>
    <row r="3657" spans="2:2">
      <c r="B3657" s="191"/>
    </row>
    <row r="3658" spans="2:2">
      <c r="B3658" s="191"/>
    </row>
    <row r="3659" spans="2:2">
      <c r="B3659" s="191"/>
    </row>
    <row r="3660" spans="2:2">
      <c r="B3660" s="191"/>
    </row>
    <row r="3661" spans="2:2">
      <c r="B3661" s="191"/>
    </row>
    <row r="3662" spans="2:2">
      <c r="B3662" s="191"/>
    </row>
    <row r="3663" spans="2:2">
      <c r="B3663" s="191"/>
    </row>
    <row r="3664" spans="2:2">
      <c r="B3664" s="191"/>
    </row>
    <row r="3665" spans="2:2">
      <c r="B3665" s="191"/>
    </row>
    <row r="3666" spans="2:2">
      <c r="B3666" s="191"/>
    </row>
    <row r="3667" spans="2:2">
      <c r="B3667" s="191"/>
    </row>
    <row r="3668" spans="2:2">
      <c r="B3668" s="191"/>
    </row>
    <row r="3669" spans="2:2">
      <c r="B3669" s="191"/>
    </row>
    <row r="3670" spans="2:2">
      <c r="B3670" s="191"/>
    </row>
    <row r="3671" spans="2:2">
      <c r="B3671" s="191"/>
    </row>
    <row r="3672" spans="2:2">
      <c r="B3672" s="191"/>
    </row>
    <row r="3673" spans="2:2">
      <c r="B3673" s="191"/>
    </row>
    <row r="3674" spans="2:2">
      <c r="B3674" s="191"/>
    </row>
    <row r="3675" spans="2:2">
      <c r="B3675" s="191"/>
    </row>
    <row r="3676" spans="2:2">
      <c r="B3676" s="191"/>
    </row>
    <row r="3677" spans="2:2">
      <c r="B3677" s="191"/>
    </row>
    <row r="3678" spans="2:2">
      <c r="B3678" s="191"/>
    </row>
    <row r="3679" spans="2:2">
      <c r="B3679" s="191"/>
    </row>
    <row r="3680" spans="2:2">
      <c r="B3680" s="191"/>
    </row>
    <row r="3681" spans="2:2">
      <c r="B3681" s="191"/>
    </row>
    <row r="3682" spans="2:2">
      <c r="B3682" s="191"/>
    </row>
    <row r="3683" spans="2:2">
      <c r="B3683" s="191"/>
    </row>
    <row r="3684" spans="2:2">
      <c r="B3684" s="191"/>
    </row>
    <row r="3685" spans="2:2">
      <c r="B3685" s="191"/>
    </row>
    <row r="3686" spans="2:2">
      <c r="B3686" s="191"/>
    </row>
    <row r="3687" spans="2:2">
      <c r="B3687" s="191"/>
    </row>
    <row r="3688" spans="2:2">
      <c r="B3688" s="191"/>
    </row>
    <row r="3689" spans="2:2">
      <c r="B3689" s="191"/>
    </row>
    <row r="3690" spans="2:2">
      <c r="B3690" s="191"/>
    </row>
    <row r="3691" spans="2:2">
      <c r="B3691" s="191"/>
    </row>
    <row r="3692" spans="2:2">
      <c r="B3692" s="191"/>
    </row>
    <row r="3693" spans="2:2">
      <c r="B3693" s="191"/>
    </row>
    <row r="3694" spans="2:2">
      <c r="B3694" s="191"/>
    </row>
    <row r="3695" spans="2:2">
      <c r="B3695" s="191"/>
    </row>
    <row r="3696" spans="2:2">
      <c r="B3696" s="191"/>
    </row>
    <row r="3697" spans="2:2">
      <c r="B3697" s="191"/>
    </row>
    <row r="3698" spans="2:2">
      <c r="B3698" s="191"/>
    </row>
    <row r="3699" spans="2:2">
      <c r="B3699" s="191"/>
    </row>
    <row r="3700" spans="2:2">
      <c r="B3700" s="191"/>
    </row>
    <row r="3701" spans="2:2">
      <c r="B3701" s="191"/>
    </row>
    <row r="3702" spans="2:2">
      <c r="B3702" s="191"/>
    </row>
    <row r="3703" spans="2:2">
      <c r="B3703" s="191"/>
    </row>
    <row r="3704" spans="2:2">
      <c r="B3704" s="191"/>
    </row>
    <row r="3705" spans="2:2">
      <c r="B3705" s="191"/>
    </row>
    <row r="3706" spans="2:2">
      <c r="B3706" s="191"/>
    </row>
    <row r="3707" spans="2:2">
      <c r="B3707" s="191"/>
    </row>
    <row r="3708" spans="2:2">
      <c r="B3708" s="191"/>
    </row>
    <row r="3709" spans="2:2">
      <c r="B3709" s="191"/>
    </row>
    <row r="3710" spans="2:2">
      <c r="B3710" s="191"/>
    </row>
    <row r="3711" spans="2:2">
      <c r="B3711" s="191"/>
    </row>
    <row r="3712" spans="2:2">
      <c r="B3712" s="191"/>
    </row>
    <row r="3713" spans="2:2">
      <c r="B3713" s="191"/>
    </row>
    <row r="3714" spans="2:2">
      <c r="B3714" s="191"/>
    </row>
    <row r="3715" spans="2:2">
      <c r="B3715" s="191"/>
    </row>
    <row r="3716" spans="2:2">
      <c r="B3716" s="191"/>
    </row>
    <row r="3717" spans="2:2">
      <c r="B3717" s="191"/>
    </row>
    <row r="3718" spans="2:2">
      <c r="B3718" s="191"/>
    </row>
    <row r="3719" spans="2:2">
      <c r="B3719" s="191"/>
    </row>
    <row r="3720" spans="2:2">
      <c r="B3720" s="191"/>
    </row>
    <row r="3721" spans="2:2">
      <c r="B3721" s="191"/>
    </row>
    <row r="3722" spans="2:2">
      <c r="B3722" s="191"/>
    </row>
    <row r="3723" spans="2:2">
      <c r="B3723" s="191"/>
    </row>
    <row r="3724" spans="2:2">
      <c r="B3724" s="191"/>
    </row>
    <row r="3725" spans="2:2">
      <c r="B3725" s="191"/>
    </row>
    <row r="3726" spans="2:2">
      <c r="B3726" s="191"/>
    </row>
    <row r="3727" spans="2:2">
      <c r="B3727" s="191"/>
    </row>
    <row r="3728" spans="2:2">
      <c r="B3728" s="191"/>
    </row>
    <row r="3729" spans="2:2">
      <c r="B3729" s="191"/>
    </row>
    <row r="3730" spans="2:2">
      <c r="B3730" s="191"/>
    </row>
    <row r="3731" spans="2:2">
      <c r="B3731" s="191"/>
    </row>
    <row r="3732" spans="2:2">
      <c r="B3732" s="191"/>
    </row>
    <row r="3733" spans="2:2">
      <c r="B3733" s="191"/>
    </row>
    <row r="3734" spans="2:2">
      <c r="B3734" s="191"/>
    </row>
    <row r="3735" spans="2:2">
      <c r="B3735" s="191"/>
    </row>
    <row r="3736" spans="2:2">
      <c r="B3736" s="191"/>
    </row>
    <row r="3737" spans="2:2">
      <c r="B3737" s="191"/>
    </row>
    <row r="3738" spans="2:2">
      <c r="B3738" s="191"/>
    </row>
    <row r="3739" spans="2:2">
      <c r="B3739" s="191"/>
    </row>
    <row r="3740" spans="2:2">
      <c r="B3740" s="191"/>
    </row>
    <row r="3741" spans="2:2">
      <c r="B3741" s="191"/>
    </row>
  </sheetData>
  <mergeCells count="7">
    <mergeCell ref="Q2011:Z2011"/>
    <mergeCell ref="F4:I5"/>
    <mergeCell ref="F2009:I2010"/>
    <mergeCell ref="A1:A5"/>
    <mergeCell ref="N1974:N1983"/>
    <mergeCell ref="C1985:C1986"/>
    <mergeCell ref="N1985:N1986"/>
  </mergeCells>
  <phoneticPr fontId="7" type="noConversion"/>
  <printOptions gridLines="1"/>
  <pageMargins left="0.19685039370078741" right="0.19685039370078741" top="0.59055118110236227" bottom="0.59055118110236227" header="0.31496062992125984" footer="0.31496062992125984"/>
  <pageSetup paperSize="9" scale="40" orientation="landscape" r:id="rId1"/>
  <headerFooter alignWithMargins="0">
    <oddFooter>&amp;L&amp;9&amp;F[&amp;A]&amp;R&amp;9&amp;D-&amp;T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workbookViewId="0">
      <selection activeCell="A168" sqref="A1:IV65536"/>
    </sheetView>
  </sheetViews>
  <sheetFormatPr defaultRowHeight="12.75"/>
  <cols>
    <col min="1" max="1" width="33.28515625" customWidth="1"/>
    <col min="2" max="2" width="19.140625" customWidth="1"/>
    <col min="3" max="3" width="10" bestFit="1" customWidth="1"/>
    <col min="4" max="4" width="13.140625" customWidth="1"/>
    <col min="5" max="5" width="11.28515625" customWidth="1"/>
    <col min="6" max="6" width="17.42578125" customWidth="1"/>
    <col min="7" max="7" width="12.42578125" customWidth="1"/>
    <col min="8" max="8" width="14.5703125" bestFit="1" customWidth="1"/>
    <col min="9" max="9" width="12.7109375" bestFit="1" customWidth="1"/>
    <col min="10" max="10" width="11" bestFit="1" customWidth="1"/>
    <col min="11" max="11" width="12" bestFit="1" customWidth="1"/>
    <col min="12" max="12" width="11.5703125" bestFit="1" customWidth="1"/>
  </cols>
  <sheetData>
    <row r="1" spans="1:9">
      <c r="A1" s="4" t="s">
        <v>470</v>
      </c>
      <c r="B1" s="5"/>
      <c r="C1" s="5"/>
      <c r="D1" s="5"/>
      <c r="E1" s="5"/>
      <c r="F1" s="5"/>
      <c r="G1" s="5"/>
      <c r="H1" s="5"/>
    </row>
    <row r="2" spans="1:9">
      <c r="A2" s="6" t="s">
        <v>471</v>
      </c>
      <c r="B2" s="7" t="s">
        <v>1940</v>
      </c>
      <c r="C2" s="8"/>
      <c r="D2" s="8"/>
      <c r="E2" s="8"/>
      <c r="F2" s="9"/>
      <c r="G2" s="10"/>
      <c r="H2" s="11"/>
    </row>
    <row r="3" spans="1:9">
      <c r="A3" s="472"/>
      <c r="B3" s="473" t="s">
        <v>2386</v>
      </c>
      <c r="C3" s="8"/>
      <c r="D3" s="8"/>
      <c r="E3" s="8"/>
      <c r="F3" s="8"/>
      <c r="G3" s="8"/>
      <c r="H3" s="8"/>
    </row>
    <row r="4" spans="1:9" ht="15.75">
      <c r="A4" s="469" t="s">
        <v>472</v>
      </c>
      <c r="B4" s="1"/>
      <c r="E4" s="1"/>
      <c r="F4" s="470"/>
      <c r="G4" s="471"/>
      <c r="H4" s="35"/>
    </row>
    <row r="5" spans="1:9">
      <c r="A5" s="12" t="s">
        <v>473</v>
      </c>
      <c r="B5" s="2"/>
      <c r="E5" s="2"/>
      <c r="F5" s="615">
        <f>('CompSolo Wolf'!I1966+'CompSolo Wolf'!N1987+'CompSolo Wolf'!I1996)-'CompSolo Wolf'!N1985</f>
        <v>1725008.1555000001</v>
      </c>
      <c r="G5" s="3" t="s">
        <v>474</v>
      </c>
      <c r="H5" s="17"/>
      <c r="I5" s="468" t="s">
        <v>552</v>
      </c>
    </row>
    <row r="6" spans="1:9">
      <c r="A6" s="12" t="s">
        <v>475</v>
      </c>
      <c r="B6" s="2"/>
      <c r="E6" s="2"/>
      <c r="F6" s="18" t="s">
        <v>476</v>
      </c>
      <c r="G6" s="3" t="s">
        <v>474</v>
      </c>
      <c r="H6" s="19"/>
      <c r="I6" s="468"/>
    </row>
    <row r="7" spans="1:9">
      <c r="A7" s="12" t="s">
        <v>477</v>
      </c>
      <c r="B7" s="2"/>
      <c r="E7" s="2"/>
      <c r="F7" s="20" t="s">
        <v>478</v>
      </c>
      <c r="G7" s="3" t="s">
        <v>474</v>
      </c>
      <c r="H7" s="21"/>
    </row>
    <row r="8" spans="1:9">
      <c r="A8" s="12" t="s">
        <v>479</v>
      </c>
      <c r="B8" s="2"/>
      <c r="E8" s="2"/>
      <c r="F8" s="22">
        <v>1500000</v>
      </c>
      <c r="G8" s="3" t="s">
        <v>474</v>
      </c>
      <c r="H8" s="21"/>
    </row>
    <row r="9" spans="1:9">
      <c r="A9" s="12" t="s">
        <v>480</v>
      </c>
      <c r="B9" s="2"/>
      <c r="C9" s="2"/>
      <c r="D9" s="2"/>
      <c r="E9" s="2"/>
      <c r="F9" s="22">
        <v>2000000</v>
      </c>
      <c r="G9" s="3" t="s">
        <v>474</v>
      </c>
      <c r="H9" s="21"/>
    </row>
    <row r="10" spans="1:9">
      <c r="A10" s="12" t="s">
        <v>481</v>
      </c>
      <c r="B10" s="2"/>
      <c r="C10" s="2"/>
      <c r="D10" s="2"/>
      <c r="E10" s="2"/>
      <c r="F10" s="23">
        <v>4.694</v>
      </c>
      <c r="G10" s="3" t="s">
        <v>474</v>
      </c>
      <c r="H10" s="21"/>
    </row>
    <row r="11" spans="1:9">
      <c r="A11" s="12" t="s">
        <v>482</v>
      </c>
      <c r="B11" s="2"/>
      <c r="C11" s="2"/>
      <c r="D11" s="2"/>
      <c r="E11" s="2"/>
      <c r="F11" s="23">
        <v>4.4565999999999999</v>
      </c>
      <c r="G11" s="3" t="s">
        <v>474</v>
      </c>
      <c r="H11" s="21"/>
    </row>
    <row r="12" spans="1:9">
      <c r="A12" s="24" t="s">
        <v>483</v>
      </c>
      <c r="B12" s="2"/>
      <c r="C12" s="25" t="s">
        <v>484</v>
      </c>
      <c r="D12" s="2"/>
      <c r="E12" s="2"/>
      <c r="F12" s="26">
        <f>F10-((F5-F8)*(F10-F11)/(F9-F8))</f>
        <v>4.5871661277686</v>
      </c>
      <c r="G12" s="27"/>
      <c r="H12" s="21"/>
    </row>
    <row r="13" spans="1:9" ht="15.75">
      <c r="A13" s="28" t="s">
        <v>485</v>
      </c>
      <c r="B13" s="13"/>
      <c r="C13" s="5"/>
      <c r="D13" s="5"/>
      <c r="E13" s="5"/>
      <c r="F13" s="29">
        <f>F5</f>
        <v>1725008.1555000001</v>
      </c>
      <c r="G13" s="3"/>
      <c r="H13" s="21"/>
    </row>
    <row r="14" spans="1:9">
      <c r="A14" s="30" t="s">
        <v>486</v>
      </c>
      <c r="B14" s="1" t="s">
        <v>487</v>
      </c>
      <c r="C14" s="31" t="s">
        <v>488</v>
      </c>
      <c r="D14" s="2"/>
      <c r="E14" s="2"/>
      <c r="F14" s="32">
        <f>0.07+0.01</f>
        <v>0.08</v>
      </c>
      <c r="G14" s="3" t="s">
        <v>474</v>
      </c>
      <c r="H14" s="21"/>
    </row>
    <row r="15" spans="1:9">
      <c r="A15" s="30" t="s">
        <v>489</v>
      </c>
      <c r="B15" s="1"/>
      <c r="C15" s="2"/>
      <c r="D15" s="2"/>
      <c r="E15" s="2"/>
      <c r="F15" s="29">
        <f>F13*F12/100*F14</f>
        <v>6330.3191848273527</v>
      </c>
      <c r="G15" s="3"/>
      <c r="H15" s="21"/>
    </row>
    <row r="16" spans="1:9" hidden="1">
      <c r="A16" s="30" t="s">
        <v>490</v>
      </c>
      <c r="B16" s="1"/>
      <c r="C16" s="2"/>
      <c r="D16" s="2"/>
      <c r="E16" s="2"/>
      <c r="F16" s="33">
        <v>0</v>
      </c>
      <c r="G16" s="3" t="s">
        <v>474</v>
      </c>
      <c r="H16" s="21" t="s">
        <v>491</v>
      </c>
    </row>
    <row r="17" spans="1:8" hidden="1">
      <c r="A17" s="30" t="s">
        <v>492</v>
      </c>
      <c r="B17" s="1"/>
      <c r="C17" s="2"/>
      <c r="D17" s="2"/>
      <c r="E17" s="2"/>
      <c r="F17" s="29">
        <f>F15*(1+F16/100)</f>
        <v>6330.3191848273527</v>
      </c>
      <c r="G17" s="3"/>
      <c r="H17" s="21"/>
    </row>
    <row r="18" spans="1:8" hidden="1">
      <c r="A18" s="30"/>
      <c r="B18" s="1"/>
      <c r="C18" s="2"/>
      <c r="D18" s="2"/>
      <c r="E18" s="2"/>
      <c r="F18" s="34"/>
      <c r="G18" s="3"/>
      <c r="H18" s="35"/>
    </row>
    <row r="19" spans="1:8" hidden="1">
      <c r="A19" s="36" t="s">
        <v>605</v>
      </c>
      <c r="B19" s="37"/>
      <c r="C19" s="38"/>
      <c r="D19" s="38"/>
      <c r="E19" s="38"/>
      <c r="F19" s="39">
        <v>0</v>
      </c>
      <c r="G19" s="3" t="s">
        <v>474</v>
      </c>
      <c r="H19" s="17"/>
    </row>
    <row r="20" spans="1:8" hidden="1">
      <c r="A20" s="30" t="s">
        <v>606</v>
      </c>
      <c r="B20" s="1"/>
      <c r="C20" s="2"/>
      <c r="D20" s="2"/>
      <c r="E20" s="2"/>
      <c r="F20" s="39"/>
      <c r="G20" s="3"/>
      <c r="H20" s="21"/>
    </row>
    <row r="21" spans="1:8" hidden="1">
      <c r="A21" s="30" t="s">
        <v>607</v>
      </c>
      <c r="B21" s="1"/>
      <c r="C21" s="2"/>
      <c r="D21" s="2"/>
      <c r="E21" s="2"/>
      <c r="F21" s="39">
        <f>F19-F20</f>
        <v>0</v>
      </c>
      <c r="G21" s="3"/>
      <c r="H21" s="21"/>
    </row>
    <row r="22" spans="1:8" hidden="1">
      <c r="A22" s="30" t="s">
        <v>608</v>
      </c>
      <c r="B22" s="1"/>
      <c r="C22" s="2"/>
      <c r="D22" s="2"/>
      <c r="E22" s="2"/>
      <c r="F22" s="39">
        <f>F21*0.02</f>
        <v>0</v>
      </c>
      <c r="G22" s="3"/>
      <c r="H22" s="21"/>
    </row>
    <row r="23" spans="1:8" hidden="1">
      <c r="A23" s="30" t="s">
        <v>609</v>
      </c>
      <c r="B23" s="1"/>
      <c r="C23" s="2"/>
      <c r="D23" s="2"/>
      <c r="E23" s="2"/>
      <c r="F23" s="39">
        <f>(F21+F22)*0.2</f>
        <v>0</v>
      </c>
      <c r="G23" s="3"/>
      <c r="H23" s="21"/>
    </row>
    <row r="24" spans="1:8" hidden="1">
      <c r="A24" s="36" t="s">
        <v>610</v>
      </c>
      <c r="B24" s="37"/>
      <c r="C24" s="38"/>
      <c r="D24" s="38"/>
      <c r="E24" s="38"/>
      <c r="F24" s="39">
        <f>SUM(F21:F23)</f>
        <v>0</v>
      </c>
      <c r="G24" s="3"/>
      <c r="H24" s="21"/>
    </row>
    <row r="25" spans="1:8" hidden="1">
      <c r="A25" s="30" t="s">
        <v>611</v>
      </c>
      <c r="B25" s="1"/>
      <c r="C25" s="2"/>
      <c r="D25" s="2"/>
      <c r="E25" s="2"/>
      <c r="F25" s="34">
        <f>F21*20/100</f>
        <v>0</v>
      </c>
      <c r="G25" s="3"/>
      <c r="H25" s="21"/>
    </row>
    <row r="26" spans="1:8">
      <c r="A26" s="36"/>
      <c r="B26" s="37"/>
      <c r="C26" s="38"/>
      <c r="D26" s="38"/>
      <c r="E26" s="38"/>
      <c r="F26" s="40"/>
      <c r="G26" s="3"/>
      <c r="H26" s="21"/>
    </row>
    <row r="27" spans="1:8" ht="15.75">
      <c r="A27" s="28" t="s">
        <v>612</v>
      </c>
      <c r="B27" s="1"/>
      <c r="C27" s="5"/>
      <c r="D27" s="5"/>
      <c r="E27" s="5"/>
      <c r="F27" s="29">
        <f>F5</f>
        <v>1725008.1555000001</v>
      </c>
      <c r="G27" s="3"/>
      <c r="H27" s="21"/>
    </row>
    <row r="28" spans="1:8">
      <c r="A28" s="30" t="s">
        <v>486</v>
      </c>
      <c r="B28" s="1" t="s">
        <v>1906</v>
      </c>
      <c r="C28" s="31" t="s">
        <v>613</v>
      </c>
      <c r="D28" s="2"/>
      <c r="E28" s="2"/>
      <c r="F28" s="32">
        <f>0.15</f>
        <v>0.15</v>
      </c>
      <c r="G28" s="3" t="s">
        <v>474</v>
      </c>
      <c r="H28" s="21"/>
    </row>
    <row r="29" spans="1:8">
      <c r="A29" s="36" t="s">
        <v>489</v>
      </c>
      <c r="B29" s="37"/>
      <c r="C29" s="38"/>
      <c r="D29" s="38"/>
      <c r="E29" s="38"/>
      <c r="F29" s="29">
        <f>F27*F12/100*F28</f>
        <v>11869.348471551286</v>
      </c>
      <c r="G29" s="3"/>
      <c r="H29" s="41"/>
    </row>
    <row r="30" spans="1:8" hidden="1">
      <c r="A30" s="30" t="s">
        <v>490</v>
      </c>
      <c r="B30" s="1"/>
      <c r="C30" s="2"/>
      <c r="D30" s="2"/>
      <c r="E30" s="2"/>
      <c r="F30" s="33">
        <v>0</v>
      </c>
      <c r="G30" s="3" t="s">
        <v>474</v>
      </c>
      <c r="H30" s="42"/>
    </row>
    <row r="31" spans="1:8" hidden="1">
      <c r="A31" s="30" t="s">
        <v>492</v>
      </c>
      <c r="B31" s="1"/>
      <c r="C31" s="2"/>
      <c r="D31" s="2"/>
      <c r="E31" s="2"/>
      <c r="F31" s="29">
        <f>F29*(1+F30/100)</f>
        <v>11869.348471551286</v>
      </c>
      <c r="G31" s="3"/>
      <c r="H31" s="17"/>
    </row>
    <row r="32" spans="1:8" hidden="1">
      <c r="A32" s="30" t="s">
        <v>614</v>
      </c>
      <c r="B32" s="1"/>
      <c r="C32" s="2"/>
      <c r="D32" s="2"/>
      <c r="E32" s="2"/>
      <c r="F32" s="43">
        <v>1</v>
      </c>
      <c r="G32" s="3"/>
      <c r="H32" s="44"/>
    </row>
    <row r="33" spans="1:8" hidden="1">
      <c r="A33" s="30"/>
      <c r="B33" s="1"/>
      <c r="C33" s="2"/>
      <c r="D33" s="2"/>
      <c r="E33" s="2"/>
      <c r="F33" s="45">
        <f>F31*F32</f>
        <v>11869.348471551286</v>
      </c>
      <c r="G33" s="3"/>
      <c r="H33" s="46"/>
    </row>
    <row r="34" spans="1:8" hidden="1">
      <c r="A34" s="36" t="s">
        <v>615</v>
      </c>
      <c r="B34" s="37"/>
      <c r="C34" s="38"/>
      <c r="D34" s="38"/>
      <c r="E34" s="38"/>
      <c r="F34" s="45">
        <f>F33</f>
        <v>11869.348471551286</v>
      </c>
      <c r="G34" s="3" t="s">
        <v>474</v>
      </c>
      <c r="H34" s="46"/>
    </row>
    <row r="35" spans="1:8" hidden="1">
      <c r="A35" s="30" t="s">
        <v>606</v>
      </c>
      <c r="B35" s="1"/>
      <c r="C35" s="2"/>
      <c r="D35" s="2"/>
      <c r="E35" s="2"/>
      <c r="F35" s="47">
        <f>F19</f>
        <v>0</v>
      </c>
      <c r="G35" s="3"/>
      <c r="H35" s="48"/>
    </row>
    <row r="36" spans="1:8" hidden="1">
      <c r="A36" s="30" t="s">
        <v>607</v>
      </c>
      <c r="B36" s="1"/>
      <c r="C36" s="2"/>
      <c r="D36" s="2"/>
      <c r="E36" s="2"/>
      <c r="F36" s="47">
        <f>F34-F35</f>
        <v>11869.348471551286</v>
      </c>
      <c r="G36" s="3"/>
      <c r="H36" s="48"/>
    </row>
    <row r="37" spans="1:8" hidden="1">
      <c r="A37" s="30" t="s">
        <v>608</v>
      </c>
      <c r="B37" s="1"/>
      <c r="C37" s="2"/>
      <c r="D37" s="2"/>
      <c r="E37" s="2"/>
      <c r="F37" s="47">
        <f>F36*0.02</f>
        <v>237.38696943102573</v>
      </c>
      <c r="G37" s="3"/>
      <c r="H37" s="48"/>
    </row>
    <row r="38" spans="1:8" hidden="1">
      <c r="A38" s="30" t="s">
        <v>609</v>
      </c>
      <c r="B38" s="1"/>
      <c r="C38" s="2"/>
      <c r="D38" s="2"/>
      <c r="E38" s="2"/>
      <c r="F38" s="47">
        <f>(F36+F37)*0.2</f>
        <v>2421.3470881964622</v>
      </c>
      <c r="G38" s="3"/>
      <c r="H38" s="48"/>
    </row>
    <row r="39" spans="1:8" hidden="1">
      <c r="A39" s="36" t="s">
        <v>610</v>
      </c>
      <c r="B39" s="37"/>
      <c r="C39" s="38"/>
      <c r="D39" s="38"/>
      <c r="E39" s="38"/>
      <c r="F39" s="47">
        <f>SUM(F36:F38)</f>
        <v>14528.082529178773</v>
      </c>
      <c r="G39" s="3"/>
      <c r="H39" s="48"/>
    </row>
    <row r="40" spans="1:8" hidden="1">
      <c r="A40" s="30" t="s">
        <v>611</v>
      </c>
      <c r="B40" s="1"/>
      <c r="C40" s="2"/>
      <c r="D40" s="2"/>
      <c r="E40" s="2"/>
      <c r="F40" s="29">
        <f>F36*20/100</f>
        <v>2373.8696943102573</v>
      </c>
      <c r="G40" s="3"/>
      <c r="H40" s="49"/>
    </row>
    <row r="41" spans="1:8">
      <c r="A41" s="30"/>
      <c r="B41" s="37"/>
      <c r="C41" s="2"/>
      <c r="D41" s="2"/>
      <c r="E41" s="2"/>
      <c r="F41" s="40"/>
      <c r="G41" s="3"/>
      <c r="H41" s="21"/>
    </row>
    <row r="42" spans="1:8" ht="15.75">
      <c r="A42" s="28" t="s">
        <v>616</v>
      </c>
      <c r="B42" s="50"/>
      <c r="C42" s="51"/>
      <c r="D42" s="5"/>
      <c r="E42" s="5"/>
      <c r="F42" s="52">
        <f>F5</f>
        <v>1725008.1555000001</v>
      </c>
      <c r="G42" s="53"/>
      <c r="H42" s="54"/>
    </row>
    <row r="43" spans="1:8">
      <c r="A43" s="30" t="s">
        <v>486</v>
      </c>
      <c r="B43" s="1" t="s">
        <v>617</v>
      </c>
      <c r="C43" s="31" t="s">
        <v>618</v>
      </c>
      <c r="D43" s="2"/>
      <c r="E43" s="2"/>
      <c r="F43" s="32">
        <f>0.1+0.05+0.14+0.03</f>
        <v>0.32000000000000006</v>
      </c>
      <c r="G43" s="3" t="s">
        <v>474</v>
      </c>
      <c r="H43" s="55"/>
    </row>
    <row r="44" spans="1:8">
      <c r="A44" s="56" t="s">
        <v>489</v>
      </c>
      <c r="B44" s="38"/>
      <c r="C44" s="38"/>
      <c r="D44" s="38"/>
      <c r="E44" s="38"/>
      <c r="F44" s="57">
        <f>F42*F12/100*F43</f>
        <v>25321.276739309418</v>
      </c>
      <c r="G44" s="27"/>
      <c r="H44" s="58"/>
    </row>
    <row r="45" spans="1:8" hidden="1">
      <c r="A45" s="12" t="s">
        <v>490</v>
      </c>
      <c r="B45" s="2"/>
      <c r="C45" s="2"/>
      <c r="D45" s="2"/>
      <c r="E45" s="2"/>
      <c r="F45" s="33">
        <v>0</v>
      </c>
      <c r="G45" s="3" t="s">
        <v>474</v>
      </c>
      <c r="H45" s="21"/>
    </row>
    <row r="46" spans="1:8" hidden="1">
      <c r="A46" s="56" t="s">
        <v>619</v>
      </c>
      <c r="B46" s="38"/>
      <c r="C46" s="38"/>
      <c r="D46" s="38"/>
      <c r="E46" s="38"/>
      <c r="F46" s="47">
        <f>F44*(1+F45/100)</f>
        <v>25321.276739309418</v>
      </c>
      <c r="G46" s="3"/>
      <c r="H46" s="21"/>
    </row>
    <row r="47" spans="1:8" hidden="1">
      <c r="A47" s="59" t="s">
        <v>605</v>
      </c>
      <c r="B47" s="38"/>
      <c r="C47" s="38"/>
      <c r="D47" s="38"/>
      <c r="E47" s="38"/>
      <c r="F47" s="47"/>
      <c r="G47" s="3" t="s">
        <v>474</v>
      </c>
      <c r="H47" s="21"/>
    </row>
    <row r="48" spans="1:8" hidden="1">
      <c r="A48" s="60" t="s">
        <v>606</v>
      </c>
      <c r="B48" s="2"/>
      <c r="C48" s="2"/>
      <c r="D48" s="2"/>
      <c r="E48" s="2"/>
      <c r="F48" s="39"/>
      <c r="G48" s="3"/>
      <c r="H48" s="21"/>
    </row>
    <row r="49" spans="1:8" hidden="1">
      <c r="A49" s="24" t="s">
        <v>607</v>
      </c>
      <c r="B49" s="2"/>
      <c r="C49" s="2"/>
      <c r="D49" s="2"/>
      <c r="E49" s="2"/>
      <c r="F49" s="47">
        <f>F47-F48</f>
        <v>0</v>
      </c>
      <c r="G49" s="3"/>
      <c r="H49" s="21"/>
    </row>
    <row r="50" spans="1:8" hidden="1">
      <c r="A50" s="24" t="s">
        <v>608</v>
      </c>
      <c r="B50" s="2"/>
      <c r="C50" s="2"/>
      <c r="D50" s="2"/>
      <c r="E50" s="2"/>
      <c r="F50" s="47">
        <f>F49*0.02</f>
        <v>0</v>
      </c>
      <c r="G50" s="3"/>
      <c r="H50" s="21"/>
    </row>
    <row r="51" spans="1:8" hidden="1">
      <c r="A51" s="24" t="s">
        <v>609</v>
      </c>
      <c r="B51" s="2"/>
      <c r="C51" s="2"/>
      <c r="D51" s="2"/>
      <c r="E51" s="2"/>
      <c r="F51" s="47">
        <f>(F49+F50)*0.2</f>
        <v>0</v>
      </c>
      <c r="G51" s="3"/>
      <c r="H51" s="21"/>
    </row>
    <row r="52" spans="1:8" hidden="1">
      <c r="A52" s="59" t="s">
        <v>610</v>
      </c>
      <c r="B52" s="38"/>
      <c r="C52" s="38"/>
      <c r="D52" s="38"/>
      <c r="E52" s="38"/>
      <c r="F52" s="47">
        <f>SUM(F49:F51)</f>
        <v>0</v>
      </c>
      <c r="G52" s="3"/>
      <c r="H52" s="21"/>
    </row>
    <row r="53" spans="1:8" hidden="1">
      <c r="A53" s="61" t="s">
        <v>611</v>
      </c>
      <c r="B53" s="5"/>
      <c r="C53" s="5"/>
      <c r="D53" s="5"/>
      <c r="E53" s="5"/>
      <c r="F53" s="29">
        <f>F49*20/100</f>
        <v>0</v>
      </c>
      <c r="G53" s="3"/>
      <c r="H53" s="21"/>
    </row>
    <row r="54" spans="1:8" hidden="1">
      <c r="A54" s="62" t="s">
        <v>620</v>
      </c>
      <c r="B54" s="38"/>
      <c r="C54" s="38"/>
      <c r="D54" s="38"/>
      <c r="E54" s="38"/>
      <c r="F54" s="29">
        <f>F52-F53</f>
        <v>0</v>
      </c>
      <c r="G54" s="3"/>
      <c r="H54" s="21"/>
    </row>
    <row r="55" spans="1:8">
      <c r="A55" s="12"/>
      <c r="B55" s="2"/>
      <c r="C55" s="2"/>
      <c r="D55" s="2"/>
      <c r="E55" s="2"/>
      <c r="F55" s="33"/>
      <c r="G55" s="3"/>
      <c r="H55" s="21"/>
    </row>
    <row r="56" spans="1:8">
      <c r="A56" s="63" t="s">
        <v>621</v>
      </c>
      <c r="B56" s="13"/>
      <c r="C56" s="13" t="s">
        <v>622</v>
      </c>
      <c r="D56" s="13"/>
      <c r="E56" s="5"/>
      <c r="F56" s="64"/>
      <c r="G56" s="53" t="s">
        <v>623</v>
      </c>
      <c r="H56" s="65">
        <f>$F$42*0.4/(350000/1936.27)</f>
        <v>3817.2360471428406</v>
      </c>
    </row>
    <row r="57" spans="1:8">
      <c r="A57" s="60" t="s">
        <v>624</v>
      </c>
      <c r="B57" s="66">
        <v>0.1</v>
      </c>
      <c r="C57" s="67">
        <v>0.05</v>
      </c>
      <c r="D57" s="67">
        <v>0</v>
      </c>
      <c r="E57" s="67">
        <v>0</v>
      </c>
      <c r="F57" s="68">
        <f>B57*(1+C57)*(1+D57)*(1-E57)</f>
        <v>0.10500000000000001</v>
      </c>
      <c r="G57" s="3"/>
      <c r="H57" s="21"/>
    </row>
    <row r="58" spans="1:8">
      <c r="A58" s="62" t="s">
        <v>489</v>
      </c>
      <c r="B58" s="38"/>
      <c r="C58" s="38"/>
      <c r="D58" s="38"/>
      <c r="E58" s="38"/>
      <c r="F58" s="57">
        <f>F42*F12/100*F57</f>
        <v>8308.5439300859016</v>
      </c>
      <c r="G58" s="27" t="s">
        <v>625</v>
      </c>
      <c r="H58" s="69"/>
    </row>
    <row r="59" spans="1:8" hidden="1">
      <c r="A59" s="60" t="s">
        <v>626</v>
      </c>
      <c r="B59" s="2"/>
      <c r="C59" s="2"/>
      <c r="D59" s="2"/>
      <c r="E59" s="2"/>
      <c r="F59" s="34"/>
      <c r="G59" s="3"/>
      <c r="H59" s="21"/>
    </row>
    <row r="60" spans="1:8" hidden="1">
      <c r="A60" s="12" t="s">
        <v>490</v>
      </c>
      <c r="B60" s="2"/>
      <c r="C60" s="2"/>
      <c r="D60" s="2"/>
      <c r="E60" s="2"/>
      <c r="F60" s="33"/>
      <c r="G60" s="3" t="s">
        <v>474</v>
      </c>
      <c r="H60" s="21"/>
    </row>
    <row r="61" spans="1:8" hidden="1">
      <c r="A61" s="12" t="s">
        <v>619</v>
      </c>
      <c r="B61" s="2"/>
      <c r="C61" s="2"/>
      <c r="D61" s="2"/>
      <c r="E61" s="2"/>
      <c r="F61" s="34">
        <f>F59*(1+F60/100)</f>
        <v>0</v>
      </c>
      <c r="G61" s="3"/>
      <c r="H61" s="21"/>
    </row>
    <row r="62" spans="1:8" hidden="1">
      <c r="A62" s="59" t="s">
        <v>627</v>
      </c>
      <c r="B62" s="38"/>
      <c r="C62" s="38"/>
      <c r="D62" s="38"/>
      <c r="E62" s="38"/>
      <c r="F62" s="39"/>
      <c r="G62" s="3" t="s">
        <v>474</v>
      </c>
      <c r="H62" s="21"/>
    </row>
    <row r="63" spans="1:8" hidden="1">
      <c r="A63" s="24" t="s">
        <v>607</v>
      </c>
      <c r="B63" s="2"/>
      <c r="C63" s="2"/>
      <c r="D63" s="2"/>
      <c r="E63" s="2"/>
      <c r="F63" s="39">
        <f>F62</f>
        <v>0</v>
      </c>
      <c r="G63" s="3"/>
      <c r="H63" s="21"/>
    </row>
    <row r="64" spans="1:8" hidden="1">
      <c r="A64" s="24" t="s">
        <v>608</v>
      </c>
      <c r="B64" s="2"/>
      <c r="C64" s="2"/>
      <c r="D64" s="2"/>
      <c r="E64" s="2"/>
      <c r="F64" s="39">
        <f>F63*0.02</f>
        <v>0</v>
      </c>
      <c r="G64" s="3"/>
      <c r="H64" s="21"/>
    </row>
    <row r="65" spans="1:8" hidden="1">
      <c r="A65" s="24" t="s">
        <v>609</v>
      </c>
      <c r="B65" s="2"/>
      <c r="C65" s="2"/>
      <c r="D65" s="2"/>
      <c r="E65" s="2"/>
      <c r="F65" s="39">
        <f>(F63+F64)*0.2</f>
        <v>0</v>
      </c>
      <c r="G65" s="3"/>
      <c r="H65" s="21"/>
    </row>
    <row r="66" spans="1:8" hidden="1">
      <c r="A66" s="59" t="s">
        <v>610</v>
      </c>
      <c r="B66" s="38"/>
      <c r="C66" s="38"/>
      <c r="D66" s="38"/>
      <c r="E66" s="38"/>
      <c r="F66" s="39">
        <f>SUM(F63:F65)</f>
        <v>0</v>
      </c>
      <c r="G66" s="3"/>
      <c r="H66" s="21"/>
    </row>
    <row r="67" spans="1:8" hidden="1">
      <c r="A67" s="60" t="s">
        <v>611</v>
      </c>
      <c r="B67" s="2"/>
      <c r="C67" s="2"/>
      <c r="D67" s="2"/>
      <c r="E67" s="2"/>
      <c r="F67" s="34">
        <f>F63*20/100</f>
        <v>0</v>
      </c>
      <c r="G67" s="3"/>
      <c r="H67" s="21"/>
    </row>
    <row r="68" spans="1:8" hidden="1">
      <c r="A68" s="12"/>
      <c r="B68" s="2"/>
      <c r="C68" s="2"/>
      <c r="D68" s="2"/>
      <c r="E68" s="2"/>
      <c r="F68" s="34"/>
      <c r="G68" s="3"/>
      <c r="H68" s="21"/>
    </row>
    <row r="69" spans="1:8" hidden="1">
      <c r="A69" s="12"/>
      <c r="B69" s="2"/>
      <c r="C69" s="2"/>
      <c r="D69" s="2"/>
      <c r="E69" s="2"/>
      <c r="F69" s="34"/>
      <c r="G69" s="3"/>
      <c r="H69" s="21"/>
    </row>
    <row r="70" spans="1:8">
      <c r="A70" s="12"/>
      <c r="B70" s="2"/>
      <c r="C70" s="2"/>
      <c r="D70" s="2"/>
      <c r="E70" s="2"/>
      <c r="F70" s="34"/>
      <c r="G70" s="3"/>
      <c r="H70" s="21"/>
    </row>
    <row r="71" spans="1:8" ht="15.75">
      <c r="A71" s="28" t="s">
        <v>628</v>
      </c>
      <c r="B71" s="13"/>
      <c r="C71" s="13"/>
      <c r="D71" s="13"/>
      <c r="E71" s="13"/>
      <c r="F71" s="70"/>
      <c r="G71" s="14"/>
      <c r="H71" s="15"/>
    </row>
    <row r="72" spans="1:8">
      <c r="A72" s="12" t="s">
        <v>473</v>
      </c>
      <c r="B72" s="2"/>
      <c r="C72" s="2"/>
      <c r="D72" s="2"/>
      <c r="E72" s="2"/>
      <c r="F72" s="29">
        <v>0</v>
      </c>
      <c r="G72" s="3" t="s">
        <v>474</v>
      </c>
      <c r="H72" s="17"/>
    </row>
    <row r="73" spans="1:8">
      <c r="A73" s="12" t="s">
        <v>475</v>
      </c>
      <c r="B73" s="2"/>
      <c r="C73" s="2"/>
      <c r="D73" s="2"/>
      <c r="E73" s="2"/>
      <c r="F73" s="34" t="s">
        <v>629</v>
      </c>
      <c r="G73" s="3" t="s">
        <v>474</v>
      </c>
      <c r="H73" s="19"/>
    </row>
    <row r="74" spans="1:8">
      <c r="A74" s="12" t="s">
        <v>477</v>
      </c>
      <c r="B74" s="2"/>
      <c r="C74" s="2"/>
      <c r="D74" s="2"/>
      <c r="E74" s="2"/>
      <c r="F74" s="71" t="s">
        <v>630</v>
      </c>
      <c r="G74" s="3" t="s">
        <v>474</v>
      </c>
      <c r="H74" s="21"/>
    </row>
    <row r="75" spans="1:8">
      <c r="A75" s="12" t="s">
        <v>479</v>
      </c>
      <c r="B75" s="2"/>
      <c r="C75" s="2"/>
      <c r="D75" s="2"/>
      <c r="E75" s="2"/>
      <c r="F75" s="29">
        <v>206582.76</v>
      </c>
      <c r="G75" s="3" t="s">
        <v>474</v>
      </c>
      <c r="H75" s="21"/>
    </row>
    <row r="76" spans="1:8">
      <c r="A76" s="12" t="s">
        <v>480</v>
      </c>
      <c r="B76" s="2"/>
      <c r="C76" s="2"/>
      <c r="D76" s="2"/>
      <c r="E76" s="2"/>
      <c r="F76" s="29">
        <v>258228.45</v>
      </c>
      <c r="G76" s="3" t="s">
        <v>474</v>
      </c>
      <c r="H76" s="21"/>
    </row>
    <row r="77" spans="1:8">
      <c r="A77" s="12" t="s">
        <v>481</v>
      </c>
      <c r="B77" s="2"/>
      <c r="C77" s="2"/>
      <c r="D77" s="2"/>
      <c r="E77" s="2"/>
      <c r="F77" s="72">
        <v>5.2119999999999997</v>
      </c>
      <c r="G77" s="3" t="s">
        <v>474</v>
      </c>
      <c r="H77" s="21"/>
    </row>
    <row r="78" spans="1:8">
      <c r="A78" s="12" t="s">
        <v>482</v>
      </c>
      <c r="B78" s="2"/>
      <c r="C78" s="2"/>
      <c r="D78" s="2"/>
      <c r="E78" s="2"/>
      <c r="F78" s="72">
        <v>5.0590000000000002</v>
      </c>
      <c r="G78" s="3" t="s">
        <v>474</v>
      </c>
      <c r="H78" s="21"/>
    </row>
    <row r="79" spans="1:8">
      <c r="A79" s="24" t="s">
        <v>483</v>
      </c>
      <c r="B79" s="2"/>
      <c r="C79" s="25" t="s">
        <v>484</v>
      </c>
      <c r="D79" s="2"/>
      <c r="E79" s="2"/>
      <c r="F79" s="73">
        <f>F12</f>
        <v>4.5871661277686</v>
      </c>
      <c r="G79" s="3"/>
      <c r="H79" s="21"/>
    </row>
    <row r="80" spans="1:8">
      <c r="A80" s="30" t="s">
        <v>486</v>
      </c>
      <c r="B80" s="74" t="s">
        <v>631</v>
      </c>
      <c r="C80" s="75" t="s">
        <v>632</v>
      </c>
      <c r="D80" s="76"/>
      <c r="E80" s="2"/>
      <c r="F80" s="32">
        <f>0.1+0.03+0.15+0.12</f>
        <v>0.4</v>
      </c>
      <c r="G80" s="3" t="s">
        <v>474</v>
      </c>
      <c r="H80" s="21"/>
    </row>
    <row r="81" spans="1:8">
      <c r="A81" s="30" t="s">
        <v>633</v>
      </c>
      <c r="B81" s="1"/>
      <c r="C81" s="31"/>
      <c r="D81" s="2"/>
      <c r="E81" s="2"/>
      <c r="F81" s="77">
        <v>0</v>
      </c>
      <c r="G81" s="3"/>
      <c r="H81" s="21"/>
    </row>
    <row r="82" spans="1:8">
      <c r="A82" s="36" t="s">
        <v>489</v>
      </c>
      <c r="B82" s="37"/>
      <c r="C82" s="38"/>
      <c r="D82" s="38"/>
      <c r="E82" s="38"/>
      <c r="F82" s="57">
        <f>F72*F79/100*F80*(1+F81)</f>
        <v>0</v>
      </c>
      <c r="G82" s="27"/>
      <c r="H82" s="78" t="s">
        <v>634</v>
      </c>
    </row>
    <row r="83" spans="1:8">
      <c r="A83" s="30"/>
      <c r="B83" s="1"/>
      <c r="C83" s="2"/>
      <c r="D83" s="2"/>
      <c r="E83" s="2"/>
      <c r="F83" s="29"/>
      <c r="G83" s="3"/>
      <c r="H83" s="35"/>
    </row>
    <row r="84" spans="1:8">
      <c r="A84" s="12"/>
      <c r="B84" s="2"/>
      <c r="C84" s="2"/>
      <c r="D84" s="2"/>
      <c r="E84" s="2"/>
      <c r="F84" s="34"/>
      <c r="G84" s="3"/>
      <c r="H84" s="21"/>
    </row>
    <row r="85" spans="1:8" ht="15.75">
      <c r="A85" s="79" t="s">
        <v>635</v>
      </c>
      <c r="B85" s="5"/>
      <c r="C85" s="5"/>
      <c r="D85" s="5"/>
      <c r="E85" s="5"/>
      <c r="F85" s="29"/>
      <c r="G85" s="3"/>
      <c r="H85" s="21"/>
    </row>
    <row r="86" spans="1:8" ht="15.75">
      <c r="A86" s="80" t="s">
        <v>636</v>
      </c>
      <c r="B86" s="5"/>
      <c r="C86" s="5"/>
      <c r="D86" s="5"/>
      <c r="E86" s="5"/>
      <c r="F86" s="174">
        <f>F15</f>
        <v>6330.3191848273527</v>
      </c>
      <c r="G86" s="53"/>
      <c r="H86" s="54"/>
    </row>
    <row r="87" spans="1:8" ht="15.75">
      <c r="A87" s="81" t="s">
        <v>637</v>
      </c>
      <c r="B87" s="2"/>
      <c r="C87" s="2"/>
      <c r="D87" s="2"/>
      <c r="E87" s="2"/>
      <c r="F87" s="161">
        <f>F29</f>
        <v>11869.348471551286</v>
      </c>
      <c r="G87" s="3"/>
      <c r="H87" s="21"/>
    </row>
    <row r="88" spans="1:8" ht="15.75">
      <c r="A88" s="81" t="s">
        <v>638</v>
      </c>
      <c r="B88" s="2"/>
      <c r="C88" s="2"/>
      <c r="D88" s="2"/>
      <c r="E88" s="2"/>
      <c r="F88" s="161">
        <f>F44</f>
        <v>25321.276739309418</v>
      </c>
      <c r="G88" s="3"/>
      <c r="H88" s="21"/>
    </row>
    <row r="89" spans="1:8" ht="15.75">
      <c r="A89" s="81" t="s">
        <v>639</v>
      </c>
      <c r="B89" s="2"/>
      <c r="C89" s="2"/>
      <c r="D89" s="2"/>
      <c r="E89" s="2"/>
      <c r="F89" s="161">
        <f>F58</f>
        <v>8308.5439300859016</v>
      </c>
      <c r="G89" s="3"/>
      <c r="H89" s="21"/>
    </row>
    <row r="90" spans="1:8" ht="15.75">
      <c r="A90" s="81" t="s">
        <v>640</v>
      </c>
      <c r="B90" s="2"/>
      <c r="C90" s="2"/>
      <c r="D90" s="2"/>
      <c r="E90" s="2"/>
      <c r="F90" s="160">
        <f>F82</f>
        <v>0</v>
      </c>
      <c r="G90" s="3"/>
      <c r="H90" s="82"/>
    </row>
    <row r="91" spans="1:8" ht="15.75">
      <c r="A91" s="83" t="s">
        <v>641</v>
      </c>
      <c r="B91" s="38"/>
      <c r="C91" s="38"/>
      <c r="D91" s="38"/>
      <c r="E91" s="38"/>
      <c r="F91" s="160">
        <f>SUM(F86:F90)</f>
        <v>51829.488325773957</v>
      </c>
      <c r="G91" s="27"/>
      <c r="H91" s="84"/>
    </row>
    <row r="92" spans="1:8">
      <c r="A92" s="12" t="s">
        <v>642</v>
      </c>
      <c r="B92" s="2"/>
      <c r="C92" s="2"/>
      <c r="D92" s="2"/>
      <c r="E92" s="2"/>
      <c r="F92" s="172">
        <v>0.2142</v>
      </c>
      <c r="G92" s="3"/>
      <c r="H92" s="21"/>
    </row>
    <row r="93" spans="1:8">
      <c r="A93" s="12" t="s">
        <v>643</v>
      </c>
      <c r="B93" s="2"/>
      <c r="C93" s="2"/>
      <c r="D93" s="2"/>
      <c r="E93" s="2"/>
      <c r="F93" s="175">
        <v>1</v>
      </c>
      <c r="G93" s="3"/>
      <c r="H93" s="21"/>
    </row>
    <row r="94" spans="1:8">
      <c r="A94" s="12" t="s">
        <v>642</v>
      </c>
      <c r="B94" s="2"/>
      <c r="C94" s="2"/>
      <c r="D94" s="2"/>
      <c r="E94" s="2"/>
      <c r="F94" s="172">
        <f>F92*F93</f>
        <v>0.2142</v>
      </c>
      <c r="G94" s="3"/>
      <c r="H94" s="21"/>
    </row>
    <row r="95" spans="1:8">
      <c r="A95" s="12" t="s">
        <v>644</v>
      </c>
      <c r="B95" s="2"/>
      <c r="C95" s="2"/>
      <c r="D95" s="2"/>
      <c r="E95" s="2"/>
      <c r="F95" s="176">
        <f>INT(F91*F92*F93*100+0.5)/100</f>
        <v>11101.88</v>
      </c>
      <c r="G95" s="3"/>
      <c r="H95" s="21"/>
    </row>
    <row r="96" spans="1:8">
      <c r="A96" s="12" t="s">
        <v>645</v>
      </c>
      <c r="B96" s="2"/>
      <c r="C96" s="2"/>
      <c r="D96" s="2"/>
      <c r="E96" s="2"/>
      <c r="F96" s="177">
        <f>INT(F91*(1+F94)*100+0.5)/100</f>
        <v>62931.360000000001</v>
      </c>
      <c r="G96" s="3"/>
      <c r="H96" s="21"/>
    </row>
    <row r="97" spans="1:8">
      <c r="A97" s="85" t="s">
        <v>646</v>
      </c>
      <c r="B97" s="2"/>
      <c r="C97" s="2"/>
      <c r="D97" s="2"/>
      <c r="E97" s="2"/>
      <c r="F97" s="175">
        <v>0.2</v>
      </c>
      <c r="G97" s="3"/>
      <c r="H97" s="21"/>
    </row>
    <row r="98" spans="1:8" ht="13.5" thickBot="1">
      <c r="A98" s="12" t="s">
        <v>647</v>
      </c>
      <c r="B98" s="2"/>
      <c r="C98" s="2"/>
      <c r="D98" s="2"/>
      <c r="E98" s="2"/>
      <c r="F98" s="161">
        <f>-INT(F96*F97*100+0.5)/100</f>
        <v>-12586.27</v>
      </c>
      <c r="G98" s="3"/>
      <c r="H98" s="21"/>
    </row>
    <row r="99" spans="1:8" ht="16.5" thickBot="1">
      <c r="A99" s="83" t="s">
        <v>645</v>
      </c>
      <c r="B99" s="38"/>
      <c r="C99" s="38"/>
      <c r="D99" s="38"/>
      <c r="E99" s="38"/>
      <c r="F99" s="171">
        <f>F96+F98</f>
        <v>50345.09</v>
      </c>
      <c r="G99" s="86"/>
      <c r="H99" s="21"/>
    </row>
    <row r="100" spans="1:8">
      <c r="A100" s="24" t="s">
        <v>608</v>
      </c>
      <c r="B100" s="2"/>
      <c r="C100" s="2"/>
      <c r="D100" s="2"/>
      <c r="E100" s="672">
        <v>0.04</v>
      </c>
      <c r="F100" s="173">
        <f>INT(F99*E100*100+0.5)/100</f>
        <v>2013.8</v>
      </c>
      <c r="G100" s="3"/>
      <c r="H100" s="21"/>
    </row>
    <row r="101" spans="1:8">
      <c r="A101" s="24" t="s">
        <v>648</v>
      </c>
      <c r="B101" s="2"/>
      <c r="C101" s="2"/>
      <c r="D101" s="2"/>
      <c r="E101" s="2"/>
      <c r="F101" s="173">
        <f>F99+F100</f>
        <v>52358.89</v>
      </c>
      <c r="G101" s="3"/>
      <c r="H101" s="21"/>
    </row>
    <row r="102" spans="1:8">
      <c r="A102" s="24" t="s">
        <v>609</v>
      </c>
      <c r="B102" s="2"/>
      <c r="C102" s="2"/>
      <c r="D102" s="2"/>
      <c r="E102" s="672">
        <v>0.22</v>
      </c>
      <c r="F102" s="173">
        <f>INT(F101*E102*100+0.5)/100</f>
        <v>11518.96</v>
      </c>
      <c r="G102" s="3"/>
      <c r="H102" s="21"/>
    </row>
    <row r="103" spans="1:8">
      <c r="A103" s="59" t="s">
        <v>610</v>
      </c>
      <c r="B103" s="38"/>
      <c r="C103" s="38"/>
      <c r="D103" s="38"/>
      <c r="E103" s="38"/>
      <c r="F103" s="132">
        <f>F101+F102</f>
        <v>63877.85</v>
      </c>
      <c r="G103" s="3"/>
      <c r="H103" s="21"/>
    </row>
    <row r="104" spans="1:8">
      <c r="A104" s="61" t="s">
        <v>649</v>
      </c>
      <c r="B104" s="5"/>
      <c r="C104" s="5"/>
      <c r="D104" s="5"/>
      <c r="E104" s="5"/>
      <c r="F104" s="127">
        <f>INT(F99*20/100*100+0.5)/100</f>
        <v>10069.02</v>
      </c>
      <c r="G104" s="3"/>
      <c r="H104" s="21"/>
    </row>
    <row r="105" spans="1:8">
      <c r="A105" s="62" t="s">
        <v>650</v>
      </c>
      <c r="B105" s="38"/>
      <c r="C105" s="38"/>
      <c r="D105" s="38"/>
      <c r="E105" s="38"/>
      <c r="F105" s="132">
        <f>F103-F104</f>
        <v>53808.83</v>
      </c>
      <c r="G105" s="3"/>
      <c r="H105" s="21"/>
    </row>
    <row r="106" spans="1:8">
      <c r="A106" s="60"/>
      <c r="B106" s="2"/>
      <c r="C106" s="2"/>
      <c r="D106" s="2"/>
      <c r="E106" s="2"/>
      <c r="F106" s="87"/>
      <c r="G106" s="3"/>
      <c r="H106" s="21"/>
    </row>
    <row r="107" spans="1:8" ht="15.75">
      <c r="A107" s="88" t="s">
        <v>651</v>
      </c>
      <c r="B107" s="89"/>
      <c r="C107" s="89"/>
      <c r="D107" s="89"/>
      <c r="E107" s="89"/>
      <c r="F107" s="90"/>
      <c r="G107" s="91"/>
      <c r="H107" s="92"/>
    </row>
    <row r="108" spans="1:8" ht="15.75">
      <c r="A108" s="93" t="s">
        <v>652</v>
      </c>
      <c r="B108" s="2"/>
      <c r="C108" s="2"/>
      <c r="D108" s="94"/>
      <c r="E108" s="2"/>
      <c r="F108" s="16">
        <f>F5</f>
        <v>1725008.1555000001</v>
      </c>
      <c r="G108" s="3"/>
      <c r="H108" s="21"/>
    </row>
    <row r="109" spans="1:8">
      <c r="A109" s="12" t="s">
        <v>475</v>
      </c>
      <c r="B109" s="2"/>
      <c r="C109" s="2"/>
      <c r="D109" s="94"/>
      <c r="E109" s="2"/>
      <c r="F109" s="18" t="s">
        <v>476</v>
      </c>
      <c r="G109" s="3" t="s">
        <v>474</v>
      </c>
      <c r="H109" s="19"/>
    </row>
    <row r="110" spans="1:8">
      <c r="A110" s="12" t="s">
        <v>477</v>
      </c>
      <c r="B110" s="2"/>
      <c r="C110" s="2"/>
      <c r="D110" s="94"/>
      <c r="E110" s="2"/>
      <c r="F110" s="20" t="s">
        <v>478</v>
      </c>
      <c r="G110" s="3" t="s">
        <v>474</v>
      </c>
      <c r="H110" s="21"/>
    </row>
    <row r="111" spans="1:8">
      <c r="A111" s="12" t="s">
        <v>479</v>
      </c>
      <c r="B111" s="2"/>
      <c r="C111" s="2"/>
      <c r="D111" s="2"/>
      <c r="E111" s="2"/>
      <c r="F111" s="22">
        <v>1500000</v>
      </c>
      <c r="G111" s="3" t="s">
        <v>474</v>
      </c>
      <c r="H111" s="21"/>
    </row>
    <row r="112" spans="1:8">
      <c r="A112" s="12" t="s">
        <v>480</v>
      </c>
      <c r="B112" s="2"/>
      <c r="C112" s="2"/>
      <c r="D112" s="2"/>
      <c r="E112" s="2"/>
      <c r="F112" s="22">
        <v>2000000</v>
      </c>
      <c r="G112" s="3" t="s">
        <v>474</v>
      </c>
      <c r="H112" s="21"/>
    </row>
    <row r="113" spans="1:8">
      <c r="A113" s="12" t="s">
        <v>481</v>
      </c>
      <c r="B113" s="2"/>
      <c r="C113" s="2"/>
      <c r="D113" s="2"/>
      <c r="E113" s="2"/>
      <c r="F113" s="23">
        <v>4.694</v>
      </c>
      <c r="G113" s="3" t="s">
        <v>474</v>
      </c>
      <c r="H113" s="21"/>
    </row>
    <row r="114" spans="1:8">
      <c r="A114" s="12" t="s">
        <v>482</v>
      </c>
      <c r="B114" s="2"/>
      <c r="C114" s="2"/>
      <c r="D114" s="2"/>
      <c r="E114" s="2"/>
      <c r="F114" s="23">
        <v>4.4565999999999999</v>
      </c>
      <c r="G114" s="3" t="s">
        <v>474</v>
      </c>
      <c r="H114" s="21"/>
    </row>
    <row r="115" spans="1:8">
      <c r="A115" s="24" t="s">
        <v>483</v>
      </c>
      <c r="B115" s="2"/>
      <c r="C115" s="25" t="s">
        <v>484</v>
      </c>
      <c r="D115" s="2"/>
      <c r="E115" s="2"/>
      <c r="F115" s="26">
        <f>F113-((F108-F111)*(F113-F114)/(F112-F111))</f>
        <v>4.5871661277686</v>
      </c>
      <c r="G115" s="3"/>
      <c r="H115" s="21"/>
    </row>
    <row r="116" spans="1:8">
      <c r="A116" s="95" t="s">
        <v>486</v>
      </c>
      <c r="B116" s="5"/>
      <c r="C116" s="96"/>
      <c r="D116" s="5"/>
      <c r="E116" s="53"/>
      <c r="F116" s="54"/>
      <c r="G116" s="5"/>
      <c r="H116" s="97"/>
    </row>
    <row r="117" spans="1:8">
      <c r="A117" s="12" t="s">
        <v>653</v>
      </c>
      <c r="B117" s="2" t="s">
        <v>654</v>
      </c>
      <c r="C117" s="98">
        <v>0.42</v>
      </c>
      <c r="D117" s="2">
        <v>1</v>
      </c>
      <c r="E117" s="2">
        <f>C117*D117</f>
        <v>0.42</v>
      </c>
      <c r="F117" s="99"/>
      <c r="G117" s="3"/>
      <c r="H117" s="55"/>
    </row>
    <row r="118" spans="1:8">
      <c r="A118" s="12"/>
      <c r="B118" s="2" t="s">
        <v>655</v>
      </c>
      <c r="C118" s="98">
        <v>0.03</v>
      </c>
      <c r="D118" s="2">
        <v>1</v>
      </c>
      <c r="E118" s="2">
        <f>C118*D118</f>
        <v>0.03</v>
      </c>
      <c r="F118" s="99"/>
      <c r="G118" s="3"/>
      <c r="H118" s="55"/>
    </row>
    <row r="119" spans="1:8">
      <c r="A119" s="56"/>
      <c r="B119" s="38"/>
      <c r="C119" s="100"/>
      <c r="D119" s="38"/>
      <c r="E119" s="38"/>
      <c r="F119" s="101">
        <f>SUM(E117:E118)</f>
        <v>0.44999999999999996</v>
      </c>
      <c r="G119" s="27" t="s">
        <v>474</v>
      </c>
      <c r="H119" s="102"/>
    </row>
    <row r="120" spans="1:8" hidden="1">
      <c r="A120" s="12" t="s">
        <v>656</v>
      </c>
      <c r="B120" s="2"/>
      <c r="C120" s="2"/>
      <c r="D120" s="2"/>
      <c r="E120" s="2"/>
      <c r="F120" s="103">
        <f>INT(F115*F119*F108/100*100+0.5)/100</f>
        <v>35608.050000000003</v>
      </c>
      <c r="G120" s="3"/>
      <c r="H120" s="21"/>
    </row>
    <row r="121" spans="1:8" hidden="1">
      <c r="A121" s="12" t="s">
        <v>490</v>
      </c>
      <c r="B121" s="2"/>
      <c r="C121" s="2"/>
      <c r="D121" s="2"/>
      <c r="E121" s="2"/>
      <c r="F121" s="42">
        <v>0</v>
      </c>
      <c r="G121" s="3" t="s">
        <v>474</v>
      </c>
      <c r="H121" s="21"/>
    </row>
    <row r="122" spans="1:8" hidden="1">
      <c r="A122" s="56" t="s">
        <v>657</v>
      </c>
      <c r="B122" s="38"/>
      <c r="C122" s="38"/>
      <c r="D122" s="38"/>
      <c r="E122" s="38"/>
      <c r="F122" s="104">
        <f>F120*(1+F121/100)</f>
        <v>35608.050000000003</v>
      </c>
      <c r="G122" s="3"/>
      <c r="H122" s="21"/>
    </row>
    <row r="123" spans="1:8" hidden="1">
      <c r="A123" s="59" t="s">
        <v>658</v>
      </c>
      <c r="B123" s="38"/>
      <c r="C123" s="38"/>
      <c r="D123" s="38"/>
      <c r="E123" s="38"/>
      <c r="F123" s="48"/>
      <c r="G123" s="3" t="s">
        <v>474</v>
      </c>
      <c r="H123" s="21"/>
    </row>
    <row r="124" spans="1:8" hidden="1">
      <c r="A124" s="60" t="s">
        <v>606</v>
      </c>
      <c r="B124" s="2"/>
      <c r="C124" s="2"/>
      <c r="D124" s="2"/>
      <c r="E124" s="2"/>
      <c r="F124" s="48"/>
      <c r="G124" s="3"/>
      <c r="H124" s="21"/>
    </row>
    <row r="125" spans="1:8" hidden="1">
      <c r="A125" s="24" t="s">
        <v>607</v>
      </c>
      <c r="B125" s="2"/>
      <c r="C125" s="2"/>
      <c r="D125" s="2"/>
      <c r="E125" s="2"/>
      <c r="F125" s="48">
        <f>F123-F124</f>
        <v>0</v>
      </c>
      <c r="G125" s="3"/>
      <c r="H125" s="21"/>
    </row>
    <row r="126" spans="1:8" hidden="1">
      <c r="A126" s="24" t="s">
        <v>608</v>
      </c>
      <c r="B126" s="2"/>
      <c r="C126" s="2"/>
      <c r="D126" s="2"/>
      <c r="E126" s="2"/>
      <c r="F126" s="48">
        <f>F125*0.02</f>
        <v>0</v>
      </c>
      <c r="G126" s="3"/>
      <c r="H126" s="21"/>
    </row>
    <row r="127" spans="1:8" hidden="1">
      <c r="A127" s="24" t="s">
        <v>609</v>
      </c>
      <c r="B127" s="2"/>
      <c r="C127" s="2"/>
      <c r="D127" s="2"/>
      <c r="E127" s="2"/>
      <c r="F127" s="48">
        <f>(F125+F126)*0.2</f>
        <v>0</v>
      </c>
      <c r="G127" s="3"/>
      <c r="H127" s="21"/>
    </row>
    <row r="128" spans="1:8" hidden="1">
      <c r="A128" s="59" t="s">
        <v>610</v>
      </c>
      <c r="B128" s="38"/>
      <c r="C128" s="38"/>
      <c r="D128" s="38"/>
      <c r="E128" s="38"/>
      <c r="F128" s="48">
        <f>SUM(F125:F127)</f>
        <v>0</v>
      </c>
      <c r="G128" s="3"/>
      <c r="H128" s="21"/>
    </row>
    <row r="129" spans="1:8" hidden="1">
      <c r="A129" s="60" t="s">
        <v>659</v>
      </c>
      <c r="B129" s="2"/>
      <c r="C129" s="2"/>
      <c r="D129" s="2"/>
      <c r="E129" s="2"/>
      <c r="F129" s="49">
        <f>F125*20/100</f>
        <v>0</v>
      </c>
      <c r="G129" s="3"/>
      <c r="H129" s="21"/>
    </row>
    <row r="130" spans="1:8">
      <c r="A130" s="56"/>
      <c r="B130" s="38"/>
      <c r="C130" s="38"/>
      <c r="D130" s="38"/>
      <c r="E130" s="38"/>
      <c r="F130" s="105"/>
      <c r="G130" s="27"/>
      <c r="H130" s="69"/>
    </row>
    <row r="131" spans="1:8">
      <c r="A131" s="106" t="s">
        <v>660</v>
      </c>
      <c r="B131" s="89"/>
      <c r="C131" s="89"/>
      <c r="D131" s="5"/>
      <c r="E131" s="53"/>
      <c r="F131" s="107"/>
      <c r="G131" s="5" t="s">
        <v>623</v>
      </c>
      <c r="H131" s="108">
        <f>$F$5*0.4/(350000/1936.27)</f>
        <v>3817.2360471428406</v>
      </c>
    </row>
    <row r="132" spans="1:8">
      <c r="A132" s="109" t="s">
        <v>661</v>
      </c>
      <c r="B132" s="1"/>
      <c r="C132" s="1"/>
      <c r="D132" s="2"/>
      <c r="E132" s="3"/>
      <c r="F132" s="49"/>
      <c r="G132" s="2"/>
      <c r="H132" s="110"/>
    </row>
    <row r="133" spans="1:8">
      <c r="A133" s="60" t="s">
        <v>662</v>
      </c>
      <c r="B133" s="66"/>
      <c r="C133" s="66"/>
      <c r="D133" s="111"/>
      <c r="E133" s="3"/>
      <c r="F133" s="112">
        <v>0.2</v>
      </c>
      <c r="G133" s="2"/>
      <c r="H133" s="3"/>
    </row>
    <row r="134" spans="1:8">
      <c r="A134" s="85" t="s">
        <v>663</v>
      </c>
      <c r="B134" s="66"/>
      <c r="C134" s="66"/>
      <c r="D134" s="111"/>
      <c r="E134" s="3"/>
      <c r="F134" s="112"/>
      <c r="G134" s="2"/>
      <c r="H134" s="3"/>
    </row>
    <row r="135" spans="1:8">
      <c r="A135" s="85" t="s">
        <v>664</v>
      </c>
      <c r="B135" s="66"/>
      <c r="C135" s="66"/>
      <c r="D135" s="111"/>
      <c r="E135" s="3"/>
      <c r="F135" s="112"/>
      <c r="G135" s="2"/>
      <c r="H135" s="3"/>
    </row>
    <row r="136" spans="1:8">
      <c r="A136" s="60" t="s">
        <v>665</v>
      </c>
      <c r="B136" s="66"/>
      <c r="C136" s="66"/>
      <c r="D136" s="111"/>
      <c r="E136" s="113">
        <v>0.05</v>
      </c>
      <c r="F136" s="112">
        <f>F133+F133*E136</f>
        <v>0.21000000000000002</v>
      </c>
      <c r="G136" s="2"/>
      <c r="H136" s="3"/>
    </row>
    <row r="137" spans="1:8">
      <c r="A137" s="62" t="s">
        <v>489</v>
      </c>
      <c r="B137" s="38"/>
      <c r="C137" s="38"/>
      <c r="D137" s="38"/>
      <c r="E137" s="27"/>
      <c r="F137" s="114">
        <f>F108*F12/100*F136</f>
        <v>16617.087860171803</v>
      </c>
      <c r="G137" s="38" t="s">
        <v>666</v>
      </c>
      <c r="H137" s="27"/>
    </row>
    <row r="138" spans="1:8" hidden="1">
      <c r="A138" s="12" t="s">
        <v>490</v>
      </c>
      <c r="B138" s="2"/>
      <c r="C138" s="2"/>
      <c r="D138" s="2"/>
      <c r="E138" s="2"/>
      <c r="F138" s="42"/>
      <c r="G138" s="2" t="s">
        <v>474</v>
      </c>
      <c r="H138" s="3"/>
    </row>
    <row r="139" spans="1:8" hidden="1">
      <c r="A139" s="12" t="s">
        <v>667</v>
      </c>
      <c r="B139" s="2"/>
      <c r="C139" s="2"/>
      <c r="D139" s="2"/>
      <c r="E139" s="2"/>
      <c r="F139" s="17"/>
      <c r="G139" s="2"/>
      <c r="H139" s="3"/>
    </row>
    <row r="140" spans="1:8" hidden="1">
      <c r="A140" s="59" t="s">
        <v>668</v>
      </c>
      <c r="B140" s="38"/>
      <c r="C140" s="38"/>
      <c r="D140" s="38"/>
      <c r="E140" s="38"/>
      <c r="F140" s="84">
        <f>F5</f>
        <v>1725008.1555000001</v>
      </c>
      <c r="G140" s="38" t="s">
        <v>474</v>
      </c>
      <c r="H140" s="27"/>
    </row>
    <row r="141" spans="1:8" hidden="1">
      <c r="A141" s="60" t="s">
        <v>606</v>
      </c>
      <c r="B141" s="2"/>
      <c r="C141" s="2"/>
      <c r="D141" s="2"/>
      <c r="E141" s="2"/>
      <c r="F141" s="115"/>
      <c r="G141" s="2"/>
      <c r="H141" s="2"/>
    </row>
    <row r="142" spans="1:8" hidden="1">
      <c r="A142" s="24" t="s">
        <v>607</v>
      </c>
      <c r="B142" s="2"/>
      <c r="C142" s="2"/>
      <c r="D142" s="2"/>
      <c r="E142" s="2"/>
      <c r="F142" s="115">
        <f>F140-F141</f>
        <v>1725008.1555000001</v>
      </c>
      <c r="G142" s="2"/>
      <c r="H142" s="2"/>
    </row>
    <row r="143" spans="1:8" hidden="1">
      <c r="A143" s="24" t="s">
        <v>608</v>
      </c>
      <c r="B143" s="2"/>
      <c r="C143" s="2"/>
      <c r="D143" s="2"/>
      <c r="E143" s="2"/>
      <c r="F143" s="115">
        <f>F142*0.02</f>
        <v>34500.163110000001</v>
      </c>
      <c r="G143" s="2"/>
      <c r="H143" s="2"/>
    </row>
    <row r="144" spans="1:8" hidden="1">
      <c r="A144" s="24" t="s">
        <v>609</v>
      </c>
      <c r="B144" s="2"/>
      <c r="C144" s="2"/>
      <c r="D144" s="2"/>
      <c r="E144" s="2"/>
      <c r="F144" s="115">
        <f>(F142+F143)*0.2</f>
        <v>351901.66372200008</v>
      </c>
      <c r="G144" s="2"/>
      <c r="H144" s="2"/>
    </row>
    <row r="145" spans="1:8" hidden="1">
      <c r="A145" s="59" t="s">
        <v>610</v>
      </c>
      <c r="B145" s="38"/>
      <c r="C145" s="38"/>
      <c r="D145" s="38"/>
      <c r="E145" s="38"/>
      <c r="F145" s="116">
        <f>SUM(F142:F144)</f>
        <v>2111409.9823320005</v>
      </c>
      <c r="G145" s="38"/>
      <c r="H145" s="38"/>
    </row>
    <row r="146" spans="1:8" hidden="1">
      <c r="A146" s="60" t="s">
        <v>611</v>
      </c>
      <c r="B146" s="2"/>
      <c r="C146" s="2"/>
      <c r="D146" s="2"/>
      <c r="E146" s="2"/>
      <c r="F146" s="87">
        <f>F142*29/100</f>
        <v>500252.36509500002</v>
      </c>
      <c r="G146" s="2"/>
      <c r="H146" s="2"/>
    </row>
    <row r="147" spans="1:8">
      <c r="A147" s="12"/>
      <c r="B147" s="2"/>
      <c r="C147" s="2"/>
      <c r="D147" s="2"/>
      <c r="E147" s="2"/>
      <c r="F147" s="117"/>
      <c r="G147" s="2"/>
      <c r="H147" s="2"/>
    </row>
    <row r="148" spans="1:8" ht="15.75">
      <c r="A148" s="118" t="s">
        <v>669</v>
      </c>
      <c r="B148" s="119"/>
      <c r="C148" s="119"/>
      <c r="D148" s="119"/>
      <c r="E148" s="119"/>
      <c r="F148" s="120"/>
      <c r="G148" s="119"/>
      <c r="H148" s="121"/>
    </row>
    <row r="149" spans="1:8">
      <c r="A149" s="12" t="s">
        <v>670</v>
      </c>
      <c r="B149" s="122">
        <v>2500</v>
      </c>
      <c r="C149" s="2">
        <v>2.3915999999999999</v>
      </c>
      <c r="D149" s="122">
        <f>INT(B149*C149/100*100+0.5)/100</f>
        <v>59.79</v>
      </c>
      <c r="E149" s="2"/>
      <c r="F149" s="17"/>
      <c r="G149" s="2"/>
      <c r="H149" s="3"/>
    </row>
    <row r="150" spans="1:8">
      <c r="A150" s="12" t="s">
        <v>671</v>
      </c>
      <c r="B150" s="122">
        <v>7500</v>
      </c>
      <c r="C150" s="2">
        <v>2.1922000000000001</v>
      </c>
      <c r="D150" s="122">
        <f>INT(B150*C150/100*100+0.5)/100</f>
        <v>164.42</v>
      </c>
      <c r="E150" s="2"/>
      <c r="F150" s="17"/>
      <c r="G150" s="2"/>
      <c r="H150" s="3"/>
    </row>
    <row r="151" spans="1:8">
      <c r="A151" s="12" t="s">
        <v>672</v>
      </c>
      <c r="B151" s="122">
        <v>15000</v>
      </c>
      <c r="C151" s="2">
        <v>1.9928999999999999</v>
      </c>
      <c r="D151" s="122">
        <f>INT(B151*C151/100*100+0.5)/100</f>
        <v>298.94</v>
      </c>
      <c r="E151" s="2" t="s">
        <v>474</v>
      </c>
      <c r="F151" s="17"/>
      <c r="G151" s="2"/>
      <c r="H151" s="3"/>
    </row>
    <row r="152" spans="1:8">
      <c r="A152" s="12" t="s">
        <v>673</v>
      </c>
      <c r="B152" s="122">
        <v>25000</v>
      </c>
      <c r="C152" s="2">
        <v>1.5943000000000001</v>
      </c>
      <c r="D152" s="122">
        <f>INT(B152*C152/100*100+0.5)/100</f>
        <v>398.58</v>
      </c>
      <c r="E152" s="2" t="s">
        <v>474</v>
      </c>
      <c r="F152" s="17"/>
      <c r="G152" s="2"/>
      <c r="H152" s="3"/>
    </row>
    <row r="153" spans="1:8">
      <c r="A153" s="12" t="s">
        <v>674</v>
      </c>
      <c r="B153" s="122">
        <f>F108-50000</f>
        <v>1675008.1555000001</v>
      </c>
      <c r="C153" s="2">
        <v>1.395</v>
      </c>
      <c r="D153" s="123">
        <f>INT(B153*C153/100*100+0.5)/100</f>
        <v>23366.36</v>
      </c>
      <c r="E153" s="2" t="s">
        <v>474</v>
      </c>
      <c r="F153" s="17"/>
      <c r="G153" s="2"/>
      <c r="H153" s="3"/>
    </row>
    <row r="154" spans="1:8">
      <c r="A154" s="12" t="s">
        <v>675</v>
      </c>
      <c r="B154" s="2"/>
      <c r="C154" s="2"/>
      <c r="D154" s="122">
        <f>SUM(D149:D153)</f>
        <v>24288.09</v>
      </c>
      <c r="E154" s="2" t="s">
        <v>676</v>
      </c>
      <c r="F154" s="104">
        <f>D154</f>
        <v>24288.09</v>
      </c>
      <c r="G154" s="2" t="s">
        <v>474</v>
      </c>
      <c r="H154" s="3"/>
    </row>
    <row r="155" spans="1:8">
      <c r="A155" s="12" t="s">
        <v>2074</v>
      </c>
      <c r="B155" s="2"/>
      <c r="C155" s="2"/>
      <c r="D155" s="2"/>
      <c r="E155" s="2"/>
      <c r="F155" s="17">
        <v>30</v>
      </c>
      <c r="G155" s="2" t="s">
        <v>474</v>
      </c>
      <c r="H155" s="3"/>
    </row>
    <row r="156" spans="1:8">
      <c r="A156" s="12" t="s">
        <v>2075</v>
      </c>
      <c r="B156" s="2"/>
      <c r="C156" s="2"/>
      <c r="D156" s="2"/>
      <c r="E156" s="2"/>
      <c r="F156" s="104">
        <f>INT(F154*(1-F155/100)*100+0.5)/100</f>
        <v>17001.66</v>
      </c>
      <c r="G156" s="2"/>
      <c r="H156" s="3"/>
    </row>
    <row r="157" spans="1:8" hidden="1">
      <c r="A157" s="12" t="s">
        <v>2076</v>
      </c>
      <c r="B157" s="2"/>
      <c r="C157" s="2"/>
      <c r="D157" s="2"/>
      <c r="E157" s="2"/>
      <c r="F157" s="17"/>
      <c r="G157" s="2" t="s">
        <v>474</v>
      </c>
      <c r="H157" s="3"/>
    </row>
    <row r="158" spans="1:8" hidden="1">
      <c r="A158" s="12" t="s">
        <v>2077</v>
      </c>
      <c r="B158" s="2"/>
      <c r="C158" s="2"/>
      <c r="D158" s="2"/>
      <c r="E158" s="2"/>
      <c r="F158" s="104">
        <f>F156*(1+F157/100)</f>
        <v>17001.66</v>
      </c>
      <c r="G158" s="2"/>
      <c r="H158" s="3"/>
    </row>
    <row r="159" spans="1:8" hidden="1">
      <c r="A159" s="59" t="s">
        <v>2078</v>
      </c>
      <c r="B159" s="38"/>
      <c r="C159" s="38"/>
      <c r="D159" s="38"/>
      <c r="E159" s="38"/>
      <c r="F159" s="84"/>
      <c r="G159" s="38" t="s">
        <v>474</v>
      </c>
      <c r="H159" s="27"/>
    </row>
    <row r="160" spans="1:8" hidden="1">
      <c r="A160" s="60" t="s">
        <v>606</v>
      </c>
      <c r="B160" s="2"/>
      <c r="C160" s="2"/>
      <c r="D160" s="2"/>
      <c r="E160" s="2"/>
      <c r="F160" s="48"/>
      <c r="G160" s="2"/>
      <c r="H160" s="3"/>
    </row>
    <row r="161" spans="1:8" hidden="1">
      <c r="A161" s="24" t="s">
        <v>607</v>
      </c>
      <c r="B161" s="2"/>
      <c r="C161" s="2"/>
      <c r="D161" s="2"/>
      <c r="E161" s="2"/>
      <c r="F161" s="48">
        <f>(F159-F160)</f>
        <v>0</v>
      </c>
      <c r="G161" s="2"/>
      <c r="H161" s="3"/>
    </row>
    <row r="162" spans="1:8" hidden="1">
      <c r="A162" s="24" t="s">
        <v>608</v>
      </c>
      <c r="B162" s="2"/>
      <c r="C162" s="2"/>
      <c r="D162" s="2"/>
      <c r="E162" s="2"/>
      <c r="F162" s="48">
        <f>F161*0.02</f>
        <v>0</v>
      </c>
      <c r="G162" s="2"/>
      <c r="H162" s="3"/>
    </row>
    <row r="163" spans="1:8" hidden="1">
      <c r="A163" s="24" t="s">
        <v>609</v>
      </c>
      <c r="B163" s="2"/>
      <c r="C163" s="2"/>
      <c r="D163" s="2"/>
      <c r="E163" s="2"/>
      <c r="F163" s="48">
        <f>(F161+F162)*0.2</f>
        <v>0</v>
      </c>
      <c r="G163" s="2"/>
      <c r="H163" s="3"/>
    </row>
    <row r="164" spans="1:8" hidden="1">
      <c r="A164" s="59" t="s">
        <v>610</v>
      </c>
      <c r="B164" s="38"/>
      <c r="C164" s="38"/>
      <c r="D164" s="38"/>
      <c r="E164" s="38"/>
      <c r="F164" s="124">
        <f>SUM(F161:F163)</f>
        <v>0</v>
      </c>
      <c r="G164" s="38"/>
      <c r="H164" s="27"/>
    </row>
    <row r="165" spans="1:8" hidden="1">
      <c r="A165" s="60" t="s">
        <v>649</v>
      </c>
      <c r="B165" s="2"/>
      <c r="C165" s="2"/>
      <c r="D165" s="2"/>
      <c r="E165" s="2"/>
      <c r="F165" s="49">
        <f>F161*20/100</f>
        <v>0</v>
      </c>
      <c r="G165" s="2"/>
      <c r="H165" s="3"/>
    </row>
    <row r="166" spans="1:8" hidden="1">
      <c r="A166" s="60"/>
      <c r="B166" s="2"/>
      <c r="C166" s="2"/>
      <c r="D166" s="2"/>
      <c r="E166" s="2"/>
      <c r="F166" s="49"/>
      <c r="G166" s="2"/>
      <c r="H166" s="3"/>
    </row>
    <row r="167" spans="1:8">
      <c r="A167" s="62"/>
      <c r="B167" s="38"/>
      <c r="C167" s="38"/>
      <c r="D167" s="38"/>
      <c r="E167" s="38"/>
      <c r="F167" s="125"/>
      <c r="G167" s="38"/>
      <c r="H167" s="27"/>
    </row>
    <row r="168" spans="1:8" ht="15.75">
      <c r="A168" s="80" t="s">
        <v>2082</v>
      </c>
      <c r="B168" s="5"/>
      <c r="C168" s="5"/>
      <c r="D168" s="5"/>
      <c r="E168" s="5"/>
      <c r="F168" s="126"/>
      <c r="G168" s="5"/>
      <c r="H168" s="53"/>
    </row>
    <row r="169" spans="1:8" ht="15.75">
      <c r="A169" s="81" t="s">
        <v>2083</v>
      </c>
      <c r="B169" s="2"/>
      <c r="C169" s="2"/>
      <c r="D169" s="2"/>
      <c r="E169" s="2"/>
      <c r="F169" s="127">
        <f>F120</f>
        <v>35608.050000000003</v>
      </c>
      <c r="G169" s="2"/>
      <c r="H169" s="3"/>
    </row>
    <row r="170" spans="1:8" ht="15.75">
      <c r="A170" s="81" t="s">
        <v>2084</v>
      </c>
      <c r="B170" s="2"/>
      <c r="C170" s="2"/>
      <c r="D170" s="2"/>
      <c r="E170" s="2"/>
      <c r="F170" s="127">
        <f>F137</f>
        <v>16617.087860171803</v>
      </c>
      <c r="G170" s="2"/>
      <c r="H170" s="3"/>
    </row>
    <row r="171" spans="1:8" ht="15.75">
      <c r="A171" s="81" t="s">
        <v>2085</v>
      </c>
      <c r="B171" s="2"/>
      <c r="C171" s="2"/>
      <c r="D171" s="2"/>
      <c r="E171" s="2"/>
      <c r="F171" s="127">
        <f>F156</f>
        <v>17001.66</v>
      </c>
      <c r="G171" s="2"/>
      <c r="H171" s="3"/>
    </row>
    <row r="172" spans="1:8" ht="15.75">
      <c r="A172" s="81" t="s">
        <v>1822</v>
      </c>
      <c r="B172" s="2"/>
      <c r="C172" s="2"/>
      <c r="D172" s="2"/>
      <c r="E172" s="2"/>
      <c r="F172" s="127">
        <f>F212</f>
        <v>20034.403502665937</v>
      </c>
      <c r="G172" s="2"/>
      <c r="H172" s="3"/>
    </row>
    <row r="173" spans="1:8" ht="15.75">
      <c r="A173" s="81" t="s">
        <v>2086</v>
      </c>
      <c r="B173" s="2"/>
      <c r="C173" s="2"/>
      <c r="D173" s="2"/>
      <c r="E173" s="2"/>
      <c r="F173" s="128">
        <v>0</v>
      </c>
      <c r="G173" s="2"/>
      <c r="H173" s="3"/>
    </row>
    <row r="174" spans="1:8" ht="15.75">
      <c r="A174" s="81" t="s">
        <v>2087</v>
      </c>
      <c r="B174" s="2"/>
      <c r="C174" s="2"/>
      <c r="D174" s="2"/>
      <c r="E174" s="2"/>
      <c r="F174" s="129">
        <f>SUM(F169:F173)</f>
        <v>89261.201362837746</v>
      </c>
      <c r="G174" s="2"/>
      <c r="H174" s="3"/>
    </row>
    <row r="175" spans="1:8">
      <c r="A175" s="12" t="s">
        <v>642</v>
      </c>
      <c r="B175" s="2"/>
      <c r="C175" s="2"/>
      <c r="D175" s="2"/>
      <c r="E175" s="2"/>
      <c r="F175" s="172">
        <v>0.2142</v>
      </c>
      <c r="G175" s="2"/>
      <c r="H175" s="3"/>
    </row>
    <row r="176" spans="1:8">
      <c r="A176" s="12" t="s">
        <v>2158</v>
      </c>
      <c r="B176" s="2"/>
      <c r="C176" s="2"/>
      <c r="D176" s="2"/>
      <c r="E176" s="2"/>
      <c r="F176" s="130">
        <v>1</v>
      </c>
      <c r="G176" s="2"/>
      <c r="H176" s="3"/>
    </row>
    <row r="177" spans="1:8">
      <c r="A177" s="12" t="s">
        <v>2088</v>
      </c>
      <c r="B177" s="2"/>
      <c r="C177" s="2"/>
      <c r="D177" s="2"/>
      <c r="E177" s="2"/>
      <c r="F177" s="84">
        <f>INT(F174*F175*F176*100+0.5)/100</f>
        <v>19119.75</v>
      </c>
      <c r="G177" s="2"/>
      <c r="H177" s="3"/>
    </row>
    <row r="178" spans="1:8">
      <c r="A178" s="85" t="s">
        <v>2089</v>
      </c>
      <c r="B178" s="2"/>
      <c r="C178" s="2"/>
      <c r="D178" s="2"/>
      <c r="E178" s="2"/>
      <c r="F178" s="104">
        <f>F174+F177</f>
        <v>108380.95136283775</v>
      </c>
      <c r="G178" s="2"/>
      <c r="H178" s="3"/>
    </row>
    <row r="179" spans="1:8">
      <c r="A179" s="85" t="s">
        <v>646</v>
      </c>
      <c r="B179" s="2"/>
      <c r="C179" s="2"/>
      <c r="D179" s="2"/>
      <c r="E179" s="2"/>
      <c r="F179" s="44">
        <v>-0.2</v>
      </c>
      <c r="G179" s="2"/>
      <c r="H179" s="3"/>
    </row>
    <row r="180" spans="1:8">
      <c r="A180" s="85" t="s">
        <v>2090</v>
      </c>
      <c r="B180" s="2"/>
      <c r="C180" s="2"/>
      <c r="D180" s="2"/>
      <c r="E180" s="2"/>
      <c r="F180" s="128">
        <f>INT(F178*F179*100+0.5)/100</f>
        <v>-21676.19</v>
      </c>
      <c r="G180" s="2"/>
      <c r="H180" s="3"/>
    </row>
    <row r="181" spans="1:8" ht="15.75">
      <c r="A181" s="131" t="s">
        <v>2091</v>
      </c>
      <c r="B181" s="38"/>
      <c r="C181" s="38"/>
      <c r="D181" s="38"/>
      <c r="E181" s="38"/>
      <c r="F181" s="132">
        <f>F178+F180</f>
        <v>86704.761362837744</v>
      </c>
      <c r="G181" s="38" t="s">
        <v>474</v>
      </c>
      <c r="H181" s="27"/>
    </row>
    <row r="182" spans="1:8">
      <c r="A182" s="133" t="s">
        <v>2159</v>
      </c>
      <c r="B182" s="5"/>
      <c r="C182" s="5"/>
      <c r="D182" s="5"/>
      <c r="E182" s="672">
        <v>0.04</v>
      </c>
      <c r="F182" s="173">
        <f>INT(F181*E182*100+0.5)/100</f>
        <v>3468.19</v>
      </c>
      <c r="G182" s="5"/>
      <c r="H182" s="53"/>
    </row>
    <row r="183" spans="1:8">
      <c r="A183" s="24" t="s">
        <v>648</v>
      </c>
      <c r="B183" s="2"/>
      <c r="C183" s="2"/>
      <c r="D183" s="2"/>
      <c r="E183" s="2"/>
      <c r="F183" s="173">
        <f>F181+F182</f>
        <v>90172.951362837746</v>
      </c>
      <c r="G183" s="2"/>
      <c r="H183" s="3"/>
    </row>
    <row r="184" spans="1:8">
      <c r="A184" s="24" t="s">
        <v>609</v>
      </c>
      <c r="B184" s="2"/>
      <c r="C184" s="2"/>
      <c r="D184" s="2"/>
      <c r="E184" s="672">
        <v>0.22</v>
      </c>
      <c r="F184" s="173">
        <f>INT(F183*E184*100+0.5)/100</f>
        <v>19838.05</v>
      </c>
      <c r="G184" s="2"/>
      <c r="H184" s="3"/>
    </row>
    <row r="185" spans="1:8">
      <c r="A185" s="59" t="s">
        <v>610</v>
      </c>
      <c r="B185" s="38"/>
      <c r="C185" s="38"/>
      <c r="D185" s="38"/>
      <c r="E185" s="38"/>
      <c r="F185" s="84">
        <f>F183+F184</f>
        <v>110011.00136283775</v>
      </c>
      <c r="G185" s="38"/>
      <c r="H185" s="27"/>
    </row>
    <row r="186" spans="1:8">
      <c r="A186" s="61" t="s">
        <v>649</v>
      </c>
      <c r="B186" s="5"/>
      <c r="C186" s="5"/>
      <c r="D186" s="5"/>
      <c r="E186" s="5"/>
      <c r="F186" s="126">
        <f>INT(F181*20/100*100+0.5)/100</f>
        <v>17340.95</v>
      </c>
      <c r="G186" s="5"/>
      <c r="H186" s="53"/>
    </row>
    <row r="187" spans="1:8">
      <c r="A187" s="62" t="s">
        <v>650</v>
      </c>
      <c r="B187" s="38"/>
      <c r="C187" s="38"/>
      <c r="D187" s="38"/>
      <c r="E187" s="38"/>
      <c r="F187" s="84">
        <f>F185-F186</f>
        <v>92670.051362837752</v>
      </c>
      <c r="G187" s="38"/>
      <c r="H187" s="27"/>
    </row>
    <row r="188" spans="1:8" ht="13.5" thickBot="1">
      <c r="A188" s="60"/>
      <c r="B188" s="2"/>
      <c r="C188" s="2"/>
      <c r="D188" s="2"/>
      <c r="E188" s="2"/>
      <c r="F188" s="16"/>
      <c r="G188" s="2"/>
      <c r="H188" s="2"/>
    </row>
    <row r="189" spans="1:8">
      <c r="A189" s="134" t="s">
        <v>2092</v>
      </c>
      <c r="B189" s="135"/>
      <c r="C189" s="135"/>
      <c r="D189" s="135"/>
      <c r="E189" s="135"/>
      <c r="F189" s="136">
        <f>F99+F181</f>
        <v>137049.85136283774</v>
      </c>
      <c r="G189" s="137"/>
      <c r="H189" s="138" t="s">
        <v>2093</v>
      </c>
    </row>
    <row r="190" spans="1:8">
      <c r="A190" s="139" t="s">
        <v>2094</v>
      </c>
      <c r="B190" s="140"/>
      <c r="C190" s="140"/>
      <c r="D190" s="140"/>
      <c r="E190" s="140"/>
      <c r="F190" s="141">
        <f>INT(F189*1.04*100+0.5)/100</f>
        <v>142531.85</v>
      </c>
      <c r="G190" s="142"/>
      <c r="H190" s="143">
        <f>(F190-G190)/F190</f>
        <v>1</v>
      </c>
    </row>
    <row r="191" spans="1:8">
      <c r="A191" s="144" t="s">
        <v>2095</v>
      </c>
      <c r="B191" s="140"/>
      <c r="C191" s="140"/>
      <c r="D191" s="140"/>
      <c r="E191" s="140" t="s">
        <v>2096</v>
      </c>
      <c r="F191" s="145">
        <f>F190/F5</f>
        <v>8.2626768775296955E-2</v>
      </c>
      <c r="G191" s="146"/>
      <c r="H191" s="147"/>
    </row>
    <row r="192" spans="1:8" ht="13.5" thickBot="1">
      <c r="A192" s="148"/>
      <c r="B192" s="149"/>
      <c r="C192" s="149"/>
      <c r="D192" s="149"/>
      <c r="E192" s="149"/>
      <c r="F192" s="150"/>
      <c r="G192" s="151"/>
      <c r="H192" s="152" t="s">
        <v>1817</v>
      </c>
    </row>
    <row r="193" spans="1:8">
      <c r="A193" s="12"/>
      <c r="B193" s="2"/>
      <c r="C193" s="2"/>
      <c r="D193" s="2"/>
      <c r="E193" s="2"/>
      <c r="F193" s="153" t="s">
        <v>1818</v>
      </c>
      <c r="G193" s="154"/>
      <c r="H193" s="155"/>
    </row>
    <row r="194" spans="1:8">
      <c r="A194" s="12"/>
      <c r="B194" s="2"/>
      <c r="C194" s="2"/>
      <c r="D194" s="2"/>
      <c r="E194" s="2"/>
      <c r="F194" s="156"/>
      <c r="G194" s="5"/>
      <c r="H194" s="5"/>
    </row>
    <row r="195" spans="1:8" ht="15.75">
      <c r="A195" s="157" t="s">
        <v>1819</v>
      </c>
      <c r="B195" s="5"/>
      <c r="C195" s="5"/>
      <c r="D195" s="5"/>
      <c r="E195" s="5"/>
      <c r="F195" s="156"/>
      <c r="G195" s="5"/>
      <c r="H195" s="53"/>
    </row>
    <row r="196" spans="1:8">
      <c r="A196" s="59" t="s">
        <v>1820</v>
      </c>
      <c r="B196" s="38"/>
      <c r="C196" s="38"/>
      <c r="D196" s="38"/>
      <c r="E196" s="38"/>
      <c r="F196" s="158">
        <f>450000/1936.27</f>
        <v>232.40560459026892</v>
      </c>
      <c r="G196" s="38" t="s">
        <v>474</v>
      </c>
      <c r="H196" s="27" t="s">
        <v>1821</v>
      </c>
    </row>
    <row r="197" spans="1:8">
      <c r="A197" s="24" t="s">
        <v>608</v>
      </c>
      <c r="B197" s="2"/>
      <c r="C197" s="2"/>
      <c r="D197" s="2"/>
      <c r="E197" s="2"/>
      <c r="F197" s="159">
        <f>F196*0.02</f>
        <v>4.6481120918053787</v>
      </c>
      <c r="G197" s="2"/>
      <c r="H197" s="3"/>
    </row>
    <row r="198" spans="1:8">
      <c r="A198" s="24" t="s">
        <v>609</v>
      </c>
      <c r="B198" s="2"/>
      <c r="C198" s="2"/>
      <c r="D198" s="2"/>
      <c r="E198" s="2"/>
      <c r="F198" s="159">
        <f>(F196+F197)*0.2</f>
        <v>47.410743336414868</v>
      </c>
      <c r="G198" s="2"/>
      <c r="H198" s="3"/>
    </row>
    <row r="199" spans="1:8">
      <c r="A199" s="59" t="s">
        <v>610</v>
      </c>
      <c r="B199" s="38"/>
      <c r="C199" s="38"/>
      <c r="D199" s="38"/>
      <c r="E199" s="38"/>
      <c r="F199" s="158">
        <f>SUM(F196:F198)</f>
        <v>284.46446001848915</v>
      </c>
      <c r="G199" s="38"/>
      <c r="H199" s="27"/>
    </row>
    <row r="200" spans="1:8">
      <c r="A200" s="62" t="s">
        <v>649</v>
      </c>
      <c r="B200" s="38"/>
      <c r="C200" s="38"/>
      <c r="D200" s="38"/>
      <c r="E200" s="38"/>
      <c r="F200" s="160">
        <f>F196*20/100</f>
        <v>46.481120918053783</v>
      </c>
      <c r="G200" s="38"/>
      <c r="H200" s="27"/>
    </row>
    <row r="201" spans="1:8">
      <c r="A201" s="60"/>
      <c r="B201" s="2"/>
      <c r="C201" s="2"/>
      <c r="D201" s="2"/>
      <c r="E201" s="2"/>
      <c r="F201" s="161"/>
      <c r="G201" s="2"/>
      <c r="H201" s="2"/>
    </row>
    <row r="202" spans="1:8" ht="15.75">
      <c r="A202" s="80" t="s">
        <v>1822</v>
      </c>
      <c r="B202" s="5"/>
      <c r="C202" s="5"/>
      <c r="D202" s="5"/>
      <c r="E202" s="5"/>
      <c r="F202" s="22">
        <f>F5</f>
        <v>1725008.1555000001</v>
      </c>
      <c r="G202" s="5"/>
      <c r="H202" s="5"/>
    </row>
    <row r="203" spans="1:8">
      <c r="A203" s="12" t="s">
        <v>479</v>
      </c>
      <c r="B203" s="2"/>
      <c r="C203" s="2"/>
      <c r="D203" s="2"/>
      <c r="E203" s="2"/>
      <c r="F203" s="22">
        <v>1500000</v>
      </c>
      <c r="G203" s="2" t="s">
        <v>474</v>
      </c>
      <c r="H203" s="2"/>
    </row>
    <row r="204" spans="1:8">
      <c r="A204" s="12" t="s">
        <v>480</v>
      </c>
      <c r="B204" s="2"/>
      <c r="C204" s="2"/>
      <c r="D204" s="2"/>
      <c r="E204" s="2"/>
      <c r="F204" s="22">
        <v>2000000</v>
      </c>
      <c r="G204" s="2" t="s">
        <v>474</v>
      </c>
      <c r="H204" s="2"/>
    </row>
    <row r="205" spans="1:8">
      <c r="A205" s="12" t="s">
        <v>481</v>
      </c>
      <c r="B205" s="2"/>
      <c r="C205" s="2"/>
      <c r="D205" s="2"/>
      <c r="E205" s="2"/>
      <c r="F205" s="23">
        <v>4.694</v>
      </c>
      <c r="G205" s="2" t="s">
        <v>474</v>
      </c>
      <c r="H205" s="2"/>
    </row>
    <row r="206" spans="1:8">
      <c r="A206" s="12" t="s">
        <v>482</v>
      </c>
      <c r="B206" s="2"/>
      <c r="C206" s="2"/>
      <c r="D206" s="2"/>
      <c r="E206" s="2"/>
      <c r="F206" s="23">
        <v>4.4565999999999999</v>
      </c>
      <c r="G206" s="2" t="s">
        <v>474</v>
      </c>
      <c r="H206" s="2"/>
    </row>
    <row r="207" spans="1:8">
      <c r="A207" s="12" t="s">
        <v>1823</v>
      </c>
      <c r="B207" s="2"/>
      <c r="C207" s="163" t="s">
        <v>1824</v>
      </c>
      <c r="D207" s="2"/>
      <c r="E207" s="2"/>
      <c r="F207" s="26">
        <f>F205-((F200-F203)*(F205-F206)/(F204-F203))</f>
        <v>5.4061779307637883</v>
      </c>
      <c r="G207" s="2"/>
      <c r="H207" s="2"/>
    </row>
    <row r="208" spans="1:8">
      <c r="A208" s="12"/>
      <c r="B208" s="2"/>
      <c r="C208" s="162" t="s">
        <v>2081</v>
      </c>
      <c r="D208" s="2"/>
      <c r="E208" s="2"/>
      <c r="F208" s="163">
        <v>0.1953</v>
      </c>
      <c r="G208" s="2"/>
      <c r="H208" s="2"/>
    </row>
    <row r="209" spans="1:8">
      <c r="A209" s="12" t="s">
        <v>528</v>
      </c>
      <c r="B209" s="2"/>
      <c r="C209" s="164" t="s">
        <v>1825</v>
      </c>
      <c r="D209" s="2"/>
      <c r="E209" s="2"/>
      <c r="F209" s="22">
        <f>F108*F207*F208/100</f>
        <v>18213.094093332671</v>
      </c>
      <c r="G209" s="2"/>
      <c r="H209" s="2"/>
    </row>
    <row r="210" spans="1:8">
      <c r="A210" s="12" t="s">
        <v>642</v>
      </c>
      <c r="B210" s="2" t="s">
        <v>2073</v>
      </c>
      <c r="C210" s="2"/>
      <c r="D210" s="2"/>
      <c r="E210" s="2"/>
      <c r="F210" s="22">
        <f>F209*0.1</f>
        <v>1821.3094093332672</v>
      </c>
      <c r="G210" s="2" t="s">
        <v>474</v>
      </c>
      <c r="H210" s="2"/>
    </row>
    <row r="211" spans="1:8">
      <c r="A211" s="12" t="s">
        <v>1941</v>
      </c>
      <c r="B211" s="2"/>
      <c r="C211" s="2"/>
      <c r="D211" s="2"/>
      <c r="E211" s="2"/>
      <c r="F211" s="117"/>
      <c r="G211" s="2"/>
      <c r="H211" s="2"/>
    </row>
    <row r="212" spans="1:8">
      <c r="A212" s="12" t="s">
        <v>2072</v>
      </c>
      <c r="B212" s="2"/>
      <c r="C212" s="2"/>
      <c r="D212" s="2"/>
      <c r="E212" s="2"/>
      <c r="F212" s="22">
        <f>SUM(F209:F210)</f>
        <v>20034.403502665937</v>
      </c>
      <c r="G212" s="2"/>
      <c r="H212" s="2"/>
    </row>
    <row r="213" spans="1:8">
      <c r="A213" s="59" t="s">
        <v>1826</v>
      </c>
      <c r="B213" s="38"/>
      <c r="C213" s="38"/>
      <c r="D213" s="38"/>
      <c r="E213" s="38"/>
      <c r="F213" s="116"/>
      <c r="G213" s="38" t="s">
        <v>474</v>
      </c>
      <c r="H213" s="38" t="s">
        <v>1827</v>
      </c>
    </row>
    <row r="214" spans="1:8">
      <c r="A214" s="24" t="s">
        <v>608</v>
      </c>
      <c r="B214" s="2"/>
      <c r="C214" s="2"/>
      <c r="D214" s="2"/>
      <c r="E214" s="2"/>
      <c r="F214" s="115">
        <f>F213*0.02</f>
        <v>0</v>
      </c>
      <c r="G214" s="2"/>
      <c r="H214" s="2"/>
    </row>
    <row r="215" spans="1:8">
      <c r="A215" s="24" t="s">
        <v>609</v>
      </c>
      <c r="B215" s="2"/>
      <c r="C215" s="2"/>
      <c r="D215" s="2"/>
      <c r="E215" s="2"/>
      <c r="F215" s="115">
        <f>(F213+F214)*0.2</f>
        <v>0</v>
      </c>
      <c r="G215" s="2"/>
      <c r="H215" s="2"/>
    </row>
    <row r="216" spans="1:8">
      <c r="A216" s="59" t="s">
        <v>610</v>
      </c>
      <c r="B216" s="38"/>
      <c r="C216" s="38"/>
      <c r="D216" s="38"/>
      <c r="E216" s="38"/>
      <c r="F216" s="116">
        <f>SUM(F213:F215)</f>
        <v>0</v>
      </c>
      <c r="G216" s="38"/>
      <c r="H216" s="38"/>
    </row>
    <row r="217" spans="1:8">
      <c r="A217" s="60" t="s">
        <v>649</v>
      </c>
      <c r="B217" s="2"/>
      <c r="C217" s="2"/>
      <c r="D217" s="2"/>
      <c r="E217" s="2"/>
      <c r="F217" s="87">
        <f>F213*20/100</f>
        <v>0</v>
      </c>
      <c r="G217" s="2"/>
      <c r="H217" s="2"/>
    </row>
    <row r="218" spans="1:8">
      <c r="A218" s="12"/>
      <c r="B218" s="2"/>
      <c r="C218" s="2"/>
      <c r="D218" s="2"/>
      <c r="E218" s="2"/>
      <c r="F218" s="117"/>
      <c r="G218" s="2"/>
      <c r="H218" s="2"/>
    </row>
    <row r="219" spans="1:8" ht="15.75">
      <c r="A219" s="80" t="s">
        <v>1828</v>
      </c>
      <c r="B219" s="5"/>
      <c r="C219" s="5"/>
      <c r="D219" s="5"/>
      <c r="E219" s="5"/>
      <c r="F219" s="156"/>
      <c r="G219" s="5"/>
      <c r="H219" s="5"/>
    </row>
    <row r="220" spans="1:8">
      <c r="A220" s="12" t="s">
        <v>1829</v>
      </c>
      <c r="B220" s="2"/>
      <c r="C220" s="2"/>
      <c r="D220" s="2"/>
      <c r="E220" s="2"/>
      <c r="F220" s="117"/>
      <c r="G220" s="2" t="s">
        <v>474</v>
      </c>
      <c r="H220" s="2"/>
    </row>
    <row r="221" spans="1:8">
      <c r="A221" s="12" t="s">
        <v>1830</v>
      </c>
      <c r="B221" s="2"/>
      <c r="C221" s="2"/>
      <c r="D221" s="2"/>
      <c r="E221" s="2"/>
      <c r="F221" s="117">
        <v>45000</v>
      </c>
      <c r="G221" s="2"/>
      <c r="H221" s="2"/>
    </row>
    <row r="222" spans="1:8">
      <c r="A222" s="12" t="s">
        <v>1831</v>
      </c>
      <c r="B222" s="2"/>
      <c r="C222" s="2"/>
      <c r="D222" s="2"/>
      <c r="E222" s="2"/>
      <c r="F222" s="117">
        <v>0</v>
      </c>
      <c r="G222" s="2" t="s">
        <v>474</v>
      </c>
      <c r="H222" s="2"/>
    </row>
    <row r="223" spans="1:8">
      <c r="A223" s="12" t="s">
        <v>1832</v>
      </c>
      <c r="B223" s="2"/>
      <c r="C223" s="2"/>
      <c r="D223" s="2"/>
      <c r="E223" s="2"/>
      <c r="F223" s="117">
        <v>50000</v>
      </c>
      <c r="G223" s="2"/>
      <c r="H223" s="2"/>
    </row>
    <row r="224" spans="1:8">
      <c r="A224" s="12"/>
      <c r="B224" s="2"/>
      <c r="C224" s="2"/>
      <c r="D224" s="2"/>
      <c r="E224" s="2"/>
      <c r="F224" s="117"/>
      <c r="G224" s="2"/>
      <c r="H224" s="2"/>
    </row>
    <row r="225" spans="1:8">
      <c r="A225" s="60" t="s">
        <v>1833</v>
      </c>
      <c r="B225" s="2"/>
      <c r="C225" s="2"/>
      <c r="D225" s="2"/>
      <c r="E225" s="2"/>
      <c r="F225" s="117">
        <f>F220*F221+F222*F223</f>
        <v>0</v>
      </c>
      <c r="G225" s="2"/>
      <c r="H225" s="2"/>
    </row>
    <row r="226" spans="1:8">
      <c r="A226" s="59" t="s">
        <v>1834</v>
      </c>
      <c r="B226" s="38"/>
      <c r="C226" s="38"/>
      <c r="D226" s="38"/>
      <c r="E226" s="38"/>
      <c r="F226" s="116"/>
      <c r="G226" s="38" t="s">
        <v>474</v>
      </c>
      <c r="H226" s="38"/>
    </row>
    <row r="227" spans="1:8">
      <c r="A227" s="24" t="s">
        <v>608</v>
      </c>
      <c r="B227" s="2"/>
      <c r="C227" s="2"/>
      <c r="D227" s="2"/>
      <c r="E227" s="2"/>
      <c r="F227" s="115">
        <f>F226*0.02</f>
        <v>0</v>
      </c>
      <c r="G227" s="2"/>
      <c r="H227" s="2"/>
    </row>
    <row r="228" spans="1:8">
      <c r="A228" s="24" t="s">
        <v>609</v>
      </c>
      <c r="B228" s="2"/>
      <c r="C228" s="2"/>
      <c r="D228" s="2"/>
      <c r="E228" s="2"/>
      <c r="F228" s="115">
        <f>(F226+F227)*0.2</f>
        <v>0</v>
      </c>
      <c r="G228" s="2"/>
      <c r="H228" s="2"/>
    </row>
    <row r="229" spans="1:8">
      <c r="A229" s="59" t="s">
        <v>610</v>
      </c>
      <c r="B229" s="38"/>
      <c r="C229" s="38"/>
      <c r="D229" s="38"/>
      <c r="E229" s="38"/>
      <c r="F229" s="116">
        <f>SUM(F226:F228)</f>
        <v>0</v>
      </c>
      <c r="G229" s="38"/>
      <c r="H229" s="38"/>
    </row>
    <row r="230" spans="1:8">
      <c r="A230" s="60" t="s">
        <v>649</v>
      </c>
      <c r="B230" s="2"/>
      <c r="C230" s="2"/>
      <c r="D230" s="2"/>
      <c r="E230" s="2"/>
      <c r="F230" s="87">
        <f>F226*20/100</f>
        <v>0</v>
      </c>
      <c r="G230" s="2"/>
    </row>
    <row r="231" spans="1:8">
      <c r="F231" s="117"/>
    </row>
    <row r="232" spans="1:8">
      <c r="A232" s="133" t="s">
        <v>1835</v>
      </c>
      <c r="B232" s="5"/>
      <c r="C232" s="5"/>
      <c r="D232" s="5"/>
      <c r="F232" s="165"/>
      <c r="G232" s="166" t="s">
        <v>474</v>
      </c>
      <c r="H232" s="5"/>
    </row>
    <row r="233" spans="1:8">
      <c r="A233" s="12" t="s">
        <v>1836</v>
      </c>
      <c r="B233" s="2"/>
      <c r="C233" s="2"/>
      <c r="D233" s="2">
        <v>6000</v>
      </c>
      <c r="E233" s="2">
        <v>1</v>
      </c>
      <c r="F233" s="167">
        <f>D233*E233</f>
        <v>6000</v>
      </c>
      <c r="G233" s="2" t="s">
        <v>1837</v>
      </c>
      <c r="H233" s="2"/>
    </row>
    <row r="234" spans="1:8">
      <c r="A234" s="12" t="s">
        <v>1838</v>
      </c>
      <c r="B234" s="2"/>
      <c r="C234" s="2"/>
      <c r="D234" s="2">
        <v>300</v>
      </c>
      <c r="E234" s="2">
        <f>10+7+7+6</f>
        <v>30</v>
      </c>
      <c r="F234" s="167">
        <f>D234*E234</f>
        <v>9000</v>
      </c>
      <c r="G234" s="2"/>
      <c r="H234" s="2"/>
    </row>
    <row r="235" spans="1:8">
      <c r="A235" s="12" t="s">
        <v>1839</v>
      </c>
      <c r="B235" s="2"/>
      <c r="C235" s="2"/>
      <c r="D235" s="2">
        <v>400</v>
      </c>
      <c r="E235" s="2">
        <v>3</v>
      </c>
      <c r="F235" s="167">
        <f>D235*E235</f>
        <v>1200</v>
      </c>
      <c r="G235" s="2"/>
      <c r="H235" s="2"/>
    </row>
    <row r="236" spans="1:8">
      <c r="A236" s="12" t="s">
        <v>1840</v>
      </c>
      <c r="B236" s="2"/>
      <c r="C236" s="2"/>
      <c r="D236" s="2"/>
      <c r="E236" s="2"/>
      <c r="F236" s="167">
        <v>0</v>
      </c>
      <c r="G236" s="2"/>
      <c r="H236" s="2"/>
    </row>
    <row r="237" spans="1:8">
      <c r="A237" s="12" t="s">
        <v>1841</v>
      </c>
      <c r="B237" s="2"/>
      <c r="C237" s="2"/>
      <c r="D237" s="2">
        <v>2500</v>
      </c>
      <c r="E237" s="2">
        <v>3</v>
      </c>
      <c r="F237" s="167">
        <f>D237*E237</f>
        <v>7500</v>
      </c>
      <c r="G237" s="2"/>
      <c r="H237" s="2"/>
    </row>
    <row r="238" spans="1:8">
      <c r="A238" s="12" t="s">
        <v>1842</v>
      </c>
      <c r="B238" s="2"/>
      <c r="C238" s="2"/>
      <c r="D238" s="2">
        <v>1200</v>
      </c>
      <c r="E238" s="2">
        <f>(2+2+6)*3</f>
        <v>30</v>
      </c>
      <c r="F238" s="167">
        <f>D238*E238</f>
        <v>36000</v>
      </c>
      <c r="G238" s="2"/>
      <c r="H238" s="2"/>
    </row>
    <row r="239" spans="1:8">
      <c r="A239" s="12" t="s">
        <v>1843</v>
      </c>
      <c r="B239" s="2"/>
      <c r="C239" s="2"/>
      <c r="D239" s="2">
        <v>50000</v>
      </c>
      <c r="E239" s="168">
        <f>1/2</f>
        <v>0.5</v>
      </c>
      <c r="F239" s="167">
        <f>D239*E239</f>
        <v>25000</v>
      </c>
      <c r="G239" s="2"/>
      <c r="H239" s="2"/>
    </row>
    <row r="240" spans="1:8">
      <c r="A240" s="12" t="s">
        <v>1844</v>
      </c>
      <c r="B240" s="2"/>
      <c r="C240" s="2"/>
      <c r="D240" s="2"/>
      <c r="E240" s="2"/>
      <c r="F240" s="167">
        <f>SUM(F233:F239)</f>
        <v>84700</v>
      </c>
      <c r="G240" s="2"/>
      <c r="H240" s="2"/>
    </row>
    <row r="241" spans="1:8">
      <c r="A241" s="12" t="s">
        <v>1845</v>
      </c>
      <c r="B241" s="2"/>
      <c r="C241" s="2"/>
      <c r="D241" s="2"/>
      <c r="E241" s="2"/>
      <c r="F241" s="167">
        <v>85000</v>
      </c>
      <c r="G241" s="2"/>
      <c r="H241" s="2"/>
    </row>
    <row r="242" spans="1:8">
      <c r="A242" s="12" t="s">
        <v>1846</v>
      </c>
      <c r="B242" s="2"/>
      <c r="C242" s="2"/>
      <c r="D242" s="2"/>
      <c r="E242" s="2"/>
      <c r="F242" s="167"/>
      <c r="G242" s="2"/>
      <c r="H242" s="2"/>
    </row>
    <row r="243" spans="1:8">
      <c r="A243" s="12" t="s">
        <v>1847</v>
      </c>
      <c r="B243" s="2"/>
      <c r="C243" s="2"/>
      <c r="D243" s="2"/>
      <c r="E243" s="2"/>
      <c r="F243" s="167">
        <f>F241*F242</f>
        <v>0</v>
      </c>
      <c r="G243" s="2"/>
      <c r="H243" s="2"/>
    </row>
    <row r="244" spans="1:8">
      <c r="A244" s="56" t="s">
        <v>1873</v>
      </c>
      <c r="B244" s="38"/>
      <c r="C244" s="38"/>
      <c r="D244" s="38"/>
      <c r="E244" s="38"/>
      <c r="F244" s="169">
        <v>0</v>
      </c>
      <c r="G244" s="38" t="s">
        <v>1837</v>
      </c>
      <c r="H244" s="38"/>
    </row>
    <row r="245" spans="1:8">
      <c r="A245" s="24" t="s">
        <v>608</v>
      </c>
      <c r="B245" s="2"/>
      <c r="C245" s="2"/>
      <c r="D245" s="2"/>
      <c r="E245" s="2"/>
      <c r="F245" s="115">
        <f>F244*0.02</f>
        <v>0</v>
      </c>
      <c r="G245" s="2"/>
      <c r="H245" s="2"/>
    </row>
    <row r="246" spans="1:8">
      <c r="A246" s="24" t="s">
        <v>609</v>
      </c>
      <c r="B246" s="2"/>
      <c r="C246" s="2"/>
      <c r="D246" s="2"/>
      <c r="E246" s="2"/>
      <c r="F246" s="115">
        <f>(F244+F245)*0.2</f>
        <v>0</v>
      </c>
      <c r="G246" s="2"/>
      <c r="H246" s="2"/>
    </row>
    <row r="247" spans="1:8">
      <c r="A247" s="59" t="s">
        <v>610</v>
      </c>
      <c r="B247" s="38"/>
      <c r="C247" s="38"/>
      <c r="D247" s="38"/>
      <c r="E247" s="38"/>
      <c r="F247" s="116">
        <f>SUM(F244:F246)</f>
        <v>0</v>
      </c>
      <c r="G247" s="38"/>
      <c r="H247" s="38"/>
    </row>
    <row r="248" spans="1:8">
      <c r="A248" s="62" t="s">
        <v>649</v>
      </c>
      <c r="B248" s="38"/>
      <c r="C248" s="38"/>
      <c r="D248" s="38"/>
      <c r="E248" s="38"/>
      <c r="F248" s="170">
        <f>F244*20/100</f>
        <v>0</v>
      </c>
      <c r="G248" s="38"/>
      <c r="H248" s="38"/>
    </row>
  </sheetData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3754"/>
  <sheetViews>
    <sheetView topLeftCell="D4" workbookViewId="0">
      <pane ySplit="1290" topLeftCell="A259"/>
      <selection activeCell="D4" sqref="A1:XFD1048576"/>
      <selection pane="bottomLeft" activeCell="N1967" sqref="N1967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5.85546875" style="183" bestFit="1" customWidth="1"/>
    <col min="4" max="4" width="60" style="420" customWidth="1"/>
    <col min="5" max="5" width="8.7109375" style="183" bestFit="1" customWidth="1"/>
    <col min="6" max="6" width="13.85546875" style="183" bestFit="1" customWidth="1"/>
    <col min="7" max="7" width="13.7109375" style="183" bestFit="1" customWidth="1"/>
    <col min="8" max="8" width="20.28515625" style="183" hidden="1" customWidth="1"/>
    <col min="9" max="9" width="21.7109375" style="218" bestFit="1" customWidth="1"/>
    <col min="10" max="10" width="20.42578125" style="218" hidden="1" customWidth="1"/>
    <col min="11" max="11" width="8.7109375" style="183" bestFit="1" customWidth="1"/>
    <col min="12" max="12" width="13.5703125" style="218" bestFit="1" customWidth="1"/>
    <col min="13" max="13" width="11.42578125" style="218" bestFit="1" customWidth="1"/>
    <col min="14" max="14" width="17.7109375" style="218" bestFit="1" customWidth="1"/>
    <col min="15" max="15" width="12.7109375" style="218" bestFit="1" customWidth="1"/>
    <col min="16" max="16" width="17.85546875" style="218" bestFit="1" customWidth="1"/>
    <col min="17" max="17" width="13.140625" style="218" bestFit="1" customWidth="1"/>
    <col min="18" max="18" width="18.7109375" style="218" bestFit="1" customWidth="1"/>
    <col min="19" max="19" width="9.28515625" style="220" bestFit="1" customWidth="1"/>
    <col min="20" max="20" width="16.28515625" style="218" customWidth="1"/>
    <col min="21" max="21" width="13" style="218" bestFit="1" customWidth="1"/>
    <col min="22" max="22" width="19.42578125" style="218" bestFit="1" customWidth="1"/>
    <col min="23" max="23" width="9.28515625" style="220" bestFit="1" customWidth="1"/>
    <col min="24" max="24" width="15.7109375" style="218" customWidth="1"/>
    <col min="25" max="25" width="13" style="220" bestFit="1" customWidth="1"/>
    <col min="26" max="26" width="17.7109375" style="218" bestFit="1" customWidth="1"/>
    <col min="27" max="32" width="9.140625" style="183"/>
    <col min="33" max="33" width="9.7109375" style="183" bestFit="1" customWidth="1"/>
    <col min="34" max="16384" width="9.140625" style="183"/>
  </cols>
  <sheetData>
    <row r="1" spans="1:39">
      <c r="A1" s="946" t="s">
        <v>1368</v>
      </c>
      <c r="B1" s="578"/>
      <c r="C1" s="579" t="s">
        <v>1035</v>
      </c>
      <c r="D1" s="580"/>
      <c r="E1" s="581"/>
      <c r="F1" s="581"/>
      <c r="G1" s="581"/>
      <c r="H1" s="581"/>
      <c r="I1" s="582"/>
      <c r="J1" s="582"/>
      <c r="K1" s="581"/>
      <c r="L1" s="582"/>
      <c r="M1" s="582"/>
      <c r="N1" s="582"/>
      <c r="O1" s="582"/>
      <c r="P1" s="582"/>
      <c r="Q1" s="582"/>
      <c r="R1" s="582"/>
      <c r="S1" s="583"/>
      <c r="T1" s="582"/>
      <c r="U1" s="582"/>
      <c r="V1" s="582"/>
      <c r="W1" s="583"/>
      <c r="X1" s="582"/>
      <c r="Y1" s="583"/>
      <c r="Z1" s="584"/>
    </row>
    <row r="2" spans="1:39">
      <c r="A2" s="947"/>
      <c r="B2" s="178"/>
      <c r="C2" s="179" t="s">
        <v>2213</v>
      </c>
      <c r="D2" s="585"/>
      <c r="E2" s="180"/>
      <c r="F2" s="180"/>
      <c r="G2" s="180"/>
      <c r="H2" s="180"/>
      <c r="I2" s="181"/>
      <c r="J2" s="181"/>
      <c r="K2" s="180"/>
      <c r="L2" s="181"/>
      <c r="M2" s="181"/>
      <c r="N2" s="181"/>
      <c r="O2" s="181"/>
      <c r="P2" s="181"/>
      <c r="Q2" s="181"/>
      <c r="R2" s="181"/>
      <c r="S2" s="182"/>
      <c r="T2" s="181"/>
      <c r="U2" s="181"/>
      <c r="V2" s="181"/>
      <c r="W2" s="182"/>
      <c r="X2" s="181"/>
      <c r="Y2" s="182"/>
      <c r="Z2" s="586"/>
    </row>
    <row r="3" spans="1:39">
      <c r="A3" s="947"/>
      <c r="B3" s="178"/>
      <c r="C3" s="179" t="s">
        <v>1036</v>
      </c>
      <c r="D3" s="585"/>
      <c r="E3" s="180"/>
      <c r="F3" s="180"/>
      <c r="G3" s="180"/>
      <c r="H3" s="180"/>
      <c r="I3" s="181"/>
      <c r="J3" s="181"/>
      <c r="K3" s="180"/>
      <c r="L3" s="181"/>
      <c r="M3" s="181"/>
      <c r="N3" s="181"/>
      <c r="O3" s="181"/>
      <c r="P3" s="181"/>
      <c r="Q3" s="181"/>
      <c r="R3" s="181"/>
      <c r="S3" s="182"/>
      <c r="T3" s="181"/>
      <c r="U3" s="181"/>
      <c r="V3" s="181"/>
      <c r="W3" s="182"/>
      <c r="X3" s="181"/>
      <c r="Y3" s="182"/>
      <c r="Z3" s="586"/>
    </row>
    <row r="4" spans="1:39">
      <c r="A4" s="947"/>
      <c r="B4" s="178"/>
      <c r="C4" s="179"/>
      <c r="D4" s="585"/>
      <c r="E4" s="180"/>
      <c r="F4" s="935" t="s">
        <v>1806</v>
      </c>
      <c r="G4" s="936"/>
      <c r="H4" s="936"/>
      <c r="I4" s="937"/>
      <c r="J4" s="393"/>
      <c r="K4" s="180"/>
      <c r="L4" s="181"/>
      <c r="M4" s="184" t="s">
        <v>1806</v>
      </c>
      <c r="N4" s="184"/>
      <c r="O4" s="184"/>
      <c r="P4" s="184"/>
      <c r="Q4" s="184"/>
      <c r="R4" s="493"/>
      <c r="S4" s="493"/>
      <c r="T4" s="493"/>
      <c r="U4" s="184"/>
      <c r="V4" s="184"/>
      <c r="W4" s="184"/>
      <c r="X4" s="184"/>
      <c r="Y4" s="184"/>
      <c r="Z4" s="184"/>
    </row>
    <row r="5" spans="1:39">
      <c r="A5" s="948"/>
      <c r="B5" s="178"/>
      <c r="C5" s="186"/>
      <c r="D5" s="587"/>
      <c r="E5" s="187"/>
      <c r="F5" s="938"/>
      <c r="G5" s="939"/>
      <c r="H5" s="939"/>
      <c r="I5" s="940"/>
      <c r="J5" s="394"/>
      <c r="K5" s="187"/>
      <c r="L5" s="188"/>
      <c r="M5" s="607" t="s">
        <v>2466</v>
      </c>
      <c r="N5" s="607"/>
      <c r="O5" s="610" t="s">
        <v>2467</v>
      </c>
      <c r="P5" s="610"/>
      <c r="Q5" s="608" t="s">
        <v>2468</v>
      </c>
      <c r="R5" s="608"/>
      <c r="S5" s="609" t="s">
        <v>23</v>
      </c>
      <c r="T5" s="608"/>
      <c r="U5" s="608" t="s">
        <v>2469</v>
      </c>
      <c r="V5" s="608"/>
      <c r="W5" s="609" t="s">
        <v>341</v>
      </c>
      <c r="X5" s="608"/>
      <c r="Y5" s="609" t="s">
        <v>2470</v>
      </c>
      <c r="Z5" s="608"/>
    </row>
    <row r="6" spans="1:39" ht="14.25">
      <c r="A6" s="192" t="s">
        <v>1788</v>
      </c>
      <c r="B6" s="193" t="s">
        <v>462</v>
      </c>
      <c r="C6" s="194"/>
      <c r="D6" s="195" t="s">
        <v>1889</v>
      </c>
      <c r="E6" s="194" t="s">
        <v>1890</v>
      </c>
      <c r="F6" s="204" t="s">
        <v>1891</v>
      </c>
      <c r="G6" s="196" t="s">
        <v>1892</v>
      </c>
      <c r="H6" s="205" t="s">
        <v>1893</v>
      </c>
      <c r="I6" s="199" t="s">
        <v>2207</v>
      </c>
      <c r="J6" s="206"/>
      <c r="K6" s="194" t="s">
        <v>1890</v>
      </c>
      <c r="L6" s="197" t="s">
        <v>1892</v>
      </c>
      <c r="M6" s="198" t="s">
        <v>1891</v>
      </c>
      <c r="N6" s="199" t="s">
        <v>2207</v>
      </c>
      <c r="O6" s="198" t="s">
        <v>1891</v>
      </c>
      <c r="P6" s="199" t="s">
        <v>2207</v>
      </c>
      <c r="Q6" s="198" t="s">
        <v>1891</v>
      </c>
      <c r="R6" s="199" t="s">
        <v>2207</v>
      </c>
      <c r="S6" s="200" t="s">
        <v>1891</v>
      </c>
      <c r="T6" s="199" t="s">
        <v>2207</v>
      </c>
      <c r="U6" s="198" t="s">
        <v>1891</v>
      </c>
      <c r="V6" s="199" t="s">
        <v>2207</v>
      </c>
      <c r="W6" s="200" t="s">
        <v>1891</v>
      </c>
      <c r="X6" s="199" t="s">
        <v>2207</v>
      </c>
      <c r="Y6" s="200" t="s">
        <v>1891</v>
      </c>
      <c r="Z6" s="199" t="s">
        <v>2207</v>
      </c>
    </row>
    <row r="7" spans="1:39">
      <c r="A7" s="201"/>
      <c r="B7" s="202"/>
      <c r="C7" s="202"/>
      <c r="D7" s="203"/>
      <c r="E7" s="202"/>
      <c r="F7" s="204" t="s">
        <v>1894</v>
      </c>
      <c r="G7" s="196" t="s">
        <v>1895</v>
      </c>
      <c r="H7" s="205" t="s">
        <v>1896</v>
      </c>
      <c r="I7" s="392" t="s">
        <v>1779</v>
      </c>
      <c r="J7" s="206"/>
      <c r="K7" s="202"/>
      <c r="L7" s="206" t="s">
        <v>1895</v>
      </c>
      <c r="M7" s="207" t="s">
        <v>1894</v>
      </c>
      <c r="N7" s="208"/>
      <c r="O7" s="207" t="s">
        <v>1894</v>
      </c>
      <c r="P7" s="208"/>
      <c r="Q7" s="207" t="s">
        <v>1894</v>
      </c>
      <c r="R7" s="208"/>
      <c r="S7" s="209" t="s">
        <v>1894</v>
      </c>
      <c r="T7" s="208"/>
      <c r="U7" s="207" t="s">
        <v>1894</v>
      </c>
      <c r="V7" s="208"/>
      <c r="W7" s="209" t="s">
        <v>1894</v>
      </c>
      <c r="X7" s="208"/>
      <c r="Y7" s="209" t="s">
        <v>1894</v>
      </c>
      <c r="Z7" s="208"/>
    </row>
    <row r="8" spans="1:39" ht="15">
      <c r="A8" s="210"/>
      <c r="B8" s="211"/>
      <c r="C8" s="211"/>
      <c r="D8" s="212"/>
      <c r="E8" s="211"/>
      <c r="F8" s="213" t="s">
        <v>1890</v>
      </c>
      <c r="G8" s="395" t="s">
        <v>1897</v>
      </c>
      <c r="H8" s="396" t="s">
        <v>1897</v>
      </c>
      <c r="I8" s="215"/>
      <c r="J8" s="413"/>
      <c r="K8" s="211"/>
      <c r="L8" s="214" t="s">
        <v>1897</v>
      </c>
      <c r="M8" s="215" t="s">
        <v>1890</v>
      </c>
      <c r="N8" s="215"/>
      <c r="O8" s="215" t="s">
        <v>1890</v>
      </c>
      <c r="P8" s="215"/>
      <c r="Q8" s="215" t="s">
        <v>1890</v>
      </c>
      <c r="R8" s="215"/>
      <c r="S8" s="216" t="s">
        <v>1890</v>
      </c>
      <c r="T8" s="215"/>
      <c r="U8" s="215" t="s">
        <v>1890</v>
      </c>
      <c r="V8" s="215"/>
      <c r="W8" s="216" t="s">
        <v>1890</v>
      </c>
      <c r="X8" s="215"/>
      <c r="Y8" s="216" t="s">
        <v>1890</v>
      </c>
      <c r="Z8" s="215"/>
    </row>
    <row r="9" spans="1:39" ht="15">
      <c r="A9" s="192"/>
      <c r="B9" s="194"/>
      <c r="C9" s="194"/>
      <c r="D9" s="194"/>
      <c r="E9" s="194"/>
      <c r="F9" s="507" t="s">
        <v>942</v>
      </c>
      <c r="G9" s="194"/>
      <c r="H9" s="501"/>
      <c r="I9" s="390"/>
      <c r="J9" s="390"/>
      <c r="K9" s="194"/>
      <c r="L9" s="217">
        <v>2013</v>
      </c>
      <c r="M9" s="674">
        <v>0.56999999999999995</v>
      </c>
      <c r="N9" s="222"/>
      <c r="O9" s="222"/>
      <c r="P9" s="222"/>
      <c r="Q9" s="223"/>
      <c r="R9" s="222"/>
      <c r="S9" s="224"/>
      <c r="T9" s="222"/>
      <c r="U9" s="222"/>
      <c r="V9" s="222"/>
      <c r="W9" s="224"/>
      <c r="X9" s="222"/>
      <c r="Y9" s="224"/>
      <c r="Z9" s="588"/>
    </row>
    <row r="10" spans="1:39" ht="33">
      <c r="A10" s="201"/>
      <c r="B10" s="202"/>
      <c r="C10" s="202"/>
      <c r="D10" s="706" t="s">
        <v>2211</v>
      </c>
      <c r="E10" s="590"/>
      <c r="F10" s="505"/>
      <c r="G10" s="326" t="s">
        <v>440</v>
      </c>
      <c r="H10" s="202"/>
      <c r="I10" s="390"/>
      <c r="J10" s="390"/>
      <c r="K10" s="590"/>
      <c r="L10" s="507" t="s">
        <v>942</v>
      </c>
      <c r="M10" s="222"/>
      <c r="N10" s="222"/>
      <c r="O10" s="222"/>
      <c r="P10" s="222"/>
      <c r="Q10" s="223"/>
      <c r="R10" s="222"/>
      <c r="S10" s="224"/>
      <c r="T10" s="222"/>
      <c r="U10" s="222"/>
      <c r="V10" s="222"/>
      <c r="W10" s="224"/>
      <c r="X10" s="222"/>
      <c r="Y10" s="224"/>
      <c r="Z10" s="588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</row>
    <row r="11" spans="1:39" ht="33">
      <c r="A11" s="201"/>
      <c r="B11" s="202"/>
      <c r="C11" s="202"/>
      <c r="D11" s="706" t="s">
        <v>2212</v>
      </c>
      <c r="E11" s="590"/>
      <c r="F11" s="504"/>
      <c r="G11" s="326" t="s">
        <v>439</v>
      </c>
      <c r="H11" s="202"/>
      <c r="I11" s="390"/>
      <c r="J11" s="390"/>
      <c r="K11" s="590"/>
      <c r="L11" s="227"/>
      <c r="M11" s="222"/>
      <c r="N11" s="222"/>
      <c r="O11" s="222"/>
      <c r="P11" s="222"/>
      <c r="Q11" s="223"/>
      <c r="R11" s="222"/>
      <c r="S11" s="224"/>
      <c r="T11" s="222"/>
      <c r="U11" s="222"/>
      <c r="V11" s="222"/>
      <c r="W11" s="224"/>
      <c r="X11" s="222"/>
      <c r="Y11" s="224"/>
      <c r="Z11" s="588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</row>
    <row r="12" spans="1:39" ht="33">
      <c r="A12" s="210"/>
      <c r="B12" s="211"/>
      <c r="C12" s="211"/>
      <c r="D12" s="707" t="s">
        <v>275</v>
      </c>
      <c r="E12" s="592"/>
      <c r="F12" s="506"/>
      <c r="G12" s="593" t="s">
        <v>441</v>
      </c>
      <c r="H12" s="211"/>
      <c r="I12" s="413"/>
      <c r="J12" s="413"/>
      <c r="K12" s="592"/>
      <c r="L12" s="594"/>
      <c r="M12" s="500"/>
      <c r="N12" s="500"/>
      <c r="O12" s="500"/>
      <c r="P12" s="500"/>
      <c r="Q12" s="595"/>
      <c r="R12" s="500"/>
      <c r="S12" s="596"/>
      <c r="T12" s="500"/>
      <c r="U12" s="500"/>
      <c r="V12" s="500"/>
      <c r="W12" s="596"/>
      <c r="X12" s="500"/>
      <c r="Y12" s="596"/>
      <c r="Z12" s="597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</row>
    <row r="13" spans="1:39" s="235" customFormat="1" ht="15">
      <c r="A13" s="228"/>
      <c r="B13" s="229"/>
      <c r="C13" s="229"/>
      <c r="D13" s="230"/>
      <c r="E13" s="229"/>
      <c r="F13" s="231"/>
      <c r="G13" s="232"/>
      <c r="H13" s="231"/>
      <c r="I13" s="232"/>
      <c r="J13" s="232"/>
      <c r="K13" s="229"/>
      <c r="L13" s="232"/>
      <c r="M13" s="233"/>
      <c r="N13" s="234"/>
      <c r="O13" s="233"/>
      <c r="P13" s="234"/>
      <c r="Q13" s="233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39" s="247" customFormat="1" ht="15">
      <c r="A14" s="236"/>
      <c r="B14" s="237"/>
      <c r="C14" s="237"/>
      <c r="D14" s="238"/>
      <c r="E14" s="237"/>
      <c r="F14" s="239"/>
      <c r="G14" s="240"/>
      <c r="H14" s="239"/>
      <c r="I14" s="240"/>
      <c r="J14" s="240"/>
      <c r="K14" s="237"/>
      <c r="L14" s="241"/>
      <c r="M14" s="241"/>
      <c r="N14" s="242"/>
      <c r="O14" s="243"/>
      <c r="P14" s="242"/>
      <c r="Q14" s="244"/>
      <c r="R14" s="245"/>
      <c r="S14" s="245"/>
      <c r="T14" s="245"/>
      <c r="U14" s="245"/>
      <c r="V14" s="245"/>
      <c r="W14" s="245"/>
      <c r="X14" s="245"/>
      <c r="Y14" s="245"/>
      <c r="Z14" s="245"/>
    </row>
    <row r="15" spans="1:39" s="247" customFormat="1" ht="15">
      <c r="A15" s="236"/>
      <c r="B15" s="237"/>
      <c r="C15" s="248">
        <v>51</v>
      </c>
      <c r="D15" s="249" t="s">
        <v>1444</v>
      </c>
      <c r="E15" s="237"/>
      <c r="F15" s="239"/>
      <c r="G15" s="240"/>
      <c r="H15" s="239"/>
      <c r="I15" s="240"/>
      <c r="J15" s="240"/>
      <c r="K15" s="237"/>
      <c r="L15" s="243"/>
      <c r="M15" s="243"/>
      <c r="N15" s="242"/>
      <c r="O15" s="243"/>
      <c r="P15" s="242"/>
      <c r="Q15" s="244"/>
      <c r="R15" s="245"/>
      <c r="S15" s="245"/>
      <c r="T15" s="245"/>
      <c r="U15" s="245"/>
      <c r="V15" s="245"/>
      <c r="W15" s="245"/>
      <c r="X15" s="245"/>
      <c r="Y15" s="245"/>
      <c r="Z15" s="245"/>
    </row>
    <row r="16" spans="1:39" s="247" customFormat="1" ht="15">
      <c r="A16" s="236"/>
      <c r="B16" s="237"/>
      <c r="C16" s="248"/>
      <c r="D16" s="238" t="s">
        <v>562</v>
      </c>
      <c r="E16" s="237"/>
      <c r="F16" s="239"/>
      <c r="G16" s="240"/>
      <c r="H16" s="239"/>
      <c r="I16" s="240"/>
      <c r="J16" s="240"/>
      <c r="K16" s="237"/>
      <c r="L16" s="243"/>
      <c r="M16" s="243"/>
      <c r="N16" s="242"/>
      <c r="O16" s="243"/>
      <c r="P16" s="242"/>
      <c r="Q16" s="244"/>
      <c r="R16" s="245"/>
      <c r="S16" s="245"/>
      <c r="T16" s="245"/>
      <c r="U16" s="245"/>
      <c r="V16" s="245"/>
      <c r="W16" s="245"/>
      <c r="X16" s="245"/>
      <c r="Y16" s="245"/>
      <c r="Z16" s="245"/>
    </row>
    <row r="17" spans="1:26" ht="15" customHeight="1">
      <c r="A17" s="250">
        <v>1</v>
      </c>
      <c r="B17" s="251"/>
      <c r="C17" s="646" t="s">
        <v>2028</v>
      </c>
      <c r="D17" s="526" t="s">
        <v>2029</v>
      </c>
      <c r="E17" s="251" t="s">
        <v>534</v>
      </c>
      <c r="F17" s="252">
        <f>M17+O17+Q17+S17+U17+W17+Y17</f>
        <v>72</v>
      </c>
      <c r="G17" s="253">
        <f>L17</f>
        <v>38.15</v>
      </c>
      <c r="H17" s="254">
        <f>INT(F17*G17*100+0.5)/100</f>
        <v>2746.8</v>
      </c>
      <c r="I17" s="253">
        <f>N17+P17+R17+T17+V17+X17+Z17</f>
        <v>2746.8</v>
      </c>
      <c r="J17" s="253"/>
      <c r="K17" s="251" t="s">
        <v>534</v>
      </c>
      <c r="L17" s="255">
        <v>38.15</v>
      </c>
      <c r="M17" s="256">
        <v>18</v>
      </c>
      <c r="N17" s="257">
        <f t="shared" ref="N17:N61" si="0">INT($L17*M17*100+0.5)/100</f>
        <v>686.7</v>
      </c>
      <c r="O17" s="256">
        <v>24</v>
      </c>
      <c r="P17" s="257">
        <f t="shared" ref="P17:P61" si="1">INT($L17*O17*100+0.5)/100</f>
        <v>915.6</v>
      </c>
      <c r="Q17" s="256">
        <v>7</v>
      </c>
      <c r="R17" s="257">
        <f t="shared" ref="R17:R61" si="2">INT($L17*Q17*100+0.5)/100</f>
        <v>267.05</v>
      </c>
      <c r="S17" s="258">
        <v>0</v>
      </c>
      <c r="T17" s="257">
        <f t="shared" ref="T17:T61" si="3">INT($L17*S17*100+0.5)/100</f>
        <v>0</v>
      </c>
      <c r="U17" s="256">
        <v>18</v>
      </c>
      <c r="V17" s="257">
        <f t="shared" ref="V17:V61" si="4">INT($L17*U17*100+0.5)/100</f>
        <v>686.7</v>
      </c>
      <c r="W17" s="258">
        <v>5</v>
      </c>
      <c r="X17" s="257">
        <f t="shared" ref="X17:X61" si="5">INT($L17*W17*100+0.5)/100</f>
        <v>190.75</v>
      </c>
      <c r="Y17" s="258">
        <v>0</v>
      </c>
      <c r="Z17" s="257">
        <f t="shared" ref="Z17:Z61" si="6">INT($L17*Y17*100+0.5)/100</f>
        <v>0</v>
      </c>
    </row>
    <row r="18" spans="1:26" ht="15" customHeight="1">
      <c r="A18" s="250">
        <f>A17+1</f>
        <v>2</v>
      </c>
      <c r="B18" s="251"/>
      <c r="C18" s="646" t="s">
        <v>2136</v>
      </c>
      <c r="D18" s="526" t="s">
        <v>533</v>
      </c>
      <c r="E18" s="251" t="s">
        <v>534</v>
      </c>
      <c r="F18" s="252">
        <f>M18+O18+Q18+S18+U18+W18+Y18</f>
        <v>72</v>
      </c>
      <c r="G18" s="253">
        <f t="shared" ref="G18:G87" si="7">L18</f>
        <v>36.159999999999997</v>
      </c>
      <c r="H18" s="254">
        <f>INT(F18*G18*100+0.5)/100</f>
        <v>2603.52</v>
      </c>
      <c r="I18" s="253">
        <f>N18+P18+R18+T18+V18+X18+Z18</f>
        <v>2603.5200000000004</v>
      </c>
      <c r="J18" s="253"/>
      <c r="K18" s="251" t="s">
        <v>534</v>
      </c>
      <c r="L18" s="255">
        <v>36.159999999999997</v>
      </c>
      <c r="M18" s="256">
        <v>18</v>
      </c>
      <c r="N18" s="257">
        <f t="shared" si="0"/>
        <v>650.88</v>
      </c>
      <c r="O18" s="256">
        <v>24</v>
      </c>
      <c r="P18" s="257">
        <f t="shared" si="1"/>
        <v>867.84</v>
      </c>
      <c r="Q18" s="256">
        <v>7</v>
      </c>
      <c r="R18" s="257">
        <f t="shared" si="2"/>
        <v>253.12</v>
      </c>
      <c r="S18" s="258">
        <v>0</v>
      </c>
      <c r="T18" s="257">
        <f t="shared" si="3"/>
        <v>0</v>
      </c>
      <c r="U18" s="256">
        <v>18</v>
      </c>
      <c r="V18" s="257">
        <f t="shared" si="4"/>
        <v>650.88</v>
      </c>
      <c r="W18" s="258">
        <v>5</v>
      </c>
      <c r="X18" s="257">
        <f t="shared" si="5"/>
        <v>180.8</v>
      </c>
      <c r="Y18" s="258">
        <v>0</v>
      </c>
      <c r="Z18" s="257">
        <f t="shared" si="6"/>
        <v>0</v>
      </c>
    </row>
    <row r="19" spans="1:26" ht="15" customHeight="1">
      <c r="A19" s="250">
        <f>A18+1</f>
        <v>3</v>
      </c>
      <c r="B19" s="251"/>
      <c r="C19" s="646" t="s">
        <v>2137</v>
      </c>
      <c r="D19" s="526" t="s">
        <v>535</v>
      </c>
      <c r="E19" s="251" t="s">
        <v>534</v>
      </c>
      <c r="F19" s="252">
        <f>M19+O19+Q19+S19+U19+W19+Y19</f>
        <v>72</v>
      </c>
      <c r="G19" s="253">
        <f t="shared" si="7"/>
        <v>33.39</v>
      </c>
      <c r="H19" s="254">
        <f>INT(F19*G19*100+0.5)/100</f>
        <v>2404.08</v>
      </c>
      <c r="I19" s="253">
        <f>N19+P19+R19+T19+V19+X19+Z19</f>
        <v>2404.08</v>
      </c>
      <c r="J19" s="253"/>
      <c r="K19" s="251" t="s">
        <v>534</v>
      </c>
      <c r="L19" s="255">
        <v>33.39</v>
      </c>
      <c r="M19" s="256">
        <v>18</v>
      </c>
      <c r="N19" s="257">
        <f t="shared" si="0"/>
        <v>601.02</v>
      </c>
      <c r="O19" s="256">
        <v>24</v>
      </c>
      <c r="P19" s="257">
        <f t="shared" si="1"/>
        <v>801.36</v>
      </c>
      <c r="Q19" s="256">
        <v>7</v>
      </c>
      <c r="R19" s="257">
        <f t="shared" si="2"/>
        <v>233.73</v>
      </c>
      <c r="S19" s="258">
        <v>0</v>
      </c>
      <c r="T19" s="257">
        <f t="shared" si="3"/>
        <v>0</v>
      </c>
      <c r="U19" s="256">
        <v>18</v>
      </c>
      <c r="V19" s="257">
        <f t="shared" si="4"/>
        <v>601.02</v>
      </c>
      <c r="W19" s="258">
        <v>5</v>
      </c>
      <c r="X19" s="257">
        <f t="shared" si="5"/>
        <v>166.95</v>
      </c>
      <c r="Y19" s="258">
        <v>0</v>
      </c>
      <c r="Z19" s="257">
        <f t="shared" si="6"/>
        <v>0</v>
      </c>
    </row>
    <row r="20" spans="1:26" ht="15" customHeight="1">
      <c r="A20" s="250">
        <f>A19+1</f>
        <v>4</v>
      </c>
      <c r="B20" s="251"/>
      <c r="C20" s="646" t="s">
        <v>2138</v>
      </c>
      <c r="D20" s="526" t="s">
        <v>2139</v>
      </c>
      <c r="E20" s="251" t="s">
        <v>534</v>
      </c>
      <c r="F20" s="252">
        <f>M20+O20+Q20+S20+U20+W20+Y20</f>
        <v>72</v>
      </c>
      <c r="G20" s="253">
        <f t="shared" si="7"/>
        <v>29.67</v>
      </c>
      <c r="H20" s="254">
        <f>INT(F20*G20*100+0.5)/100</f>
        <v>2136.2399999999998</v>
      </c>
      <c r="I20" s="253">
        <f>N20+P20+R20+T20+V20+X20+Z20</f>
        <v>2136.2399999999998</v>
      </c>
      <c r="J20" s="253"/>
      <c r="K20" s="251" t="s">
        <v>534</v>
      </c>
      <c r="L20" s="255">
        <v>29.67</v>
      </c>
      <c r="M20" s="256">
        <v>18</v>
      </c>
      <c r="N20" s="257">
        <f t="shared" si="0"/>
        <v>534.05999999999995</v>
      </c>
      <c r="O20" s="256">
        <v>24</v>
      </c>
      <c r="P20" s="257">
        <f t="shared" si="1"/>
        <v>712.08</v>
      </c>
      <c r="Q20" s="256">
        <v>7</v>
      </c>
      <c r="R20" s="257">
        <f t="shared" si="2"/>
        <v>207.69</v>
      </c>
      <c r="S20" s="258">
        <v>0</v>
      </c>
      <c r="T20" s="257">
        <f t="shared" si="3"/>
        <v>0</v>
      </c>
      <c r="U20" s="256">
        <v>18</v>
      </c>
      <c r="V20" s="257">
        <f t="shared" si="4"/>
        <v>534.05999999999995</v>
      </c>
      <c r="W20" s="258">
        <v>5</v>
      </c>
      <c r="X20" s="257">
        <f t="shared" si="5"/>
        <v>148.35</v>
      </c>
      <c r="Y20" s="258">
        <v>0</v>
      </c>
      <c r="Z20" s="257">
        <f t="shared" si="6"/>
        <v>0</v>
      </c>
    </row>
    <row r="21" spans="1:26" ht="15" customHeight="1">
      <c r="A21" s="250"/>
      <c r="B21" s="251"/>
      <c r="C21" s="646"/>
      <c r="D21" s="526" t="s">
        <v>563</v>
      </c>
      <c r="E21" s="251"/>
      <c r="F21" s="252"/>
      <c r="G21" s="253"/>
      <c r="H21" s="254"/>
      <c r="I21" s="253"/>
      <c r="J21" s="253"/>
      <c r="K21" s="251"/>
      <c r="L21" s="255"/>
      <c r="M21" s="256"/>
      <c r="N21" s="257"/>
      <c r="O21" s="256"/>
      <c r="P21" s="257"/>
      <c r="Q21" s="256"/>
      <c r="R21" s="257"/>
      <c r="S21" s="258"/>
      <c r="T21" s="257"/>
      <c r="U21" s="256"/>
      <c r="V21" s="257"/>
      <c r="W21" s="258"/>
      <c r="X21" s="257"/>
      <c r="Y21" s="258"/>
      <c r="Z21" s="257"/>
    </row>
    <row r="22" spans="1:26" ht="15" customHeight="1">
      <c r="A22" s="250">
        <f>A20+1</f>
        <v>5</v>
      </c>
      <c r="B22" s="251"/>
      <c r="C22" s="646" t="s">
        <v>2226</v>
      </c>
      <c r="D22" s="526" t="s">
        <v>2104</v>
      </c>
      <c r="E22" s="251" t="s">
        <v>534</v>
      </c>
      <c r="F22" s="252">
        <f>M22+O22+Q22+S22+U22+W22+Y22</f>
        <v>38</v>
      </c>
      <c r="G22" s="253">
        <f t="shared" si="7"/>
        <v>47.04</v>
      </c>
      <c r="H22" s="254">
        <f>INT(F22*G22*100+0.5)/100</f>
        <v>1787.52</v>
      </c>
      <c r="I22" s="253">
        <f>N22+P22+R22+T22+V22+X22+Z22</f>
        <v>1787.52</v>
      </c>
      <c r="J22" s="253"/>
      <c r="K22" s="251" t="s">
        <v>534</v>
      </c>
      <c r="L22" s="255">
        <v>47.04</v>
      </c>
      <c r="M22" s="256">
        <v>9</v>
      </c>
      <c r="N22" s="257">
        <f t="shared" si="0"/>
        <v>423.36</v>
      </c>
      <c r="O22" s="256">
        <v>12</v>
      </c>
      <c r="P22" s="257">
        <f t="shared" si="1"/>
        <v>564.48</v>
      </c>
      <c r="Q22" s="256">
        <v>5</v>
      </c>
      <c r="R22" s="257">
        <f t="shared" si="2"/>
        <v>235.2</v>
      </c>
      <c r="S22" s="258">
        <v>0</v>
      </c>
      <c r="T22" s="257">
        <f t="shared" si="3"/>
        <v>0</v>
      </c>
      <c r="U22" s="256">
        <v>7</v>
      </c>
      <c r="V22" s="257">
        <f t="shared" si="4"/>
        <v>329.28</v>
      </c>
      <c r="W22" s="258">
        <v>5</v>
      </c>
      <c r="X22" s="257">
        <f t="shared" si="5"/>
        <v>235.2</v>
      </c>
      <c r="Y22" s="258">
        <v>0</v>
      </c>
      <c r="Z22" s="257">
        <f t="shared" si="6"/>
        <v>0</v>
      </c>
    </row>
    <row r="23" spans="1:26" ht="15" customHeight="1">
      <c r="A23" s="250">
        <f>A22+1</f>
        <v>6</v>
      </c>
      <c r="B23" s="251"/>
      <c r="C23" s="646" t="s">
        <v>2227</v>
      </c>
      <c r="D23" s="526" t="s">
        <v>1805</v>
      </c>
      <c r="E23" s="251" t="s">
        <v>534</v>
      </c>
      <c r="F23" s="252">
        <f>M23+O23+Q23+S23+U23+W23+Y23</f>
        <v>38</v>
      </c>
      <c r="G23" s="253">
        <f t="shared" si="7"/>
        <v>51.05</v>
      </c>
      <c r="H23" s="254">
        <f>INT(F23*G23*100+0.5)/100</f>
        <v>1939.9</v>
      </c>
      <c r="I23" s="253">
        <f>N23+P23+R23+T23+V23+X23+Z23</f>
        <v>1939.9</v>
      </c>
      <c r="J23" s="253"/>
      <c r="K23" s="251" t="s">
        <v>534</v>
      </c>
      <c r="L23" s="255">
        <v>51.05</v>
      </c>
      <c r="M23" s="256">
        <v>9</v>
      </c>
      <c r="N23" s="257">
        <f t="shared" si="0"/>
        <v>459.45</v>
      </c>
      <c r="O23" s="256">
        <v>12</v>
      </c>
      <c r="P23" s="257">
        <f t="shared" si="1"/>
        <v>612.6</v>
      </c>
      <c r="Q23" s="256">
        <v>5</v>
      </c>
      <c r="R23" s="257">
        <f t="shared" si="2"/>
        <v>255.25</v>
      </c>
      <c r="S23" s="258">
        <v>0</v>
      </c>
      <c r="T23" s="257">
        <f t="shared" si="3"/>
        <v>0</v>
      </c>
      <c r="U23" s="256">
        <v>7</v>
      </c>
      <c r="V23" s="257">
        <f t="shared" si="4"/>
        <v>357.35</v>
      </c>
      <c r="W23" s="258">
        <v>5</v>
      </c>
      <c r="X23" s="257">
        <f t="shared" si="5"/>
        <v>255.25</v>
      </c>
      <c r="Y23" s="258">
        <v>0</v>
      </c>
      <c r="Z23" s="257">
        <f t="shared" si="6"/>
        <v>0</v>
      </c>
    </row>
    <row r="24" spans="1:26" ht="15" customHeight="1">
      <c r="A24" s="250">
        <f>A22+1</f>
        <v>6</v>
      </c>
      <c r="B24" s="251"/>
      <c r="C24" s="646" t="s">
        <v>2228</v>
      </c>
      <c r="D24" s="526" t="s">
        <v>2103</v>
      </c>
      <c r="E24" s="251" t="s">
        <v>534</v>
      </c>
      <c r="F24" s="252">
        <f>M24+O24+Q24+S24+U24+W24+Y24</f>
        <v>38</v>
      </c>
      <c r="G24" s="253">
        <f t="shared" si="7"/>
        <v>53.89</v>
      </c>
      <c r="H24" s="254">
        <f>INT(F24*G24*100+0.5)/100</f>
        <v>2047.82</v>
      </c>
      <c r="I24" s="253">
        <f>N24+P24+R24+T24+V24+X24+Z24</f>
        <v>2047.8200000000002</v>
      </c>
      <c r="J24" s="253"/>
      <c r="K24" s="251" t="s">
        <v>534</v>
      </c>
      <c r="L24" s="255">
        <v>53.89</v>
      </c>
      <c r="M24" s="256">
        <v>9</v>
      </c>
      <c r="N24" s="257">
        <f t="shared" si="0"/>
        <v>485.01</v>
      </c>
      <c r="O24" s="256">
        <v>12</v>
      </c>
      <c r="P24" s="257">
        <f t="shared" si="1"/>
        <v>646.67999999999995</v>
      </c>
      <c r="Q24" s="256">
        <v>5</v>
      </c>
      <c r="R24" s="257">
        <f t="shared" si="2"/>
        <v>269.45</v>
      </c>
      <c r="S24" s="258">
        <v>0</v>
      </c>
      <c r="T24" s="257">
        <f t="shared" si="3"/>
        <v>0</v>
      </c>
      <c r="U24" s="256">
        <v>7</v>
      </c>
      <c r="V24" s="257">
        <f t="shared" si="4"/>
        <v>377.23</v>
      </c>
      <c r="W24" s="258">
        <v>5</v>
      </c>
      <c r="X24" s="257">
        <f t="shared" si="5"/>
        <v>269.45</v>
      </c>
      <c r="Y24" s="258">
        <v>0</v>
      </c>
      <c r="Z24" s="257">
        <f t="shared" si="6"/>
        <v>0</v>
      </c>
    </row>
    <row r="25" spans="1:26" ht="15">
      <c r="A25" s="250">
        <f>A24+1</f>
        <v>7</v>
      </c>
      <c r="B25" s="251"/>
      <c r="C25" s="646" t="s">
        <v>2229</v>
      </c>
      <c r="D25" s="526" t="s">
        <v>576</v>
      </c>
      <c r="E25" s="251" t="s">
        <v>534</v>
      </c>
      <c r="F25" s="252">
        <f>M25+O25+Q25+S25+U25+W25+Y25</f>
        <v>38</v>
      </c>
      <c r="G25" s="253">
        <f t="shared" si="7"/>
        <v>61.68</v>
      </c>
      <c r="H25" s="254">
        <f>INT(F25*G25*100+0.5)/100</f>
        <v>2343.84</v>
      </c>
      <c r="I25" s="253">
        <f>N25+P25+R25+T25+V25+X25+Z25</f>
        <v>2343.8399999999997</v>
      </c>
      <c r="J25" s="253"/>
      <c r="K25" s="251" t="s">
        <v>534</v>
      </c>
      <c r="L25" s="255">
        <v>61.68</v>
      </c>
      <c r="M25" s="258">
        <v>9</v>
      </c>
      <c r="N25" s="257">
        <f t="shared" si="0"/>
        <v>555.12</v>
      </c>
      <c r="O25" s="258">
        <v>12</v>
      </c>
      <c r="P25" s="257">
        <f t="shared" si="1"/>
        <v>740.16</v>
      </c>
      <c r="Q25" s="258">
        <v>5</v>
      </c>
      <c r="R25" s="257">
        <f t="shared" si="2"/>
        <v>308.39999999999998</v>
      </c>
      <c r="S25" s="258">
        <v>0</v>
      </c>
      <c r="T25" s="257">
        <f t="shared" si="3"/>
        <v>0</v>
      </c>
      <c r="U25" s="258">
        <v>7</v>
      </c>
      <c r="V25" s="257">
        <f t="shared" si="4"/>
        <v>431.76</v>
      </c>
      <c r="W25" s="258">
        <v>5</v>
      </c>
      <c r="X25" s="257">
        <f t="shared" si="5"/>
        <v>308.39999999999998</v>
      </c>
      <c r="Y25" s="258">
        <v>0</v>
      </c>
      <c r="Z25" s="257">
        <f t="shared" si="6"/>
        <v>0</v>
      </c>
    </row>
    <row r="26" spans="1:26" ht="15" customHeight="1">
      <c r="A26" s="250">
        <f>A25+1</f>
        <v>8</v>
      </c>
      <c r="B26" s="251"/>
      <c r="C26" s="646" t="s">
        <v>2230</v>
      </c>
      <c r="D26" s="526" t="s">
        <v>2265</v>
      </c>
      <c r="E26" s="251" t="s">
        <v>593</v>
      </c>
      <c r="F26" s="252">
        <f>M26+O26+Q26+S26+U26+W26+Y26</f>
        <v>0</v>
      </c>
      <c r="G26" s="253">
        <f t="shared" si="7"/>
        <v>26.6</v>
      </c>
      <c r="H26" s="254">
        <f>INT(F26*G26*100+0.5)/100</f>
        <v>0</v>
      </c>
      <c r="I26" s="253">
        <f>N26+P26+R26+T26+V26+X26+Z26</f>
        <v>0</v>
      </c>
      <c r="J26" s="253"/>
      <c r="K26" s="251" t="s">
        <v>593</v>
      </c>
      <c r="L26" s="255">
        <v>26.6</v>
      </c>
      <c r="M26" s="258">
        <v>0</v>
      </c>
      <c r="N26" s="257">
        <f t="shared" si="0"/>
        <v>0</v>
      </c>
      <c r="O26" s="258">
        <v>0</v>
      </c>
      <c r="P26" s="257">
        <f t="shared" si="1"/>
        <v>0</v>
      </c>
      <c r="Q26" s="258">
        <v>0</v>
      </c>
      <c r="R26" s="257">
        <f t="shared" si="2"/>
        <v>0</v>
      </c>
      <c r="S26" s="258">
        <v>0</v>
      </c>
      <c r="T26" s="257">
        <f t="shared" si="3"/>
        <v>0</v>
      </c>
      <c r="U26" s="258">
        <v>0</v>
      </c>
      <c r="V26" s="257">
        <f t="shared" si="4"/>
        <v>0</v>
      </c>
      <c r="W26" s="258">
        <v>0</v>
      </c>
      <c r="X26" s="257">
        <f t="shared" si="5"/>
        <v>0</v>
      </c>
      <c r="Y26" s="258">
        <v>0</v>
      </c>
      <c r="Z26" s="257">
        <f t="shared" si="6"/>
        <v>0</v>
      </c>
    </row>
    <row r="27" spans="1:26" ht="15" customHeight="1">
      <c r="A27" s="250"/>
      <c r="B27" s="251"/>
      <c r="C27" s="646"/>
      <c r="D27" s="526"/>
      <c r="E27" s="251"/>
      <c r="F27" s="252"/>
      <c r="G27" s="253"/>
      <c r="H27" s="254"/>
      <c r="I27" s="253"/>
      <c r="J27" s="253"/>
      <c r="K27" s="251"/>
      <c r="L27" s="255"/>
      <c r="M27" s="258"/>
      <c r="N27" s="257"/>
      <c r="O27" s="258"/>
      <c r="P27" s="257"/>
      <c r="Q27" s="258"/>
      <c r="R27" s="257"/>
      <c r="S27" s="258"/>
      <c r="T27" s="257"/>
      <c r="U27" s="258"/>
      <c r="V27" s="257"/>
      <c r="W27" s="258"/>
      <c r="X27" s="257"/>
      <c r="Y27" s="258"/>
      <c r="Z27" s="257"/>
    </row>
    <row r="28" spans="1:26" ht="25.5">
      <c r="A28" s="250">
        <f>A26+1</f>
        <v>9</v>
      </c>
      <c r="B28" s="251"/>
      <c r="C28" s="646" t="s">
        <v>2232</v>
      </c>
      <c r="D28" s="526" t="s">
        <v>2216</v>
      </c>
      <c r="E28" s="251" t="s">
        <v>534</v>
      </c>
      <c r="F28" s="252">
        <f>M28+O28+Q28+S28+U28+W28+Y28</f>
        <v>14</v>
      </c>
      <c r="G28" s="253">
        <f>L28</f>
        <v>53.34</v>
      </c>
      <c r="H28" s="254">
        <f>INT(F28*G28*100+0.5)/100</f>
        <v>746.76</v>
      </c>
      <c r="I28" s="253">
        <f>N28+P28+R28+T28+V28+X28+Z28</f>
        <v>746.76</v>
      </c>
      <c r="J28" s="253"/>
      <c r="K28" s="251" t="s">
        <v>534</v>
      </c>
      <c r="L28" s="255">
        <v>53.34</v>
      </c>
      <c r="M28" s="258">
        <v>3</v>
      </c>
      <c r="N28" s="257">
        <f>INT($L28*M28*100+0.5)/100</f>
        <v>160.02000000000001</v>
      </c>
      <c r="O28" s="258">
        <v>5</v>
      </c>
      <c r="P28" s="257">
        <f>INT($L28*O28*100+0.5)/100</f>
        <v>266.7</v>
      </c>
      <c r="Q28" s="258">
        <v>3</v>
      </c>
      <c r="R28" s="257">
        <f>INT($L28*Q28*100+0.5)/100</f>
        <v>160.02000000000001</v>
      </c>
      <c r="S28" s="258">
        <v>0</v>
      </c>
      <c r="T28" s="257">
        <f>INT($L28*S28*100+0.5)/100</f>
        <v>0</v>
      </c>
      <c r="U28" s="258">
        <v>3</v>
      </c>
      <c r="V28" s="257">
        <f>INT($L28*U28*100+0.5)/100</f>
        <v>160.02000000000001</v>
      </c>
      <c r="W28" s="258">
        <v>0</v>
      </c>
      <c r="X28" s="257">
        <f>INT($L28*W28*100+0.5)/100</f>
        <v>0</v>
      </c>
      <c r="Y28" s="258">
        <v>0</v>
      </c>
      <c r="Z28" s="257">
        <f>INT($L28*Y28*100+0.5)/100</f>
        <v>0</v>
      </c>
    </row>
    <row r="29" spans="1:26" ht="15" customHeight="1">
      <c r="A29" s="250">
        <f>A26+1</f>
        <v>9</v>
      </c>
      <c r="B29" s="251"/>
      <c r="C29" s="646" t="s">
        <v>2231</v>
      </c>
      <c r="D29" s="526" t="s">
        <v>1166</v>
      </c>
      <c r="E29" s="251" t="s">
        <v>534</v>
      </c>
      <c r="F29" s="252">
        <f>M29+O29+Q29+S29+U29+W29+Y29</f>
        <v>14</v>
      </c>
      <c r="G29" s="253">
        <f t="shared" si="7"/>
        <v>64.290000000000006</v>
      </c>
      <c r="H29" s="254">
        <f>INT(F29*G29*100+0.5)/100</f>
        <v>900.06</v>
      </c>
      <c r="I29" s="253">
        <f>N29+P29+R29+T29+V29+X29+Z29</f>
        <v>900.06</v>
      </c>
      <c r="J29" s="253"/>
      <c r="K29" s="251" t="s">
        <v>534</v>
      </c>
      <c r="L29" s="255">
        <v>64.290000000000006</v>
      </c>
      <c r="M29" s="258">
        <v>3</v>
      </c>
      <c r="N29" s="257">
        <f t="shared" si="0"/>
        <v>192.87</v>
      </c>
      <c r="O29" s="258">
        <v>5</v>
      </c>
      <c r="P29" s="257">
        <f t="shared" si="1"/>
        <v>321.45</v>
      </c>
      <c r="Q29" s="258">
        <v>3</v>
      </c>
      <c r="R29" s="257">
        <f t="shared" si="2"/>
        <v>192.87</v>
      </c>
      <c r="S29" s="258">
        <v>0</v>
      </c>
      <c r="T29" s="257">
        <f t="shared" si="3"/>
        <v>0</v>
      </c>
      <c r="U29" s="258">
        <v>3</v>
      </c>
      <c r="V29" s="257">
        <f t="shared" si="4"/>
        <v>192.87</v>
      </c>
      <c r="W29" s="258">
        <v>0</v>
      </c>
      <c r="X29" s="257">
        <f t="shared" si="5"/>
        <v>0</v>
      </c>
      <c r="Y29" s="258">
        <v>0</v>
      </c>
      <c r="Z29" s="257">
        <f t="shared" si="6"/>
        <v>0</v>
      </c>
    </row>
    <row r="30" spans="1:26" ht="15" customHeight="1">
      <c r="A30" s="250">
        <f>A29+1</f>
        <v>10</v>
      </c>
      <c r="B30" s="251"/>
      <c r="C30" s="646" t="s">
        <v>2233</v>
      </c>
      <c r="D30" s="526" t="s">
        <v>1442</v>
      </c>
      <c r="E30" s="251" t="s">
        <v>534</v>
      </c>
      <c r="F30" s="252">
        <f>M30+O30+Q30+S30+U30+W30+Y30</f>
        <v>14</v>
      </c>
      <c r="G30" s="253">
        <f t="shared" si="7"/>
        <v>70.13</v>
      </c>
      <c r="H30" s="254">
        <f>INT(F30*G30*100+0.5)/100</f>
        <v>981.82</v>
      </c>
      <c r="I30" s="253">
        <f>N30+P30+R30+T30+V30+X30+Z30</f>
        <v>981.81999999999994</v>
      </c>
      <c r="J30" s="253"/>
      <c r="K30" s="251" t="s">
        <v>534</v>
      </c>
      <c r="L30" s="255">
        <v>70.13</v>
      </c>
      <c r="M30" s="258">
        <v>3</v>
      </c>
      <c r="N30" s="257">
        <f t="shared" si="0"/>
        <v>210.39</v>
      </c>
      <c r="O30" s="258">
        <v>5</v>
      </c>
      <c r="P30" s="257">
        <f t="shared" si="1"/>
        <v>350.65</v>
      </c>
      <c r="Q30" s="258">
        <v>3</v>
      </c>
      <c r="R30" s="257">
        <f t="shared" si="2"/>
        <v>210.39</v>
      </c>
      <c r="S30" s="258">
        <v>0</v>
      </c>
      <c r="T30" s="257">
        <f t="shared" si="3"/>
        <v>0</v>
      </c>
      <c r="U30" s="258">
        <v>3</v>
      </c>
      <c r="V30" s="257">
        <f t="shared" si="4"/>
        <v>210.39</v>
      </c>
      <c r="W30" s="258">
        <v>0</v>
      </c>
      <c r="X30" s="257">
        <f t="shared" si="5"/>
        <v>0</v>
      </c>
      <c r="Y30" s="258">
        <v>0</v>
      </c>
      <c r="Z30" s="257">
        <f t="shared" si="6"/>
        <v>0</v>
      </c>
    </row>
    <row r="31" spans="1:26" ht="25.5">
      <c r="A31" s="250">
        <f>A30+1</f>
        <v>11</v>
      </c>
      <c r="B31" s="251"/>
      <c r="C31" s="646" t="s">
        <v>2214</v>
      </c>
      <c r="D31" s="526" t="s">
        <v>868</v>
      </c>
      <c r="E31" s="251" t="s">
        <v>534</v>
      </c>
      <c r="F31" s="252">
        <f>M31+O31+Q31+S31+U31+W31+Y31</f>
        <v>11</v>
      </c>
      <c r="G31" s="253">
        <f t="shared" si="7"/>
        <v>90.62</v>
      </c>
      <c r="H31" s="254">
        <f>INT(F31*G31*100+0.5)/100</f>
        <v>996.82</v>
      </c>
      <c r="I31" s="253">
        <f>N31+P31+R31+T31+V31+X31+Z31</f>
        <v>996.82</v>
      </c>
      <c r="J31" s="253"/>
      <c r="K31" s="251" t="s">
        <v>534</v>
      </c>
      <c r="L31" s="255">
        <v>90.62</v>
      </c>
      <c r="M31" s="258">
        <v>3</v>
      </c>
      <c r="N31" s="257">
        <f t="shared" si="0"/>
        <v>271.86</v>
      </c>
      <c r="O31" s="258">
        <v>5</v>
      </c>
      <c r="P31" s="257">
        <f t="shared" si="1"/>
        <v>453.1</v>
      </c>
      <c r="Q31" s="258">
        <v>3</v>
      </c>
      <c r="R31" s="257">
        <f t="shared" si="2"/>
        <v>271.86</v>
      </c>
      <c r="S31" s="258">
        <v>0</v>
      </c>
      <c r="T31" s="257">
        <f t="shared" si="3"/>
        <v>0</v>
      </c>
      <c r="U31" s="258">
        <v>0</v>
      </c>
      <c r="V31" s="257">
        <f t="shared" si="4"/>
        <v>0</v>
      </c>
      <c r="W31" s="258">
        <v>0</v>
      </c>
      <c r="X31" s="257">
        <f t="shared" si="5"/>
        <v>0</v>
      </c>
      <c r="Y31" s="258">
        <v>0</v>
      </c>
      <c r="Z31" s="257">
        <f t="shared" si="6"/>
        <v>0</v>
      </c>
    </row>
    <row r="32" spans="1:26" ht="15">
      <c r="A32" s="250"/>
      <c r="B32" s="251"/>
      <c r="C32" s="646"/>
      <c r="D32" s="526"/>
      <c r="E32" s="251"/>
      <c r="F32" s="252"/>
      <c r="G32" s="253"/>
      <c r="H32" s="254"/>
      <c r="I32" s="253"/>
      <c r="J32" s="253"/>
      <c r="K32" s="251"/>
      <c r="L32" s="255"/>
      <c r="M32" s="258"/>
      <c r="N32" s="257"/>
      <c r="O32" s="258"/>
      <c r="P32" s="257"/>
      <c r="Q32" s="258"/>
      <c r="R32" s="257"/>
      <c r="S32" s="258"/>
      <c r="T32" s="257"/>
      <c r="U32" s="258"/>
      <c r="V32" s="257"/>
      <c r="W32" s="258"/>
      <c r="X32" s="257"/>
      <c r="Y32" s="258"/>
      <c r="Z32" s="257"/>
    </row>
    <row r="33" spans="1:26" ht="25.5">
      <c r="A33" s="250">
        <f>A31+1</f>
        <v>12</v>
      </c>
      <c r="B33" s="251"/>
      <c r="C33" s="646" t="s">
        <v>2217</v>
      </c>
      <c r="D33" s="526" t="s">
        <v>2218</v>
      </c>
      <c r="E33" s="251" t="s">
        <v>534</v>
      </c>
      <c r="F33" s="252">
        <f>M33+O33+Q33+S33+U33+W33+Y33</f>
        <v>6</v>
      </c>
      <c r="G33" s="253">
        <f>L33</f>
        <v>48.78</v>
      </c>
      <c r="H33" s="254">
        <f>INT(F33*G33*100+0.5)/100</f>
        <v>292.68</v>
      </c>
      <c r="I33" s="253">
        <f>N33+P33+R33+T33+V33+X33+Z33</f>
        <v>292.68</v>
      </c>
      <c r="J33" s="253"/>
      <c r="K33" s="251" t="s">
        <v>534</v>
      </c>
      <c r="L33" s="255">
        <v>48.78</v>
      </c>
      <c r="M33" s="258">
        <v>0</v>
      </c>
      <c r="N33" s="257">
        <f>INT($L33*M33*100+0.5)/100</f>
        <v>0</v>
      </c>
      <c r="O33" s="258">
        <v>0</v>
      </c>
      <c r="P33" s="257">
        <f>INT($L33*O33*100+0.5)/100</f>
        <v>0</v>
      </c>
      <c r="Q33" s="258">
        <v>0</v>
      </c>
      <c r="R33" s="257">
        <f>INT($L33*Q33*100+0.5)/100</f>
        <v>0</v>
      </c>
      <c r="S33" s="258">
        <v>3</v>
      </c>
      <c r="T33" s="257">
        <f>INT($L33*S33*100+0.5)/100</f>
        <v>146.34</v>
      </c>
      <c r="U33" s="258">
        <v>3</v>
      </c>
      <c r="V33" s="257">
        <f>INT($L33*U33*100+0.5)/100</f>
        <v>146.34</v>
      </c>
      <c r="W33" s="258">
        <v>0</v>
      </c>
      <c r="X33" s="257">
        <f>INT($L33*W33*100+0.5)/100</f>
        <v>0</v>
      </c>
      <c r="Y33" s="258">
        <v>0</v>
      </c>
      <c r="Z33" s="257">
        <f>INT($L33*Y33*100+0.5)/100</f>
        <v>0</v>
      </c>
    </row>
    <row r="34" spans="1:26" ht="25.5">
      <c r="A34" s="250">
        <f>A33+1</f>
        <v>13</v>
      </c>
      <c r="B34" s="251"/>
      <c r="C34" s="646" t="s">
        <v>2220</v>
      </c>
      <c r="D34" s="526" t="s">
        <v>1443</v>
      </c>
      <c r="E34" s="251" t="s">
        <v>534</v>
      </c>
      <c r="F34" s="252">
        <f>M34+O34+Q34+S34+U34+W34+Y34</f>
        <v>11</v>
      </c>
      <c r="G34" s="253">
        <f t="shared" si="7"/>
        <v>55.27</v>
      </c>
      <c r="H34" s="254">
        <f>INT(F34*G34*100+0.5)/100</f>
        <v>607.97</v>
      </c>
      <c r="I34" s="253">
        <f>N34+P34+R34+T34+V34+X34+Z34</f>
        <v>607.97</v>
      </c>
      <c r="J34" s="253"/>
      <c r="K34" s="251" t="s">
        <v>534</v>
      </c>
      <c r="L34" s="255">
        <v>55.27</v>
      </c>
      <c r="M34" s="258">
        <v>3</v>
      </c>
      <c r="N34" s="257">
        <f t="shared" si="0"/>
        <v>165.81</v>
      </c>
      <c r="O34" s="258">
        <v>5</v>
      </c>
      <c r="P34" s="257">
        <f t="shared" si="1"/>
        <v>276.35000000000002</v>
      </c>
      <c r="Q34" s="258">
        <v>3</v>
      </c>
      <c r="R34" s="257">
        <f t="shared" si="2"/>
        <v>165.81</v>
      </c>
      <c r="S34" s="258">
        <v>0</v>
      </c>
      <c r="T34" s="257">
        <f t="shared" si="3"/>
        <v>0</v>
      </c>
      <c r="U34" s="258">
        <v>0</v>
      </c>
      <c r="V34" s="257">
        <f t="shared" si="4"/>
        <v>0</v>
      </c>
      <c r="W34" s="258">
        <v>0</v>
      </c>
      <c r="X34" s="257">
        <f t="shared" si="5"/>
        <v>0</v>
      </c>
      <c r="Y34" s="258">
        <v>0</v>
      </c>
      <c r="Z34" s="257">
        <f t="shared" si="6"/>
        <v>0</v>
      </c>
    </row>
    <row r="35" spans="1:26" ht="15" customHeight="1">
      <c r="A35" s="250"/>
      <c r="B35" s="251"/>
      <c r="C35" s="646"/>
      <c r="D35" s="526"/>
      <c r="E35" s="251"/>
      <c r="F35" s="252"/>
      <c r="G35" s="253"/>
      <c r="H35" s="254"/>
      <c r="I35" s="253"/>
      <c r="J35" s="253"/>
      <c r="K35" s="251"/>
      <c r="L35" s="255"/>
      <c r="M35" s="258"/>
      <c r="N35" s="257"/>
      <c r="O35" s="258"/>
      <c r="P35" s="257"/>
      <c r="Q35" s="258"/>
      <c r="R35" s="257"/>
      <c r="S35" s="258"/>
      <c r="T35" s="257"/>
      <c r="U35" s="258"/>
      <c r="V35" s="257"/>
      <c r="W35" s="258"/>
      <c r="X35" s="257"/>
      <c r="Y35" s="258"/>
      <c r="Z35" s="257"/>
    </row>
    <row r="36" spans="1:26" ht="25.5">
      <c r="A36" s="250">
        <f>A34+1</f>
        <v>14</v>
      </c>
      <c r="B36" s="251"/>
      <c r="C36" s="646" t="s">
        <v>2221</v>
      </c>
      <c r="D36" s="526" t="s">
        <v>2219</v>
      </c>
      <c r="E36" s="251" t="s">
        <v>534</v>
      </c>
      <c r="F36" s="252">
        <f>M36+O36+Q36+S36+U36+W36+Y36</f>
        <v>14</v>
      </c>
      <c r="G36" s="253">
        <f t="shared" si="7"/>
        <v>34.049999999999997</v>
      </c>
      <c r="H36" s="254">
        <f>INT(F36*G36*100+0.5)/100</f>
        <v>476.7</v>
      </c>
      <c r="I36" s="253">
        <f>N36+P36+R36+T36+V36+X36+Z36</f>
        <v>476.69999999999993</v>
      </c>
      <c r="J36" s="253"/>
      <c r="K36" s="251" t="s">
        <v>534</v>
      </c>
      <c r="L36" s="255">
        <v>34.049999999999997</v>
      </c>
      <c r="M36" s="258">
        <v>3</v>
      </c>
      <c r="N36" s="257">
        <f t="shared" si="0"/>
        <v>102.15</v>
      </c>
      <c r="O36" s="258">
        <v>5</v>
      </c>
      <c r="P36" s="257">
        <f t="shared" si="1"/>
        <v>170.25</v>
      </c>
      <c r="Q36" s="258">
        <v>3</v>
      </c>
      <c r="R36" s="257">
        <f t="shared" si="2"/>
        <v>102.15</v>
      </c>
      <c r="S36" s="258">
        <v>0</v>
      </c>
      <c r="T36" s="257">
        <f t="shared" si="3"/>
        <v>0</v>
      </c>
      <c r="U36" s="258">
        <v>3</v>
      </c>
      <c r="V36" s="257">
        <f t="shared" si="4"/>
        <v>102.15</v>
      </c>
      <c r="W36" s="258">
        <v>0</v>
      </c>
      <c r="X36" s="257">
        <f t="shared" si="5"/>
        <v>0</v>
      </c>
      <c r="Y36" s="258">
        <v>0</v>
      </c>
      <c r="Z36" s="257">
        <f t="shared" si="6"/>
        <v>0</v>
      </c>
    </row>
    <row r="37" spans="1:26" ht="25.5">
      <c r="A37" s="250">
        <f>A36+1</f>
        <v>15</v>
      </c>
      <c r="B37" s="251"/>
      <c r="C37" s="646" t="s">
        <v>2222</v>
      </c>
      <c r="D37" s="526" t="s">
        <v>2223</v>
      </c>
      <c r="E37" s="251" t="s">
        <v>534</v>
      </c>
      <c r="F37" s="252">
        <f>M37+O37+Q37+S37+U37+W37+Y37</f>
        <v>14</v>
      </c>
      <c r="G37" s="253">
        <f t="shared" si="7"/>
        <v>59.56</v>
      </c>
      <c r="H37" s="254">
        <f>INT(F37*G37*100+0.5)/100</f>
        <v>833.84</v>
      </c>
      <c r="I37" s="253">
        <f>N37+P37+R37+T37+V37+X37+Z37</f>
        <v>833.84000000000015</v>
      </c>
      <c r="J37" s="253"/>
      <c r="K37" s="251" t="s">
        <v>534</v>
      </c>
      <c r="L37" s="255">
        <v>59.56</v>
      </c>
      <c r="M37" s="258">
        <v>3</v>
      </c>
      <c r="N37" s="257">
        <f t="shared" si="0"/>
        <v>178.68</v>
      </c>
      <c r="O37" s="258">
        <v>5</v>
      </c>
      <c r="P37" s="257">
        <f t="shared" si="1"/>
        <v>297.8</v>
      </c>
      <c r="Q37" s="258">
        <v>3</v>
      </c>
      <c r="R37" s="257">
        <f t="shared" si="2"/>
        <v>178.68</v>
      </c>
      <c r="S37" s="258">
        <v>0</v>
      </c>
      <c r="T37" s="257">
        <f t="shared" si="3"/>
        <v>0</v>
      </c>
      <c r="U37" s="258">
        <v>3</v>
      </c>
      <c r="V37" s="257">
        <f t="shared" si="4"/>
        <v>178.68</v>
      </c>
      <c r="W37" s="258">
        <v>0</v>
      </c>
      <c r="X37" s="257">
        <f t="shared" si="5"/>
        <v>0</v>
      </c>
      <c r="Y37" s="258">
        <v>0</v>
      </c>
      <c r="Z37" s="257">
        <f t="shared" si="6"/>
        <v>0</v>
      </c>
    </row>
    <row r="38" spans="1:26" ht="25.5">
      <c r="A38" s="250">
        <f>A37+1</f>
        <v>16</v>
      </c>
      <c r="B38" s="251"/>
      <c r="C38" s="646" t="s">
        <v>2224</v>
      </c>
      <c r="D38" s="526" t="s">
        <v>2225</v>
      </c>
      <c r="E38" s="251" t="s">
        <v>534</v>
      </c>
      <c r="F38" s="252">
        <f>M38+O38+Q38+S38+U38+W38+Y38</f>
        <v>16</v>
      </c>
      <c r="G38" s="253">
        <f>L38</f>
        <v>60.53</v>
      </c>
      <c r="H38" s="254">
        <f>INT(F38*G38*100+0.5)/100</f>
        <v>968.48</v>
      </c>
      <c r="I38" s="253">
        <f>N38+P38+R38+T38+V38+X38+Z38</f>
        <v>968.48</v>
      </c>
      <c r="J38" s="253"/>
      <c r="K38" s="251" t="s">
        <v>534</v>
      </c>
      <c r="L38" s="255">
        <v>60.53</v>
      </c>
      <c r="M38" s="258">
        <v>5</v>
      </c>
      <c r="N38" s="257">
        <f>INT($L38*M38*100+0.5)/100</f>
        <v>302.64999999999998</v>
      </c>
      <c r="O38" s="258">
        <v>5</v>
      </c>
      <c r="P38" s="257">
        <f>INT($L38*O38*100+0.5)/100</f>
        <v>302.64999999999998</v>
      </c>
      <c r="Q38" s="258">
        <v>3</v>
      </c>
      <c r="R38" s="257">
        <f>INT($L38*Q38*100+0.5)/100</f>
        <v>181.59</v>
      </c>
      <c r="S38" s="258">
        <v>0</v>
      </c>
      <c r="T38" s="257">
        <f>INT($L38*S38*100+0.5)/100</f>
        <v>0</v>
      </c>
      <c r="U38" s="258">
        <v>3</v>
      </c>
      <c r="V38" s="257">
        <f>INT($L38*U38*100+0.5)/100</f>
        <v>181.59</v>
      </c>
      <c r="W38" s="258">
        <v>0</v>
      </c>
      <c r="X38" s="257">
        <f>INT($L38*W38*100+0.5)/100</f>
        <v>0</v>
      </c>
      <c r="Y38" s="258">
        <v>0</v>
      </c>
      <c r="Z38" s="257">
        <f>INT($L38*Y38*100+0.5)/100</f>
        <v>0</v>
      </c>
    </row>
    <row r="39" spans="1:26" ht="15" customHeight="1">
      <c r="A39" s="250"/>
      <c r="B39" s="251"/>
      <c r="C39" s="526"/>
      <c r="D39" s="526"/>
      <c r="E39" s="251"/>
      <c r="F39" s="252"/>
      <c r="G39" s="253"/>
      <c r="H39" s="254"/>
      <c r="I39" s="253"/>
      <c r="J39" s="253"/>
      <c r="K39" s="251"/>
      <c r="L39" s="255"/>
      <c r="M39" s="258"/>
      <c r="N39" s="257"/>
      <c r="O39" s="258"/>
      <c r="P39" s="257"/>
      <c r="Q39" s="258"/>
      <c r="R39" s="257"/>
      <c r="S39" s="258"/>
      <c r="T39" s="257"/>
      <c r="U39" s="258"/>
      <c r="V39" s="257"/>
      <c r="W39" s="258"/>
      <c r="X39" s="257"/>
      <c r="Y39" s="258"/>
      <c r="Z39" s="257"/>
    </row>
    <row r="40" spans="1:26" ht="25.5">
      <c r="A40" s="250">
        <f>A38+1</f>
        <v>17</v>
      </c>
      <c r="B40" s="251"/>
      <c r="C40" s="646" t="s">
        <v>2234</v>
      </c>
      <c r="D40" s="526" t="s">
        <v>1167</v>
      </c>
      <c r="E40" s="251" t="s">
        <v>534</v>
      </c>
      <c r="F40" s="252">
        <f>M40+O40+Q40+S40+U40+W40+Y40</f>
        <v>14</v>
      </c>
      <c r="G40" s="253">
        <f t="shared" si="7"/>
        <v>4.2300000000000004</v>
      </c>
      <c r="H40" s="254">
        <f>INT(F40*G40*100+0.5)/100</f>
        <v>59.22</v>
      </c>
      <c r="I40" s="253">
        <f>N40+P40+R40+T40+V40+X40+Z40</f>
        <v>59.219999999999992</v>
      </c>
      <c r="J40" s="253"/>
      <c r="K40" s="251" t="s">
        <v>534</v>
      </c>
      <c r="L40" s="255">
        <v>4.2300000000000004</v>
      </c>
      <c r="M40" s="258">
        <v>3</v>
      </c>
      <c r="N40" s="257">
        <f t="shared" si="0"/>
        <v>12.69</v>
      </c>
      <c r="O40" s="258">
        <v>5</v>
      </c>
      <c r="P40" s="257">
        <f t="shared" si="1"/>
        <v>21.15</v>
      </c>
      <c r="Q40" s="258">
        <v>3</v>
      </c>
      <c r="R40" s="257">
        <f t="shared" si="2"/>
        <v>12.69</v>
      </c>
      <c r="S40" s="258">
        <v>0</v>
      </c>
      <c r="T40" s="257">
        <f t="shared" si="3"/>
        <v>0</v>
      </c>
      <c r="U40" s="258">
        <v>3</v>
      </c>
      <c r="V40" s="257">
        <f t="shared" si="4"/>
        <v>12.69</v>
      </c>
      <c r="W40" s="258">
        <v>0</v>
      </c>
      <c r="X40" s="257">
        <f t="shared" si="5"/>
        <v>0</v>
      </c>
      <c r="Y40" s="258">
        <v>0</v>
      </c>
      <c r="Z40" s="257">
        <f t="shared" si="6"/>
        <v>0</v>
      </c>
    </row>
    <row r="41" spans="1:26" ht="25.5">
      <c r="A41" s="250">
        <f>A40+1</f>
        <v>18</v>
      </c>
      <c r="B41" s="251"/>
      <c r="C41" s="646" t="s">
        <v>2235</v>
      </c>
      <c r="D41" s="526" t="s">
        <v>2236</v>
      </c>
      <c r="E41" s="251" t="s">
        <v>534</v>
      </c>
      <c r="F41" s="252">
        <f>M41+O41+Q41+S41+U41+W41+Y41</f>
        <v>14</v>
      </c>
      <c r="G41" s="253">
        <f>L41</f>
        <v>5.79</v>
      </c>
      <c r="H41" s="254">
        <f>INT(F41*G41*100+0.5)/100</f>
        <v>81.06</v>
      </c>
      <c r="I41" s="253">
        <f>N41+P41+R41+T41+V41+X41+Z41</f>
        <v>81.06</v>
      </c>
      <c r="J41" s="253"/>
      <c r="K41" s="251" t="s">
        <v>534</v>
      </c>
      <c r="L41" s="255">
        <v>5.79</v>
      </c>
      <c r="M41" s="258">
        <v>3</v>
      </c>
      <c r="N41" s="257">
        <f>INT($L41*M41*100+0.5)/100</f>
        <v>17.37</v>
      </c>
      <c r="O41" s="258">
        <v>5</v>
      </c>
      <c r="P41" s="257">
        <f>INT($L41*O41*100+0.5)/100</f>
        <v>28.95</v>
      </c>
      <c r="Q41" s="258">
        <v>3</v>
      </c>
      <c r="R41" s="257">
        <f>INT($L41*Q41*100+0.5)/100</f>
        <v>17.37</v>
      </c>
      <c r="S41" s="258">
        <v>0</v>
      </c>
      <c r="T41" s="257">
        <f>INT($L41*S41*100+0.5)/100</f>
        <v>0</v>
      </c>
      <c r="U41" s="258">
        <v>3</v>
      </c>
      <c r="V41" s="257">
        <f>INT($L41*U41*100+0.5)/100</f>
        <v>17.37</v>
      </c>
      <c r="W41" s="258">
        <v>0</v>
      </c>
      <c r="X41" s="257">
        <f>INT($L41*W41*100+0.5)/100</f>
        <v>0</v>
      </c>
      <c r="Y41" s="258">
        <v>0</v>
      </c>
      <c r="Z41" s="257">
        <f>INT($L41*Y41*100+0.5)/100</f>
        <v>0</v>
      </c>
    </row>
    <row r="42" spans="1:26" ht="15">
      <c r="A42" s="250"/>
      <c r="B42" s="251"/>
      <c r="C42" s="526"/>
      <c r="D42" s="526"/>
      <c r="E42" s="251"/>
      <c r="F42" s="252"/>
      <c r="G42" s="253"/>
      <c r="H42" s="254"/>
      <c r="I42" s="253"/>
      <c r="J42" s="253"/>
      <c r="K42" s="251"/>
      <c r="L42" s="262"/>
      <c r="M42" s="258"/>
      <c r="N42" s="257"/>
      <c r="O42" s="258"/>
      <c r="P42" s="257"/>
      <c r="Q42" s="258"/>
      <c r="R42" s="257"/>
      <c r="S42" s="258"/>
      <c r="T42" s="257"/>
      <c r="U42" s="258"/>
      <c r="V42" s="257"/>
      <c r="W42" s="258"/>
      <c r="X42" s="257"/>
      <c r="Y42" s="258"/>
      <c r="Z42" s="257"/>
    </row>
    <row r="43" spans="1:26" ht="25.5">
      <c r="A43" s="250">
        <f>A41+1</f>
        <v>19</v>
      </c>
      <c r="B43" s="251"/>
      <c r="C43" s="646" t="s">
        <v>2237</v>
      </c>
      <c r="D43" s="526" t="s">
        <v>2140</v>
      </c>
      <c r="E43" s="251" t="s">
        <v>534</v>
      </c>
      <c r="F43" s="252">
        <f>M43+O43+Q43+S43+U43+W43+Y43</f>
        <v>25</v>
      </c>
      <c r="G43" s="253">
        <f t="shared" si="7"/>
        <v>13.97</v>
      </c>
      <c r="H43" s="254">
        <f>INT(F43*G43*100+0.5)/100</f>
        <v>349.25</v>
      </c>
      <c r="I43" s="253">
        <f>N43+P43+R43+T43+V43+X43+Z43</f>
        <v>349.25</v>
      </c>
      <c r="J43" s="253"/>
      <c r="K43" s="251" t="s">
        <v>534</v>
      </c>
      <c r="L43" s="255">
        <v>13.97</v>
      </c>
      <c r="M43" s="258">
        <v>7</v>
      </c>
      <c r="N43" s="257">
        <f t="shared" si="0"/>
        <v>97.79</v>
      </c>
      <c r="O43" s="258">
        <v>8</v>
      </c>
      <c r="P43" s="257">
        <f t="shared" si="1"/>
        <v>111.76</v>
      </c>
      <c r="Q43" s="258">
        <v>5</v>
      </c>
      <c r="R43" s="257">
        <f t="shared" si="2"/>
        <v>69.849999999999994</v>
      </c>
      <c r="S43" s="258">
        <v>0</v>
      </c>
      <c r="T43" s="257">
        <f t="shared" si="3"/>
        <v>0</v>
      </c>
      <c r="U43" s="258">
        <v>5</v>
      </c>
      <c r="V43" s="257">
        <f t="shared" si="4"/>
        <v>69.849999999999994</v>
      </c>
      <c r="W43" s="258">
        <v>0</v>
      </c>
      <c r="X43" s="257">
        <f t="shared" si="5"/>
        <v>0</v>
      </c>
      <c r="Y43" s="258">
        <v>0</v>
      </c>
      <c r="Z43" s="257">
        <f t="shared" si="6"/>
        <v>0</v>
      </c>
    </row>
    <row r="44" spans="1:26" ht="25.5">
      <c r="A44" s="250">
        <f>A43+1</f>
        <v>20</v>
      </c>
      <c r="B44" s="251"/>
      <c r="C44" s="646" t="s">
        <v>2238</v>
      </c>
      <c r="D44" s="526" t="s">
        <v>1168</v>
      </c>
      <c r="E44" s="251" t="s">
        <v>534</v>
      </c>
      <c r="F44" s="252">
        <f>M44+O44+Q44+S44+U44+W44+Y44</f>
        <v>25</v>
      </c>
      <c r="G44" s="253">
        <f t="shared" si="7"/>
        <v>17.32</v>
      </c>
      <c r="H44" s="254">
        <f>INT(F44*G44*100+0.5)/100</f>
        <v>433</v>
      </c>
      <c r="I44" s="253">
        <f>N44+P44+R44+T44+V44+X44+Z44</f>
        <v>433</v>
      </c>
      <c r="J44" s="253"/>
      <c r="K44" s="251" t="s">
        <v>534</v>
      </c>
      <c r="L44" s="255">
        <v>17.32</v>
      </c>
      <c r="M44" s="258">
        <v>7</v>
      </c>
      <c r="N44" s="257">
        <f t="shared" si="0"/>
        <v>121.24</v>
      </c>
      <c r="O44" s="258">
        <v>8</v>
      </c>
      <c r="P44" s="257">
        <f t="shared" si="1"/>
        <v>138.56</v>
      </c>
      <c r="Q44" s="258">
        <v>5</v>
      </c>
      <c r="R44" s="257">
        <f t="shared" si="2"/>
        <v>86.6</v>
      </c>
      <c r="S44" s="258">
        <v>0</v>
      </c>
      <c r="T44" s="257">
        <f t="shared" si="3"/>
        <v>0</v>
      </c>
      <c r="U44" s="258">
        <v>5</v>
      </c>
      <c r="V44" s="257">
        <f t="shared" si="4"/>
        <v>86.6</v>
      </c>
      <c r="W44" s="258">
        <v>0</v>
      </c>
      <c r="X44" s="257">
        <f t="shared" si="5"/>
        <v>0</v>
      </c>
      <c r="Y44" s="258">
        <v>0</v>
      </c>
      <c r="Z44" s="257">
        <f t="shared" si="6"/>
        <v>0</v>
      </c>
    </row>
    <row r="45" spans="1:26" ht="38.25">
      <c r="A45" s="250">
        <f>A44+1</f>
        <v>21</v>
      </c>
      <c r="B45" s="251"/>
      <c r="C45" s="646" t="s">
        <v>2239</v>
      </c>
      <c r="D45" s="526" t="s">
        <v>554</v>
      </c>
      <c r="E45" s="251" t="s">
        <v>534</v>
      </c>
      <c r="F45" s="252">
        <f>M45+O45+Q45+S45+U45+W45+Y45</f>
        <v>25</v>
      </c>
      <c r="G45" s="253">
        <f t="shared" si="7"/>
        <v>7.83</v>
      </c>
      <c r="H45" s="254">
        <f>INT(F45*G45*100+0.5)/100</f>
        <v>195.75</v>
      </c>
      <c r="I45" s="253">
        <f>N45+P45+R45+T45+V45+X45+Z45</f>
        <v>195.75</v>
      </c>
      <c r="J45" s="253"/>
      <c r="K45" s="251" t="s">
        <v>534</v>
      </c>
      <c r="L45" s="255">
        <v>7.83</v>
      </c>
      <c r="M45" s="258">
        <v>7</v>
      </c>
      <c r="N45" s="257">
        <f t="shared" si="0"/>
        <v>54.81</v>
      </c>
      <c r="O45" s="258">
        <v>8</v>
      </c>
      <c r="P45" s="257">
        <f t="shared" si="1"/>
        <v>62.64</v>
      </c>
      <c r="Q45" s="258">
        <v>5</v>
      </c>
      <c r="R45" s="257">
        <f t="shared" si="2"/>
        <v>39.15</v>
      </c>
      <c r="S45" s="258">
        <v>0</v>
      </c>
      <c r="T45" s="257">
        <f t="shared" si="3"/>
        <v>0</v>
      </c>
      <c r="U45" s="258">
        <v>5</v>
      </c>
      <c r="V45" s="257">
        <f t="shared" si="4"/>
        <v>39.15</v>
      </c>
      <c r="W45" s="258">
        <v>0</v>
      </c>
      <c r="X45" s="257">
        <f t="shared" si="5"/>
        <v>0</v>
      </c>
      <c r="Y45" s="258">
        <v>0</v>
      </c>
      <c r="Z45" s="257">
        <f t="shared" si="6"/>
        <v>0</v>
      </c>
    </row>
    <row r="46" spans="1:26" ht="25.5">
      <c r="A46" s="250">
        <f>A45+1</f>
        <v>22</v>
      </c>
      <c r="B46" s="251"/>
      <c r="C46" s="646" t="s">
        <v>2240</v>
      </c>
      <c r="D46" s="526" t="s">
        <v>1312</v>
      </c>
      <c r="E46" s="251" t="s">
        <v>534</v>
      </c>
      <c r="F46" s="252">
        <f>M46+O46+Q46+S46+U46+W46+Y46</f>
        <v>18</v>
      </c>
      <c r="G46" s="253">
        <f t="shared" si="7"/>
        <v>10.78</v>
      </c>
      <c r="H46" s="254">
        <f>INT(F46*G46*100+0.5)/100</f>
        <v>194.04</v>
      </c>
      <c r="I46" s="253">
        <f>N46+P46+R46+T46+V46+X46+Z46</f>
        <v>194.04</v>
      </c>
      <c r="J46" s="253"/>
      <c r="K46" s="251" t="s">
        <v>534</v>
      </c>
      <c r="L46" s="255">
        <v>10.78</v>
      </c>
      <c r="M46" s="258">
        <v>5</v>
      </c>
      <c r="N46" s="257">
        <f t="shared" si="0"/>
        <v>53.9</v>
      </c>
      <c r="O46" s="258">
        <v>8</v>
      </c>
      <c r="P46" s="257">
        <f t="shared" si="1"/>
        <v>86.24</v>
      </c>
      <c r="Q46" s="258">
        <v>0</v>
      </c>
      <c r="R46" s="257">
        <f t="shared" si="2"/>
        <v>0</v>
      </c>
      <c r="S46" s="258">
        <v>0</v>
      </c>
      <c r="T46" s="257">
        <f t="shared" si="3"/>
        <v>0</v>
      </c>
      <c r="U46" s="258">
        <v>5</v>
      </c>
      <c r="V46" s="257">
        <f t="shared" si="4"/>
        <v>53.9</v>
      </c>
      <c r="W46" s="258">
        <v>0</v>
      </c>
      <c r="X46" s="257">
        <f t="shared" si="5"/>
        <v>0</v>
      </c>
      <c r="Y46" s="258">
        <v>0</v>
      </c>
      <c r="Z46" s="257">
        <f t="shared" si="6"/>
        <v>0</v>
      </c>
    </row>
    <row r="47" spans="1:26" ht="38.25">
      <c r="A47" s="250">
        <f>A46+1</f>
        <v>23</v>
      </c>
      <c r="B47" s="251"/>
      <c r="C47" s="646" t="s">
        <v>2241</v>
      </c>
      <c r="D47" s="526" t="s">
        <v>1313</v>
      </c>
      <c r="E47" s="251" t="s">
        <v>534</v>
      </c>
      <c r="F47" s="252">
        <f>M47+O47+Q47+S47+U47+W47+Y47</f>
        <v>23</v>
      </c>
      <c r="G47" s="253">
        <f t="shared" si="7"/>
        <v>24.41</v>
      </c>
      <c r="H47" s="254">
        <f>INT(F47*G47*100+0.5)/100</f>
        <v>561.42999999999995</v>
      </c>
      <c r="I47" s="253">
        <f>N47+P47+R47+T47+V47+X47+Z47</f>
        <v>561.42999999999995</v>
      </c>
      <c r="J47" s="253"/>
      <c r="K47" s="251" t="s">
        <v>534</v>
      </c>
      <c r="L47" s="255">
        <v>24.41</v>
      </c>
      <c r="M47" s="258">
        <v>5</v>
      </c>
      <c r="N47" s="257">
        <f t="shared" si="0"/>
        <v>122.05</v>
      </c>
      <c r="O47" s="258">
        <v>8</v>
      </c>
      <c r="P47" s="257">
        <f t="shared" si="1"/>
        <v>195.28</v>
      </c>
      <c r="Q47" s="258">
        <v>5</v>
      </c>
      <c r="R47" s="257">
        <f t="shared" si="2"/>
        <v>122.05</v>
      </c>
      <c r="S47" s="258">
        <v>0</v>
      </c>
      <c r="T47" s="257">
        <f t="shared" si="3"/>
        <v>0</v>
      </c>
      <c r="U47" s="258">
        <v>5</v>
      </c>
      <c r="V47" s="257">
        <f t="shared" si="4"/>
        <v>122.05</v>
      </c>
      <c r="W47" s="258">
        <v>0</v>
      </c>
      <c r="X47" s="257">
        <f t="shared" si="5"/>
        <v>0</v>
      </c>
      <c r="Y47" s="258">
        <v>0</v>
      </c>
      <c r="Z47" s="257">
        <f t="shared" si="6"/>
        <v>0</v>
      </c>
    </row>
    <row r="48" spans="1:26" ht="15">
      <c r="A48" s="250"/>
      <c r="B48" s="251"/>
      <c r="C48" s="646"/>
      <c r="D48" s="526"/>
      <c r="E48" s="251"/>
      <c r="F48" s="252"/>
      <c r="G48" s="253"/>
      <c r="H48" s="254"/>
      <c r="I48" s="253"/>
      <c r="J48" s="253"/>
      <c r="K48" s="251"/>
      <c r="L48" s="255"/>
      <c r="M48" s="258"/>
      <c r="N48" s="257"/>
      <c r="O48" s="258"/>
      <c r="P48" s="257"/>
      <c r="Q48" s="258"/>
      <c r="R48" s="257"/>
      <c r="S48" s="258"/>
      <c r="T48" s="257"/>
      <c r="U48" s="258"/>
      <c r="V48" s="257"/>
      <c r="W48" s="258"/>
      <c r="X48" s="257"/>
      <c r="Y48" s="258"/>
      <c r="Z48" s="257"/>
    </row>
    <row r="49" spans="1:26" ht="25.5">
      <c r="A49" s="250">
        <f>A47+1</f>
        <v>24</v>
      </c>
      <c r="B49" s="251"/>
      <c r="C49" s="646" t="s">
        <v>2242</v>
      </c>
      <c r="D49" s="526" t="s">
        <v>2245</v>
      </c>
      <c r="E49" s="251" t="s">
        <v>534</v>
      </c>
      <c r="F49" s="252">
        <f>M49+O49+Q49+S49+U49+W49+Y49</f>
        <v>23</v>
      </c>
      <c r="G49" s="253">
        <f t="shared" si="7"/>
        <v>2.54</v>
      </c>
      <c r="H49" s="254">
        <f>INT(F49*G49*100+0.5)/100</f>
        <v>58.42</v>
      </c>
      <c r="I49" s="253">
        <f>N49+P49+R49+T49+V49+X49+Z49</f>
        <v>58.42</v>
      </c>
      <c r="J49" s="253"/>
      <c r="K49" s="251" t="s">
        <v>534</v>
      </c>
      <c r="L49" s="255">
        <v>2.54</v>
      </c>
      <c r="M49" s="258">
        <v>5</v>
      </c>
      <c r="N49" s="257">
        <f t="shared" si="0"/>
        <v>12.7</v>
      </c>
      <c r="O49" s="258">
        <v>8</v>
      </c>
      <c r="P49" s="257">
        <f t="shared" si="1"/>
        <v>20.32</v>
      </c>
      <c r="Q49" s="258">
        <v>5</v>
      </c>
      <c r="R49" s="257">
        <f t="shared" si="2"/>
        <v>12.7</v>
      </c>
      <c r="S49" s="258">
        <v>0</v>
      </c>
      <c r="T49" s="257">
        <f t="shared" si="3"/>
        <v>0</v>
      </c>
      <c r="U49" s="258">
        <v>5</v>
      </c>
      <c r="V49" s="257">
        <f t="shared" si="4"/>
        <v>12.7</v>
      </c>
      <c r="W49" s="258">
        <v>0</v>
      </c>
      <c r="X49" s="257">
        <f t="shared" si="5"/>
        <v>0</v>
      </c>
      <c r="Y49" s="258">
        <v>0</v>
      </c>
      <c r="Z49" s="257">
        <f t="shared" si="6"/>
        <v>0</v>
      </c>
    </row>
    <row r="50" spans="1:26" ht="15">
      <c r="A50" s="250">
        <f>A49+1</f>
        <v>25</v>
      </c>
      <c r="B50" s="251"/>
      <c r="C50" s="646" t="s">
        <v>2243</v>
      </c>
      <c r="D50" s="526" t="s">
        <v>2244</v>
      </c>
      <c r="E50" s="251" t="s">
        <v>534</v>
      </c>
      <c r="F50" s="252">
        <f>M50+O50+Q50+S50+U50+W50+Y50</f>
        <v>23</v>
      </c>
      <c r="G50" s="253">
        <f>L50</f>
        <v>59.21</v>
      </c>
      <c r="H50" s="254">
        <f>INT(F50*G50*100+0.5)/100</f>
        <v>1361.83</v>
      </c>
      <c r="I50" s="253">
        <f>N50+P50+R50+T50+V50+X50+Z50</f>
        <v>1361.83</v>
      </c>
      <c r="J50" s="253"/>
      <c r="K50" s="251" t="s">
        <v>534</v>
      </c>
      <c r="L50" s="255">
        <v>59.21</v>
      </c>
      <c r="M50" s="258">
        <v>5</v>
      </c>
      <c r="N50" s="257">
        <f>INT($L50*M50*100+0.5)/100</f>
        <v>296.05</v>
      </c>
      <c r="O50" s="258">
        <v>8</v>
      </c>
      <c r="P50" s="257">
        <f>INT($L50*O50*100+0.5)/100</f>
        <v>473.68</v>
      </c>
      <c r="Q50" s="258">
        <v>5</v>
      </c>
      <c r="R50" s="257">
        <f>INT($L50*Q50*100+0.5)/100</f>
        <v>296.05</v>
      </c>
      <c r="S50" s="258">
        <v>0</v>
      </c>
      <c r="T50" s="257">
        <f>INT($L50*S50*100+0.5)/100</f>
        <v>0</v>
      </c>
      <c r="U50" s="258">
        <v>5</v>
      </c>
      <c r="V50" s="257">
        <f>INT($L50*U50*100+0.5)/100</f>
        <v>296.05</v>
      </c>
      <c r="W50" s="258">
        <v>0</v>
      </c>
      <c r="X50" s="257">
        <f>INT($L50*W50*100+0.5)/100</f>
        <v>0</v>
      </c>
      <c r="Y50" s="258">
        <v>0</v>
      </c>
      <c r="Z50" s="257">
        <f>INT($L50*Y50*100+0.5)/100</f>
        <v>0</v>
      </c>
    </row>
    <row r="51" spans="1:26" ht="15" customHeight="1">
      <c r="A51" s="250"/>
      <c r="B51" s="251"/>
      <c r="C51" s="526"/>
      <c r="D51" s="526"/>
      <c r="E51" s="251"/>
      <c r="F51" s="252"/>
      <c r="G51" s="253"/>
      <c r="H51" s="254"/>
      <c r="I51" s="253"/>
      <c r="J51" s="253"/>
      <c r="K51" s="251"/>
      <c r="L51" s="255"/>
      <c r="M51" s="258"/>
      <c r="N51" s="257"/>
      <c r="O51" s="258"/>
      <c r="P51" s="257"/>
      <c r="Q51" s="258"/>
      <c r="R51" s="257"/>
      <c r="S51" s="258"/>
      <c r="T51" s="257"/>
      <c r="U51" s="258"/>
      <c r="V51" s="257"/>
      <c r="W51" s="258"/>
      <c r="X51" s="257"/>
      <c r="Y51" s="258"/>
      <c r="Z51" s="257"/>
    </row>
    <row r="52" spans="1:26" ht="25.5">
      <c r="A52" s="250">
        <f>A50+1</f>
        <v>26</v>
      </c>
      <c r="B52" s="251"/>
      <c r="C52" s="646" t="s">
        <v>2246</v>
      </c>
      <c r="D52" s="526" t="s">
        <v>302</v>
      </c>
      <c r="E52" s="251" t="s">
        <v>534</v>
      </c>
      <c r="F52" s="252">
        <f>M52+O52+Q52+S52+U52+W52+Y52</f>
        <v>23</v>
      </c>
      <c r="G52" s="253">
        <f t="shared" si="7"/>
        <v>2.08</v>
      </c>
      <c r="H52" s="254">
        <f>INT(F52*G52*100+0.5)/100</f>
        <v>47.84</v>
      </c>
      <c r="I52" s="253">
        <f>N52+P52+R52+T52+V52+X52+Z52</f>
        <v>47.839999999999996</v>
      </c>
      <c r="J52" s="253"/>
      <c r="K52" s="251" t="s">
        <v>534</v>
      </c>
      <c r="L52" s="255">
        <v>2.08</v>
      </c>
      <c r="M52" s="258">
        <v>5</v>
      </c>
      <c r="N52" s="257">
        <f t="shared" si="0"/>
        <v>10.4</v>
      </c>
      <c r="O52" s="258">
        <v>8</v>
      </c>
      <c r="P52" s="257">
        <f t="shared" si="1"/>
        <v>16.64</v>
      </c>
      <c r="Q52" s="258">
        <v>5</v>
      </c>
      <c r="R52" s="257">
        <f t="shared" si="2"/>
        <v>10.4</v>
      </c>
      <c r="S52" s="258">
        <v>0</v>
      </c>
      <c r="T52" s="257">
        <f t="shared" si="3"/>
        <v>0</v>
      </c>
      <c r="U52" s="258">
        <v>5</v>
      </c>
      <c r="V52" s="257">
        <f t="shared" si="4"/>
        <v>10.4</v>
      </c>
      <c r="W52" s="258">
        <v>0</v>
      </c>
      <c r="X52" s="257">
        <f t="shared" si="5"/>
        <v>0</v>
      </c>
      <c r="Y52" s="258">
        <v>0</v>
      </c>
      <c r="Z52" s="257">
        <f t="shared" si="6"/>
        <v>0</v>
      </c>
    </row>
    <row r="53" spans="1:26" ht="15">
      <c r="A53" s="250">
        <f>A52+1</f>
        <v>27</v>
      </c>
      <c r="B53" s="251"/>
      <c r="C53" s="646" t="s">
        <v>2247</v>
      </c>
      <c r="D53" s="526" t="s">
        <v>555</v>
      </c>
      <c r="E53" s="251" t="s">
        <v>534</v>
      </c>
      <c r="F53" s="252">
        <f>M53+O53+Q53+S53+U53+W53+Y53</f>
        <v>23</v>
      </c>
      <c r="G53" s="253">
        <f t="shared" si="7"/>
        <v>14.14</v>
      </c>
      <c r="H53" s="254">
        <f>INT(F53*G53*100+0.5)/100</f>
        <v>325.22000000000003</v>
      </c>
      <c r="I53" s="253">
        <f>N53+P53+R53+T53+V53+X53+Z53</f>
        <v>325.21999999999997</v>
      </c>
      <c r="J53" s="253"/>
      <c r="K53" s="251" t="s">
        <v>534</v>
      </c>
      <c r="L53" s="255">
        <v>14.14</v>
      </c>
      <c r="M53" s="258">
        <v>5</v>
      </c>
      <c r="N53" s="257">
        <f t="shared" si="0"/>
        <v>70.7</v>
      </c>
      <c r="O53" s="258">
        <v>8</v>
      </c>
      <c r="P53" s="257">
        <f t="shared" si="1"/>
        <v>113.12</v>
      </c>
      <c r="Q53" s="258">
        <v>5</v>
      </c>
      <c r="R53" s="257">
        <f t="shared" si="2"/>
        <v>70.7</v>
      </c>
      <c r="S53" s="258">
        <v>0</v>
      </c>
      <c r="T53" s="257">
        <f t="shared" si="3"/>
        <v>0</v>
      </c>
      <c r="U53" s="258">
        <v>5</v>
      </c>
      <c r="V53" s="257">
        <f t="shared" si="4"/>
        <v>70.7</v>
      </c>
      <c r="W53" s="258">
        <v>0</v>
      </c>
      <c r="X53" s="257">
        <f t="shared" si="5"/>
        <v>0</v>
      </c>
      <c r="Y53" s="258">
        <v>0</v>
      </c>
      <c r="Z53" s="257">
        <f t="shared" si="6"/>
        <v>0</v>
      </c>
    </row>
    <row r="54" spans="1:26" ht="15" customHeight="1">
      <c r="A54" s="250"/>
      <c r="B54" s="251"/>
      <c r="C54" s="646"/>
      <c r="D54" s="526"/>
      <c r="E54" s="251"/>
      <c r="F54" s="252"/>
      <c r="G54" s="253"/>
      <c r="H54" s="254"/>
      <c r="I54" s="253"/>
      <c r="J54" s="253"/>
      <c r="K54" s="251"/>
      <c r="L54" s="255"/>
      <c r="M54" s="258"/>
      <c r="N54" s="257"/>
      <c r="O54" s="258"/>
      <c r="P54" s="257"/>
      <c r="Q54" s="258"/>
      <c r="R54" s="257"/>
      <c r="S54" s="258"/>
      <c r="T54" s="257"/>
      <c r="U54" s="258"/>
      <c r="V54" s="257"/>
      <c r="W54" s="258"/>
      <c r="X54" s="257"/>
      <c r="Y54" s="258"/>
      <c r="Z54" s="257"/>
    </row>
    <row r="55" spans="1:26" ht="25.5">
      <c r="A55" s="250">
        <f>A53+1</f>
        <v>28</v>
      </c>
      <c r="B55" s="251"/>
      <c r="C55" s="646" t="s">
        <v>2248</v>
      </c>
      <c r="D55" s="526" t="s">
        <v>1314</v>
      </c>
      <c r="E55" s="251" t="s">
        <v>1907</v>
      </c>
      <c r="F55" s="252">
        <f>M55+O55+Q55+S55+U55+W55+Y55</f>
        <v>16</v>
      </c>
      <c r="G55" s="253">
        <f t="shared" si="7"/>
        <v>43.02</v>
      </c>
      <c r="H55" s="254">
        <f>INT(F55*G55*100+0.5)/100</f>
        <v>688.32</v>
      </c>
      <c r="I55" s="253">
        <f>N55+P55+R55+T55+V55+X55+Z55</f>
        <v>688.31999999999994</v>
      </c>
      <c r="J55" s="253"/>
      <c r="K55" s="251" t="s">
        <v>1907</v>
      </c>
      <c r="L55" s="255">
        <v>43.02</v>
      </c>
      <c r="M55" s="258">
        <v>3</v>
      </c>
      <c r="N55" s="257">
        <f t="shared" si="0"/>
        <v>129.06</v>
      </c>
      <c r="O55" s="258">
        <v>5</v>
      </c>
      <c r="P55" s="257">
        <f t="shared" si="1"/>
        <v>215.1</v>
      </c>
      <c r="Q55" s="258">
        <v>3</v>
      </c>
      <c r="R55" s="257">
        <f t="shared" si="2"/>
        <v>129.06</v>
      </c>
      <c r="S55" s="258">
        <v>0</v>
      </c>
      <c r="T55" s="257">
        <f t="shared" si="3"/>
        <v>0</v>
      </c>
      <c r="U55" s="258">
        <v>5</v>
      </c>
      <c r="V55" s="257">
        <f t="shared" si="4"/>
        <v>215.1</v>
      </c>
      <c r="W55" s="258">
        <v>0</v>
      </c>
      <c r="X55" s="257">
        <f t="shared" si="5"/>
        <v>0</v>
      </c>
      <c r="Y55" s="258">
        <v>0</v>
      </c>
      <c r="Z55" s="257">
        <f t="shared" si="6"/>
        <v>0</v>
      </c>
    </row>
    <row r="56" spans="1:26" ht="15" customHeight="1">
      <c r="A56" s="250"/>
      <c r="B56" s="251"/>
      <c r="C56" s="526"/>
      <c r="D56" s="526"/>
      <c r="E56" s="251"/>
      <c r="F56" s="252"/>
      <c r="G56" s="253"/>
      <c r="H56" s="254"/>
      <c r="I56" s="253"/>
      <c r="J56" s="253"/>
      <c r="K56" s="251"/>
      <c r="L56" s="255"/>
      <c r="M56" s="258"/>
      <c r="N56" s="257"/>
      <c r="O56" s="258"/>
      <c r="P56" s="257"/>
      <c r="Q56" s="258"/>
      <c r="R56" s="257"/>
      <c r="S56" s="258"/>
      <c r="T56" s="257"/>
      <c r="U56" s="258"/>
      <c r="V56" s="257"/>
      <c r="W56" s="258"/>
      <c r="X56" s="257"/>
      <c r="Y56" s="258"/>
      <c r="Z56" s="257"/>
    </row>
    <row r="57" spans="1:26" ht="25.5">
      <c r="A57" s="250">
        <f>A55+1</f>
        <v>29</v>
      </c>
      <c r="B57" s="251"/>
      <c r="C57" s="646" t="s">
        <v>556</v>
      </c>
      <c r="D57" s="526" t="s">
        <v>557</v>
      </c>
      <c r="E57" s="251" t="s">
        <v>534</v>
      </c>
      <c r="F57" s="252">
        <f>M57+O57+Q57+S57+U57+W57+Y57</f>
        <v>14</v>
      </c>
      <c r="G57" s="253">
        <f t="shared" si="7"/>
        <v>4.42</v>
      </c>
      <c r="H57" s="254">
        <f>INT(F57*G57*100+0.5)/100</f>
        <v>61.88</v>
      </c>
      <c r="I57" s="253">
        <f>N57+P57+R57+T57+V57+X57+Z57</f>
        <v>61.879999999999995</v>
      </c>
      <c r="J57" s="253"/>
      <c r="K57" s="251" t="s">
        <v>534</v>
      </c>
      <c r="L57" s="255">
        <v>4.42</v>
      </c>
      <c r="M57" s="258">
        <v>3</v>
      </c>
      <c r="N57" s="257">
        <f t="shared" si="0"/>
        <v>13.26</v>
      </c>
      <c r="O57" s="258">
        <v>5</v>
      </c>
      <c r="P57" s="257">
        <f t="shared" si="1"/>
        <v>22.1</v>
      </c>
      <c r="Q57" s="258">
        <v>3</v>
      </c>
      <c r="R57" s="257">
        <f t="shared" si="2"/>
        <v>13.26</v>
      </c>
      <c r="S57" s="258">
        <v>0</v>
      </c>
      <c r="T57" s="257">
        <f t="shared" si="3"/>
        <v>0</v>
      </c>
      <c r="U57" s="258">
        <v>3</v>
      </c>
      <c r="V57" s="257">
        <f t="shared" si="4"/>
        <v>13.26</v>
      </c>
      <c r="W57" s="258">
        <v>0</v>
      </c>
      <c r="X57" s="257">
        <f t="shared" si="5"/>
        <v>0</v>
      </c>
      <c r="Y57" s="258">
        <v>0</v>
      </c>
      <c r="Z57" s="257">
        <f t="shared" si="6"/>
        <v>0</v>
      </c>
    </row>
    <row r="58" spans="1:26" ht="25.5">
      <c r="A58" s="250">
        <f>A57+1</f>
        <v>30</v>
      </c>
      <c r="B58" s="251"/>
      <c r="C58" s="646" t="s">
        <v>558</v>
      </c>
      <c r="D58" s="526" t="s">
        <v>559</v>
      </c>
      <c r="E58" s="251" t="s">
        <v>534</v>
      </c>
      <c r="F58" s="252">
        <f>M58+O58+Q58+S58+U58+W58+Y58</f>
        <v>11</v>
      </c>
      <c r="G58" s="253">
        <f t="shared" si="7"/>
        <v>2.41</v>
      </c>
      <c r="H58" s="254">
        <f>INT(F58*G58*100+0.5)/100</f>
        <v>26.51</v>
      </c>
      <c r="I58" s="253">
        <f>N58+P58+R58+T58+V58+X58+Z58</f>
        <v>26.51</v>
      </c>
      <c r="J58" s="253"/>
      <c r="K58" s="251" t="s">
        <v>534</v>
      </c>
      <c r="L58" s="255">
        <v>2.41</v>
      </c>
      <c r="M58" s="258">
        <v>3</v>
      </c>
      <c r="N58" s="257">
        <f t="shared" si="0"/>
        <v>7.23</v>
      </c>
      <c r="O58" s="258">
        <v>5</v>
      </c>
      <c r="P58" s="257">
        <f t="shared" si="1"/>
        <v>12.05</v>
      </c>
      <c r="Q58" s="258">
        <v>3</v>
      </c>
      <c r="R58" s="257">
        <f t="shared" si="2"/>
        <v>7.23</v>
      </c>
      <c r="S58" s="258">
        <v>0</v>
      </c>
      <c r="T58" s="257">
        <f t="shared" si="3"/>
        <v>0</v>
      </c>
      <c r="U58" s="258">
        <v>0</v>
      </c>
      <c r="V58" s="257">
        <f t="shared" si="4"/>
        <v>0</v>
      </c>
      <c r="W58" s="258">
        <v>0</v>
      </c>
      <c r="X58" s="257">
        <f t="shared" si="5"/>
        <v>0</v>
      </c>
      <c r="Y58" s="258">
        <v>0</v>
      </c>
      <c r="Z58" s="257">
        <f t="shared" si="6"/>
        <v>0</v>
      </c>
    </row>
    <row r="59" spans="1:26" ht="25.5">
      <c r="A59" s="250">
        <f>A58+1</f>
        <v>31</v>
      </c>
      <c r="B59" s="251"/>
      <c r="C59" s="646" t="s">
        <v>2249</v>
      </c>
      <c r="D59" s="526" t="s">
        <v>560</v>
      </c>
      <c r="E59" s="251" t="s">
        <v>534</v>
      </c>
      <c r="F59" s="252">
        <f>M59+O59+Q59+S59+U59+W59+Y59</f>
        <v>14</v>
      </c>
      <c r="G59" s="253">
        <f t="shared" si="7"/>
        <v>6.46</v>
      </c>
      <c r="H59" s="254">
        <f>INT(F59*G59*100+0.5)/100</f>
        <v>90.44</v>
      </c>
      <c r="I59" s="253">
        <f>N59+P59+R59+T59+V59+X59+Z59</f>
        <v>90.439999999999984</v>
      </c>
      <c r="J59" s="253"/>
      <c r="K59" s="251" t="s">
        <v>534</v>
      </c>
      <c r="L59" s="255">
        <v>6.46</v>
      </c>
      <c r="M59" s="258">
        <v>3</v>
      </c>
      <c r="N59" s="257">
        <f t="shared" si="0"/>
        <v>19.38</v>
      </c>
      <c r="O59" s="258">
        <v>5</v>
      </c>
      <c r="P59" s="257">
        <f t="shared" si="1"/>
        <v>32.299999999999997</v>
      </c>
      <c r="Q59" s="258">
        <v>3</v>
      </c>
      <c r="R59" s="257">
        <f t="shared" si="2"/>
        <v>19.38</v>
      </c>
      <c r="S59" s="258">
        <v>0</v>
      </c>
      <c r="T59" s="257">
        <f t="shared" si="3"/>
        <v>0</v>
      </c>
      <c r="U59" s="258">
        <v>3</v>
      </c>
      <c r="V59" s="257">
        <f t="shared" si="4"/>
        <v>19.38</v>
      </c>
      <c r="W59" s="258">
        <v>0</v>
      </c>
      <c r="X59" s="257">
        <f t="shared" si="5"/>
        <v>0</v>
      </c>
      <c r="Y59" s="258">
        <v>0</v>
      </c>
      <c r="Z59" s="257">
        <f t="shared" si="6"/>
        <v>0</v>
      </c>
    </row>
    <row r="60" spans="1:26" ht="25.5">
      <c r="A60" s="250">
        <f>A59+1</f>
        <v>32</v>
      </c>
      <c r="B60" s="251"/>
      <c r="C60" s="646" t="s">
        <v>2250</v>
      </c>
      <c r="D60" s="526" t="s">
        <v>2251</v>
      </c>
      <c r="E60" s="251" t="s">
        <v>534</v>
      </c>
      <c r="F60" s="252">
        <f>M60+O60+Q60+S60+U60+W60+Y60</f>
        <v>11</v>
      </c>
      <c r="G60" s="253">
        <f t="shared" si="7"/>
        <v>1.82</v>
      </c>
      <c r="H60" s="254">
        <f>INT(F60*G60*100+0.5)/100</f>
        <v>20.02</v>
      </c>
      <c r="I60" s="253">
        <f>N60+P60+R60+T60+V60+X60+Z60</f>
        <v>20.02</v>
      </c>
      <c r="J60" s="253"/>
      <c r="K60" s="251" t="s">
        <v>534</v>
      </c>
      <c r="L60" s="255">
        <v>1.82</v>
      </c>
      <c r="M60" s="258">
        <v>3</v>
      </c>
      <c r="N60" s="257">
        <f t="shared" si="0"/>
        <v>5.46</v>
      </c>
      <c r="O60" s="258">
        <v>5</v>
      </c>
      <c r="P60" s="257">
        <f t="shared" si="1"/>
        <v>9.1</v>
      </c>
      <c r="Q60" s="258">
        <v>3</v>
      </c>
      <c r="R60" s="257">
        <f t="shared" si="2"/>
        <v>5.46</v>
      </c>
      <c r="S60" s="258">
        <v>0</v>
      </c>
      <c r="T60" s="257">
        <f t="shared" si="3"/>
        <v>0</v>
      </c>
      <c r="U60" s="258">
        <v>0</v>
      </c>
      <c r="V60" s="257">
        <f t="shared" si="4"/>
        <v>0</v>
      </c>
      <c r="W60" s="258">
        <v>0</v>
      </c>
      <c r="X60" s="257">
        <f t="shared" si="5"/>
        <v>0</v>
      </c>
      <c r="Y60" s="258">
        <v>0</v>
      </c>
      <c r="Z60" s="257">
        <f t="shared" si="6"/>
        <v>0</v>
      </c>
    </row>
    <row r="61" spans="1:26" ht="25.5">
      <c r="A61" s="250">
        <f>A60+1</f>
        <v>33</v>
      </c>
      <c r="B61" s="251"/>
      <c r="C61" s="646" t="s">
        <v>2252</v>
      </c>
      <c r="D61" s="526" t="s">
        <v>561</v>
      </c>
      <c r="E61" s="251" t="s">
        <v>534</v>
      </c>
      <c r="F61" s="252">
        <f>M61+O61+Q61+S61+U61+W61+Y61</f>
        <v>11</v>
      </c>
      <c r="G61" s="253">
        <f t="shared" si="7"/>
        <v>4.26</v>
      </c>
      <c r="H61" s="254">
        <f>INT(F61*G61*100+0.5)/100</f>
        <v>46.86</v>
      </c>
      <c r="I61" s="253">
        <f>N61+P61+R61+T61+V61+X61+Z61</f>
        <v>46.86</v>
      </c>
      <c r="J61" s="253"/>
      <c r="K61" s="251" t="s">
        <v>534</v>
      </c>
      <c r="L61" s="255">
        <v>4.26</v>
      </c>
      <c r="M61" s="258">
        <v>3</v>
      </c>
      <c r="N61" s="257">
        <f t="shared" si="0"/>
        <v>12.78</v>
      </c>
      <c r="O61" s="258">
        <v>5</v>
      </c>
      <c r="P61" s="257">
        <f t="shared" si="1"/>
        <v>21.3</v>
      </c>
      <c r="Q61" s="258">
        <v>3</v>
      </c>
      <c r="R61" s="257">
        <f t="shared" si="2"/>
        <v>12.78</v>
      </c>
      <c r="S61" s="258">
        <v>0</v>
      </c>
      <c r="T61" s="257">
        <f t="shared" si="3"/>
        <v>0</v>
      </c>
      <c r="U61" s="258">
        <v>0</v>
      </c>
      <c r="V61" s="257">
        <f t="shared" si="4"/>
        <v>0</v>
      </c>
      <c r="W61" s="258">
        <v>0</v>
      </c>
      <c r="X61" s="257">
        <f t="shared" si="5"/>
        <v>0</v>
      </c>
      <c r="Y61" s="258">
        <v>0</v>
      </c>
      <c r="Z61" s="257">
        <f t="shared" si="6"/>
        <v>0</v>
      </c>
    </row>
    <row r="62" spans="1:26" ht="15" customHeight="1">
      <c r="A62" s="250"/>
      <c r="B62" s="251"/>
      <c r="C62" s="646"/>
      <c r="D62" s="526"/>
      <c r="E62" s="251"/>
      <c r="F62" s="252"/>
      <c r="G62" s="253"/>
      <c r="H62" s="254"/>
      <c r="I62" s="253"/>
      <c r="J62" s="253"/>
      <c r="K62" s="251"/>
      <c r="L62" s="255"/>
      <c r="M62" s="256"/>
      <c r="N62" s="260"/>
      <c r="O62" s="256"/>
      <c r="P62" s="260"/>
      <c r="Q62" s="256"/>
      <c r="R62" s="260"/>
      <c r="S62" s="256"/>
      <c r="T62" s="260"/>
      <c r="U62" s="256"/>
      <c r="V62" s="260"/>
      <c r="W62" s="256"/>
      <c r="X62" s="260"/>
      <c r="Y62" s="256"/>
      <c r="Z62" s="260"/>
    </row>
    <row r="63" spans="1:26" ht="15" customHeight="1">
      <c r="A63" s="250"/>
      <c r="B63" s="251"/>
      <c r="C63" s="646"/>
      <c r="D63" s="526" t="s">
        <v>564</v>
      </c>
      <c r="E63" s="251"/>
      <c r="F63" s="252"/>
      <c r="G63" s="253"/>
      <c r="H63" s="254"/>
      <c r="I63" s="253"/>
      <c r="J63" s="253"/>
      <c r="K63" s="251"/>
      <c r="L63" s="255"/>
      <c r="M63" s="256"/>
      <c r="N63" s="260"/>
      <c r="O63" s="256"/>
      <c r="P63" s="260"/>
      <c r="Q63" s="256"/>
      <c r="R63" s="260"/>
      <c r="S63" s="256"/>
      <c r="T63" s="260"/>
      <c r="U63" s="256"/>
      <c r="V63" s="260"/>
      <c r="W63" s="256"/>
      <c r="X63" s="260"/>
      <c r="Y63" s="256"/>
      <c r="Z63" s="260"/>
    </row>
    <row r="64" spans="1:26" ht="25.5">
      <c r="A64" s="250">
        <f>A61+1</f>
        <v>34</v>
      </c>
      <c r="B64" s="251"/>
      <c r="C64" s="646" t="s">
        <v>2253</v>
      </c>
      <c r="D64" s="526" t="s">
        <v>565</v>
      </c>
      <c r="E64" s="251" t="s">
        <v>2461</v>
      </c>
      <c r="F64" s="252">
        <f>M64+O64+Q64+S64+U64+W64+Y64</f>
        <v>25</v>
      </c>
      <c r="G64" s="253">
        <f t="shared" si="7"/>
        <v>21.51</v>
      </c>
      <c r="H64" s="254">
        <f>INT(F64*G64*100+0.5)/100</f>
        <v>537.75</v>
      </c>
      <c r="I64" s="253">
        <f>N64+P64+R64+T64+V64+X64+Z64</f>
        <v>537.75</v>
      </c>
      <c r="J64" s="253"/>
      <c r="K64" s="251" t="s">
        <v>2461</v>
      </c>
      <c r="L64" s="255">
        <v>21.51</v>
      </c>
      <c r="M64" s="258">
        <v>6</v>
      </c>
      <c r="N64" s="257">
        <f t="shared" ref="N64:N104" si="8">INT($L64*M64*100+0.5)/100</f>
        <v>129.06</v>
      </c>
      <c r="O64" s="258">
        <v>10</v>
      </c>
      <c r="P64" s="257">
        <f t="shared" ref="P64:P104" si="9">INT($L64*O64*100+0.5)/100</f>
        <v>215.1</v>
      </c>
      <c r="Q64" s="258">
        <v>6</v>
      </c>
      <c r="R64" s="257">
        <f t="shared" ref="R64:R104" si="10">INT($L64*Q64*100+0.5)/100</f>
        <v>129.06</v>
      </c>
      <c r="S64" s="258">
        <v>0</v>
      </c>
      <c r="T64" s="257">
        <f t="shared" ref="T64:T104" si="11">INT($L64*S64*100+0.5)/100</f>
        <v>0</v>
      </c>
      <c r="U64" s="258">
        <v>3</v>
      </c>
      <c r="V64" s="257">
        <f t="shared" ref="V64:V104" si="12">INT($L64*U64*100+0.5)/100</f>
        <v>64.53</v>
      </c>
      <c r="W64" s="258">
        <v>0</v>
      </c>
      <c r="X64" s="257">
        <f t="shared" ref="X64:X104" si="13">INT($L64*W64*100+0.5)/100</f>
        <v>0</v>
      </c>
      <c r="Y64" s="258">
        <v>0</v>
      </c>
      <c r="Z64" s="257">
        <f t="shared" ref="Z64:Z104" si="14">INT($L64*Y64*100+0.5)/100</f>
        <v>0</v>
      </c>
    </row>
    <row r="65" spans="1:26" ht="15">
      <c r="A65" s="250">
        <f>A64+1</f>
        <v>35</v>
      </c>
      <c r="B65" s="251"/>
      <c r="C65" s="646" t="s">
        <v>2254</v>
      </c>
      <c r="D65" s="526" t="s">
        <v>566</v>
      </c>
      <c r="E65" s="251" t="s">
        <v>2461</v>
      </c>
      <c r="F65" s="252">
        <f>M65+O65+Q65+S65+U65+W65+Y65</f>
        <v>25</v>
      </c>
      <c r="G65" s="253">
        <f t="shared" si="7"/>
        <v>20.97</v>
      </c>
      <c r="H65" s="254">
        <f>INT(F65*G65*100+0.5)/100</f>
        <v>524.25</v>
      </c>
      <c r="I65" s="253">
        <f>N65+P65+R65+T65+V65+X65+Z65</f>
        <v>524.25</v>
      </c>
      <c r="J65" s="253"/>
      <c r="K65" s="251" t="s">
        <v>2461</v>
      </c>
      <c r="L65" s="255">
        <v>20.97</v>
      </c>
      <c r="M65" s="258">
        <v>6</v>
      </c>
      <c r="N65" s="257">
        <f t="shared" si="8"/>
        <v>125.82</v>
      </c>
      <c r="O65" s="258">
        <v>10</v>
      </c>
      <c r="P65" s="257">
        <f t="shared" si="9"/>
        <v>209.7</v>
      </c>
      <c r="Q65" s="258">
        <v>6</v>
      </c>
      <c r="R65" s="257">
        <f t="shared" si="10"/>
        <v>125.82</v>
      </c>
      <c r="S65" s="258">
        <v>0</v>
      </c>
      <c r="T65" s="257">
        <f t="shared" si="11"/>
        <v>0</v>
      </c>
      <c r="U65" s="258">
        <v>3</v>
      </c>
      <c r="V65" s="257">
        <f t="shared" si="12"/>
        <v>62.91</v>
      </c>
      <c r="W65" s="258">
        <v>0</v>
      </c>
      <c r="X65" s="257">
        <f t="shared" si="13"/>
        <v>0</v>
      </c>
      <c r="Y65" s="258">
        <v>0</v>
      </c>
      <c r="Z65" s="257">
        <f t="shared" si="14"/>
        <v>0</v>
      </c>
    </row>
    <row r="66" spans="1:26" ht="15" customHeight="1">
      <c r="A66" s="250">
        <f>A65+1</f>
        <v>36</v>
      </c>
      <c r="B66" s="251"/>
      <c r="C66" s="646" t="s">
        <v>2255</v>
      </c>
      <c r="D66" s="526" t="s">
        <v>2256</v>
      </c>
      <c r="E66" s="251" t="s">
        <v>2461</v>
      </c>
      <c r="F66" s="252">
        <f>M66+O66+Q66+S66+U66+W66+Y66</f>
        <v>25</v>
      </c>
      <c r="G66" s="253">
        <f t="shared" si="7"/>
        <v>22.16</v>
      </c>
      <c r="H66" s="254">
        <f>INT(F66*G66*100+0.5)/100</f>
        <v>554</v>
      </c>
      <c r="I66" s="253">
        <f>N66+P66+R66+T66+V66+X66+Z66</f>
        <v>554</v>
      </c>
      <c r="J66" s="253"/>
      <c r="K66" s="251" t="s">
        <v>2461</v>
      </c>
      <c r="L66" s="255">
        <v>22.16</v>
      </c>
      <c r="M66" s="258">
        <v>6</v>
      </c>
      <c r="N66" s="257">
        <f t="shared" si="8"/>
        <v>132.96</v>
      </c>
      <c r="O66" s="258">
        <v>10</v>
      </c>
      <c r="P66" s="257">
        <f t="shared" si="9"/>
        <v>221.6</v>
      </c>
      <c r="Q66" s="258">
        <v>6</v>
      </c>
      <c r="R66" s="257">
        <f t="shared" si="10"/>
        <v>132.96</v>
      </c>
      <c r="S66" s="258">
        <v>0</v>
      </c>
      <c r="T66" s="257">
        <f t="shared" si="11"/>
        <v>0</v>
      </c>
      <c r="U66" s="258">
        <v>3</v>
      </c>
      <c r="V66" s="257">
        <f t="shared" si="12"/>
        <v>66.48</v>
      </c>
      <c r="W66" s="258">
        <v>0</v>
      </c>
      <c r="X66" s="257">
        <f t="shared" si="13"/>
        <v>0</v>
      </c>
      <c r="Y66" s="258">
        <v>0</v>
      </c>
      <c r="Z66" s="257">
        <f t="shared" si="14"/>
        <v>0</v>
      </c>
    </row>
    <row r="67" spans="1:26" ht="15" customHeight="1">
      <c r="A67" s="250"/>
      <c r="B67" s="251"/>
      <c r="C67" s="646"/>
      <c r="D67" s="526"/>
      <c r="E67" s="251"/>
      <c r="F67" s="252"/>
      <c r="G67" s="253"/>
      <c r="H67" s="254"/>
      <c r="I67" s="253"/>
      <c r="J67" s="253"/>
      <c r="K67" s="251"/>
      <c r="L67" s="255"/>
      <c r="M67" s="256"/>
      <c r="N67" s="260"/>
      <c r="O67" s="256"/>
      <c r="P67" s="260"/>
      <c r="Q67" s="256"/>
      <c r="R67" s="260"/>
      <c r="S67" s="256"/>
      <c r="T67" s="260"/>
      <c r="U67" s="256"/>
      <c r="V67" s="260"/>
      <c r="W67" s="256"/>
      <c r="X67" s="260"/>
      <c r="Y67" s="256"/>
      <c r="Z67" s="260"/>
    </row>
    <row r="68" spans="1:26" ht="15" customHeight="1">
      <c r="A68" s="250">
        <f>A66+1</f>
        <v>37</v>
      </c>
      <c r="B68" s="251"/>
      <c r="C68" s="646" t="s">
        <v>2257</v>
      </c>
      <c r="D68" s="526" t="s">
        <v>567</v>
      </c>
      <c r="E68" s="251" t="s">
        <v>1439</v>
      </c>
      <c r="F68" s="252">
        <f>M68+O68+Q68+S68+U68+W68+Y68</f>
        <v>2500</v>
      </c>
      <c r="G68" s="253">
        <f t="shared" si="7"/>
        <v>0.11</v>
      </c>
      <c r="H68" s="254">
        <f>INT(F68*G68*100+0.5)/100</f>
        <v>275</v>
      </c>
      <c r="I68" s="253">
        <f>N68+P68+R68+T68+V68+X68+Z68</f>
        <v>275</v>
      </c>
      <c r="J68" s="253"/>
      <c r="K68" s="251" t="s">
        <v>1439</v>
      </c>
      <c r="L68" s="255">
        <v>0.11</v>
      </c>
      <c r="M68" s="258">
        <v>600</v>
      </c>
      <c r="N68" s="257">
        <f t="shared" si="8"/>
        <v>66</v>
      </c>
      <c r="O68" s="258">
        <v>1000</v>
      </c>
      <c r="P68" s="257">
        <f t="shared" si="9"/>
        <v>110</v>
      </c>
      <c r="Q68" s="258">
        <v>600</v>
      </c>
      <c r="R68" s="257">
        <f t="shared" si="10"/>
        <v>66</v>
      </c>
      <c r="S68" s="258">
        <v>0</v>
      </c>
      <c r="T68" s="257">
        <f t="shared" si="11"/>
        <v>0</v>
      </c>
      <c r="U68" s="258">
        <v>300</v>
      </c>
      <c r="V68" s="257">
        <f t="shared" si="12"/>
        <v>33</v>
      </c>
      <c r="W68" s="258">
        <v>0</v>
      </c>
      <c r="X68" s="257">
        <f t="shared" si="13"/>
        <v>0</v>
      </c>
      <c r="Y68" s="258">
        <v>0</v>
      </c>
      <c r="Z68" s="257">
        <f t="shared" si="14"/>
        <v>0</v>
      </c>
    </row>
    <row r="69" spans="1:26" ht="25.5">
      <c r="A69" s="250">
        <f>A68+1</f>
        <v>38</v>
      </c>
      <c r="B69" s="251"/>
      <c r="C69" s="646" t="s">
        <v>2258</v>
      </c>
      <c r="D69" s="526" t="s">
        <v>568</v>
      </c>
      <c r="E69" s="251" t="s">
        <v>1439</v>
      </c>
      <c r="F69" s="252">
        <f>M69+O69+Q69+S69+U69+W69+Y69</f>
        <v>0</v>
      </c>
      <c r="G69" s="253">
        <f t="shared" si="7"/>
        <v>0.19</v>
      </c>
      <c r="H69" s="254">
        <f>INT(F69*G69*100+0.5)/100</f>
        <v>0</v>
      </c>
      <c r="I69" s="253">
        <f>N69+P69+R69+T69+V69+X69+Z69</f>
        <v>0</v>
      </c>
      <c r="J69" s="253"/>
      <c r="K69" s="251" t="s">
        <v>1439</v>
      </c>
      <c r="L69" s="255">
        <v>0.19</v>
      </c>
      <c r="M69" s="258">
        <v>0</v>
      </c>
      <c r="N69" s="257">
        <f t="shared" si="8"/>
        <v>0</v>
      </c>
      <c r="O69" s="258">
        <v>0</v>
      </c>
      <c r="P69" s="257">
        <f t="shared" si="9"/>
        <v>0</v>
      </c>
      <c r="Q69" s="258">
        <v>0</v>
      </c>
      <c r="R69" s="257">
        <f t="shared" si="10"/>
        <v>0</v>
      </c>
      <c r="S69" s="258">
        <v>0</v>
      </c>
      <c r="T69" s="257">
        <f t="shared" si="11"/>
        <v>0</v>
      </c>
      <c r="U69" s="258">
        <v>0</v>
      </c>
      <c r="V69" s="257">
        <f t="shared" si="12"/>
        <v>0</v>
      </c>
      <c r="W69" s="258">
        <v>0</v>
      </c>
      <c r="X69" s="257">
        <f t="shared" si="13"/>
        <v>0</v>
      </c>
      <c r="Y69" s="258">
        <v>0</v>
      </c>
      <c r="Z69" s="257">
        <f t="shared" si="14"/>
        <v>0</v>
      </c>
    </row>
    <row r="70" spans="1:26" ht="15" customHeight="1">
      <c r="A70" s="250"/>
      <c r="B70" s="251"/>
      <c r="C70" s="646"/>
      <c r="D70" s="526"/>
      <c r="E70" s="251"/>
      <c r="F70" s="252"/>
      <c r="G70" s="253"/>
      <c r="H70" s="254"/>
      <c r="I70" s="253"/>
      <c r="J70" s="253"/>
      <c r="K70" s="251"/>
      <c r="L70" s="255"/>
      <c r="M70" s="258"/>
      <c r="N70" s="257"/>
      <c r="O70" s="258"/>
      <c r="P70" s="257"/>
      <c r="Q70" s="258"/>
      <c r="R70" s="257"/>
      <c r="S70" s="258"/>
      <c r="T70" s="257"/>
      <c r="U70" s="258"/>
      <c r="V70" s="257"/>
      <c r="W70" s="258"/>
      <c r="X70" s="257"/>
      <c r="Y70" s="258"/>
      <c r="Z70" s="257"/>
    </row>
    <row r="71" spans="1:26" ht="15" customHeight="1">
      <c r="A71" s="250">
        <f>A69+1</f>
        <v>39</v>
      </c>
      <c r="B71" s="251"/>
      <c r="C71" s="646" t="s">
        <v>569</v>
      </c>
      <c r="D71" s="526" t="s">
        <v>1315</v>
      </c>
      <c r="E71" s="251" t="s">
        <v>570</v>
      </c>
      <c r="F71" s="252">
        <f>M71+O71+Q71+S71+U71+W71+Y71</f>
        <v>1100</v>
      </c>
      <c r="G71" s="253">
        <f t="shared" si="7"/>
        <v>0.31</v>
      </c>
      <c r="H71" s="254">
        <f>INT(F71*G71*100+0.5)/100</f>
        <v>341</v>
      </c>
      <c r="I71" s="253">
        <f>N71+P71+R71+T71+V71+X71+Z71</f>
        <v>341</v>
      </c>
      <c r="J71" s="253"/>
      <c r="K71" s="251" t="s">
        <v>570</v>
      </c>
      <c r="L71" s="255">
        <v>0.31</v>
      </c>
      <c r="M71" s="258">
        <v>300</v>
      </c>
      <c r="N71" s="257">
        <f t="shared" si="8"/>
        <v>93</v>
      </c>
      <c r="O71" s="258">
        <v>500</v>
      </c>
      <c r="P71" s="257">
        <f t="shared" si="9"/>
        <v>155</v>
      </c>
      <c r="Q71" s="258">
        <v>300</v>
      </c>
      <c r="R71" s="257">
        <f t="shared" si="10"/>
        <v>93</v>
      </c>
      <c r="S71" s="258">
        <v>0</v>
      </c>
      <c r="T71" s="257">
        <f t="shared" si="11"/>
        <v>0</v>
      </c>
      <c r="U71" s="258">
        <v>0</v>
      </c>
      <c r="V71" s="257">
        <f t="shared" si="12"/>
        <v>0</v>
      </c>
      <c r="W71" s="258">
        <v>0</v>
      </c>
      <c r="X71" s="257">
        <f t="shared" si="13"/>
        <v>0</v>
      </c>
      <c r="Y71" s="258">
        <v>0</v>
      </c>
      <c r="Z71" s="257">
        <f t="shared" si="14"/>
        <v>0</v>
      </c>
    </row>
    <row r="72" spans="1:26" ht="15" customHeight="1">
      <c r="A72" s="250"/>
      <c r="B72" s="251"/>
      <c r="C72" s="646"/>
      <c r="D72" s="526"/>
      <c r="E72" s="251"/>
      <c r="F72" s="252"/>
      <c r="G72" s="253"/>
      <c r="H72" s="254"/>
      <c r="I72" s="253"/>
      <c r="J72" s="253"/>
      <c r="K72" s="251"/>
      <c r="L72" s="255"/>
      <c r="M72" s="256"/>
      <c r="N72" s="260"/>
      <c r="O72" s="256"/>
      <c r="P72" s="260"/>
      <c r="Q72" s="256"/>
      <c r="R72" s="260"/>
      <c r="S72" s="256"/>
      <c r="T72" s="260"/>
      <c r="U72" s="256"/>
      <c r="V72" s="260"/>
      <c r="W72" s="256"/>
      <c r="X72" s="260"/>
      <c r="Y72" s="256"/>
      <c r="Z72" s="260"/>
    </row>
    <row r="73" spans="1:26" ht="15" customHeight="1">
      <c r="A73" s="250">
        <f>A71+1</f>
        <v>40</v>
      </c>
      <c r="B73" s="251"/>
      <c r="C73" s="646" t="s">
        <v>2259</v>
      </c>
      <c r="D73" s="526" t="s">
        <v>2266</v>
      </c>
      <c r="E73" s="251" t="s">
        <v>2461</v>
      </c>
      <c r="F73" s="252">
        <f>M73+O73+Q73+S73+U73+W73+Y73</f>
        <v>16</v>
      </c>
      <c r="G73" s="253">
        <f t="shared" si="7"/>
        <v>76.62</v>
      </c>
      <c r="H73" s="254">
        <f>INT(F73*G73*100+0.5)/100</f>
        <v>1225.92</v>
      </c>
      <c r="I73" s="253">
        <f>N73+P73+R73+T73+V73+X73+Z73</f>
        <v>1225.92</v>
      </c>
      <c r="J73" s="253"/>
      <c r="K73" s="251" t="s">
        <v>2461</v>
      </c>
      <c r="L73" s="255">
        <v>76.62</v>
      </c>
      <c r="M73" s="258">
        <v>5</v>
      </c>
      <c r="N73" s="257">
        <f t="shared" si="8"/>
        <v>383.1</v>
      </c>
      <c r="O73" s="258">
        <v>5</v>
      </c>
      <c r="P73" s="257">
        <f t="shared" si="9"/>
        <v>383.1</v>
      </c>
      <c r="Q73" s="258">
        <v>3</v>
      </c>
      <c r="R73" s="257">
        <f t="shared" si="10"/>
        <v>229.86</v>
      </c>
      <c r="S73" s="258">
        <v>0</v>
      </c>
      <c r="T73" s="257">
        <f t="shared" si="11"/>
        <v>0</v>
      </c>
      <c r="U73" s="258">
        <v>3</v>
      </c>
      <c r="V73" s="257">
        <f t="shared" si="12"/>
        <v>229.86</v>
      </c>
      <c r="W73" s="258">
        <v>0</v>
      </c>
      <c r="X73" s="257">
        <f t="shared" si="13"/>
        <v>0</v>
      </c>
      <c r="Y73" s="258">
        <v>0</v>
      </c>
      <c r="Z73" s="257">
        <f t="shared" si="14"/>
        <v>0</v>
      </c>
    </row>
    <row r="74" spans="1:26" ht="15" customHeight="1">
      <c r="A74" s="250"/>
      <c r="B74" s="251"/>
      <c r="C74" s="646"/>
      <c r="D74" s="526"/>
      <c r="E74" s="251"/>
      <c r="F74" s="252"/>
      <c r="G74" s="253"/>
      <c r="H74" s="254"/>
      <c r="I74" s="253"/>
      <c r="J74" s="253"/>
      <c r="K74" s="251"/>
      <c r="L74" s="255"/>
      <c r="M74" s="256"/>
      <c r="N74" s="260"/>
      <c r="O74" s="256"/>
      <c r="P74" s="260"/>
      <c r="Q74" s="256"/>
      <c r="R74" s="260"/>
      <c r="S74" s="256"/>
      <c r="T74" s="260"/>
      <c r="U74" s="256"/>
      <c r="V74" s="260"/>
      <c r="W74" s="256"/>
      <c r="X74" s="260"/>
      <c r="Y74" s="256"/>
      <c r="Z74" s="260"/>
    </row>
    <row r="75" spans="1:26" ht="15">
      <c r="A75" s="250">
        <f>A73+1</f>
        <v>41</v>
      </c>
      <c r="B75" s="251"/>
      <c r="C75" s="646" t="s">
        <v>571</v>
      </c>
      <c r="D75" s="526" t="s">
        <v>2267</v>
      </c>
      <c r="E75" s="251" t="s">
        <v>2461</v>
      </c>
      <c r="F75" s="252">
        <f>M75+O75+Q75+S75+U75+W75+Y75</f>
        <v>24</v>
      </c>
      <c r="G75" s="253">
        <f t="shared" si="7"/>
        <v>84.99</v>
      </c>
      <c r="H75" s="254">
        <f>INT(F75*G75*100+0.5)/100</f>
        <v>2039.76</v>
      </c>
      <c r="I75" s="253">
        <f>N75+P75+R75+T75+V75+X75+Z75</f>
        <v>2039.76</v>
      </c>
      <c r="J75" s="253"/>
      <c r="K75" s="251" t="s">
        <v>2461</v>
      </c>
      <c r="L75" s="255">
        <v>84.99</v>
      </c>
      <c r="M75" s="258">
        <v>8</v>
      </c>
      <c r="N75" s="257">
        <f t="shared" si="8"/>
        <v>679.92</v>
      </c>
      <c r="O75" s="258">
        <v>8</v>
      </c>
      <c r="P75" s="257">
        <f t="shared" si="9"/>
        <v>679.92</v>
      </c>
      <c r="Q75" s="258">
        <v>3</v>
      </c>
      <c r="R75" s="257">
        <f t="shared" si="10"/>
        <v>254.97</v>
      </c>
      <c r="S75" s="258">
        <v>0</v>
      </c>
      <c r="T75" s="257">
        <f t="shared" si="11"/>
        <v>0</v>
      </c>
      <c r="U75" s="258">
        <v>5</v>
      </c>
      <c r="V75" s="257">
        <f t="shared" si="12"/>
        <v>424.95</v>
      </c>
      <c r="W75" s="258">
        <v>0</v>
      </c>
      <c r="X75" s="257">
        <f t="shared" si="13"/>
        <v>0</v>
      </c>
      <c r="Y75" s="258">
        <v>0</v>
      </c>
      <c r="Z75" s="257">
        <f t="shared" si="14"/>
        <v>0</v>
      </c>
    </row>
    <row r="76" spans="1:26" ht="15" customHeight="1">
      <c r="A76" s="250"/>
      <c r="B76" s="251"/>
      <c r="C76" s="646"/>
      <c r="D76" s="526"/>
      <c r="E76" s="251"/>
      <c r="F76" s="252"/>
      <c r="G76" s="253"/>
      <c r="H76" s="254"/>
      <c r="I76" s="253"/>
      <c r="J76" s="253"/>
      <c r="K76" s="251"/>
      <c r="L76" s="255"/>
      <c r="M76" s="256"/>
      <c r="N76" s="260"/>
      <c r="O76" s="256"/>
      <c r="P76" s="260"/>
      <c r="Q76" s="256"/>
      <c r="R76" s="260"/>
      <c r="S76" s="256"/>
      <c r="T76" s="260"/>
      <c r="U76" s="256"/>
      <c r="V76" s="260"/>
      <c r="W76" s="256"/>
      <c r="X76" s="260"/>
      <c r="Y76" s="256"/>
      <c r="Z76" s="260"/>
    </row>
    <row r="77" spans="1:26" ht="15">
      <c r="A77" s="250">
        <f>A75+1</f>
        <v>42</v>
      </c>
      <c r="B77" s="251"/>
      <c r="C77" s="646" t="s">
        <v>2260</v>
      </c>
      <c r="D77" s="526" t="s">
        <v>1316</v>
      </c>
      <c r="E77" s="251" t="s">
        <v>1439</v>
      </c>
      <c r="F77" s="252">
        <f>M77+O77+Q77+S77+U77+W77+Y77</f>
        <v>2600</v>
      </c>
      <c r="G77" s="253">
        <f t="shared" si="7"/>
        <v>0.78</v>
      </c>
      <c r="H77" s="254">
        <f>INT(F77*G77*100+0.5)/100</f>
        <v>2028</v>
      </c>
      <c r="I77" s="253">
        <f>N77+P77+R77+T77+V77+X77+Z77</f>
        <v>2028</v>
      </c>
      <c r="J77" s="253"/>
      <c r="K77" s="251" t="s">
        <v>1439</v>
      </c>
      <c r="L77" s="255">
        <v>0.78</v>
      </c>
      <c r="M77" s="258">
        <v>1000</v>
      </c>
      <c r="N77" s="257">
        <f t="shared" si="8"/>
        <v>780</v>
      </c>
      <c r="O77" s="258">
        <v>1000</v>
      </c>
      <c r="P77" s="257">
        <f t="shared" si="9"/>
        <v>780</v>
      </c>
      <c r="Q77" s="258">
        <v>600</v>
      </c>
      <c r="R77" s="257">
        <f t="shared" si="10"/>
        <v>468</v>
      </c>
      <c r="S77" s="258">
        <v>0</v>
      </c>
      <c r="T77" s="257">
        <f t="shared" si="11"/>
        <v>0</v>
      </c>
      <c r="U77" s="258">
        <v>0</v>
      </c>
      <c r="V77" s="257">
        <f t="shared" si="12"/>
        <v>0</v>
      </c>
      <c r="W77" s="258">
        <v>0</v>
      </c>
      <c r="X77" s="257">
        <f t="shared" si="13"/>
        <v>0</v>
      </c>
      <c r="Y77" s="258">
        <v>0</v>
      </c>
      <c r="Z77" s="257">
        <f t="shared" si="14"/>
        <v>0</v>
      </c>
    </row>
    <row r="78" spans="1:26" ht="15" customHeight="1">
      <c r="A78" s="250"/>
      <c r="B78" s="251"/>
      <c r="C78" s="526"/>
      <c r="D78" s="526"/>
      <c r="E78" s="251"/>
      <c r="F78" s="252"/>
      <c r="G78" s="253"/>
      <c r="H78" s="254"/>
      <c r="I78" s="253"/>
      <c r="J78" s="253"/>
      <c r="K78" s="251"/>
      <c r="L78" s="255"/>
      <c r="M78" s="256"/>
      <c r="N78" s="260"/>
      <c r="O78" s="256"/>
      <c r="P78" s="260"/>
      <c r="Q78" s="256"/>
      <c r="R78" s="260"/>
      <c r="S78" s="256"/>
      <c r="T78" s="260"/>
      <c r="U78" s="256"/>
      <c r="V78" s="260"/>
      <c r="W78" s="256"/>
      <c r="X78" s="260"/>
      <c r="Y78" s="256"/>
      <c r="Z78" s="260"/>
    </row>
    <row r="79" spans="1:26" ht="15" customHeight="1">
      <c r="A79" s="250">
        <f>A77+1</f>
        <v>43</v>
      </c>
      <c r="B79" s="251"/>
      <c r="C79" s="646" t="s">
        <v>2261</v>
      </c>
      <c r="D79" s="526" t="s">
        <v>572</v>
      </c>
      <c r="E79" s="251" t="s">
        <v>2461</v>
      </c>
      <c r="F79" s="252">
        <f>M79+O79+Q79+S79+U79+W79+Y79</f>
        <v>3</v>
      </c>
      <c r="G79" s="253">
        <f t="shared" si="7"/>
        <v>430.4</v>
      </c>
      <c r="H79" s="254">
        <f>INT(F79*G79*100+0.5)/100</f>
        <v>1291.2</v>
      </c>
      <c r="I79" s="253">
        <f>N79+P79+R79+T79+V79+X79+Z79</f>
        <v>1291.1999999999998</v>
      </c>
      <c r="J79" s="253"/>
      <c r="K79" s="251" t="s">
        <v>2461</v>
      </c>
      <c r="L79" s="255">
        <v>430.4</v>
      </c>
      <c r="M79" s="258">
        <v>1</v>
      </c>
      <c r="N79" s="257">
        <f t="shared" si="8"/>
        <v>430.4</v>
      </c>
      <c r="O79" s="258">
        <v>1</v>
      </c>
      <c r="P79" s="257">
        <f t="shared" si="9"/>
        <v>430.4</v>
      </c>
      <c r="Q79" s="258">
        <v>1</v>
      </c>
      <c r="R79" s="257">
        <f t="shared" si="10"/>
        <v>430.4</v>
      </c>
      <c r="S79" s="258">
        <v>0</v>
      </c>
      <c r="T79" s="257">
        <f t="shared" si="11"/>
        <v>0</v>
      </c>
      <c r="U79" s="258">
        <v>0</v>
      </c>
      <c r="V79" s="257">
        <f t="shared" si="12"/>
        <v>0</v>
      </c>
      <c r="W79" s="258">
        <v>0</v>
      </c>
      <c r="X79" s="257">
        <f t="shared" si="13"/>
        <v>0</v>
      </c>
      <c r="Y79" s="258">
        <v>0</v>
      </c>
      <c r="Z79" s="257">
        <f t="shared" si="14"/>
        <v>0</v>
      </c>
    </row>
    <row r="80" spans="1:26" ht="15" customHeight="1">
      <c r="A80" s="250"/>
      <c r="B80" s="251"/>
      <c r="C80" s="646"/>
      <c r="D80" s="526"/>
      <c r="E80" s="251"/>
      <c r="F80" s="252"/>
      <c r="G80" s="253"/>
      <c r="H80" s="254"/>
      <c r="I80" s="253"/>
      <c r="J80" s="253"/>
      <c r="K80" s="251"/>
      <c r="L80" s="255"/>
      <c r="M80" s="256"/>
      <c r="N80" s="260"/>
      <c r="O80" s="256"/>
      <c r="P80" s="260"/>
      <c r="Q80" s="256"/>
      <c r="R80" s="260"/>
      <c r="S80" s="256"/>
      <c r="T80" s="260"/>
      <c r="U80" s="256"/>
      <c r="V80" s="260"/>
      <c r="W80" s="256"/>
      <c r="X80" s="260"/>
      <c r="Y80" s="256"/>
      <c r="Z80" s="260"/>
    </row>
    <row r="81" spans="1:26" ht="15" customHeight="1">
      <c r="A81" s="250">
        <f>A79+1</f>
        <v>44</v>
      </c>
      <c r="B81" s="251"/>
      <c r="C81" s="646" t="s">
        <v>2262</v>
      </c>
      <c r="D81" s="526" t="s">
        <v>573</v>
      </c>
      <c r="E81" s="251" t="s">
        <v>2461</v>
      </c>
      <c r="F81" s="252">
        <f>M81+O81+Q81+S81+U81+W81+Y81</f>
        <v>3</v>
      </c>
      <c r="G81" s="253">
        <f t="shared" si="7"/>
        <v>293.3</v>
      </c>
      <c r="H81" s="254">
        <f>INT(F81*G81*100+0.5)/100</f>
        <v>879.9</v>
      </c>
      <c r="I81" s="253">
        <f>N81+P81+R81+T81+V81+X81+Z81</f>
        <v>879.90000000000009</v>
      </c>
      <c r="J81" s="253"/>
      <c r="K81" s="251" t="s">
        <v>2461</v>
      </c>
      <c r="L81" s="255">
        <v>293.3</v>
      </c>
      <c r="M81" s="258">
        <v>1</v>
      </c>
      <c r="N81" s="257">
        <f t="shared" si="8"/>
        <v>293.3</v>
      </c>
      <c r="O81" s="258">
        <v>1</v>
      </c>
      <c r="P81" s="257">
        <f t="shared" si="9"/>
        <v>293.3</v>
      </c>
      <c r="Q81" s="258">
        <v>1</v>
      </c>
      <c r="R81" s="257">
        <f t="shared" si="10"/>
        <v>293.3</v>
      </c>
      <c r="S81" s="258">
        <v>0</v>
      </c>
      <c r="T81" s="257">
        <f t="shared" si="11"/>
        <v>0</v>
      </c>
      <c r="U81" s="258">
        <v>0</v>
      </c>
      <c r="V81" s="257">
        <f t="shared" si="12"/>
        <v>0</v>
      </c>
      <c r="W81" s="258">
        <v>0</v>
      </c>
      <c r="X81" s="257">
        <f t="shared" si="13"/>
        <v>0</v>
      </c>
      <c r="Y81" s="258">
        <v>0</v>
      </c>
      <c r="Z81" s="257">
        <f t="shared" si="14"/>
        <v>0</v>
      </c>
    </row>
    <row r="82" spans="1:26" ht="15" customHeight="1">
      <c r="A82" s="250">
        <f>A81+1</f>
        <v>45</v>
      </c>
      <c r="B82" s="251"/>
      <c r="C82" s="646" t="s">
        <v>2263</v>
      </c>
      <c r="D82" s="526" t="s">
        <v>2264</v>
      </c>
      <c r="E82" s="251" t="s">
        <v>2461</v>
      </c>
      <c r="F82" s="252">
        <f>M82+O82+Q82+S82+U82+W82+Y82</f>
        <v>3</v>
      </c>
      <c r="G82" s="253">
        <f>L82</f>
        <v>327.64999999999998</v>
      </c>
      <c r="H82" s="254">
        <f>INT(F82*G82*100+0.5)/100</f>
        <v>982.95</v>
      </c>
      <c r="I82" s="253">
        <f>N82+P82+R82+T82+V82+X82+Z82</f>
        <v>982.94999999999993</v>
      </c>
      <c r="J82" s="253"/>
      <c r="K82" s="251" t="s">
        <v>2461</v>
      </c>
      <c r="L82" s="255">
        <v>327.64999999999998</v>
      </c>
      <c r="M82" s="258">
        <v>1</v>
      </c>
      <c r="N82" s="257">
        <f>INT($L82*M82*100+0.5)/100</f>
        <v>327.64999999999998</v>
      </c>
      <c r="O82" s="258">
        <v>1</v>
      </c>
      <c r="P82" s="257">
        <f>INT($L82*O82*100+0.5)/100</f>
        <v>327.64999999999998</v>
      </c>
      <c r="Q82" s="258">
        <v>1</v>
      </c>
      <c r="R82" s="257">
        <f>INT($L82*Q82*100+0.5)/100</f>
        <v>327.64999999999998</v>
      </c>
      <c r="S82" s="258">
        <v>0</v>
      </c>
      <c r="T82" s="257">
        <f>INT($L82*S82*100+0.5)/100</f>
        <v>0</v>
      </c>
      <c r="U82" s="258">
        <v>0</v>
      </c>
      <c r="V82" s="257">
        <f>INT($L82*U82*100+0.5)/100</f>
        <v>0</v>
      </c>
      <c r="W82" s="258">
        <v>0</v>
      </c>
      <c r="X82" s="257">
        <f>INT($L82*W82*100+0.5)/100</f>
        <v>0</v>
      </c>
      <c r="Y82" s="258">
        <v>0</v>
      </c>
      <c r="Z82" s="257">
        <f>INT($L82*Y82*100+0.5)/100</f>
        <v>0</v>
      </c>
    </row>
    <row r="83" spans="1:26" ht="15" customHeight="1">
      <c r="A83" s="250"/>
      <c r="B83" s="251"/>
      <c r="C83" s="646"/>
      <c r="D83" s="526"/>
      <c r="E83" s="251"/>
      <c r="F83" s="252"/>
      <c r="G83" s="253"/>
      <c r="H83" s="254"/>
      <c r="I83" s="253"/>
      <c r="J83" s="253"/>
      <c r="K83" s="251"/>
      <c r="L83" s="255"/>
      <c r="M83" s="256"/>
      <c r="N83" s="260"/>
      <c r="O83" s="256"/>
      <c r="P83" s="260"/>
      <c r="Q83" s="256"/>
      <c r="R83" s="260"/>
      <c r="S83" s="256"/>
      <c r="T83" s="260"/>
      <c r="U83" s="256"/>
      <c r="V83" s="260"/>
      <c r="W83" s="256"/>
      <c r="X83" s="260"/>
      <c r="Y83" s="256"/>
      <c r="Z83" s="260"/>
    </row>
    <row r="84" spans="1:26" ht="25.5">
      <c r="A84" s="250">
        <f>A82+1</f>
        <v>46</v>
      </c>
      <c r="B84" s="251"/>
      <c r="C84" s="646" t="s">
        <v>2279</v>
      </c>
      <c r="D84" s="526" t="s">
        <v>2434</v>
      </c>
      <c r="E84" s="251" t="s">
        <v>2475</v>
      </c>
      <c r="F84" s="252">
        <f>M84+O84+Q84+S84+U84+W84+Y84</f>
        <v>6</v>
      </c>
      <c r="G84" s="253">
        <f t="shared" si="7"/>
        <v>39.56</v>
      </c>
      <c r="H84" s="254">
        <f>INT(F84*G84*100+0.5)/100</f>
        <v>237.36</v>
      </c>
      <c r="I84" s="253">
        <f>N84+P84+R84+T84+V84+X84+Z84</f>
        <v>237.36</v>
      </c>
      <c r="J84" s="253"/>
      <c r="K84" s="251" t="s">
        <v>2475</v>
      </c>
      <c r="L84" s="255">
        <v>39.56</v>
      </c>
      <c r="M84" s="258">
        <v>6</v>
      </c>
      <c r="N84" s="257">
        <f t="shared" si="8"/>
        <v>237.36</v>
      </c>
      <c r="O84" s="258">
        <v>0</v>
      </c>
      <c r="P84" s="257">
        <f t="shared" si="9"/>
        <v>0</v>
      </c>
      <c r="Q84" s="258">
        <v>0</v>
      </c>
      <c r="R84" s="257">
        <f t="shared" si="10"/>
        <v>0</v>
      </c>
      <c r="S84" s="258">
        <v>0</v>
      </c>
      <c r="T84" s="257">
        <f t="shared" si="11"/>
        <v>0</v>
      </c>
      <c r="U84" s="258">
        <v>0</v>
      </c>
      <c r="V84" s="257">
        <f t="shared" si="12"/>
        <v>0</v>
      </c>
      <c r="W84" s="258">
        <v>0</v>
      </c>
      <c r="X84" s="257">
        <f t="shared" si="13"/>
        <v>0</v>
      </c>
      <c r="Y84" s="258">
        <v>0</v>
      </c>
      <c r="Z84" s="257">
        <f t="shared" si="14"/>
        <v>0</v>
      </c>
    </row>
    <row r="85" spans="1:26" ht="25.5">
      <c r="A85" s="250">
        <f>A84+1</f>
        <v>47</v>
      </c>
      <c r="B85" s="251"/>
      <c r="C85" s="646" t="s">
        <v>2280</v>
      </c>
      <c r="D85" s="526" t="s">
        <v>2433</v>
      </c>
      <c r="E85" s="251" t="s">
        <v>2475</v>
      </c>
      <c r="F85" s="252">
        <f>M85+O85+Q85+S85+U85+W85+Y85</f>
        <v>6</v>
      </c>
      <c r="G85" s="253">
        <f t="shared" si="7"/>
        <v>44.31</v>
      </c>
      <c r="H85" s="254">
        <f>INT(F85*G85*100+0.5)/100</f>
        <v>265.86</v>
      </c>
      <c r="I85" s="253">
        <f>N85+P85+R85+T85+V85+X85+Z85</f>
        <v>265.86</v>
      </c>
      <c r="J85" s="253"/>
      <c r="K85" s="251" t="s">
        <v>2475</v>
      </c>
      <c r="L85" s="255">
        <v>44.31</v>
      </c>
      <c r="M85" s="258">
        <v>6</v>
      </c>
      <c r="N85" s="257">
        <f t="shared" si="8"/>
        <v>265.86</v>
      </c>
      <c r="O85" s="258">
        <v>0</v>
      </c>
      <c r="P85" s="257">
        <f t="shared" si="9"/>
        <v>0</v>
      </c>
      <c r="Q85" s="258">
        <v>0</v>
      </c>
      <c r="R85" s="257">
        <f t="shared" si="10"/>
        <v>0</v>
      </c>
      <c r="S85" s="258">
        <v>0</v>
      </c>
      <c r="T85" s="257">
        <f t="shared" si="11"/>
        <v>0</v>
      </c>
      <c r="U85" s="258">
        <v>0</v>
      </c>
      <c r="V85" s="257">
        <f t="shared" si="12"/>
        <v>0</v>
      </c>
      <c r="W85" s="258">
        <v>0</v>
      </c>
      <c r="X85" s="257">
        <f t="shared" si="13"/>
        <v>0</v>
      </c>
      <c r="Y85" s="258">
        <v>0</v>
      </c>
      <c r="Z85" s="257">
        <f t="shared" si="14"/>
        <v>0</v>
      </c>
    </row>
    <row r="86" spans="1:26" ht="25.5">
      <c r="A86" s="250">
        <f>A85+1</f>
        <v>48</v>
      </c>
      <c r="B86" s="251"/>
      <c r="C86" s="646" t="s">
        <v>2281</v>
      </c>
      <c r="D86" s="526" t="s">
        <v>1317</v>
      </c>
      <c r="E86" s="251" t="s">
        <v>2475</v>
      </c>
      <c r="F86" s="252">
        <f>M86+O86+Q86+S86+U86+W86+Y86</f>
        <v>6</v>
      </c>
      <c r="G86" s="253">
        <f t="shared" si="7"/>
        <v>52.74</v>
      </c>
      <c r="H86" s="254">
        <f>INT(F86*G86*100+0.5)/100</f>
        <v>316.44</v>
      </c>
      <c r="I86" s="253">
        <f>N86+P86+R86+T86+V86+X86+Z86</f>
        <v>316.44</v>
      </c>
      <c r="J86" s="253"/>
      <c r="K86" s="251" t="s">
        <v>2475</v>
      </c>
      <c r="L86" s="255">
        <v>52.74</v>
      </c>
      <c r="M86" s="258">
        <v>6</v>
      </c>
      <c r="N86" s="257">
        <f t="shared" si="8"/>
        <v>316.44</v>
      </c>
      <c r="O86" s="258">
        <v>0</v>
      </c>
      <c r="P86" s="257">
        <f t="shared" si="9"/>
        <v>0</v>
      </c>
      <c r="Q86" s="258">
        <v>0</v>
      </c>
      <c r="R86" s="257">
        <f t="shared" si="10"/>
        <v>0</v>
      </c>
      <c r="S86" s="258">
        <v>0</v>
      </c>
      <c r="T86" s="257">
        <f t="shared" si="11"/>
        <v>0</v>
      </c>
      <c r="U86" s="258">
        <v>0</v>
      </c>
      <c r="V86" s="257">
        <f t="shared" si="12"/>
        <v>0</v>
      </c>
      <c r="W86" s="258">
        <v>0</v>
      </c>
      <c r="X86" s="257">
        <f t="shared" si="13"/>
        <v>0</v>
      </c>
      <c r="Y86" s="258">
        <v>0</v>
      </c>
      <c r="Z86" s="257">
        <f t="shared" si="14"/>
        <v>0</v>
      </c>
    </row>
    <row r="87" spans="1:26" ht="25.5">
      <c r="A87" s="250">
        <f>A86+1</f>
        <v>49</v>
      </c>
      <c r="B87" s="251"/>
      <c r="C87" s="646" t="s">
        <v>2282</v>
      </c>
      <c r="D87" s="526" t="s">
        <v>2435</v>
      </c>
      <c r="E87" s="251" t="s">
        <v>2475</v>
      </c>
      <c r="F87" s="252">
        <f>M87+O87+Q87+S87+U87+W87+Y87</f>
        <v>6</v>
      </c>
      <c r="G87" s="253">
        <f t="shared" si="7"/>
        <v>61.48</v>
      </c>
      <c r="H87" s="254">
        <f>INT(F87*G87*100+0.5)/100</f>
        <v>368.88</v>
      </c>
      <c r="I87" s="253">
        <f>N87+P87+R87+T87+V87+X87+Z87</f>
        <v>368.88</v>
      </c>
      <c r="J87" s="253"/>
      <c r="K87" s="251" t="s">
        <v>2475</v>
      </c>
      <c r="L87" s="255">
        <v>61.48</v>
      </c>
      <c r="M87" s="258">
        <v>6</v>
      </c>
      <c r="N87" s="257">
        <f t="shared" si="8"/>
        <v>368.88</v>
      </c>
      <c r="O87" s="258">
        <v>0</v>
      </c>
      <c r="P87" s="257">
        <f t="shared" si="9"/>
        <v>0</v>
      </c>
      <c r="Q87" s="258">
        <v>0</v>
      </c>
      <c r="R87" s="257">
        <f t="shared" si="10"/>
        <v>0</v>
      </c>
      <c r="S87" s="258">
        <v>0</v>
      </c>
      <c r="T87" s="257">
        <f t="shared" si="11"/>
        <v>0</v>
      </c>
      <c r="U87" s="258">
        <v>0</v>
      </c>
      <c r="V87" s="257">
        <f t="shared" si="12"/>
        <v>0</v>
      </c>
      <c r="W87" s="258">
        <v>0</v>
      </c>
      <c r="X87" s="257">
        <f t="shared" si="13"/>
        <v>0</v>
      </c>
      <c r="Y87" s="258">
        <v>0</v>
      </c>
      <c r="Z87" s="257">
        <f t="shared" si="14"/>
        <v>0</v>
      </c>
    </row>
    <row r="88" spans="1:26" ht="25.5">
      <c r="A88" s="250">
        <f>A87+1</f>
        <v>50</v>
      </c>
      <c r="B88" s="251"/>
      <c r="C88" s="646" t="s">
        <v>2283</v>
      </c>
      <c r="D88" s="526" t="s">
        <v>2284</v>
      </c>
      <c r="E88" s="251" t="s">
        <v>2475</v>
      </c>
      <c r="F88" s="252">
        <f>M88+O88+Q88+S88+U88+W88+Y88</f>
        <v>6</v>
      </c>
      <c r="G88" s="253">
        <f>L88</f>
        <v>84.82</v>
      </c>
      <c r="H88" s="254">
        <f>INT(F88*G88*100+0.5)/100</f>
        <v>508.92</v>
      </c>
      <c r="I88" s="253">
        <f>N88+P88+R88+T88+V88+X88+Z88</f>
        <v>508.92</v>
      </c>
      <c r="J88" s="253"/>
      <c r="K88" s="251" t="s">
        <v>2475</v>
      </c>
      <c r="L88" s="255">
        <v>84.82</v>
      </c>
      <c r="M88" s="258">
        <v>6</v>
      </c>
      <c r="N88" s="257">
        <f>INT($L88*M88*100+0.5)/100</f>
        <v>508.92</v>
      </c>
      <c r="O88" s="258">
        <v>0</v>
      </c>
      <c r="P88" s="257">
        <f>INT($L88*O88*100+0.5)/100</f>
        <v>0</v>
      </c>
      <c r="Q88" s="258">
        <v>0</v>
      </c>
      <c r="R88" s="257">
        <f>INT($L88*Q88*100+0.5)/100</f>
        <v>0</v>
      </c>
      <c r="S88" s="258">
        <v>0</v>
      </c>
      <c r="T88" s="257">
        <f>INT($L88*S88*100+0.5)/100</f>
        <v>0</v>
      </c>
      <c r="U88" s="258">
        <v>0</v>
      </c>
      <c r="V88" s="257">
        <f>INT($L88*U88*100+0.5)/100</f>
        <v>0</v>
      </c>
      <c r="W88" s="258">
        <v>0</v>
      </c>
      <c r="X88" s="257">
        <f>INT($L88*W88*100+0.5)/100</f>
        <v>0</v>
      </c>
      <c r="Y88" s="258">
        <v>0</v>
      </c>
      <c r="Z88" s="257">
        <f>INT($L88*Y88*100+0.5)/100</f>
        <v>0</v>
      </c>
    </row>
    <row r="89" spans="1:26" ht="15" customHeight="1">
      <c r="A89" s="250"/>
      <c r="B89" s="251"/>
      <c r="C89" s="526"/>
      <c r="D89" s="526"/>
      <c r="E89" s="251"/>
      <c r="F89" s="252"/>
      <c r="G89" s="253"/>
      <c r="H89" s="254"/>
      <c r="I89" s="253"/>
      <c r="J89" s="253"/>
      <c r="K89" s="251"/>
      <c r="L89" s="255"/>
      <c r="M89" s="256"/>
      <c r="N89" s="260"/>
      <c r="O89" s="256"/>
      <c r="P89" s="260"/>
      <c r="Q89" s="256"/>
      <c r="R89" s="260"/>
      <c r="S89" s="256"/>
      <c r="T89" s="260"/>
      <c r="U89" s="256"/>
      <c r="V89" s="260"/>
      <c r="W89" s="256"/>
      <c r="X89" s="260"/>
      <c r="Y89" s="256"/>
      <c r="Z89" s="260"/>
    </row>
    <row r="90" spans="1:26" ht="25.5">
      <c r="A90" s="250">
        <f>A88+1</f>
        <v>51</v>
      </c>
      <c r="B90" s="251"/>
      <c r="C90" s="646" t="s">
        <v>2285</v>
      </c>
      <c r="D90" s="526" t="s">
        <v>2436</v>
      </c>
      <c r="E90" s="251" t="s">
        <v>1620</v>
      </c>
      <c r="F90" s="252">
        <f>M90+O90+Q90+S90+U90+W90+Y90</f>
        <v>230</v>
      </c>
      <c r="G90" s="253">
        <f>L90</f>
        <v>0.28000000000000003</v>
      </c>
      <c r="H90" s="254">
        <f>INT(F90*G90*100+0.5)/100</f>
        <v>64.400000000000006</v>
      </c>
      <c r="I90" s="253">
        <f>N90+P90+R90+T90+V90+X90+Z90</f>
        <v>64.400000000000006</v>
      </c>
      <c r="J90" s="253"/>
      <c r="K90" s="251" t="s">
        <v>1620</v>
      </c>
      <c r="L90" s="255">
        <v>0.28000000000000003</v>
      </c>
      <c r="M90" s="258">
        <v>230</v>
      </c>
      <c r="N90" s="257">
        <f t="shared" si="8"/>
        <v>64.400000000000006</v>
      </c>
      <c r="O90" s="258">
        <v>0</v>
      </c>
      <c r="P90" s="257">
        <f t="shared" si="9"/>
        <v>0</v>
      </c>
      <c r="Q90" s="258">
        <v>0</v>
      </c>
      <c r="R90" s="257">
        <f t="shared" si="10"/>
        <v>0</v>
      </c>
      <c r="S90" s="258">
        <v>0</v>
      </c>
      <c r="T90" s="257">
        <f t="shared" si="11"/>
        <v>0</v>
      </c>
      <c r="U90" s="258">
        <v>0</v>
      </c>
      <c r="V90" s="257">
        <f t="shared" si="12"/>
        <v>0</v>
      </c>
      <c r="W90" s="258">
        <v>0</v>
      </c>
      <c r="X90" s="257">
        <f t="shared" si="13"/>
        <v>0</v>
      </c>
      <c r="Y90" s="258">
        <v>0</v>
      </c>
      <c r="Z90" s="257">
        <f t="shared" si="14"/>
        <v>0</v>
      </c>
    </row>
    <row r="91" spans="1:26" ht="25.5">
      <c r="A91" s="250">
        <f>A90+1</f>
        <v>52</v>
      </c>
      <c r="B91" s="251"/>
      <c r="C91" s="646" t="s">
        <v>2286</v>
      </c>
      <c r="D91" s="526" t="s">
        <v>2437</v>
      </c>
      <c r="E91" s="251" t="s">
        <v>1620</v>
      </c>
      <c r="F91" s="252">
        <f>M91+O91+Q91+S91+U91+W91+Y91</f>
        <v>340</v>
      </c>
      <c r="G91" s="253">
        <f>L91</f>
        <v>0.45</v>
      </c>
      <c r="H91" s="254">
        <f>INT(F91*G91*100+0.5)/100</f>
        <v>153</v>
      </c>
      <c r="I91" s="253">
        <f>N91+P91+R91+T91+V91+X91+Z91</f>
        <v>153</v>
      </c>
      <c r="J91" s="253"/>
      <c r="K91" s="251" t="s">
        <v>1620</v>
      </c>
      <c r="L91" s="255">
        <v>0.45</v>
      </c>
      <c r="M91" s="258">
        <v>340</v>
      </c>
      <c r="N91" s="257">
        <f t="shared" si="8"/>
        <v>153</v>
      </c>
      <c r="O91" s="258">
        <v>0</v>
      </c>
      <c r="P91" s="257">
        <f t="shared" si="9"/>
        <v>0</v>
      </c>
      <c r="Q91" s="258">
        <v>0</v>
      </c>
      <c r="R91" s="257">
        <f t="shared" si="10"/>
        <v>0</v>
      </c>
      <c r="S91" s="258">
        <v>0</v>
      </c>
      <c r="T91" s="257">
        <f t="shared" si="11"/>
        <v>0</v>
      </c>
      <c r="U91" s="258">
        <v>0</v>
      </c>
      <c r="V91" s="257">
        <f t="shared" si="12"/>
        <v>0</v>
      </c>
      <c r="W91" s="258">
        <v>0</v>
      </c>
      <c r="X91" s="257">
        <f t="shared" si="13"/>
        <v>0</v>
      </c>
      <c r="Y91" s="258">
        <v>0</v>
      </c>
      <c r="Z91" s="257">
        <f t="shared" si="14"/>
        <v>0</v>
      </c>
    </row>
    <row r="92" spans="1:26" ht="25.5">
      <c r="A92" s="250">
        <f>A91+1</f>
        <v>53</v>
      </c>
      <c r="B92" s="251"/>
      <c r="C92" s="646" t="s">
        <v>2287</v>
      </c>
      <c r="D92" s="526" t="s">
        <v>2288</v>
      </c>
      <c r="E92" s="251" t="s">
        <v>1620</v>
      </c>
      <c r="F92" s="252">
        <f>M92+O92+Q92+S92+U92+W92+Y92</f>
        <v>340</v>
      </c>
      <c r="G92" s="253">
        <f>L92</f>
        <v>0.99</v>
      </c>
      <c r="H92" s="254">
        <f>INT(F92*G92*100+0.5)/100</f>
        <v>336.6</v>
      </c>
      <c r="I92" s="253">
        <f>N92+P92+R92+T92+V92+X92+Z92</f>
        <v>336.6</v>
      </c>
      <c r="J92" s="253"/>
      <c r="K92" s="251" t="s">
        <v>1620</v>
      </c>
      <c r="L92" s="255">
        <v>0.99</v>
      </c>
      <c r="M92" s="258">
        <v>340</v>
      </c>
      <c r="N92" s="257">
        <f>INT($L92*M92*100+0.5)/100</f>
        <v>336.6</v>
      </c>
      <c r="O92" s="258">
        <v>0</v>
      </c>
      <c r="P92" s="257">
        <f>INT($L92*O92*100+0.5)/100</f>
        <v>0</v>
      </c>
      <c r="Q92" s="258">
        <v>0</v>
      </c>
      <c r="R92" s="257">
        <f>INT($L92*Q92*100+0.5)/100</f>
        <v>0</v>
      </c>
      <c r="S92" s="258">
        <v>0</v>
      </c>
      <c r="T92" s="257">
        <f>INT($L92*S92*100+0.5)/100</f>
        <v>0</v>
      </c>
      <c r="U92" s="258">
        <v>0</v>
      </c>
      <c r="V92" s="257">
        <f>INT($L92*U92*100+0.5)/100</f>
        <v>0</v>
      </c>
      <c r="W92" s="258">
        <v>0</v>
      </c>
      <c r="X92" s="257">
        <f>INT($L92*W92*100+0.5)/100</f>
        <v>0</v>
      </c>
      <c r="Y92" s="258">
        <v>0</v>
      </c>
      <c r="Z92" s="257">
        <f>INT($L92*Y92*100+0.5)/100</f>
        <v>0</v>
      </c>
    </row>
    <row r="93" spans="1:26" ht="25.5">
      <c r="A93" s="250">
        <f>A92+1</f>
        <v>54</v>
      </c>
      <c r="B93" s="251"/>
      <c r="C93" s="646" t="s">
        <v>2289</v>
      </c>
      <c r="D93" s="526" t="s">
        <v>2438</v>
      </c>
      <c r="E93" s="251" t="s">
        <v>1620</v>
      </c>
      <c r="F93" s="252">
        <f>M93+O93+Q93+S93+U93+W93+Y93</f>
        <v>300</v>
      </c>
      <c r="G93" s="253">
        <f>L93</f>
        <v>2.11</v>
      </c>
      <c r="H93" s="254">
        <f>INT(F93*G93*100+0.5)/100</f>
        <v>633</v>
      </c>
      <c r="I93" s="253">
        <f>N93+P93+R93+T93+V93+X93+Z93</f>
        <v>633</v>
      </c>
      <c r="J93" s="253"/>
      <c r="K93" s="251" t="s">
        <v>1620</v>
      </c>
      <c r="L93" s="255">
        <v>2.11</v>
      </c>
      <c r="M93" s="258">
        <v>300</v>
      </c>
      <c r="N93" s="257">
        <f t="shared" si="8"/>
        <v>633</v>
      </c>
      <c r="O93" s="258">
        <v>0</v>
      </c>
      <c r="P93" s="257">
        <f t="shared" si="9"/>
        <v>0</v>
      </c>
      <c r="Q93" s="258">
        <v>0</v>
      </c>
      <c r="R93" s="257">
        <f t="shared" si="10"/>
        <v>0</v>
      </c>
      <c r="S93" s="258">
        <v>0</v>
      </c>
      <c r="T93" s="257">
        <f t="shared" si="11"/>
        <v>0</v>
      </c>
      <c r="U93" s="258">
        <v>0</v>
      </c>
      <c r="V93" s="257">
        <f t="shared" si="12"/>
        <v>0</v>
      </c>
      <c r="W93" s="258">
        <v>0</v>
      </c>
      <c r="X93" s="257">
        <f t="shared" si="13"/>
        <v>0</v>
      </c>
      <c r="Y93" s="258">
        <v>0</v>
      </c>
      <c r="Z93" s="257">
        <f t="shared" si="14"/>
        <v>0</v>
      </c>
    </row>
    <row r="94" spans="1:26" ht="15" customHeight="1">
      <c r="A94" s="250"/>
      <c r="B94" s="251"/>
      <c r="C94" s="646"/>
      <c r="D94" s="526"/>
      <c r="E94" s="251"/>
      <c r="F94" s="252"/>
      <c r="G94" s="253"/>
      <c r="H94" s="254"/>
      <c r="I94" s="253"/>
      <c r="J94" s="253"/>
      <c r="K94" s="251"/>
      <c r="L94" s="255"/>
      <c r="M94" s="256"/>
      <c r="N94" s="260"/>
      <c r="O94" s="256"/>
      <c r="P94" s="260"/>
      <c r="Q94" s="256"/>
      <c r="R94" s="260"/>
      <c r="S94" s="256"/>
      <c r="T94" s="260"/>
      <c r="U94" s="256"/>
      <c r="V94" s="260"/>
      <c r="W94" s="256"/>
      <c r="X94" s="260"/>
      <c r="Y94" s="256"/>
      <c r="Z94" s="260"/>
    </row>
    <row r="95" spans="1:26" ht="25.5">
      <c r="A95" s="250">
        <f>A93+1</f>
        <v>55</v>
      </c>
      <c r="B95" s="251"/>
      <c r="C95" s="646" t="s">
        <v>2290</v>
      </c>
      <c r="D95" s="526" t="s">
        <v>2439</v>
      </c>
      <c r="E95" s="251" t="s">
        <v>1439</v>
      </c>
      <c r="F95" s="252">
        <f>M95+O95+Q95+S95+U95+W95+Y95</f>
        <v>60</v>
      </c>
      <c r="G95" s="253">
        <f>L95</f>
        <v>3.03</v>
      </c>
      <c r="H95" s="254">
        <f>INT(F95*G95*100+0.5)/100</f>
        <v>181.8</v>
      </c>
      <c r="I95" s="253">
        <f>N95+P95+R95+T95+V95+X95+Z95</f>
        <v>181.8</v>
      </c>
      <c r="J95" s="253"/>
      <c r="K95" s="251" t="s">
        <v>1439</v>
      </c>
      <c r="L95" s="255">
        <v>3.03</v>
      </c>
      <c r="M95" s="258">
        <v>60</v>
      </c>
      <c r="N95" s="257">
        <f t="shared" si="8"/>
        <v>181.8</v>
      </c>
      <c r="O95" s="258">
        <v>0</v>
      </c>
      <c r="P95" s="257">
        <f t="shared" si="9"/>
        <v>0</v>
      </c>
      <c r="Q95" s="258">
        <v>0</v>
      </c>
      <c r="R95" s="257">
        <f t="shared" si="10"/>
        <v>0</v>
      </c>
      <c r="S95" s="258">
        <v>0</v>
      </c>
      <c r="T95" s="257">
        <f t="shared" si="11"/>
        <v>0</v>
      </c>
      <c r="U95" s="258">
        <v>0</v>
      </c>
      <c r="V95" s="257">
        <f t="shared" si="12"/>
        <v>0</v>
      </c>
      <c r="W95" s="258">
        <v>0</v>
      </c>
      <c r="X95" s="257">
        <f t="shared" si="13"/>
        <v>0</v>
      </c>
      <c r="Y95" s="258">
        <v>0</v>
      </c>
      <c r="Z95" s="257">
        <f t="shared" si="14"/>
        <v>0</v>
      </c>
    </row>
    <row r="96" spans="1:26" ht="38.25">
      <c r="A96" s="250">
        <f>A95+1</f>
        <v>56</v>
      </c>
      <c r="B96" s="251"/>
      <c r="C96" s="646" t="s">
        <v>2291</v>
      </c>
      <c r="D96" s="526" t="s">
        <v>2440</v>
      </c>
      <c r="E96" s="251" t="s">
        <v>1439</v>
      </c>
      <c r="F96" s="252">
        <f>M96+O96+Q96+S96+U96+W96+Y96</f>
        <v>140</v>
      </c>
      <c r="G96" s="253">
        <f>L96</f>
        <v>2.08</v>
      </c>
      <c r="H96" s="254">
        <f>INT(F96*G96*100+0.5)/100</f>
        <v>291.2</v>
      </c>
      <c r="I96" s="253">
        <f>N96+P96+R96+T96+V96+X96+Z96</f>
        <v>291.2</v>
      </c>
      <c r="J96" s="253"/>
      <c r="K96" s="251" t="s">
        <v>1439</v>
      </c>
      <c r="L96" s="255">
        <v>2.08</v>
      </c>
      <c r="M96" s="258">
        <v>140</v>
      </c>
      <c r="N96" s="257">
        <f t="shared" si="8"/>
        <v>291.2</v>
      </c>
      <c r="O96" s="258">
        <v>0</v>
      </c>
      <c r="P96" s="257">
        <f t="shared" si="9"/>
        <v>0</v>
      </c>
      <c r="Q96" s="258">
        <v>0</v>
      </c>
      <c r="R96" s="257">
        <f t="shared" si="10"/>
        <v>0</v>
      </c>
      <c r="S96" s="258">
        <v>0</v>
      </c>
      <c r="T96" s="257">
        <f t="shared" si="11"/>
        <v>0</v>
      </c>
      <c r="U96" s="258">
        <v>0</v>
      </c>
      <c r="V96" s="257">
        <f t="shared" si="12"/>
        <v>0</v>
      </c>
      <c r="W96" s="258">
        <v>0</v>
      </c>
      <c r="X96" s="257">
        <f t="shared" si="13"/>
        <v>0</v>
      </c>
      <c r="Y96" s="258">
        <v>0</v>
      </c>
      <c r="Z96" s="257">
        <f t="shared" si="14"/>
        <v>0</v>
      </c>
    </row>
    <row r="97" spans="1:26" ht="15" customHeight="1">
      <c r="A97" s="250"/>
      <c r="B97" s="251"/>
      <c r="C97" s="646"/>
      <c r="D97" s="526"/>
      <c r="E97" s="251"/>
      <c r="F97" s="252"/>
      <c r="G97" s="253"/>
      <c r="H97" s="254"/>
      <c r="I97" s="253"/>
      <c r="J97" s="253"/>
      <c r="K97" s="251"/>
      <c r="L97" s="255"/>
      <c r="M97" s="256"/>
      <c r="N97" s="260"/>
      <c r="O97" s="256"/>
      <c r="P97" s="260"/>
      <c r="Q97" s="256"/>
      <c r="R97" s="260"/>
      <c r="S97" s="256"/>
      <c r="T97" s="260"/>
      <c r="U97" s="256"/>
      <c r="V97" s="260"/>
      <c r="W97" s="256"/>
      <c r="X97" s="260"/>
      <c r="Y97" s="256"/>
      <c r="Z97" s="260"/>
    </row>
    <row r="98" spans="1:26" ht="25.5">
      <c r="A98" s="250">
        <f>A96+1</f>
        <v>57</v>
      </c>
      <c r="B98" s="251"/>
      <c r="C98" s="646" t="s">
        <v>2292</v>
      </c>
      <c r="D98" s="526" t="s">
        <v>2441</v>
      </c>
      <c r="E98" s="251" t="s">
        <v>1898</v>
      </c>
      <c r="F98" s="252">
        <f>M98+O98+Q98+S98+U98+W98+Y98</f>
        <v>170</v>
      </c>
      <c r="G98" s="253">
        <f>L98</f>
        <v>2.25</v>
      </c>
      <c r="H98" s="254">
        <f>INT(F98*G98*100+0.5)/100</f>
        <v>382.5</v>
      </c>
      <c r="I98" s="253">
        <f>N98+P98+R98+T98+V98+X98+Z98</f>
        <v>382.5</v>
      </c>
      <c r="J98" s="253"/>
      <c r="K98" s="251" t="s">
        <v>1898</v>
      </c>
      <c r="L98" s="255">
        <v>2.25</v>
      </c>
      <c r="M98" s="258">
        <v>30</v>
      </c>
      <c r="N98" s="257">
        <f t="shared" si="8"/>
        <v>67.5</v>
      </c>
      <c r="O98" s="258">
        <v>50</v>
      </c>
      <c r="P98" s="257">
        <f t="shared" si="9"/>
        <v>112.5</v>
      </c>
      <c r="Q98" s="258">
        <v>30</v>
      </c>
      <c r="R98" s="257">
        <f t="shared" si="10"/>
        <v>67.5</v>
      </c>
      <c r="S98" s="258">
        <v>0</v>
      </c>
      <c r="T98" s="257">
        <f t="shared" si="11"/>
        <v>0</v>
      </c>
      <c r="U98" s="258">
        <v>60</v>
      </c>
      <c r="V98" s="257">
        <f t="shared" si="12"/>
        <v>135</v>
      </c>
      <c r="W98" s="258">
        <v>0</v>
      </c>
      <c r="X98" s="257">
        <f t="shared" si="13"/>
        <v>0</v>
      </c>
      <c r="Y98" s="258">
        <v>0</v>
      </c>
      <c r="Z98" s="257">
        <f t="shared" si="14"/>
        <v>0</v>
      </c>
    </row>
    <row r="99" spans="1:26" ht="15" customHeight="1">
      <c r="A99" s="250"/>
      <c r="B99" s="251"/>
      <c r="C99" s="646"/>
      <c r="D99" s="526"/>
      <c r="E99" s="251"/>
      <c r="F99" s="252"/>
      <c r="G99" s="253"/>
      <c r="H99" s="254"/>
      <c r="I99" s="253"/>
      <c r="J99" s="253"/>
      <c r="K99" s="251"/>
      <c r="L99" s="255"/>
      <c r="M99" s="256"/>
      <c r="N99" s="260"/>
      <c r="O99" s="256"/>
      <c r="P99" s="260"/>
      <c r="Q99" s="256"/>
      <c r="R99" s="260"/>
      <c r="S99" s="256"/>
      <c r="T99" s="260"/>
      <c r="U99" s="256"/>
      <c r="V99" s="260"/>
      <c r="W99" s="256"/>
      <c r="X99" s="260"/>
      <c r="Y99" s="256"/>
      <c r="Z99" s="260"/>
    </row>
    <row r="100" spans="1:26" ht="25.5">
      <c r="A100" s="250">
        <f>A98+1</f>
        <v>58</v>
      </c>
      <c r="B100" s="251"/>
      <c r="C100" s="646" t="s">
        <v>2293</v>
      </c>
      <c r="D100" s="526" t="s">
        <v>1318</v>
      </c>
      <c r="E100" s="251" t="s">
        <v>1439</v>
      </c>
      <c r="F100" s="252">
        <f>M100+O100+Q100+S100+U100+W100+Y100</f>
        <v>22</v>
      </c>
      <c r="G100" s="253">
        <f>L100</f>
        <v>16.25</v>
      </c>
      <c r="H100" s="254">
        <f>INT(F100*G100*100+0.5)/100</f>
        <v>357.5</v>
      </c>
      <c r="I100" s="253">
        <f>N100+P100+R100+T100+V100+X100+Z100</f>
        <v>357.5</v>
      </c>
      <c r="J100" s="253"/>
      <c r="K100" s="251" t="s">
        <v>1439</v>
      </c>
      <c r="L100" s="255">
        <v>16.25</v>
      </c>
      <c r="M100" s="258">
        <v>6</v>
      </c>
      <c r="N100" s="257">
        <f t="shared" si="8"/>
        <v>97.5</v>
      </c>
      <c r="O100" s="258">
        <v>10</v>
      </c>
      <c r="P100" s="257">
        <f t="shared" si="9"/>
        <v>162.5</v>
      </c>
      <c r="Q100" s="258">
        <v>6</v>
      </c>
      <c r="R100" s="257">
        <f t="shared" si="10"/>
        <v>97.5</v>
      </c>
      <c r="S100" s="258">
        <v>0</v>
      </c>
      <c r="T100" s="257">
        <f t="shared" si="11"/>
        <v>0</v>
      </c>
      <c r="U100" s="258">
        <v>0</v>
      </c>
      <c r="V100" s="257">
        <f t="shared" si="12"/>
        <v>0</v>
      </c>
      <c r="W100" s="258">
        <v>0</v>
      </c>
      <c r="X100" s="257">
        <f t="shared" si="13"/>
        <v>0</v>
      </c>
      <c r="Y100" s="258">
        <v>0</v>
      </c>
      <c r="Z100" s="257">
        <f t="shared" si="14"/>
        <v>0</v>
      </c>
    </row>
    <row r="101" spans="1:26" ht="25.5">
      <c r="A101" s="250">
        <f>A100+1</f>
        <v>59</v>
      </c>
      <c r="B101" s="251"/>
      <c r="C101" s="646" t="s">
        <v>2294</v>
      </c>
      <c r="D101" s="526" t="s">
        <v>1319</v>
      </c>
      <c r="E101" s="251" t="s">
        <v>1439</v>
      </c>
      <c r="F101" s="252">
        <f>M101+O101+Q101+S101+U101+W101+Y101</f>
        <v>26</v>
      </c>
      <c r="G101" s="253">
        <f>L101</f>
        <v>13.95</v>
      </c>
      <c r="H101" s="254">
        <f>INT(F101*G101*100+0.5)/100</f>
        <v>362.7</v>
      </c>
      <c r="I101" s="253">
        <f>N101+P101+R101+T101+V101+X101+Z101</f>
        <v>362.7</v>
      </c>
      <c r="J101" s="253"/>
      <c r="K101" s="251" t="s">
        <v>1439</v>
      </c>
      <c r="L101" s="255">
        <v>13.95</v>
      </c>
      <c r="M101" s="258">
        <v>10</v>
      </c>
      <c r="N101" s="257">
        <f t="shared" si="8"/>
        <v>139.5</v>
      </c>
      <c r="O101" s="258">
        <v>10</v>
      </c>
      <c r="P101" s="257">
        <f t="shared" si="9"/>
        <v>139.5</v>
      </c>
      <c r="Q101" s="258">
        <v>6</v>
      </c>
      <c r="R101" s="257">
        <f t="shared" si="10"/>
        <v>83.7</v>
      </c>
      <c r="S101" s="258">
        <v>0</v>
      </c>
      <c r="T101" s="257">
        <f t="shared" si="11"/>
        <v>0</v>
      </c>
      <c r="U101" s="258">
        <v>0</v>
      </c>
      <c r="V101" s="257">
        <f t="shared" si="12"/>
        <v>0</v>
      </c>
      <c r="W101" s="258">
        <v>0</v>
      </c>
      <c r="X101" s="257">
        <f t="shared" si="13"/>
        <v>0</v>
      </c>
      <c r="Y101" s="258">
        <v>0</v>
      </c>
      <c r="Z101" s="257">
        <f t="shared" si="14"/>
        <v>0</v>
      </c>
    </row>
    <row r="102" spans="1:26" ht="25.5">
      <c r="A102" s="250">
        <f>A101+1</f>
        <v>60</v>
      </c>
      <c r="B102" s="251"/>
      <c r="C102" s="646" t="s">
        <v>2295</v>
      </c>
      <c r="D102" s="526" t="s">
        <v>1320</v>
      </c>
      <c r="E102" s="251" t="s">
        <v>1439</v>
      </c>
      <c r="F102" s="252">
        <f>M102+O102+Q102+S102+U102+W102+Y102</f>
        <v>26</v>
      </c>
      <c r="G102" s="253">
        <f>L102</f>
        <v>17.350000000000001</v>
      </c>
      <c r="H102" s="254">
        <f>INT(F102*G102*100+0.5)/100</f>
        <v>451.1</v>
      </c>
      <c r="I102" s="253">
        <f>N102+P102+R102+T102+V102+X102+Z102</f>
        <v>451.1</v>
      </c>
      <c r="J102" s="253"/>
      <c r="K102" s="251" t="s">
        <v>1439</v>
      </c>
      <c r="L102" s="255">
        <v>17.350000000000001</v>
      </c>
      <c r="M102" s="258">
        <v>10</v>
      </c>
      <c r="N102" s="257">
        <f t="shared" si="8"/>
        <v>173.5</v>
      </c>
      <c r="O102" s="258">
        <v>10</v>
      </c>
      <c r="P102" s="257">
        <f t="shared" si="9"/>
        <v>173.5</v>
      </c>
      <c r="Q102" s="258">
        <v>6</v>
      </c>
      <c r="R102" s="257">
        <f t="shared" si="10"/>
        <v>104.1</v>
      </c>
      <c r="S102" s="258">
        <v>0</v>
      </c>
      <c r="T102" s="257">
        <f t="shared" si="11"/>
        <v>0</v>
      </c>
      <c r="U102" s="258">
        <v>0</v>
      </c>
      <c r="V102" s="257">
        <f t="shared" si="12"/>
        <v>0</v>
      </c>
      <c r="W102" s="258">
        <v>0</v>
      </c>
      <c r="X102" s="257">
        <f t="shared" si="13"/>
        <v>0</v>
      </c>
      <c r="Y102" s="258">
        <v>0</v>
      </c>
      <c r="Z102" s="257">
        <f t="shared" si="14"/>
        <v>0</v>
      </c>
    </row>
    <row r="103" spans="1:26" ht="15" customHeight="1">
      <c r="A103" s="250"/>
      <c r="B103" s="251"/>
      <c r="C103" s="646"/>
      <c r="D103" s="526"/>
      <c r="E103" s="251"/>
      <c r="F103" s="252"/>
      <c r="G103" s="253"/>
      <c r="H103" s="254"/>
      <c r="I103" s="253"/>
      <c r="J103" s="253"/>
      <c r="K103" s="251"/>
      <c r="L103" s="255"/>
      <c r="M103" s="256"/>
      <c r="N103" s="260"/>
      <c r="O103" s="256"/>
      <c r="P103" s="260"/>
      <c r="Q103" s="256"/>
      <c r="R103" s="260"/>
      <c r="S103" s="256"/>
      <c r="T103" s="260"/>
      <c r="U103" s="256"/>
      <c r="V103" s="260"/>
      <c r="W103" s="256"/>
      <c r="X103" s="260"/>
      <c r="Y103" s="256"/>
      <c r="Z103" s="260"/>
    </row>
    <row r="104" spans="1:26" ht="15" customHeight="1">
      <c r="A104" s="250">
        <f>A102+1</f>
        <v>61</v>
      </c>
      <c r="B104" s="251"/>
      <c r="C104" s="646" t="s">
        <v>2442</v>
      </c>
      <c r="D104" s="526" t="s">
        <v>2443</v>
      </c>
      <c r="E104" s="251" t="s">
        <v>2444</v>
      </c>
      <c r="F104" s="252">
        <f>M104+O104+Q104+S104+U104+W104+Y104</f>
        <v>32</v>
      </c>
      <c r="G104" s="253">
        <f>L104</f>
        <v>1.55</v>
      </c>
      <c r="H104" s="254">
        <f>INT(F104*G104*100+0.5)/100</f>
        <v>49.6</v>
      </c>
      <c r="I104" s="253">
        <f>N104+P104+R104+T104+V104+X104+Z104</f>
        <v>49.599999999999994</v>
      </c>
      <c r="J104" s="253"/>
      <c r="K104" s="251" t="s">
        <v>2444</v>
      </c>
      <c r="L104" s="262">
        <v>1.55</v>
      </c>
      <c r="M104" s="258">
        <v>10</v>
      </c>
      <c r="N104" s="257">
        <f t="shared" si="8"/>
        <v>15.5</v>
      </c>
      <c r="O104" s="258">
        <v>10</v>
      </c>
      <c r="P104" s="257">
        <f t="shared" si="9"/>
        <v>15.5</v>
      </c>
      <c r="Q104" s="258">
        <v>6</v>
      </c>
      <c r="R104" s="257">
        <f t="shared" si="10"/>
        <v>9.3000000000000007</v>
      </c>
      <c r="S104" s="258">
        <v>0</v>
      </c>
      <c r="T104" s="257">
        <f t="shared" si="11"/>
        <v>0</v>
      </c>
      <c r="U104" s="258">
        <v>6</v>
      </c>
      <c r="V104" s="257">
        <f t="shared" si="12"/>
        <v>9.3000000000000007</v>
      </c>
      <c r="W104" s="258">
        <v>0</v>
      </c>
      <c r="X104" s="257">
        <f t="shared" si="13"/>
        <v>0</v>
      </c>
      <c r="Y104" s="258">
        <v>0</v>
      </c>
      <c r="Z104" s="257">
        <f t="shared" si="14"/>
        <v>0</v>
      </c>
    </row>
    <row r="105" spans="1:26" ht="15" customHeight="1">
      <c r="A105" s="250"/>
      <c r="B105" s="251"/>
      <c r="C105" s="526"/>
      <c r="D105" s="526"/>
      <c r="E105" s="251"/>
      <c r="F105" s="252"/>
      <c r="G105" s="253"/>
      <c r="H105" s="254"/>
      <c r="I105" s="253"/>
      <c r="J105" s="253"/>
      <c r="K105" s="251"/>
      <c r="L105" s="255"/>
      <c r="M105" s="256"/>
      <c r="N105" s="260"/>
      <c r="O105" s="256"/>
      <c r="P105" s="260"/>
      <c r="Q105" s="256"/>
      <c r="R105" s="260"/>
      <c r="S105" s="256"/>
      <c r="T105" s="260"/>
      <c r="U105" s="256"/>
      <c r="V105" s="260"/>
      <c r="W105" s="256"/>
      <c r="X105" s="260"/>
      <c r="Y105" s="256"/>
      <c r="Z105" s="260"/>
    </row>
    <row r="106" spans="1:26" ht="15" customHeight="1">
      <c r="A106" s="264"/>
      <c r="B106" s="265"/>
      <c r="C106" s="266" t="s">
        <v>2031</v>
      </c>
      <c r="D106" s="267" t="s">
        <v>2030</v>
      </c>
      <c r="E106" s="265"/>
      <c r="F106" s="268"/>
      <c r="G106" s="263"/>
      <c r="H106" s="263"/>
      <c r="I106" s="272">
        <f>N106+P106+R106+T106+V106+X106+Z106</f>
        <v>45056.529999999992</v>
      </c>
      <c r="J106" s="269">
        <f>SUM(N106:Z106)</f>
        <v>45056.529999999992</v>
      </c>
      <c r="K106" s="265"/>
      <c r="L106" s="270"/>
      <c r="M106" s="271"/>
      <c r="N106" s="271">
        <f>SUM(N17:N105)</f>
        <v>14329.069999999998</v>
      </c>
      <c r="O106" s="271"/>
      <c r="P106" s="271">
        <f>SUM(P17:P105)</f>
        <v>14289.31</v>
      </c>
      <c r="Q106" s="271"/>
      <c r="R106" s="271">
        <f>SUM(R17:R105)</f>
        <v>7331.11</v>
      </c>
      <c r="S106" s="271"/>
      <c r="T106" s="271">
        <f>SUM(T17:T105)</f>
        <v>146.34</v>
      </c>
      <c r="U106" s="271"/>
      <c r="V106" s="271">
        <f>SUM(V17:V105)</f>
        <v>7205.5499999999993</v>
      </c>
      <c r="W106" s="271"/>
      <c r="X106" s="271">
        <f>SUM(X17:X105)</f>
        <v>1755.15</v>
      </c>
      <c r="Y106" s="271"/>
      <c r="Z106" s="271">
        <f>SUM(Z17:Z105)</f>
        <v>0</v>
      </c>
    </row>
    <row r="107" spans="1:26" ht="15" customHeight="1">
      <c r="A107" s="250"/>
      <c r="B107" s="251"/>
      <c r="C107" s="526"/>
      <c r="D107" s="526"/>
      <c r="E107" s="251"/>
      <c r="F107" s="252"/>
      <c r="G107" s="253"/>
      <c r="H107" s="254"/>
      <c r="I107" s="694">
        <f>I106/'CompSolo Wolf'!I106</f>
        <v>0.73029656116639896</v>
      </c>
      <c r="J107" s="253"/>
      <c r="K107" s="251"/>
      <c r="L107" s="255"/>
      <c r="M107" s="256"/>
      <c r="N107" s="494">
        <f>N106/$N$1941</f>
        <v>0.10359854426283839</v>
      </c>
      <c r="O107" s="256"/>
      <c r="P107" s="494">
        <f>P106/$N$1941</f>
        <v>0.10331108121604678</v>
      </c>
      <c r="Q107" s="256"/>
      <c r="R107" s="494">
        <f>R106/$N$1941</f>
        <v>5.3003602036331539E-2</v>
      </c>
      <c r="S107" s="256"/>
      <c r="T107" s="494">
        <f>T106/$N$1941</f>
        <v>1.0580317471701774E-3</v>
      </c>
      <c r="U107" s="256"/>
      <c r="V107" s="494">
        <f>V106/$N$1941</f>
        <v>5.2095808772871871E-2</v>
      </c>
      <c r="W107" s="256"/>
      <c r="X107" s="494">
        <f>X106/$N$1941</f>
        <v>1.2689657107050271E-2</v>
      </c>
      <c r="Y107" s="256"/>
      <c r="Z107" s="494">
        <f>Z106/$N$1941</f>
        <v>0</v>
      </c>
    </row>
    <row r="108" spans="1:26" ht="15" customHeight="1">
      <c r="A108" s="250"/>
      <c r="B108" s="251"/>
      <c r="C108" s="526"/>
      <c r="D108" s="526" t="s">
        <v>2445</v>
      </c>
      <c r="E108" s="251"/>
      <c r="F108" s="252"/>
      <c r="G108" s="253"/>
      <c r="H108" s="254"/>
      <c r="I108" s="253"/>
      <c r="J108" s="253"/>
      <c r="K108" s="251"/>
      <c r="L108" s="255"/>
      <c r="M108" s="256"/>
      <c r="N108" s="260"/>
      <c r="O108" s="256"/>
      <c r="P108" s="260"/>
      <c r="Q108" s="256"/>
      <c r="R108" s="260"/>
      <c r="S108" s="256"/>
      <c r="T108" s="260"/>
      <c r="U108" s="256"/>
      <c r="V108" s="260"/>
      <c r="W108" s="256"/>
      <c r="X108" s="260"/>
      <c r="Y108" s="256"/>
      <c r="Z108" s="260"/>
    </row>
    <row r="109" spans="1:26" ht="25.5">
      <c r="A109" s="250"/>
      <c r="B109" s="251"/>
      <c r="C109" s="453" t="s">
        <v>1446</v>
      </c>
      <c r="D109" s="453" t="s">
        <v>1445</v>
      </c>
      <c r="E109" s="251"/>
      <c r="F109" s="252"/>
      <c r="G109" s="253"/>
      <c r="H109" s="254"/>
      <c r="I109" s="253"/>
      <c r="J109" s="253"/>
      <c r="K109" s="370"/>
      <c r="L109" s="261"/>
      <c r="M109" s="256"/>
      <c r="N109" s="260"/>
      <c r="O109" s="256"/>
      <c r="P109" s="260"/>
      <c r="Q109" s="256"/>
      <c r="R109" s="260"/>
      <c r="S109" s="256"/>
      <c r="T109" s="260"/>
      <c r="U109" s="256"/>
      <c r="V109" s="260"/>
      <c r="W109" s="256"/>
      <c r="X109" s="260"/>
      <c r="Y109" s="256"/>
      <c r="Z109" s="260"/>
    </row>
    <row r="110" spans="1:26" s="281" customFormat="1" ht="25.5">
      <c r="A110" s="274">
        <f>A104+1</f>
        <v>62</v>
      </c>
      <c r="B110" s="275"/>
      <c r="C110" s="527" t="s">
        <v>1874</v>
      </c>
      <c r="D110" s="238" t="s">
        <v>1031</v>
      </c>
      <c r="E110" s="277" t="s">
        <v>539</v>
      </c>
      <c r="F110" s="252">
        <f>M110+O110+Q110+S110+U110+W110+Y110</f>
        <v>1</v>
      </c>
      <c r="G110" s="269">
        <f>L110</f>
        <v>3000</v>
      </c>
      <c r="H110" s="409">
        <f>INT(F110*G110*100+0.5)/100</f>
        <v>3000</v>
      </c>
      <c r="I110" s="272">
        <f>N110+P110+R110+T110+V110+X110+Z110</f>
        <v>3000</v>
      </c>
      <c r="J110" s="269">
        <f>SUM(N110:Z110)-O110</f>
        <v>3000</v>
      </c>
      <c r="K110" s="675" t="s">
        <v>539</v>
      </c>
      <c r="L110" s="410">
        <v>3000</v>
      </c>
      <c r="M110" s="411">
        <v>0.5</v>
      </c>
      <c r="N110" s="412">
        <f>INT($L110*M110*100+0.5)/100</f>
        <v>1500</v>
      </c>
      <c r="O110" s="411">
        <v>0.5</v>
      </c>
      <c r="P110" s="412">
        <f>INT($L110*O110*100+0.5)/100</f>
        <v>1500</v>
      </c>
      <c r="Q110" s="411">
        <v>0</v>
      </c>
      <c r="R110" s="412">
        <f>INT($L110*Q110*100+0.5)/100</f>
        <v>0</v>
      </c>
      <c r="S110" s="411">
        <v>0</v>
      </c>
      <c r="T110" s="412">
        <f>INT($L110*S110*100+0.5)/100</f>
        <v>0</v>
      </c>
      <c r="U110" s="411">
        <v>0</v>
      </c>
      <c r="V110" s="412">
        <f>INT($L110*U110*100+0.5)/100</f>
        <v>0</v>
      </c>
      <c r="W110" s="411">
        <v>0</v>
      </c>
      <c r="X110" s="412">
        <f>INT($L110*W110*100+0.5)/100</f>
        <v>0</v>
      </c>
      <c r="Y110" s="411">
        <v>0</v>
      </c>
      <c r="Z110" s="412">
        <f>INT($L110*Y110*100+0.5)/100</f>
        <v>0</v>
      </c>
    </row>
    <row r="111" spans="1:26" s="281" customFormat="1" ht="25.5">
      <c r="A111" s="274"/>
      <c r="B111" s="275"/>
      <c r="C111" s="282"/>
      <c r="D111" s="238" t="s">
        <v>1032</v>
      </c>
      <c r="E111" s="277" t="s">
        <v>333</v>
      </c>
      <c r="F111" s="283"/>
      <c r="G111" s="253"/>
      <c r="H111" s="283"/>
      <c r="I111" s="694">
        <f>I110/'CompSolo Wolf'!I110</f>
        <v>0.6</v>
      </c>
      <c r="J111" s="528"/>
      <c r="K111" s="277" t="s">
        <v>333</v>
      </c>
      <c r="L111" s="262"/>
      <c r="M111" s="280"/>
      <c r="N111" s="494">
        <f>N110/$N$1941</f>
        <v>1.0844933857832894E-2</v>
      </c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</row>
    <row r="112" spans="1:26" ht="15">
      <c r="A112" s="284"/>
      <c r="B112" s="237"/>
      <c r="C112" s="285"/>
      <c r="D112" s="292"/>
      <c r="E112" s="251"/>
      <c r="F112" s="239"/>
      <c r="G112" s="253"/>
      <c r="H112" s="239"/>
      <c r="I112" s="225"/>
      <c r="J112" s="225"/>
      <c r="K112" s="251"/>
      <c r="L112" s="255"/>
      <c r="M112" s="260"/>
      <c r="N112" s="260"/>
      <c r="O112" s="260"/>
      <c r="P112" s="260"/>
      <c r="Q112" s="260"/>
      <c r="R112" s="257"/>
      <c r="S112" s="260"/>
      <c r="T112" s="257"/>
      <c r="U112" s="260"/>
      <c r="V112" s="257"/>
      <c r="W112" s="260"/>
      <c r="X112" s="257"/>
      <c r="Y112" s="260"/>
      <c r="Z112" s="257"/>
    </row>
    <row r="113" spans="1:26" ht="25.5">
      <c r="A113" s="284"/>
      <c r="B113" s="237"/>
      <c r="C113" s="248">
        <v>53</v>
      </c>
      <c r="D113" s="330" t="s">
        <v>1447</v>
      </c>
      <c r="E113" s="251"/>
      <c r="F113" s="239"/>
      <c r="G113" s="253"/>
      <c r="H113" s="239"/>
      <c r="I113" s="225"/>
      <c r="J113" s="225"/>
      <c r="K113" s="251"/>
      <c r="L113" s="255"/>
      <c r="M113" s="260"/>
      <c r="N113" s="260"/>
      <c r="O113" s="260"/>
      <c r="P113" s="260"/>
      <c r="Q113" s="260"/>
      <c r="R113" s="257"/>
      <c r="S113" s="260"/>
      <c r="T113" s="257"/>
      <c r="U113" s="260"/>
      <c r="V113" s="257"/>
      <c r="W113" s="260"/>
      <c r="X113" s="257"/>
      <c r="Y113" s="260"/>
      <c r="Z113" s="257"/>
    </row>
    <row r="114" spans="1:26" ht="15" customHeight="1">
      <c r="A114" s="250">
        <f>A110+1</f>
        <v>63</v>
      </c>
      <c r="B114" s="251"/>
      <c r="C114" s="647" t="s">
        <v>1790</v>
      </c>
      <c r="D114" s="526" t="s">
        <v>1625</v>
      </c>
      <c r="E114" s="251" t="s">
        <v>1607</v>
      </c>
      <c r="F114" s="252">
        <f>M114+O114+Q114+S114+U114+W114+Y114</f>
        <v>0</v>
      </c>
      <c r="G114" s="253">
        <f>L114</f>
        <v>2.8</v>
      </c>
      <c r="H114" s="254">
        <f>INT(F114*G114*100+0.5)/100</f>
        <v>0</v>
      </c>
      <c r="I114" s="253">
        <f>N114+P114+R114+T114+V114+X114+Z114</f>
        <v>0</v>
      </c>
      <c r="J114" s="253"/>
      <c r="K114" s="251" t="s">
        <v>1607</v>
      </c>
      <c r="L114" s="255">
        <v>2.8</v>
      </c>
      <c r="M114" s="258">
        <v>0</v>
      </c>
      <c r="N114" s="257">
        <f>INT($L114*M114*100+0.5)/100</f>
        <v>0</v>
      </c>
      <c r="O114" s="258">
        <v>0</v>
      </c>
      <c r="P114" s="257">
        <f>INT($L114*O114*100+0.5)/100</f>
        <v>0</v>
      </c>
      <c r="Q114" s="258">
        <v>0</v>
      </c>
      <c r="R114" s="257">
        <f>INT($L114*Q114*100+0.5)/100</f>
        <v>0</v>
      </c>
      <c r="S114" s="258">
        <v>0</v>
      </c>
      <c r="T114" s="257">
        <f>INT($L114*S114*100+0.5)/100</f>
        <v>0</v>
      </c>
      <c r="U114" s="258">
        <v>0</v>
      </c>
      <c r="V114" s="257">
        <f>INT($L114*U114*100+0.5)/100</f>
        <v>0</v>
      </c>
      <c r="W114" s="258">
        <v>0</v>
      </c>
      <c r="X114" s="257">
        <f>INT($L114*W114*100+0.5)/100</f>
        <v>0</v>
      </c>
      <c r="Y114" s="258">
        <v>0</v>
      </c>
      <c r="Z114" s="257">
        <f>INT($L114*Y114*100+0.5)/100</f>
        <v>0</v>
      </c>
    </row>
    <row r="115" spans="1:26" ht="15" customHeight="1">
      <c r="A115" s="250"/>
      <c r="B115" s="251"/>
      <c r="C115" s="648"/>
      <c r="D115" s="526" t="s">
        <v>1624</v>
      </c>
      <c r="E115" s="251"/>
      <c r="F115" s="252"/>
      <c r="G115" s="253"/>
      <c r="H115" s="254"/>
      <c r="I115" s="253"/>
      <c r="J115" s="253"/>
      <c r="K115" s="251"/>
      <c r="L115" s="255"/>
      <c r="M115" s="258"/>
      <c r="N115" s="257"/>
      <c r="O115" s="258"/>
      <c r="P115" s="257"/>
      <c r="Q115" s="258"/>
      <c r="R115" s="257"/>
      <c r="S115" s="258"/>
      <c r="T115" s="257"/>
      <c r="U115" s="258"/>
      <c r="V115" s="257"/>
      <c r="W115" s="258"/>
      <c r="X115" s="257"/>
      <c r="Y115" s="258"/>
      <c r="Z115" s="257"/>
    </row>
    <row r="116" spans="1:26" ht="15" customHeight="1">
      <c r="A116" s="250"/>
      <c r="B116" s="251"/>
      <c r="C116" s="648"/>
      <c r="D116" s="292"/>
      <c r="E116" s="251"/>
      <c r="F116" s="252"/>
      <c r="G116" s="253"/>
      <c r="H116" s="254"/>
      <c r="I116" s="253"/>
      <c r="J116" s="253"/>
      <c r="K116" s="251"/>
      <c r="L116" s="255"/>
      <c r="M116" s="258"/>
      <c r="N116" s="257"/>
      <c r="O116" s="258"/>
      <c r="P116" s="257"/>
      <c r="Q116" s="258"/>
      <c r="R116" s="257"/>
      <c r="S116" s="258"/>
      <c r="T116" s="257"/>
      <c r="U116" s="258"/>
      <c r="V116" s="257"/>
      <c r="W116" s="258"/>
      <c r="X116" s="257"/>
      <c r="Y116" s="258"/>
      <c r="Z116" s="257"/>
    </row>
    <row r="117" spans="1:26" ht="15" customHeight="1">
      <c r="A117" s="250">
        <f>A114+1</f>
        <v>64</v>
      </c>
      <c r="B117" s="251"/>
      <c r="C117" s="647" t="s">
        <v>1563</v>
      </c>
      <c r="D117" s="526" t="s">
        <v>1627</v>
      </c>
      <c r="E117" s="251" t="s">
        <v>1606</v>
      </c>
      <c r="F117" s="252">
        <f>M117+O117+Q117+S117+U117+W117+Y117</f>
        <v>0</v>
      </c>
      <c r="G117" s="253">
        <f>L117</f>
        <v>52.01</v>
      </c>
      <c r="H117" s="254">
        <f>INT(F117*G117*100+0.5)/100</f>
        <v>0</v>
      </c>
      <c r="I117" s="253">
        <f>N117+P117+R117+T117+V117+X117+Z117</f>
        <v>0</v>
      </c>
      <c r="J117" s="253"/>
      <c r="K117" s="251" t="s">
        <v>1606</v>
      </c>
      <c r="L117" s="255">
        <v>52.01</v>
      </c>
      <c r="M117" s="258">
        <v>0</v>
      </c>
      <c r="N117" s="257">
        <f>INT($L117*M117*100+0.5)/100</f>
        <v>0</v>
      </c>
      <c r="O117" s="258">
        <v>0</v>
      </c>
      <c r="P117" s="257">
        <f>INT($L117*O117*100+0.5)/100</f>
        <v>0</v>
      </c>
      <c r="Q117" s="258">
        <v>0</v>
      </c>
      <c r="R117" s="257">
        <f>INT($L117*Q117*100+0.5)/100</f>
        <v>0</v>
      </c>
      <c r="S117" s="258">
        <v>0</v>
      </c>
      <c r="T117" s="257">
        <f>INT($L117*S117*100+0.5)/100</f>
        <v>0</v>
      </c>
      <c r="U117" s="258">
        <v>0</v>
      </c>
      <c r="V117" s="257">
        <f>INT($L117*U117*100+0.5)/100</f>
        <v>0</v>
      </c>
      <c r="W117" s="258">
        <v>0</v>
      </c>
      <c r="X117" s="257">
        <f>INT($L117*W117*100+0.5)/100</f>
        <v>0</v>
      </c>
      <c r="Y117" s="258">
        <v>0</v>
      </c>
      <c r="Z117" s="257">
        <f>INT($L117*Y117*100+0.5)/100</f>
        <v>0</v>
      </c>
    </row>
    <row r="118" spans="1:26" ht="15" customHeight="1">
      <c r="A118" s="250"/>
      <c r="B118" s="251"/>
      <c r="C118" s="649"/>
      <c r="D118" s="526" t="s">
        <v>1626</v>
      </c>
      <c r="E118" s="251"/>
      <c r="F118" s="252"/>
      <c r="G118" s="253"/>
      <c r="H118" s="254"/>
      <c r="I118" s="253"/>
      <c r="J118" s="253"/>
      <c r="K118" s="251"/>
      <c r="L118" s="255"/>
      <c r="M118" s="258"/>
      <c r="N118" s="257"/>
      <c r="O118" s="258"/>
      <c r="P118" s="257"/>
      <c r="Q118" s="258"/>
      <c r="R118" s="257"/>
      <c r="S118" s="258"/>
      <c r="T118" s="257"/>
      <c r="U118" s="258"/>
      <c r="V118" s="257"/>
      <c r="W118" s="258"/>
      <c r="X118" s="257"/>
      <c r="Y118" s="258"/>
      <c r="Z118" s="257"/>
    </row>
    <row r="119" spans="1:26" ht="15" customHeight="1">
      <c r="A119" s="250"/>
      <c r="B119" s="251"/>
      <c r="C119" s="649"/>
      <c r="D119" s="292"/>
      <c r="E119" s="251"/>
      <c r="F119" s="252"/>
      <c r="G119" s="253"/>
      <c r="H119" s="254"/>
      <c r="I119" s="253"/>
      <c r="J119" s="253"/>
      <c r="K119" s="251"/>
      <c r="L119" s="255"/>
      <c r="M119" s="258"/>
      <c r="N119" s="257"/>
      <c r="O119" s="258"/>
      <c r="P119" s="257"/>
      <c r="Q119" s="258"/>
      <c r="R119" s="257"/>
      <c r="S119" s="258"/>
      <c r="T119" s="257"/>
      <c r="U119" s="258"/>
      <c r="V119" s="257"/>
      <c r="W119" s="258"/>
      <c r="X119" s="257"/>
      <c r="Y119" s="258"/>
      <c r="Z119" s="257"/>
    </row>
    <row r="120" spans="1:26" ht="15" customHeight="1">
      <c r="A120" s="250">
        <f>A117+1</f>
        <v>65</v>
      </c>
      <c r="B120" s="251"/>
      <c r="C120" s="647" t="s">
        <v>1564</v>
      </c>
      <c r="D120" s="526" t="s">
        <v>1631</v>
      </c>
      <c r="E120" s="251" t="s">
        <v>1606</v>
      </c>
      <c r="F120" s="252">
        <f>M120+O120+Q120+S120+U120+W120+Y120</f>
        <v>0</v>
      </c>
      <c r="G120" s="253">
        <f>L120</f>
        <v>79.75</v>
      </c>
      <c r="H120" s="254">
        <f>INT(F120*G120*100+0.5)/100</f>
        <v>0</v>
      </c>
      <c r="I120" s="253">
        <f>N120+P120+R120+T120+V120+X120+Z120</f>
        <v>0</v>
      </c>
      <c r="J120" s="253"/>
      <c r="K120" s="251" t="s">
        <v>1606</v>
      </c>
      <c r="L120" s="255">
        <v>79.75</v>
      </c>
      <c r="M120" s="258">
        <v>0</v>
      </c>
      <c r="N120" s="257">
        <f>INT($L120*M120*100+0.5)/100</f>
        <v>0</v>
      </c>
      <c r="O120" s="258">
        <v>0</v>
      </c>
      <c r="P120" s="257">
        <f>INT($L120*O120*100+0.5)/100</f>
        <v>0</v>
      </c>
      <c r="Q120" s="258">
        <v>0</v>
      </c>
      <c r="R120" s="257">
        <f>INT($L120*Q120*100+0.5)/100</f>
        <v>0</v>
      </c>
      <c r="S120" s="258">
        <v>0</v>
      </c>
      <c r="T120" s="257">
        <f>INT($L120*S120*100+0.5)/100</f>
        <v>0</v>
      </c>
      <c r="U120" s="258">
        <v>0</v>
      </c>
      <c r="V120" s="257">
        <f>INT($L120*U120*100+0.5)/100</f>
        <v>0</v>
      </c>
      <c r="W120" s="258">
        <v>0</v>
      </c>
      <c r="X120" s="257">
        <f>INT($L120*W120*100+0.5)/100</f>
        <v>0</v>
      </c>
      <c r="Y120" s="258">
        <v>0</v>
      </c>
      <c r="Z120" s="257">
        <f>INT($L120*Y120*100+0.5)/100</f>
        <v>0</v>
      </c>
    </row>
    <row r="121" spans="1:26" ht="15" customHeight="1">
      <c r="A121" s="250"/>
      <c r="B121" s="251"/>
      <c r="C121" s="649"/>
      <c r="D121" s="526" t="s">
        <v>1628</v>
      </c>
      <c r="E121" s="251"/>
      <c r="F121" s="252"/>
      <c r="G121" s="253"/>
      <c r="H121" s="254"/>
      <c r="I121" s="253"/>
      <c r="J121" s="253"/>
      <c r="K121" s="251"/>
      <c r="L121" s="255"/>
      <c r="M121" s="258"/>
      <c r="N121" s="257"/>
      <c r="O121" s="258"/>
      <c r="P121" s="257"/>
      <c r="Q121" s="258"/>
      <c r="R121" s="257"/>
      <c r="S121" s="258"/>
      <c r="T121" s="257"/>
      <c r="U121" s="258"/>
      <c r="V121" s="257"/>
      <c r="W121" s="258"/>
      <c r="X121" s="257"/>
      <c r="Y121" s="258"/>
      <c r="Z121" s="257"/>
    </row>
    <row r="122" spans="1:26" ht="15" customHeight="1">
      <c r="A122" s="250"/>
      <c r="B122" s="251"/>
      <c r="C122" s="649"/>
      <c r="D122" s="292"/>
      <c r="E122" s="251"/>
      <c r="F122" s="252"/>
      <c r="G122" s="253"/>
      <c r="H122" s="254"/>
      <c r="I122" s="253"/>
      <c r="J122" s="253"/>
      <c r="K122" s="251"/>
      <c r="L122" s="255"/>
      <c r="M122" s="258"/>
      <c r="N122" s="257"/>
      <c r="O122" s="258"/>
      <c r="P122" s="257"/>
      <c r="Q122" s="258"/>
      <c r="R122" s="257"/>
      <c r="S122" s="258"/>
      <c r="T122" s="257"/>
      <c r="U122" s="258"/>
      <c r="V122" s="257"/>
      <c r="W122" s="258"/>
      <c r="X122" s="257"/>
      <c r="Y122" s="258"/>
      <c r="Z122" s="257"/>
    </row>
    <row r="123" spans="1:26" ht="15" customHeight="1">
      <c r="A123" s="250">
        <f>A120+1</f>
        <v>66</v>
      </c>
      <c r="B123" s="251"/>
      <c r="C123" s="647" t="s">
        <v>1565</v>
      </c>
      <c r="D123" s="526" t="s">
        <v>1632</v>
      </c>
      <c r="E123" s="251" t="s">
        <v>1606</v>
      </c>
      <c r="F123" s="252">
        <f>M123+O123+Q123+S123+U123+W123+Y123</f>
        <v>0</v>
      </c>
      <c r="G123" s="253">
        <f>L123</f>
        <v>102.22</v>
      </c>
      <c r="H123" s="254">
        <f>INT(F123*G123*100+0.5)/100</f>
        <v>0</v>
      </c>
      <c r="I123" s="253">
        <f>N123+P123+R123+T123+V123+X123+Z123</f>
        <v>0</v>
      </c>
      <c r="J123" s="253"/>
      <c r="K123" s="251" t="s">
        <v>1606</v>
      </c>
      <c r="L123" s="255">
        <v>102.22</v>
      </c>
      <c r="M123" s="258">
        <v>0</v>
      </c>
      <c r="N123" s="257">
        <f>INT($L123*M123*100+0.5)/100</f>
        <v>0</v>
      </c>
      <c r="O123" s="258">
        <v>0</v>
      </c>
      <c r="P123" s="257">
        <f>INT($L123*O123*100+0.5)/100</f>
        <v>0</v>
      </c>
      <c r="Q123" s="258">
        <v>0</v>
      </c>
      <c r="R123" s="257">
        <f>INT($L123*Q123*100+0.5)/100</f>
        <v>0</v>
      </c>
      <c r="S123" s="258">
        <v>0</v>
      </c>
      <c r="T123" s="257">
        <f>INT($L123*S123*100+0.5)/100</f>
        <v>0</v>
      </c>
      <c r="U123" s="258">
        <v>0</v>
      </c>
      <c r="V123" s="257">
        <f>INT($L123*U123*100+0.5)/100</f>
        <v>0</v>
      </c>
      <c r="W123" s="258">
        <v>0</v>
      </c>
      <c r="X123" s="257">
        <f>INT($L123*W123*100+0.5)/100</f>
        <v>0</v>
      </c>
      <c r="Y123" s="258">
        <v>0</v>
      </c>
      <c r="Z123" s="257">
        <f>INT($L123*Y123*100+0.5)/100</f>
        <v>0</v>
      </c>
    </row>
    <row r="124" spans="1:26" ht="15" customHeight="1">
      <c r="A124" s="250"/>
      <c r="B124" s="251"/>
      <c r="C124" s="649"/>
      <c r="D124" s="526" t="s">
        <v>1629</v>
      </c>
      <c r="E124" s="251"/>
      <c r="F124" s="252"/>
      <c r="G124" s="253"/>
      <c r="H124" s="254"/>
      <c r="I124" s="253"/>
      <c r="J124" s="253"/>
      <c r="K124" s="251"/>
      <c r="L124" s="255"/>
      <c r="M124" s="258"/>
      <c r="N124" s="257"/>
      <c r="O124" s="258"/>
      <c r="P124" s="257"/>
      <c r="Q124" s="258"/>
      <c r="R124" s="257"/>
      <c r="S124" s="258"/>
      <c r="T124" s="257"/>
      <c r="U124" s="258"/>
      <c r="V124" s="257"/>
      <c r="W124" s="258"/>
      <c r="X124" s="257"/>
      <c r="Y124" s="258"/>
      <c r="Z124" s="257"/>
    </row>
    <row r="125" spans="1:26" ht="15" customHeight="1">
      <c r="A125" s="250"/>
      <c r="B125" s="251"/>
      <c r="C125" s="649"/>
      <c r="D125" s="292"/>
      <c r="E125" s="251"/>
      <c r="F125" s="252"/>
      <c r="G125" s="253"/>
      <c r="H125" s="254"/>
      <c r="I125" s="253"/>
      <c r="J125" s="253"/>
      <c r="K125" s="251"/>
      <c r="L125" s="255"/>
      <c r="M125" s="258"/>
      <c r="N125" s="257"/>
      <c r="O125" s="258"/>
      <c r="P125" s="257"/>
      <c r="Q125" s="258"/>
      <c r="R125" s="257"/>
      <c r="S125" s="258"/>
      <c r="T125" s="257"/>
      <c r="U125" s="258"/>
      <c r="V125" s="257"/>
      <c r="W125" s="258"/>
      <c r="X125" s="257"/>
      <c r="Y125" s="258"/>
      <c r="Z125" s="257"/>
    </row>
    <row r="126" spans="1:26" ht="15" customHeight="1">
      <c r="A126" s="250">
        <f>A123+1</f>
        <v>67</v>
      </c>
      <c r="B126" s="251"/>
      <c r="C126" s="647" t="s">
        <v>1566</v>
      </c>
      <c r="D126" s="526" t="s">
        <v>1633</v>
      </c>
      <c r="E126" s="251" t="s">
        <v>1606</v>
      </c>
      <c r="F126" s="252">
        <f>M126+O126+Q126+S126+U126+W126+Y126</f>
        <v>0</v>
      </c>
      <c r="G126" s="253">
        <f>L126</f>
        <v>144.78</v>
      </c>
      <c r="H126" s="254">
        <f>INT(F126*G126*100+0.5)/100</f>
        <v>0</v>
      </c>
      <c r="I126" s="253">
        <f>N126+P126+R126+T126+V126+X126+Z126</f>
        <v>0</v>
      </c>
      <c r="J126" s="253"/>
      <c r="K126" s="251" t="s">
        <v>1606</v>
      </c>
      <c r="L126" s="255">
        <v>144.78</v>
      </c>
      <c r="M126" s="258">
        <v>0</v>
      </c>
      <c r="N126" s="257">
        <f>INT($L126*M126*100+0.5)/100</f>
        <v>0</v>
      </c>
      <c r="O126" s="258">
        <v>0</v>
      </c>
      <c r="P126" s="257">
        <f>INT($L126*O126*100+0.5)/100</f>
        <v>0</v>
      </c>
      <c r="Q126" s="258">
        <v>0</v>
      </c>
      <c r="R126" s="257">
        <f>INT($L126*Q126*100+0.5)/100</f>
        <v>0</v>
      </c>
      <c r="S126" s="258">
        <v>0</v>
      </c>
      <c r="T126" s="257">
        <f>INT($L126*S126*100+0.5)/100</f>
        <v>0</v>
      </c>
      <c r="U126" s="258">
        <v>0</v>
      </c>
      <c r="V126" s="257">
        <f>INT($L126*U126*100+0.5)/100</f>
        <v>0</v>
      </c>
      <c r="W126" s="258">
        <v>0</v>
      </c>
      <c r="X126" s="257">
        <f>INT($L126*W126*100+0.5)/100</f>
        <v>0</v>
      </c>
      <c r="Y126" s="258">
        <v>0</v>
      </c>
      <c r="Z126" s="257">
        <f>INT($L126*Y126*100+0.5)/100</f>
        <v>0</v>
      </c>
    </row>
    <row r="127" spans="1:26" ht="15" customHeight="1">
      <c r="A127" s="250"/>
      <c r="B127" s="251"/>
      <c r="C127" s="648"/>
      <c r="D127" s="526" t="s">
        <v>1630</v>
      </c>
      <c r="E127" s="251"/>
      <c r="F127" s="252"/>
      <c r="G127" s="253"/>
      <c r="H127" s="254"/>
      <c r="I127" s="253"/>
      <c r="J127" s="253"/>
      <c r="K127" s="251"/>
      <c r="L127" s="255"/>
      <c r="M127" s="258"/>
      <c r="N127" s="257"/>
      <c r="O127" s="258"/>
      <c r="P127" s="257"/>
      <c r="Q127" s="258"/>
      <c r="R127" s="257"/>
      <c r="S127" s="258"/>
      <c r="T127" s="257"/>
      <c r="U127" s="258"/>
      <c r="V127" s="257"/>
      <c r="W127" s="258"/>
      <c r="X127" s="257"/>
      <c r="Y127" s="258"/>
      <c r="Z127" s="257"/>
    </row>
    <row r="128" spans="1:26" ht="15" customHeight="1">
      <c r="A128" s="250"/>
      <c r="B128" s="251"/>
      <c r="C128" s="648"/>
      <c r="D128" s="292"/>
      <c r="E128" s="251"/>
      <c r="F128" s="252"/>
      <c r="G128" s="253"/>
      <c r="H128" s="254"/>
      <c r="I128" s="253"/>
      <c r="J128" s="253"/>
      <c r="K128" s="251"/>
      <c r="L128" s="255"/>
      <c r="M128" s="258"/>
      <c r="N128" s="257"/>
      <c r="O128" s="258"/>
      <c r="P128" s="257"/>
      <c r="Q128" s="258"/>
      <c r="R128" s="257"/>
      <c r="S128" s="258"/>
      <c r="T128" s="257"/>
      <c r="U128" s="258"/>
      <c r="V128" s="257"/>
      <c r="W128" s="258"/>
      <c r="X128" s="257"/>
      <c r="Y128" s="258"/>
      <c r="Z128" s="257"/>
    </row>
    <row r="129" spans="1:26" ht="15" customHeight="1">
      <c r="A129" s="250">
        <f>A126+1</f>
        <v>68</v>
      </c>
      <c r="B129" s="251"/>
      <c r="C129" s="647" t="s">
        <v>1567</v>
      </c>
      <c r="D129" s="526" t="s">
        <v>1635</v>
      </c>
      <c r="E129" s="251" t="s">
        <v>1606</v>
      </c>
      <c r="F129" s="252">
        <f>M129+O129+Q129+S129+U129+W129+Y129</f>
        <v>0</v>
      </c>
      <c r="G129" s="253">
        <f>L129</f>
        <v>165.36</v>
      </c>
      <c r="H129" s="254">
        <f>INT(F129*G129*100+0.5)/100</f>
        <v>0</v>
      </c>
      <c r="I129" s="253">
        <f>N129+P129+R129+T129+V129+X129+Z129</f>
        <v>0</v>
      </c>
      <c r="J129" s="253"/>
      <c r="K129" s="251" t="s">
        <v>1606</v>
      </c>
      <c r="L129" s="255">
        <v>165.36</v>
      </c>
      <c r="M129" s="258">
        <v>0</v>
      </c>
      <c r="N129" s="257">
        <f>INT($L129*M129*100+0.5)/100</f>
        <v>0</v>
      </c>
      <c r="O129" s="258">
        <v>0</v>
      </c>
      <c r="P129" s="257">
        <f>INT($L129*O129*100+0.5)/100</f>
        <v>0</v>
      </c>
      <c r="Q129" s="258">
        <v>0</v>
      </c>
      <c r="R129" s="257">
        <f>INT($L129*Q129*100+0.5)/100</f>
        <v>0</v>
      </c>
      <c r="S129" s="258">
        <v>0</v>
      </c>
      <c r="T129" s="257">
        <f>INT($L129*S129*100+0.5)/100</f>
        <v>0</v>
      </c>
      <c r="U129" s="258">
        <v>0</v>
      </c>
      <c r="V129" s="257">
        <f>INT($L129*U129*100+0.5)/100</f>
        <v>0</v>
      </c>
      <c r="W129" s="258">
        <v>0</v>
      </c>
      <c r="X129" s="257">
        <f>INT($L129*W129*100+0.5)/100</f>
        <v>0</v>
      </c>
      <c r="Y129" s="258">
        <v>0</v>
      </c>
      <c r="Z129" s="257">
        <f>INT($L129*Y129*100+0.5)/100</f>
        <v>0</v>
      </c>
    </row>
    <row r="130" spans="1:26" ht="15" customHeight="1">
      <c r="A130" s="250"/>
      <c r="B130" s="251"/>
      <c r="C130" s="251"/>
      <c r="D130" s="526" t="s">
        <v>1634</v>
      </c>
      <c r="E130" s="251"/>
      <c r="F130" s="252"/>
      <c r="G130" s="253"/>
      <c r="H130" s="254"/>
      <c r="I130" s="253"/>
      <c r="J130" s="253"/>
      <c r="K130" s="251"/>
      <c r="L130" s="255"/>
      <c r="M130" s="258"/>
      <c r="N130" s="257"/>
      <c r="O130" s="258"/>
      <c r="P130" s="257"/>
      <c r="Q130" s="258"/>
      <c r="R130" s="257"/>
      <c r="S130" s="258"/>
      <c r="T130" s="257"/>
      <c r="U130" s="258"/>
      <c r="V130" s="257"/>
      <c r="W130" s="258"/>
      <c r="X130" s="257"/>
      <c r="Y130" s="258"/>
      <c r="Z130" s="257"/>
    </row>
    <row r="131" spans="1:26" ht="15" customHeight="1">
      <c r="A131" s="250"/>
      <c r="B131" s="251"/>
      <c r="C131" s="648"/>
      <c r="D131" s="292"/>
      <c r="E131" s="251"/>
      <c r="F131" s="252"/>
      <c r="G131" s="253"/>
      <c r="H131" s="254"/>
      <c r="I131" s="253"/>
      <c r="J131" s="253"/>
      <c r="K131" s="251"/>
      <c r="L131" s="255"/>
      <c r="M131" s="258"/>
      <c r="N131" s="257"/>
      <c r="O131" s="258"/>
      <c r="P131" s="257"/>
      <c r="Q131" s="258"/>
      <c r="R131" s="257"/>
      <c r="S131" s="258"/>
      <c r="T131" s="257"/>
      <c r="U131" s="258"/>
      <c r="V131" s="257"/>
      <c r="W131" s="258"/>
      <c r="X131" s="257"/>
      <c r="Y131" s="258"/>
      <c r="Z131" s="257"/>
    </row>
    <row r="132" spans="1:26" ht="15" customHeight="1">
      <c r="A132" s="250">
        <f>A129+1</f>
        <v>69</v>
      </c>
      <c r="B132" s="251"/>
      <c r="C132" s="647" t="s">
        <v>2296</v>
      </c>
      <c r="D132" s="526" t="s">
        <v>1636</v>
      </c>
      <c r="E132" s="251" t="s">
        <v>1898</v>
      </c>
      <c r="F132" s="252"/>
      <c r="G132" s="253"/>
      <c r="H132" s="254"/>
      <c r="I132" s="253"/>
      <c r="J132" s="253"/>
      <c r="K132" s="251" t="s">
        <v>1898</v>
      </c>
      <c r="L132" s="255"/>
      <c r="M132" s="288"/>
      <c r="N132" s="242"/>
      <c r="O132" s="288"/>
      <c r="P132" s="242"/>
      <c r="Q132" s="288"/>
      <c r="R132" s="245"/>
      <c r="S132" s="288"/>
      <c r="T132" s="245"/>
      <c r="U132" s="288"/>
      <c r="V132" s="245"/>
      <c r="W132" s="288"/>
      <c r="X132" s="245"/>
      <c r="Y132" s="288"/>
      <c r="Z132" s="245"/>
    </row>
    <row r="133" spans="1:26" ht="25.5">
      <c r="A133" s="250"/>
      <c r="B133" s="251"/>
      <c r="C133" s="648"/>
      <c r="D133" s="526" t="s">
        <v>2449</v>
      </c>
      <c r="E133" s="251"/>
      <c r="F133" s="252"/>
      <c r="G133" s="253"/>
      <c r="H133" s="290"/>
      <c r="I133" s="253"/>
      <c r="J133" s="253"/>
      <c r="K133" s="251"/>
      <c r="L133" s="255"/>
      <c r="M133" s="289"/>
      <c r="N133" s="242"/>
      <c r="O133" s="289"/>
      <c r="P133" s="245"/>
      <c r="Q133" s="289"/>
      <c r="R133" s="245"/>
      <c r="S133" s="289"/>
      <c r="T133" s="245"/>
      <c r="U133" s="289"/>
      <c r="V133" s="245"/>
      <c r="W133" s="289"/>
      <c r="X133" s="245"/>
      <c r="Y133" s="289"/>
      <c r="Z133" s="245"/>
    </row>
    <row r="134" spans="1:26" ht="15" customHeight="1">
      <c r="A134" s="250"/>
      <c r="B134" s="251"/>
      <c r="C134" s="648"/>
      <c r="D134" s="292" t="s">
        <v>2446</v>
      </c>
      <c r="E134" s="251"/>
      <c r="F134" s="252">
        <f>M134+O134+Q134+S134+U134+W134+Y134</f>
        <v>250</v>
      </c>
      <c r="G134" s="253">
        <f>L134</f>
        <v>2.79</v>
      </c>
      <c r="H134" s="254">
        <f>INT(F134*G134*100+0.5)/100</f>
        <v>697.5</v>
      </c>
      <c r="I134" s="253">
        <f>N134+P134+R134+T134+V134+X134+Z134</f>
        <v>697.5</v>
      </c>
      <c r="J134" s="253"/>
      <c r="K134" s="251"/>
      <c r="L134" s="255">
        <v>2.79</v>
      </c>
      <c r="M134" s="289">
        <v>0</v>
      </c>
      <c r="N134" s="260">
        <f>INT($L134*M134*100+0.5)/100</f>
        <v>0</v>
      </c>
      <c r="O134" s="258">
        <v>250</v>
      </c>
      <c r="P134" s="257">
        <f>INT($L134*O134*100+0.5)/100</f>
        <v>697.5</v>
      </c>
      <c r="Q134" s="258">
        <v>0</v>
      </c>
      <c r="R134" s="257">
        <f>INT($L134*Q134*100+0.5)/100</f>
        <v>0</v>
      </c>
      <c r="S134" s="258">
        <v>0</v>
      </c>
      <c r="T134" s="257">
        <f>INT($L134*S134*100+0.5)/100</f>
        <v>0</v>
      </c>
      <c r="U134" s="258">
        <v>0</v>
      </c>
      <c r="V134" s="257">
        <f>INT($L134*U134*100+0.5)/100</f>
        <v>0</v>
      </c>
      <c r="W134" s="258">
        <v>0</v>
      </c>
      <c r="X134" s="257">
        <f>INT($L134*W134*100+0.5)/100</f>
        <v>0</v>
      </c>
      <c r="Y134" s="258">
        <v>0</v>
      </c>
      <c r="Z134" s="257">
        <f>INT($L134*Y134*100+0.5)/100</f>
        <v>0</v>
      </c>
    </row>
    <row r="135" spans="1:26" ht="15" customHeight="1">
      <c r="A135" s="250"/>
      <c r="B135" s="251"/>
      <c r="C135" s="648"/>
      <c r="D135" s="526"/>
      <c r="E135" s="251"/>
      <c r="F135" s="252"/>
      <c r="G135" s="253"/>
      <c r="H135" s="290"/>
      <c r="I135" s="253"/>
      <c r="J135" s="253"/>
      <c r="K135" s="251"/>
      <c r="L135" s="255"/>
      <c r="M135" s="258"/>
      <c r="N135" s="257"/>
      <c r="O135" s="258"/>
      <c r="P135" s="257"/>
      <c r="Q135" s="258"/>
      <c r="R135" s="257"/>
      <c r="S135" s="258"/>
      <c r="T135" s="257"/>
      <c r="U135" s="258"/>
      <c r="V135" s="257"/>
      <c r="W135" s="258"/>
      <c r="X135" s="257"/>
      <c r="Y135" s="258"/>
      <c r="Z135" s="257"/>
    </row>
    <row r="136" spans="1:26" ht="15" customHeight="1">
      <c r="A136" s="250">
        <f>A132+1</f>
        <v>70</v>
      </c>
      <c r="B136" s="251"/>
      <c r="C136" s="647" t="s">
        <v>2315</v>
      </c>
      <c r="D136" s="526" t="s">
        <v>2447</v>
      </c>
      <c r="E136" s="251" t="s">
        <v>1898</v>
      </c>
      <c r="F136" s="252"/>
      <c r="G136" s="253"/>
      <c r="H136" s="254"/>
      <c r="I136" s="253"/>
      <c r="J136" s="253"/>
      <c r="K136" s="251" t="s">
        <v>1898</v>
      </c>
      <c r="L136" s="255"/>
      <c r="M136" s="288"/>
      <c r="N136" s="242"/>
      <c r="O136" s="288"/>
      <c r="P136" s="242"/>
      <c r="Q136" s="288"/>
      <c r="R136" s="245"/>
      <c r="S136" s="288"/>
      <c r="T136" s="245"/>
      <c r="U136" s="288"/>
      <c r="V136" s="245"/>
      <c r="W136" s="288"/>
      <c r="X136" s="245"/>
      <c r="Y136" s="288"/>
      <c r="Z136" s="245"/>
    </row>
    <row r="137" spans="1:26" ht="25.5">
      <c r="A137" s="250"/>
      <c r="B137" s="251"/>
      <c r="C137" s="648"/>
      <c r="D137" s="526" t="s">
        <v>2448</v>
      </c>
      <c r="E137" s="251"/>
      <c r="F137" s="252"/>
      <c r="G137" s="253"/>
      <c r="H137" s="290"/>
      <c r="I137" s="253"/>
      <c r="J137" s="253"/>
      <c r="K137" s="251"/>
      <c r="L137" s="255"/>
      <c r="M137" s="289"/>
      <c r="N137" s="242"/>
      <c r="O137" s="289"/>
      <c r="P137" s="245"/>
      <c r="Q137" s="289"/>
      <c r="R137" s="245"/>
      <c r="S137" s="289"/>
      <c r="T137" s="245"/>
      <c r="U137" s="289"/>
      <c r="V137" s="245"/>
      <c r="W137" s="289"/>
      <c r="X137" s="245"/>
      <c r="Y137" s="289"/>
      <c r="Z137" s="245"/>
    </row>
    <row r="138" spans="1:26" ht="15" customHeight="1">
      <c r="A138" s="250"/>
      <c r="B138" s="251"/>
      <c r="C138" s="648"/>
      <c r="D138" s="526" t="s">
        <v>2450</v>
      </c>
      <c r="E138" s="251"/>
      <c r="F138" s="252"/>
      <c r="G138" s="253"/>
      <c r="H138" s="290"/>
      <c r="I138" s="253"/>
      <c r="J138" s="253"/>
      <c r="K138" s="251"/>
      <c r="L138" s="255"/>
      <c r="M138" s="289">
        <v>0</v>
      </c>
      <c r="N138" s="242"/>
      <c r="O138" s="289">
        <v>0</v>
      </c>
      <c r="P138" s="245"/>
      <c r="Q138" s="289">
        <v>0</v>
      </c>
      <c r="R138" s="245"/>
      <c r="S138" s="289"/>
      <c r="T138" s="245"/>
      <c r="U138" s="289"/>
      <c r="V138" s="245"/>
      <c r="W138" s="289"/>
      <c r="X138" s="245"/>
      <c r="Y138" s="289"/>
      <c r="Z138" s="245"/>
    </row>
    <row r="139" spans="1:26" ht="15" customHeight="1">
      <c r="A139" s="250"/>
      <c r="B139" s="251"/>
      <c r="C139" s="648"/>
      <c r="D139" s="526" t="s">
        <v>2498</v>
      </c>
      <c r="E139" s="251"/>
      <c r="F139" s="252"/>
      <c r="G139" s="253"/>
      <c r="H139" s="290"/>
      <c r="I139" s="253"/>
      <c r="J139" s="253"/>
      <c r="K139" s="251"/>
      <c r="L139" s="255"/>
      <c r="M139" s="289">
        <v>70</v>
      </c>
      <c r="N139" s="242"/>
      <c r="O139" s="289">
        <v>70</v>
      </c>
      <c r="P139" s="245"/>
      <c r="Q139" s="289">
        <v>70</v>
      </c>
      <c r="R139" s="245"/>
      <c r="S139" s="289"/>
      <c r="T139" s="245"/>
      <c r="U139" s="289"/>
      <c r="V139" s="245"/>
      <c r="W139" s="289"/>
      <c r="X139" s="245"/>
      <c r="Y139" s="289"/>
      <c r="Z139" s="245"/>
    </row>
    <row r="140" spans="1:26" ht="15" customHeight="1">
      <c r="A140" s="250"/>
      <c r="B140" s="251"/>
      <c r="C140" s="648"/>
      <c r="D140" s="526" t="s">
        <v>1875</v>
      </c>
      <c r="E140" s="251"/>
      <c r="F140" s="252"/>
      <c r="G140" s="253"/>
      <c r="H140" s="290"/>
      <c r="I140" s="253"/>
      <c r="J140" s="253"/>
      <c r="K140" s="251"/>
      <c r="L140" s="255"/>
      <c r="M140" s="289">
        <v>40</v>
      </c>
      <c r="N140" s="242"/>
      <c r="O140" s="289">
        <v>200</v>
      </c>
      <c r="P140" s="245"/>
      <c r="Q140" s="289">
        <v>0</v>
      </c>
      <c r="R140" s="245"/>
      <c r="S140" s="289"/>
      <c r="T140" s="245"/>
      <c r="U140" s="289"/>
      <c r="V140" s="245"/>
      <c r="W140" s="289"/>
      <c r="X140" s="245"/>
      <c r="Y140" s="289"/>
      <c r="Z140" s="245"/>
    </row>
    <row r="141" spans="1:26" ht="15" customHeight="1">
      <c r="A141" s="250"/>
      <c r="B141" s="251"/>
      <c r="C141" s="648"/>
      <c r="D141" s="292" t="s">
        <v>2451</v>
      </c>
      <c r="E141" s="251"/>
      <c r="F141" s="252"/>
      <c r="G141" s="253"/>
      <c r="H141" s="290"/>
      <c r="I141" s="253"/>
      <c r="J141" s="253"/>
      <c r="K141" s="251"/>
      <c r="L141" s="255"/>
      <c r="M141" s="291">
        <v>0</v>
      </c>
      <c r="N141" s="242"/>
      <c r="O141" s="291">
        <v>0</v>
      </c>
      <c r="P141" s="245"/>
      <c r="Q141" s="291">
        <v>0</v>
      </c>
      <c r="R141" s="245"/>
      <c r="S141" s="289"/>
      <c r="T141" s="245"/>
      <c r="U141" s="289"/>
      <c r="V141" s="245"/>
      <c r="W141" s="289"/>
      <c r="X141" s="245"/>
      <c r="Y141" s="289"/>
      <c r="Z141" s="245"/>
    </row>
    <row r="142" spans="1:26" ht="15" customHeight="1">
      <c r="A142" s="250"/>
      <c r="B142" s="251"/>
      <c r="C142" s="648"/>
      <c r="D142" s="529" t="s">
        <v>1900</v>
      </c>
      <c r="E142" s="251"/>
      <c r="F142" s="252">
        <f>M142+O142+Q142+S142+U142+W142+Y142</f>
        <v>450</v>
      </c>
      <c r="G142" s="253">
        <f>L142</f>
        <v>3.7</v>
      </c>
      <c r="H142" s="254">
        <f>INT(F142*G142*100+0.5)/100</f>
        <v>1665</v>
      </c>
      <c r="I142" s="253">
        <f>N142+P142+R142+T142+V142+X142+Z142</f>
        <v>1665</v>
      </c>
      <c r="J142" s="253"/>
      <c r="K142" s="251"/>
      <c r="L142" s="255">
        <v>3.7</v>
      </c>
      <c r="M142" s="258">
        <f>SUM(M138:M141)</f>
        <v>110</v>
      </c>
      <c r="N142" s="260">
        <f>INT($L142*M142*100+0.5)/100</f>
        <v>407</v>
      </c>
      <c r="O142" s="258">
        <f>SUM(O138:O141)</f>
        <v>270</v>
      </c>
      <c r="P142" s="257">
        <f>INT($L142*O142*100+0.5)/100</f>
        <v>999</v>
      </c>
      <c r="Q142" s="258">
        <f>SUM(Q138:Q141)</f>
        <v>70</v>
      </c>
      <c r="R142" s="257">
        <f>INT($L142*Q142*100+0.5)/100</f>
        <v>259</v>
      </c>
      <c r="S142" s="258">
        <v>0</v>
      </c>
      <c r="T142" s="257">
        <f>INT($L142*S142*100+0.5)/100</f>
        <v>0</v>
      </c>
      <c r="U142" s="258">
        <v>0</v>
      </c>
      <c r="V142" s="257">
        <f>INT($L142*U142*100+0.5)/100</f>
        <v>0</v>
      </c>
      <c r="W142" s="258">
        <v>0</v>
      </c>
      <c r="X142" s="257">
        <f>INT($L142*W142*100+0.5)/100</f>
        <v>0</v>
      </c>
      <c r="Y142" s="258">
        <v>0</v>
      </c>
      <c r="Z142" s="257">
        <f>INT($L142*Y142*100+0.5)/100</f>
        <v>0</v>
      </c>
    </row>
    <row r="143" spans="1:26" ht="15" customHeight="1">
      <c r="A143" s="250"/>
      <c r="B143" s="251"/>
      <c r="C143" s="648"/>
      <c r="D143" s="292"/>
      <c r="E143" s="251"/>
      <c r="F143" s="252"/>
      <c r="G143" s="253"/>
      <c r="H143" s="290"/>
      <c r="I143" s="253"/>
      <c r="J143" s="253"/>
      <c r="K143" s="251"/>
      <c r="L143" s="255"/>
      <c r="M143" s="258"/>
      <c r="N143" s="257"/>
      <c r="O143" s="258"/>
      <c r="P143" s="257"/>
      <c r="Q143" s="258"/>
      <c r="R143" s="257"/>
      <c r="S143" s="258"/>
      <c r="T143" s="257"/>
      <c r="U143" s="258"/>
      <c r="V143" s="257"/>
      <c r="W143" s="258"/>
      <c r="X143" s="257"/>
      <c r="Y143" s="258"/>
      <c r="Z143" s="257"/>
    </row>
    <row r="144" spans="1:26" s="484" customFormat="1" ht="15" customHeight="1">
      <c r="A144" s="474">
        <f>A136+1</f>
        <v>71</v>
      </c>
      <c r="B144" s="475"/>
      <c r="C144" s="650" t="s">
        <v>1076</v>
      </c>
      <c r="D144" s="531"/>
      <c r="E144" s="475" t="s">
        <v>1901</v>
      </c>
      <c r="F144" s="476">
        <f>M144+O144+Q144+S144+U144+W144+Y144</f>
        <v>40</v>
      </c>
      <c r="G144" s="477">
        <f>L144</f>
        <v>110</v>
      </c>
      <c r="H144" s="478">
        <f>INT(F144*G144*100+0.5)/100</f>
        <v>4400</v>
      </c>
      <c r="I144" s="477">
        <f>N144+P144+R144+T144+V144+X144+Z144</f>
        <v>4400</v>
      </c>
      <c r="J144" s="477"/>
      <c r="K144" s="475" t="s">
        <v>1901</v>
      </c>
      <c r="L144" s="479">
        <v>110</v>
      </c>
      <c r="M144" s="480">
        <v>0</v>
      </c>
      <c r="N144" s="481">
        <f>INT($L144*M144*100+0.5)/100</f>
        <v>0</v>
      </c>
      <c r="O144" s="480">
        <v>0</v>
      </c>
      <c r="P144" s="481">
        <f>INT($L144*O144*100+0.5)/100</f>
        <v>0</v>
      </c>
      <c r="Q144" s="480">
        <v>0</v>
      </c>
      <c r="R144" s="481">
        <f>INT($L144*Q144*100+0.5)/100</f>
        <v>0</v>
      </c>
      <c r="S144" s="480">
        <v>0</v>
      </c>
      <c r="T144" s="481">
        <f>INT($L144*S144*100+0.5)/100</f>
        <v>0</v>
      </c>
      <c r="U144" s="482">
        <f>INT(395/20*2+0.5)</f>
        <v>40</v>
      </c>
      <c r="V144" s="483">
        <f>INT($L144*U144*100+0.5)/100</f>
        <v>4400</v>
      </c>
      <c r="W144" s="480">
        <v>0</v>
      </c>
      <c r="X144" s="481">
        <f>INT($L144*W144*100+0.5)/100</f>
        <v>0</v>
      </c>
      <c r="Y144" s="480">
        <v>0</v>
      </c>
      <c r="Z144" s="481">
        <f>INT($L144*Y144*100+0.5)/100</f>
        <v>0</v>
      </c>
    </row>
    <row r="145" spans="1:26" s="484" customFormat="1" ht="15" customHeight="1">
      <c r="A145" s="474"/>
      <c r="B145" s="475"/>
      <c r="C145" s="651"/>
      <c r="D145" s="530" t="s">
        <v>2070</v>
      </c>
      <c r="E145" s="475"/>
      <c r="F145" s="476"/>
      <c r="G145" s="477"/>
      <c r="H145" s="485"/>
      <c r="I145" s="477"/>
      <c r="J145" s="477"/>
      <c r="K145" s="475"/>
      <c r="L145" s="486"/>
      <c r="M145" s="480"/>
      <c r="N145" s="481"/>
      <c r="O145" s="480"/>
      <c r="P145" s="481"/>
      <c r="Q145" s="480"/>
      <c r="R145" s="481"/>
      <c r="S145" s="480"/>
      <c r="T145" s="481"/>
      <c r="U145" s="482"/>
      <c r="V145" s="481"/>
      <c r="W145" s="480"/>
      <c r="X145" s="481"/>
      <c r="Y145" s="480"/>
      <c r="Z145" s="481"/>
    </row>
    <row r="146" spans="1:26" ht="15" customHeight="1">
      <c r="A146" s="250"/>
      <c r="B146" s="251"/>
      <c r="C146" s="648"/>
      <c r="D146" s="292"/>
      <c r="E146" s="251"/>
      <c r="F146" s="252"/>
      <c r="G146" s="253"/>
      <c r="H146" s="290"/>
      <c r="I146" s="253"/>
      <c r="J146" s="253"/>
      <c r="K146" s="251"/>
      <c r="L146" s="255"/>
      <c r="M146" s="258"/>
      <c r="N146" s="257"/>
      <c r="O146" s="258"/>
      <c r="P146" s="257"/>
      <c r="Q146" s="258"/>
      <c r="R146" s="257"/>
      <c r="S146" s="258"/>
      <c r="T146" s="257"/>
      <c r="U146" s="258"/>
      <c r="V146" s="257"/>
      <c r="W146" s="258"/>
      <c r="X146" s="257"/>
      <c r="Y146" s="258"/>
      <c r="Z146" s="257"/>
    </row>
    <row r="147" spans="1:26" s="484" customFormat="1" ht="15" customHeight="1">
      <c r="A147" s="474">
        <f>A144+1</f>
        <v>72</v>
      </c>
      <c r="B147" s="475"/>
      <c r="C147" s="650"/>
      <c r="D147" s="531"/>
      <c r="E147" s="475" t="s">
        <v>1901</v>
      </c>
      <c r="F147" s="476">
        <f>M147+O147+Q147+S147+U147+W147+Y147</f>
        <v>90</v>
      </c>
      <c r="G147" s="477">
        <f>L147</f>
        <v>110</v>
      </c>
      <c r="H147" s="478">
        <f>INT(F147*G147*100+0.5)/100</f>
        <v>9900</v>
      </c>
      <c r="I147" s="477">
        <f>N147+P147+R147+T147+V147+X147+Z147</f>
        <v>9900</v>
      </c>
      <c r="J147" s="477"/>
      <c r="K147" s="475" t="s">
        <v>1901</v>
      </c>
      <c r="L147" s="479">
        <v>110</v>
      </c>
      <c r="M147" s="480">
        <v>0</v>
      </c>
      <c r="N147" s="481">
        <f>INT($L147*M147*100+0.5)/100</f>
        <v>0</v>
      </c>
      <c r="O147" s="480">
        <v>0</v>
      </c>
      <c r="P147" s="481">
        <f>INT($L147*O147*100+0.5)/100</f>
        <v>0</v>
      </c>
      <c r="Q147" s="480">
        <v>0</v>
      </c>
      <c r="R147" s="481">
        <f>INT($L147*Q147*100+0.5)/100</f>
        <v>0</v>
      </c>
      <c r="S147" s="480">
        <v>0</v>
      </c>
      <c r="T147" s="481">
        <f>INT($L147*S147*100+0.5)/100</f>
        <v>0</v>
      </c>
      <c r="U147" s="482">
        <f>INT(158*0.57+0.5)</f>
        <v>90</v>
      </c>
      <c r="V147" s="483">
        <f>INT($L147*U147*100+0.5)/100</f>
        <v>9900</v>
      </c>
      <c r="W147" s="480">
        <v>0</v>
      </c>
      <c r="X147" s="481">
        <f>INT($L147*W147*100+0.5)/100</f>
        <v>0</v>
      </c>
      <c r="Y147" s="480">
        <v>0</v>
      </c>
      <c r="Z147" s="481">
        <f>INT($L147*Y147*100+0.5)/100</f>
        <v>0</v>
      </c>
    </row>
    <row r="148" spans="1:26" s="484" customFormat="1" ht="15" customHeight="1">
      <c r="A148" s="474"/>
      <c r="B148" s="475"/>
      <c r="C148" s="651"/>
      <c r="D148" s="530" t="s">
        <v>2071</v>
      </c>
      <c r="E148" s="475"/>
      <c r="F148" s="476"/>
      <c r="G148" s="477"/>
      <c r="H148" s="485"/>
      <c r="I148" s="477"/>
      <c r="J148" s="477"/>
      <c r="K148" s="475"/>
      <c r="L148" s="486"/>
      <c r="M148" s="480"/>
      <c r="N148" s="481"/>
      <c r="O148" s="480"/>
      <c r="P148" s="481"/>
      <c r="Q148" s="480"/>
      <c r="R148" s="481"/>
      <c r="S148" s="480"/>
      <c r="T148" s="481"/>
      <c r="U148" s="482"/>
      <c r="V148" s="481"/>
      <c r="W148" s="480"/>
      <c r="X148" s="481"/>
      <c r="Y148" s="480"/>
      <c r="Z148" s="481"/>
    </row>
    <row r="149" spans="1:26" ht="15" customHeight="1">
      <c r="A149" s="250"/>
      <c r="B149" s="251"/>
      <c r="C149" s="648"/>
      <c r="D149" s="292"/>
      <c r="E149" s="251"/>
      <c r="F149" s="252"/>
      <c r="G149" s="253"/>
      <c r="H149" s="290"/>
      <c r="I149" s="253"/>
      <c r="J149" s="253"/>
      <c r="K149" s="251"/>
      <c r="L149" s="255"/>
      <c r="M149" s="258"/>
      <c r="N149" s="257"/>
      <c r="O149" s="258"/>
      <c r="P149" s="257"/>
      <c r="Q149" s="258"/>
      <c r="R149" s="257"/>
      <c r="S149" s="258"/>
      <c r="T149" s="257"/>
      <c r="U149" s="258"/>
      <c r="V149" s="257"/>
      <c r="W149" s="258"/>
      <c r="X149" s="257"/>
      <c r="Y149" s="258"/>
      <c r="Z149" s="257"/>
    </row>
    <row r="150" spans="1:26" ht="15" customHeight="1">
      <c r="A150" s="250">
        <f>A147+1</f>
        <v>73</v>
      </c>
      <c r="B150" s="251"/>
      <c r="C150" s="647" t="s">
        <v>2452</v>
      </c>
      <c r="D150" s="527"/>
      <c r="E150" s="251" t="s">
        <v>2475</v>
      </c>
      <c r="F150" s="252">
        <f>M150+O150+Q150+S150+U150+W150+Y150</f>
        <v>140</v>
      </c>
      <c r="G150" s="253">
        <f>L150</f>
        <v>3.36</v>
      </c>
      <c r="H150" s="254">
        <f>INT(F150*G150*100+0.5)/100</f>
        <v>470.4</v>
      </c>
      <c r="I150" s="253">
        <f>N150+P150+R150+T150+V150+X150+Z150</f>
        <v>470.4</v>
      </c>
      <c r="J150" s="253"/>
      <c r="K150" s="251" t="s">
        <v>2475</v>
      </c>
      <c r="L150" s="262">
        <v>3.36</v>
      </c>
      <c r="M150" s="258">
        <f>60+20</f>
        <v>80</v>
      </c>
      <c r="N150" s="257">
        <f>INT($L150*M150*100+0.5)/100</f>
        <v>268.8</v>
      </c>
      <c r="O150" s="258">
        <v>0</v>
      </c>
      <c r="P150" s="257">
        <f>INT($L150*O150*100+0.5)/100</f>
        <v>0</v>
      </c>
      <c r="Q150" s="258">
        <v>60</v>
      </c>
      <c r="R150" s="257">
        <f>INT($L150*Q150*100+0.5)/100</f>
        <v>201.6</v>
      </c>
      <c r="S150" s="258">
        <v>0</v>
      </c>
      <c r="T150" s="257">
        <f>INT($L150*S150*100+0.5)/100</f>
        <v>0</v>
      </c>
      <c r="U150" s="258">
        <v>0</v>
      </c>
      <c r="V150" s="257">
        <f>INT($L150*U150*100+0.5)/100</f>
        <v>0</v>
      </c>
      <c r="W150" s="258">
        <v>0</v>
      </c>
      <c r="X150" s="257">
        <f>INT($L150*W150*100+0.5)/100</f>
        <v>0</v>
      </c>
      <c r="Y150" s="258">
        <v>0</v>
      </c>
      <c r="Z150" s="257">
        <f>INT($L150*Y150*100+0.5)/100</f>
        <v>0</v>
      </c>
    </row>
    <row r="151" spans="1:26" ht="15" customHeight="1">
      <c r="A151" s="250"/>
      <c r="B151" s="251"/>
      <c r="C151" s="648"/>
      <c r="D151" s="526" t="s">
        <v>2453</v>
      </c>
      <c r="E151" s="251"/>
      <c r="F151" s="252"/>
      <c r="G151" s="253"/>
      <c r="H151" s="290"/>
      <c r="I151" s="253"/>
      <c r="J151" s="253"/>
      <c r="K151" s="251"/>
      <c r="L151" s="255"/>
      <c r="M151" s="258"/>
      <c r="N151" s="257"/>
      <c r="O151" s="258"/>
      <c r="P151" s="257"/>
      <c r="Q151" s="258"/>
      <c r="R151" s="257"/>
      <c r="S151" s="258"/>
      <c r="T151" s="257"/>
      <c r="U151" s="258"/>
      <c r="V151" s="257"/>
      <c r="W151" s="258"/>
      <c r="X151" s="257"/>
      <c r="Y151" s="258"/>
      <c r="Z151" s="257"/>
    </row>
    <row r="152" spans="1:26" ht="15" customHeight="1">
      <c r="A152" s="250"/>
      <c r="B152" s="251"/>
      <c r="C152" s="648"/>
      <c r="D152" s="292"/>
      <c r="E152" s="251"/>
      <c r="F152" s="252"/>
      <c r="G152" s="253"/>
      <c r="H152" s="290"/>
      <c r="I152" s="253"/>
      <c r="J152" s="253"/>
      <c r="K152" s="251"/>
      <c r="L152" s="255"/>
      <c r="M152" s="258"/>
      <c r="N152" s="257"/>
      <c r="O152" s="258"/>
      <c r="P152" s="257"/>
      <c r="Q152" s="258"/>
      <c r="R152" s="257"/>
      <c r="S152" s="258"/>
      <c r="T152" s="257"/>
      <c r="U152" s="258"/>
      <c r="V152" s="257"/>
      <c r="W152" s="258"/>
      <c r="X152" s="257"/>
      <c r="Y152" s="258"/>
      <c r="Z152" s="257"/>
    </row>
    <row r="153" spans="1:26" ht="25.5">
      <c r="A153" s="250">
        <f>A150+1</f>
        <v>74</v>
      </c>
      <c r="B153" s="251"/>
      <c r="C153" s="647" t="s">
        <v>2454</v>
      </c>
      <c r="D153" s="526" t="s">
        <v>28</v>
      </c>
      <c r="E153" s="251" t="s">
        <v>1901</v>
      </c>
      <c r="F153" s="252">
        <f>M153+O153+Q153+S153+U153+W153+Y153</f>
        <v>18</v>
      </c>
      <c r="G153" s="253">
        <f>L153</f>
        <v>16.75</v>
      </c>
      <c r="H153" s="254">
        <f>INT(F153*G153*100+0.5)/100</f>
        <v>301.5</v>
      </c>
      <c r="I153" s="253">
        <f>N153+P153+R153+T153+V153+X153+Z153</f>
        <v>301.5</v>
      </c>
      <c r="J153" s="253"/>
      <c r="K153" s="251" t="s">
        <v>1901</v>
      </c>
      <c r="L153" s="255">
        <v>16.75</v>
      </c>
      <c r="M153" s="258">
        <v>0</v>
      </c>
      <c r="N153" s="257">
        <f>INT($L153*M153*100+0.5)/100</f>
        <v>0</v>
      </c>
      <c r="O153" s="258">
        <v>0</v>
      </c>
      <c r="P153" s="257">
        <f>INT($L153*O153*100+0.5)/100</f>
        <v>0</v>
      </c>
      <c r="Q153" s="258">
        <v>0</v>
      </c>
      <c r="R153" s="257">
        <f>INT($L153*Q153*100+0.5)/100</f>
        <v>0</v>
      </c>
      <c r="S153" s="258">
        <v>0</v>
      </c>
      <c r="T153" s="257">
        <f>INT($L153*S153*100+0.5)/100</f>
        <v>0</v>
      </c>
      <c r="U153" s="258">
        <v>18</v>
      </c>
      <c r="V153" s="257">
        <f>INT($L153*U153*100+0.5)/100</f>
        <v>301.5</v>
      </c>
      <c r="W153" s="258">
        <v>0</v>
      </c>
      <c r="X153" s="257">
        <f>INT($L153*W153*100+0.5)/100</f>
        <v>0</v>
      </c>
      <c r="Y153" s="258">
        <v>0</v>
      </c>
      <c r="Z153" s="257">
        <f>INT($L153*Y153*100+0.5)/100</f>
        <v>0</v>
      </c>
    </row>
    <row r="154" spans="1:26" ht="25.5">
      <c r="A154" s="250"/>
      <c r="B154" s="251"/>
      <c r="C154" s="648"/>
      <c r="D154" s="526" t="s">
        <v>1525</v>
      </c>
      <c r="E154" s="251"/>
      <c r="F154" s="252"/>
      <c r="G154" s="253"/>
      <c r="H154" s="290"/>
      <c r="I154" s="253"/>
      <c r="J154" s="253"/>
      <c r="K154" s="251"/>
      <c r="L154" s="255"/>
      <c r="M154" s="258"/>
      <c r="N154" s="257"/>
      <c r="O154" s="258"/>
      <c r="P154" s="257"/>
      <c r="Q154" s="258"/>
      <c r="R154" s="257"/>
      <c r="S154" s="258"/>
      <c r="T154" s="257"/>
      <c r="U154" s="258"/>
      <c r="V154" s="257"/>
      <c r="W154" s="258"/>
      <c r="X154" s="257"/>
      <c r="Y154" s="258"/>
      <c r="Z154" s="257"/>
    </row>
    <row r="155" spans="1:26" ht="15" customHeight="1">
      <c r="A155" s="250"/>
      <c r="B155" s="251"/>
      <c r="C155" s="648"/>
      <c r="D155" s="526"/>
      <c r="E155" s="251"/>
      <c r="F155" s="252"/>
      <c r="G155" s="253"/>
      <c r="H155" s="290"/>
      <c r="I155" s="253"/>
      <c r="J155" s="253"/>
      <c r="K155" s="251"/>
      <c r="L155" s="255"/>
      <c r="M155" s="258"/>
      <c r="N155" s="257"/>
      <c r="O155" s="258"/>
      <c r="P155" s="257"/>
      <c r="Q155" s="258"/>
      <c r="R155" s="257"/>
      <c r="S155" s="258"/>
      <c r="T155" s="257"/>
      <c r="U155" s="258"/>
      <c r="V155" s="257"/>
      <c r="W155" s="258"/>
      <c r="X155" s="257"/>
      <c r="Y155" s="258"/>
      <c r="Z155" s="257"/>
    </row>
    <row r="156" spans="1:26" ht="25.5">
      <c r="A156" s="250">
        <f>A153+1</f>
        <v>75</v>
      </c>
      <c r="B156" s="251"/>
      <c r="C156" s="647" t="s">
        <v>2316</v>
      </c>
      <c r="D156" s="526" t="s">
        <v>26</v>
      </c>
      <c r="E156" s="251" t="s">
        <v>2475</v>
      </c>
      <c r="F156" s="252">
        <f>M156+O156+Q156+S156+U156+W156+Y156</f>
        <v>12</v>
      </c>
      <c r="G156" s="253">
        <f>L156</f>
        <v>36.18</v>
      </c>
      <c r="H156" s="254">
        <f>INT(F156*G156*100+0.5)/100</f>
        <v>434.16</v>
      </c>
      <c r="I156" s="253">
        <f>N156+P156+R156+T156+V156+X156+Z156</f>
        <v>434.16</v>
      </c>
      <c r="J156" s="253"/>
      <c r="K156" s="251" t="s">
        <v>2475</v>
      </c>
      <c r="L156" s="255">
        <v>36.18</v>
      </c>
      <c r="M156" s="258">
        <v>0</v>
      </c>
      <c r="N156" s="257">
        <f>INT($L156*M156*100+0.5)/100</f>
        <v>0</v>
      </c>
      <c r="O156" s="258">
        <v>0</v>
      </c>
      <c r="P156" s="257">
        <f>INT($L156*O156*100+0.5)/100</f>
        <v>0</v>
      </c>
      <c r="Q156" s="258">
        <v>0</v>
      </c>
      <c r="R156" s="257">
        <f>INT($L156*Q156*100+0.5)/100</f>
        <v>0</v>
      </c>
      <c r="S156" s="258">
        <v>12</v>
      </c>
      <c r="T156" s="257">
        <f>INT($L156*S156*100+0.5)/100</f>
        <v>434.16</v>
      </c>
      <c r="U156" s="258">
        <v>0</v>
      </c>
      <c r="V156" s="257">
        <f>INT($L156*U156*100+0.5)/100</f>
        <v>0</v>
      </c>
      <c r="W156" s="258">
        <v>0</v>
      </c>
      <c r="X156" s="257">
        <f>INT($L156*W156*100+0.5)/100</f>
        <v>0</v>
      </c>
      <c r="Y156" s="258">
        <v>0</v>
      </c>
      <c r="Z156" s="257">
        <f>INT($L156*Y156*100+0.5)/100</f>
        <v>0</v>
      </c>
    </row>
    <row r="157" spans="1:26" ht="25.5">
      <c r="A157" s="250"/>
      <c r="B157" s="251"/>
      <c r="C157" s="648"/>
      <c r="D157" s="526" t="s">
        <v>27</v>
      </c>
      <c r="E157" s="251"/>
      <c r="F157" s="252"/>
      <c r="G157" s="253"/>
      <c r="H157" s="290"/>
      <c r="I157" s="253"/>
      <c r="J157" s="253"/>
      <c r="K157" s="251"/>
      <c r="L157" s="255"/>
      <c r="M157" s="258"/>
      <c r="N157" s="257"/>
      <c r="O157" s="258"/>
      <c r="P157" s="257"/>
      <c r="Q157" s="258"/>
      <c r="R157" s="257"/>
      <c r="S157" s="258"/>
      <c r="T157" s="257"/>
      <c r="U157" s="258"/>
      <c r="V157" s="257"/>
      <c r="W157" s="258"/>
      <c r="X157" s="257"/>
      <c r="Y157" s="258"/>
      <c r="Z157" s="257"/>
    </row>
    <row r="158" spans="1:26" ht="15" customHeight="1">
      <c r="A158" s="250"/>
      <c r="B158" s="251"/>
      <c r="C158" s="648"/>
      <c r="D158" s="292"/>
      <c r="E158" s="251"/>
      <c r="F158" s="252"/>
      <c r="G158" s="253"/>
      <c r="H158" s="290"/>
      <c r="I158" s="253"/>
      <c r="J158" s="253"/>
      <c r="K158" s="251"/>
      <c r="L158" s="255"/>
      <c r="M158" s="258"/>
      <c r="N158" s="257"/>
      <c r="O158" s="258"/>
      <c r="P158" s="257"/>
      <c r="Q158" s="258"/>
      <c r="R158" s="257"/>
      <c r="S158" s="258"/>
      <c r="T158" s="257"/>
      <c r="U158" s="258"/>
      <c r="V158" s="257"/>
      <c r="W158" s="258"/>
      <c r="X158" s="257"/>
      <c r="Y158" s="258"/>
      <c r="Z158" s="257"/>
    </row>
    <row r="159" spans="1:26" ht="15" customHeight="1">
      <c r="A159" s="250">
        <f>A156+1</f>
        <v>76</v>
      </c>
      <c r="B159" s="251"/>
      <c r="C159" s="647" t="s">
        <v>2317</v>
      </c>
      <c r="D159" s="526" t="s">
        <v>24</v>
      </c>
      <c r="E159" s="251" t="s">
        <v>2475</v>
      </c>
      <c r="F159" s="252">
        <f>M159+O159+Q159+S159+U159+W159+Y159</f>
        <v>105</v>
      </c>
      <c r="G159" s="253">
        <f>L159</f>
        <v>13.02</v>
      </c>
      <c r="H159" s="254">
        <f>INT(F159*G159*100+0.5)/100</f>
        <v>1367.1</v>
      </c>
      <c r="I159" s="253">
        <f>N159+P159+R159+T159+V159+X159+Z159</f>
        <v>1367.1</v>
      </c>
      <c r="J159" s="253"/>
      <c r="K159" s="251" t="s">
        <v>2475</v>
      </c>
      <c r="L159" s="255">
        <v>13.02</v>
      </c>
      <c r="M159" s="258">
        <v>25</v>
      </c>
      <c r="N159" s="257">
        <f>INT($L159*M159*100+0.5)/100</f>
        <v>325.5</v>
      </c>
      <c r="O159" s="258">
        <v>20</v>
      </c>
      <c r="P159" s="257">
        <f>INT($L159*O159*100+0.5)/100</f>
        <v>260.39999999999998</v>
      </c>
      <c r="Q159" s="258">
        <v>0</v>
      </c>
      <c r="R159" s="257">
        <f>INT($L159*Q159*100+0.5)/100</f>
        <v>0</v>
      </c>
      <c r="S159" s="258">
        <v>0</v>
      </c>
      <c r="T159" s="257">
        <f>INT($L159*S159*100+0.5)/100</f>
        <v>0</v>
      </c>
      <c r="U159" s="258">
        <v>60</v>
      </c>
      <c r="V159" s="257">
        <f>INT($L159*U159*100+0.5)/100</f>
        <v>781.2</v>
      </c>
      <c r="W159" s="258">
        <v>0</v>
      </c>
      <c r="X159" s="257">
        <f>INT($L159*W159*100+0.5)/100</f>
        <v>0</v>
      </c>
      <c r="Y159" s="258">
        <v>0</v>
      </c>
      <c r="Z159" s="257">
        <f>INT($L159*Y159*100+0.5)/100</f>
        <v>0</v>
      </c>
    </row>
    <row r="160" spans="1:26" ht="15" customHeight="1">
      <c r="A160" s="250"/>
      <c r="B160" s="251"/>
      <c r="C160" s="648"/>
      <c r="D160" s="526" t="s">
        <v>25</v>
      </c>
      <c r="E160" s="251"/>
      <c r="F160" s="252"/>
      <c r="G160" s="253"/>
      <c r="H160" s="290"/>
      <c r="I160" s="253"/>
      <c r="J160" s="253"/>
      <c r="K160" s="251"/>
      <c r="L160" s="255"/>
      <c r="M160" s="258"/>
      <c r="N160" s="257"/>
      <c r="O160" s="258"/>
      <c r="P160" s="257"/>
      <c r="Q160" s="258"/>
      <c r="R160" s="257"/>
      <c r="S160" s="258"/>
      <c r="T160" s="257"/>
      <c r="U160" s="258"/>
      <c r="V160" s="257"/>
      <c r="W160" s="258"/>
      <c r="X160" s="257"/>
      <c r="Y160" s="258"/>
      <c r="Z160" s="257"/>
    </row>
    <row r="161" spans="1:26" ht="15" customHeight="1">
      <c r="A161" s="250"/>
      <c r="B161" s="251"/>
      <c r="C161" s="648"/>
      <c r="D161" s="292"/>
      <c r="E161" s="251"/>
      <c r="F161" s="252"/>
      <c r="G161" s="253"/>
      <c r="H161" s="290"/>
      <c r="I161" s="253"/>
      <c r="J161" s="253"/>
      <c r="K161" s="251"/>
      <c r="L161" s="255"/>
      <c r="M161" s="258"/>
      <c r="N161" s="257"/>
      <c r="O161" s="258"/>
      <c r="P161" s="257"/>
      <c r="Q161" s="258"/>
      <c r="R161" s="257"/>
      <c r="S161" s="258"/>
      <c r="T161" s="257"/>
      <c r="U161" s="258"/>
      <c r="V161" s="257"/>
      <c r="W161" s="258"/>
      <c r="X161" s="257"/>
      <c r="Y161" s="258"/>
      <c r="Z161" s="257"/>
    </row>
    <row r="162" spans="1:26" ht="15" customHeight="1">
      <c r="A162" s="250">
        <f>A159+1</f>
        <v>77</v>
      </c>
      <c r="B162" s="251"/>
      <c r="C162" s="647" t="s">
        <v>2318</v>
      </c>
      <c r="D162" s="526" t="s">
        <v>1</v>
      </c>
      <c r="E162" s="251" t="s">
        <v>2475</v>
      </c>
      <c r="F162" s="252">
        <f>M162+O162+Q162+S162+U162+W162+Y162</f>
        <v>0</v>
      </c>
      <c r="G162" s="253">
        <f>L162</f>
        <v>13.4</v>
      </c>
      <c r="H162" s="254">
        <f>INT(F162*G162*100+0.5)/100</f>
        <v>0</v>
      </c>
      <c r="I162" s="253">
        <f>N162+P162+R162+T162+V162+X162+Z162</f>
        <v>0</v>
      </c>
      <c r="J162" s="253"/>
      <c r="K162" s="251" t="s">
        <v>2475</v>
      </c>
      <c r="L162" s="255">
        <v>13.4</v>
      </c>
      <c r="M162" s="258">
        <v>0</v>
      </c>
      <c r="N162" s="257">
        <f>INT($L162*M162*100+0.5)/100</f>
        <v>0</v>
      </c>
      <c r="O162" s="258">
        <v>0</v>
      </c>
      <c r="P162" s="257">
        <f>INT($L162*O162*100+0.5)/100</f>
        <v>0</v>
      </c>
      <c r="Q162" s="258">
        <v>0</v>
      </c>
      <c r="R162" s="257">
        <f>INT($L162*Q162*100+0.5)/100</f>
        <v>0</v>
      </c>
      <c r="S162" s="258">
        <v>0</v>
      </c>
      <c r="T162" s="257">
        <f>INT($L162*S162*100+0.5)/100</f>
        <v>0</v>
      </c>
      <c r="U162" s="258">
        <v>0</v>
      </c>
      <c r="V162" s="257">
        <f>INT($L162*U162*100+0.5)/100</f>
        <v>0</v>
      </c>
      <c r="W162" s="258">
        <v>0</v>
      </c>
      <c r="X162" s="257">
        <f>INT($L162*W162*100+0.5)/100</f>
        <v>0</v>
      </c>
      <c r="Y162" s="258">
        <v>0</v>
      </c>
      <c r="Z162" s="257">
        <f>INT($L162*Y162*100+0.5)/100</f>
        <v>0</v>
      </c>
    </row>
    <row r="163" spans="1:26" ht="15" customHeight="1">
      <c r="A163" s="250"/>
      <c r="B163" s="251"/>
      <c r="C163" s="648"/>
      <c r="D163" s="526" t="s">
        <v>2</v>
      </c>
      <c r="E163" s="251"/>
      <c r="F163" s="252"/>
      <c r="G163" s="253"/>
      <c r="H163" s="290"/>
      <c r="I163" s="253"/>
      <c r="J163" s="253"/>
      <c r="K163" s="251"/>
      <c r="L163" s="255"/>
      <c r="M163" s="258"/>
      <c r="N163" s="257"/>
      <c r="O163" s="258"/>
      <c r="P163" s="257"/>
      <c r="Q163" s="258"/>
      <c r="R163" s="257"/>
      <c r="S163" s="258"/>
      <c r="T163" s="257"/>
      <c r="U163" s="258"/>
      <c r="V163" s="257"/>
      <c r="W163" s="258"/>
      <c r="X163" s="257"/>
      <c r="Y163" s="258"/>
      <c r="Z163" s="257"/>
    </row>
    <row r="164" spans="1:26" ht="15" customHeight="1">
      <c r="A164" s="250"/>
      <c r="B164" s="251"/>
      <c r="C164" s="648"/>
      <c r="D164" s="292"/>
      <c r="E164" s="251"/>
      <c r="F164" s="252"/>
      <c r="G164" s="253"/>
      <c r="H164" s="290"/>
      <c r="I164" s="253"/>
      <c r="J164" s="253"/>
      <c r="K164" s="251"/>
      <c r="L164" s="255"/>
      <c r="M164" s="258"/>
      <c r="N164" s="257"/>
      <c r="O164" s="258"/>
      <c r="P164" s="257"/>
      <c r="Q164" s="258"/>
      <c r="R164" s="257"/>
      <c r="S164" s="258"/>
      <c r="T164" s="257"/>
      <c r="U164" s="258"/>
      <c r="V164" s="257"/>
      <c r="W164" s="258"/>
      <c r="X164" s="257"/>
      <c r="Y164" s="258"/>
      <c r="Z164" s="257"/>
    </row>
    <row r="165" spans="1:26" ht="25.5">
      <c r="A165" s="250">
        <f>A162+1</f>
        <v>78</v>
      </c>
      <c r="B165" s="251"/>
      <c r="C165" s="647" t="s">
        <v>2319</v>
      </c>
      <c r="D165" s="526" t="s">
        <v>1532</v>
      </c>
      <c r="E165" s="251" t="s">
        <v>2475</v>
      </c>
      <c r="F165" s="252">
        <f>M165+O165+Q165+S165+U165+W165+Y165</f>
        <v>7</v>
      </c>
      <c r="G165" s="253">
        <f>L165</f>
        <v>42.2</v>
      </c>
      <c r="H165" s="254">
        <f>INT(F165*G165*100+0.5)/100</f>
        <v>295.39999999999998</v>
      </c>
      <c r="I165" s="253">
        <f>N165+P165+R165+T165+V165+X165+Z165</f>
        <v>295.39999999999998</v>
      </c>
      <c r="J165" s="253"/>
      <c r="K165" s="251" t="s">
        <v>2475</v>
      </c>
      <c r="L165" s="255">
        <v>42.2</v>
      </c>
      <c r="M165" s="258">
        <v>0</v>
      </c>
      <c r="N165" s="257">
        <f>INT($L165*M165*100+0.5)/100</f>
        <v>0</v>
      </c>
      <c r="O165" s="258">
        <v>0</v>
      </c>
      <c r="P165" s="257">
        <f>INT($L165*O165*100+0.5)/100</f>
        <v>0</v>
      </c>
      <c r="Q165" s="258">
        <v>7</v>
      </c>
      <c r="R165" s="257">
        <f>INT($L165*Q165*100+0.5)/100</f>
        <v>295.39999999999998</v>
      </c>
      <c r="S165" s="258">
        <v>0</v>
      </c>
      <c r="T165" s="257">
        <f>INT($L165*S165*100+0.5)/100</f>
        <v>0</v>
      </c>
      <c r="U165" s="258">
        <v>0</v>
      </c>
      <c r="V165" s="257">
        <f>INT($L165*U165*100+0.5)/100</f>
        <v>0</v>
      </c>
      <c r="W165" s="258">
        <v>0</v>
      </c>
      <c r="X165" s="257">
        <f>INT($L165*W165*100+0.5)/100</f>
        <v>0</v>
      </c>
      <c r="Y165" s="258">
        <v>0</v>
      </c>
      <c r="Z165" s="257">
        <f>INT($L165*Y165*100+0.5)/100</f>
        <v>0</v>
      </c>
    </row>
    <row r="166" spans="1:26" ht="25.5">
      <c r="A166" s="250"/>
      <c r="B166" s="251"/>
      <c r="C166" s="648"/>
      <c r="D166" s="526" t="s">
        <v>1533</v>
      </c>
      <c r="E166" s="251"/>
      <c r="F166" s="252"/>
      <c r="G166" s="253"/>
      <c r="H166" s="290"/>
      <c r="I166" s="253"/>
      <c r="J166" s="253"/>
      <c r="K166" s="251"/>
      <c r="L166" s="255"/>
      <c r="M166" s="258"/>
      <c r="N166" s="257"/>
      <c r="O166" s="258"/>
      <c r="P166" s="257"/>
      <c r="Q166" s="258"/>
      <c r="R166" s="257"/>
      <c r="S166" s="258"/>
      <c r="T166" s="257"/>
      <c r="U166" s="258"/>
      <c r="V166" s="257"/>
      <c r="W166" s="258"/>
      <c r="X166" s="257"/>
      <c r="Y166" s="258"/>
      <c r="Z166" s="257"/>
    </row>
    <row r="167" spans="1:26" ht="15" customHeight="1">
      <c r="A167" s="250"/>
      <c r="B167" s="251"/>
      <c r="C167" s="648"/>
      <c r="D167" s="292"/>
      <c r="E167" s="251"/>
      <c r="F167" s="252"/>
      <c r="G167" s="253"/>
      <c r="H167" s="290"/>
      <c r="I167" s="253"/>
      <c r="J167" s="253"/>
      <c r="K167" s="251"/>
      <c r="L167" s="255"/>
      <c r="M167" s="258"/>
      <c r="N167" s="257"/>
      <c r="O167" s="258"/>
      <c r="P167" s="257"/>
      <c r="Q167" s="258"/>
      <c r="R167" s="257"/>
      <c r="S167" s="258"/>
      <c r="T167" s="257"/>
      <c r="U167" s="258"/>
      <c r="V167" s="257"/>
      <c r="W167" s="258"/>
      <c r="X167" s="257"/>
      <c r="Y167" s="258"/>
      <c r="Z167" s="257"/>
    </row>
    <row r="168" spans="1:26" ht="38.25">
      <c r="A168" s="250">
        <f>A165+1</f>
        <v>79</v>
      </c>
      <c r="B168" s="251"/>
      <c r="C168" s="647" t="s">
        <v>2320</v>
      </c>
      <c r="D168" s="526" t="s">
        <v>1534</v>
      </c>
      <c r="E168" s="251" t="s">
        <v>2475</v>
      </c>
      <c r="F168" s="252">
        <f>M168+O168+Q168+S168+U168+W168+Y168</f>
        <v>41</v>
      </c>
      <c r="G168" s="253">
        <f>L168</f>
        <v>38.700000000000003</v>
      </c>
      <c r="H168" s="254">
        <f>INT(F168*G168*100+0.5)/100</f>
        <v>1586.7</v>
      </c>
      <c r="I168" s="253">
        <f>N168+P168+R168+T168+V168+X168+Z168</f>
        <v>1586.7</v>
      </c>
      <c r="J168" s="253"/>
      <c r="K168" s="251" t="s">
        <v>2475</v>
      </c>
      <c r="L168" s="255">
        <v>38.700000000000003</v>
      </c>
      <c r="M168" s="258">
        <f>M199</f>
        <v>41</v>
      </c>
      <c r="N168" s="257">
        <f>INT($L168*M168*100+0.5)/100</f>
        <v>1586.7</v>
      </c>
      <c r="O168" s="258">
        <v>0</v>
      </c>
      <c r="P168" s="257">
        <f>INT($L168*O168*100+0.5)/100</f>
        <v>0</v>
      </c>
      <c r="Q168" s="258">
        <v>0</v>
      </c>
      <c r="R168" s="257">
        <f>INT($L168*Q168*100+0.5)/100</f>
        <v>0</v>
      </c>
      <c r="S168" s="258">
        <v>0</v>
      </c>
      <c r="T168" s="257">
        <f>INT($L168*S168*100+0.5)/100</f>
        <v>0</v>
      </c>
      <c r="U168" s="258">
        <v>0</v>
      </c>
      <c r="V168" s="257">
        <f>INT($L168*U168*100+0.5)/100</f>
        <v>0</v>
      </c>
      <c r="W168" s="258">
        <v>0</v>
      </c>
      <c r="X168" s="257">
        <f>INT($L168*W168*100+0.5)/100</f>
        <v>0</v>
      </c>
      <c r="Y168" s="258">
        <v>0</v>
      </c>
      <c r="Z168" s="257">
        <f>INT($L168*Y168*100+0.5)/100</f>
        <v>0</v>
      </c>
    </row>
    <row r="169" spans="1:26" ht="25.5">
      <c r="A169" s="250"/>
      <c r="B169" s="251"/>
      <c r="C169" s="648"/>
      <c r="D169" s="526" t="s">
        <v>1535</v>
      </c>
      <c r="E169" s="251"/>
      <c r="F169" s="252"/>
      <c r="G169" s="253"/>
      <c r="H169" s="290"/>
      <c r="I169" s="253"/>
      <c r="J169" s="253"/>
      <c r="K169" s="251"/>
      <c r="L169" s="255"/>
      <c r="M169" s="258"/>
      <c r="N169" s="257"/>
      <c r="O169" s="258"/>
      <c r="P169" s="257"/>
      <c r="Q169" s="258"/>
      <c r="R169" s="257"/>
      <c r="S169" s="258"/>
      <c r="T169" s="257"/>
      <c r="U169" s="258"/>
      <c r="V169" s="257"/>
      <c r="W169" s="258"/>
      <c r="X169" s="257"/>
      <c r="Y169" s="258"/>
      <c r="Z169" s="257"/>
    </row>
    <row r="170" spans="1:26" ht="15" customHeight="1">
      <c r="A170" s="250"/>
      <c r="B170" s="251"/>
      <c r="C170" s="648"/>
      <c r="D170" s="292"/>
      <c r="E170" s="251"/>
      <c r="F170" s="252"/>
      <c r="G170" s="253"/>
      <c r="H170" s="290"/>
      <c r="I170" s="253"/>
      <c r="J170" s="253"/>
      <c r="K170" s="251"/>
      <c r="L170" s="255"/>
      <c r="M170" s="258"/>
      <c r="N170" s="257"/>
      <c r="O170" s="258"/>
      <c r="P170" s="257"/>
      <c r="Q170" s="258"/>
      <c r="R170" s="257"/>
      <c r="S170" s="258"/>
      <c r="T170" s="257"/>
      <c r="U170" s="258"/>
      <c r="V170" s="257"/>
      <c r="W170" s="258"/>
      <c r="X170" s="257"/>
      <c r="Y170" s="258"/>
      <c r="Z170" s="257"/>
    </row>
    <row r="171" spans="1:26" ht="25.5">
      <c r="A171" s="250">
        <f>A168+1</f>
        <v>80</v>
      </c>
      <c r="B171" s="251"/>
      <c r="C171" s="647" t="s">
        <v>2321</v>
      </c>
      <c r="D171" s="526" t="s">
        <v>1536</v>
      </c>
      <c r="E171" s="251" t="s">
        <v>2475</v>
      </c>
      <c r="F171" s="252">
        <f>M171+O171+Q171+S171+U171+W171+Y171</f>
        <v>1470</v>
      </c>
      <c r="G171" s="253">
        <f>L171</f>
        <v>13.61</v>
      </c>
      <c r="H171" s="254">
        <f>INT(F171*G171*100+0.5)/100</f>
        <v>20006.7</v>
      </c>
      <c r="I171" s="253">
        <f>N171+P171+R171+T171+V171+X171+Z171</f>
        <v>20006.7</v>
      </c>
      <c r="J171" s="253"/>
      <c r="K171" s="251" t="s">
        <v>2475</v>
      </c>
      <c r="L171" s="255">
        <v>13.61</v>
      </c>
      <c r="M171" s="258">
        <v>0</v>
      </c>
      <c r="N171" s="257">
        <f>INT($L171*M171*100+0.5)/100</f>
        <v>0</v>
      </c>
      <c r="O171" s="258">
        <v>0</v>
      </c>
      <c r="P171" s="257">
        <f>INT($L171*O171*100+0.5)/100</f>
        <v>0</v>
      </c>
      <c r="Q171" s="258">
        <v>0</v>
      </c>
      <c r="R171" s="257">
        <f>INT($L171*Q171*100+0.5)/100</f>
        <v>0</v>
      </c>
      <c r="S171" s="258">
        <v>0</v>
      </c>
      <c r="T171" s="257">
        <f>INT($L171*S171*100+0.5)/100</f>
        <v>0</v>
      </c>
      <c r="U171" s="258">
        <f>2*690+40+10+40</f>
        <v>1470</v>
      </c>
      <c r="V171" s="257">
        <f>INT($L171*U171*100+0.5)/100</f>
        <v>20006.7</v>
      </c>
      <c r="W171" s="258">
        <v>0</v>
      </c>
      <c r="X171" s="257">
        <f>INT($L171*W171*100+0.5)/100</f>
        <v>0</v>
      </c>
      <c r="Y171" s="258">
        <v>0</v>
      </c>
      <c r="Z171" s="257">
        <f>INT($L171*Y171*100+0.5)/100</f>
        <v>0</v>
      </c>
    </row>
    <row r="172" spans="1:26" ht="15" customHeight="1">
      <c r="A172" s="250"/>
      <c r="B172" s="251"/>
      <c r="C172" s="648"/>
      <c r="D172" s="526" t="s">
        <v>1537</v>
      </c>
      <c r="E172" s="251"/>
      <c r="F172" s="252"/>
      <c r="G172" s="253"/>
      <c r="H172" s="290"/>
      <c r="I172" s="253"/>
      <c r="J172" s="253"/>
      <c r="K172" s="251"/>
      <c r="L172" s="255"/>
      <c r="M172" s="258"/>
      <c r="N172" s="257"/>
      <c r="O172" s="258"/>
      <c r="P172" s="257"/>
      <c r="Q172" s="258"/>
      <c r="R172" s="257"/>
      <c r="S172" s="258"/>
      <c r="T172" s="257"/>
      <c r="U172" s="258"/>
      <c r="V172" s="257"/>
      <c r="W172" s="258"/>
      <c r="X172" s="257"/>
      <c r="Y172" s="258"/>
      <c r="Z172" s="257"/>
    </row>
    <row r="173" spans="1:26" ht="15" customHeight="1">
      <c r="A173" s="250"/>
      <c r="B173" s="251"/>
      <c r="C173" s="648"/>
      <c r="D173" s="292"/>
      <c r="E173" s="251"/>
      <c r="F173" s="252"/>
      <c r="G173" s="253"/>
      <c r="H173" s="290"/>
      <c r="I173" s="253"/>
      <c r="J173" s="253"/>
      <c r="K173" s="251"/>
      <c r="L173" s="255"/>
      <c r="M173" s="258"/>
      <c r="N173" s="257"/>
      <c r="O173" s="258"/>
      <c r="P173" s="257"/>
      <c r="Q173" s="258"/>
      <c r="R173" s="257"/>
      <c r="S173" s="258"/>
      <c r="T173" s="257"/>
      <c r="U173" s="258"/>
      <c r="V173" s="257"/>
      <c r="W173" s="258"/>
      <c r="X173" s="257"/>
      <c r="Y173" s="258"/>
      <c r="Z173" s="257"/>
    </row>
    <row r="174" spans="1:26" ht="15" customHeight="1">
      <c r="A174" s="250">
        <f>A171+1</f>
        <v>81</v>
      </c>
      <c r="B174" s="251"/>
      <c r="C174" s="647" t="s">
        <v>2455</v>
      </c>
      <c r="D174" s="526" t="s">
        <v>1538</v>
      </c>
      <c r="E174" s="251" t="s">
        <v>2475</v>
      </c>
      <c r="F174" s="252">
        <f>M174+O174+Q174+S174+U174+W174+Y174</f>
        <v>2</v>
      </c>
      <c r="G174" s="253">
        <f>L174</f>
        <v>190</v>
      </c>
      <c r="H174" s="254">
        <f>INT(F174*G174*100+0.5)/100</f>
        <v>380</v>
      </c>
      <c r="I174" s="253">
        <f>N174+P174+R174+T174+V174+X174+Z174</f>
        <v>380</v>
      </c>
      <c r="J174" s="253"/>
      <c r="K174" s="251" t="s">
        <v>2475</v>
      </c>
      <c r="L174" s="255">
        <v>190</v>
      </c>
      <c r="M174" s="258">
        <v>2</v>
      </c>
      <c r="N174" s="257">
        <f>INT($L174*M174*100+0.5)/100</f>
        <v>380</v>
      </c>
      <c r="O174" s="258">
        <v>0</v>
      </c>
      <c r="P174" s="257">
        <f>INT($L174*O174*100+0.5)/100</f>
        <v>0</v>
      </c>
      <c r="Q174" s="258">
        <v>0</v>
      </c>
      <c r="R174" s="257">
        <f>INT($L174*Q174*100+0.5)/100</f>
        <v>0</v>
      </c>
      <c r="S174" s="258">
        <v>0</v>
      </c>
      <c r="T174" s="257">
        <f>INT($L174*S174*100+0.5)/100</f>
        <v>0</v>
      </c>
      <c r="U174" s="258">
        <v>0</v>
      </c>
      <c r="V174" s="257">
        <f>INT($L174*U174*100+0.5)/100</f>
        <v>0</v>
      </c>
      <c r="W174" s="258">
        <v>0</v>
      </c>
      <c r="X174" s="257">
        <f>INT($L174*W174*100+0.5)/100</f>
        <v>0</v>
      </c>
      <c r="Y174" s="258">
        <v>0</v>
      </c>
      <c r="Z174" s="257">
        <f>INT($L174*Y174*100+0.5)/100</f>
        <v>0</v>
      </c>
    </row>
    <row r="175" spans="1:26" ht="15" customHeight="1">
      <c r="A175" s="250"/>
      <c r="B175" s="251"/>
      <c r="C175" s="648"/>
      <c r="D175" s="526" t="s">
        <v>2456</v>
      </c>
      <c r="E175" s="251"/>
      <c r="F175" s="252"/>
      <c r="G175" s="253"/>
      <c r="H175" s="290"/>
      <c r="I175" s="253"/>
      <c r="J175" s="253"/>
      <c r="K175" s="251"/>
      <c r="L175" s="255"/>
      <c r="M175" s="258"/>
      <c r="N175" s="257"/>
      <c r="O175" s="258"/>
      <c r="P175" s="257"/>
      <c r="Q175" s="258"/>
      <c r="R175" s="257"/>
      <c r="S175" s="258"/>
      <c r="T175" s="257"/>
      <c r="U175" s="258"/>
      <c r="V175" s="257"/>
      <c r="W175" s="258"/>
      <c r="X175" s="257"/>
      <c r="Y175" s="258"/>
      <c r="Z175" s="257"/>
    </row>
    <row r="176" spans="1:26" ht="15" customHeight="1">
      <c r="A176" s="250"/>
      <c r="B176" s="251"/>
      <c r="C176" s="648"/>
      <c r="D176" s="292"/>
      <c r="E176" s="251"/>
      <c r="F176" s="252"/>
      <c r="G176" s="253"/>
      <c r="H176" s="290"/>
      <c r="I176" s="253"/>
      <c r="J176" s="253"/>
      <c r="K176" s="251"/>
      <c r="L176" s="255"/>
      <c r="M176" s="258"/>
      <c r="N176" s="257"/>
      <c r="O176" s="258"/>
      <c r="P176" s="257"/>
      <c r="Q176" s="258"/>
      <c r="R176" s="257"/>
      <c r="S176" s="258"/>
      <c r="T176" s="257"/>
      <c r="U176" s="258"/>
      <c r="V176" s="257"/>
      <c r="W176" s="258"/>
      <c r="X176" s="257"/>
      <c r="Y176" s="258"/>
      <c r="Z176" s="257"/>
    </row>
    <row r="177" spans="1:26" s="247" customFormat="1" ht="25.5">
      <c r="A177" s="284">
        <f>A174+1</f>
        <v>82</v>
      </c>
      <c r="B177" s="237"/>
      <c r="C177" s="652" t="s">
        <v>1528</v>
      </c>
      <c r="D177" s="532" t="s">
        <v>1526</v>
      </c>
      <c r="E177" s="237" t="s">
        <v>1901</v>
      </c>
      <c r="F177" s="252">
        <f>M177+O177+Q177+S177+U177+W177+Y177</f>
        <v>18</v>
      </c>
      <c r="G177" s="240">
        <f>L177</f>
        <v>35.53</v>
      </c>
      <c r="H177" s="244">
        <f>INT(F177*G177*100+0.5)/100</f>
        <v>639.54</v>
      </c>
      <c r="I177" s="253">
        <f>N177+P177+R177+T177+V177+X177+Z177</f>
        <v>639.54</v>
      </c>
      <c r="J177" s="240"/>
      <c r="K177" s="237" t="s">
        <v>1901</v>
      </c>
      <c r="L177" s="306">
        <v>35.53</v>
      </c>
      <c r="M177" s="289">
        <v>0</v>
      </c>
      <c r="N177" s="245">
        <f>INT($L177*M177*100+0.5)/100</f>
        <v>0</v>
      </c>
      <c r="O177" s="289">
        <v>0</v>
      </c>
      <c r="P177" s="245">
        <f>INT($L177*O177*100+0.5)/100</f>
        <v>0</v>
      </c>
      <c r="Q177" s="289">
        <v>0</v>
      </c>
      <c r="R177" s="245">
        <f>INT($L177*Q177*100+0.5)/100</f>
        <v>0</v>
      </c>
      <c r="S177" s="289">
        <v>0</v>
      </c>
      <c r="T177" s="245">
        <f>INT($L177*S177*100+0.5)/100</f>
        <v>0</v>
      </c>
      <c r="U177" s="289">
        <v>18</v>
      </c>
      <c r="V177" s="245">
        <f>INT($L177*U177*100+0.5)/100</f>
        <v>639.54</v>
      </c>
      <c r="W177" s="289">
        <v>0</v>
      </c>
      <c r="X177" s="245">
        <f>INT($L177*W177*100+0.5)/100</f>
        <v>0</v>
      </c>
      <c r="Y177" s="289">
        <v>0</v>
      </c>
      <c r="Z177" s="245">
        <f>INT($L177*Y177*100+0.5)/100</f>
        <v>0</v>
      </c>
    </row>
    <row r="178" spans="1:26" s="247" customFormat="1" ht="15" customHeight="1">
      <c r="A178" s="284"/>
      <c r="B178" s="237"/>
      <c r="C178" s="653"/>
      <c r="D178" s="532" t="s">
        <v>1527</v>
      </c>
      <c r="E178" s="237"/>
      <c r="F178" s="304"/>
      <c r="G178" s="240"/>
      <c r="H178" s="490"/>
      <c r="I178" s="240"/>
      <c r="J178" s="240"/>
      <c r="K178" s="237"/>
      <c r="L178" s="306"/>
      <c r="M178" s="289"/>
      <c r="N178" s="245"/>
      <c r="O178" s="289"/>
      <c r="P178" s="245"/>
      <c r="Q178" s="289"/>
      <c r="R178" s="245"/>
      <c r="S178" s="289"/>
      <c r="T178" s="245"/>
      <c r="U178" s="289"/>
      <c r="V178" s="245"/>
      <c r="W178" s="289"/>
      <c r="X178" s="245"/>
      <c r="Y178" s="289"/>
      <c r="Z178" s="245"/>
    </row>
    <row r="179" spans="1:26" s="247" customFormat="1" ht="15" customHeight="1">
      <c r="A179" s="284"/>
      <c r="B179" s="237"/>
      <c r="C179" s="653"/>
      <c r="D179" s="532"/>
      <c r="E179" s="237"/>
      <c r="F179" s="304"/>
      <c r="G179" s="240"/>
      <c r="H179" s="490"/>
      <c r="I179" s="240"/>
      <c r="J179" s="240"/>
      <c r="K179" s="237"/>
      <c r="L179" s="306"/>
      <c r="M179" s="289"/>
      <c r="N179" s="245"/>
      <c r="O179" s="289"/>
      <c r="P179" s="245"/>
      <c r="Q179" s="289"/>
      <c r="R179" s="245"/>
      <c r="S179" s="289"/>
      <c r="T179" s="245"/>
      <c r="U179" s="289"/>
      <c r="V179" s="245"/>
      <c r="W179" s="289"/>
      <c r="X179" s="245"/>
      <c r="Y179" s="289"/>
      <c r="Z179" s="245"/>
    </row>
    <row r="180" spans="1:26" ht="15">
      <c r="A180" s="250">
        <f>A177+1</f>
        <v>83</v>
      </c>
      <c r="B180" s="251"/>
      <c r="C180" s="647" t="s">
        <v>2322</v>
      </c>
      <c r="D180" s="526" t="s">
        <v>1529</v>
      </c>
      <c r="E180" s="251" t="s">
        <v>1898</v>
      </c>
      <c r="F180" s="252">
        <f>M180+O180+Q180+S180+U180+W180+Y180</f>
        <v>105</v>
      </c>
      <c r="G180" s="253">
        <f>L180</f>
        <v>26.47</v>
      </c>
      <c r="H180" s="254">
        <f>INT(F180*G180*100+0.5)/100</f>
        <v>2779.35</v>
      </c>
      <c r="I180" s="253">
        <f>N180+P180+R180+T180+V180+X180+Z180</f>
        <v>2779.3500000000004</v>
      </c>
      <c r="J180" s="253"/>
      <c r="K180" s="251" t="s">
        <v>1898</v>
      </c>
      <c r="L180" s="255">
        <v>26.47</v>
      </c>
      <c r="M180" s="258">
        <f>M159</f>
        <v>25</v>
      </c>
      <c r="N180" s="257">
        <f>INT($L180*M180*100+0.5)/100</f>
        <v>661.75</v>
      </c>
      <c r="O180" s="258">
        <f>O159</f>
        <v>20</v>
      </c>
      <c r="P180" s="257">
        <f>INT($L180*O180*100+0.5)/100</f>
        <v>529.4</v>
      </c>
      <c r="Q180" s="258">
        <f>Q159</f>
        <v>0</v>
      </c>
      <c r="R180" s="257">
        <f>INT($L180*Q180*100+0.5)/100</f>
        <v>0</v>
      </c>
      <c r="S180" s="258">
        <f>S159</f>
        <v>0</v>
      </c>
      <c r="T180" s="257">
        <f>INT($L180*S180*100+0.5)/100</f>
        <v>0</v>
      </c>
      <c r="U180" s="258">
        <f>U159</f>
        <v>60</v>
      </c>
      <c r="V180" s="257">
        <f>INT($L180*U180*100+0.5)/100</f>
        <v>1588.2</v>
      </c>
      <c r="W180" s="258">
        <v>0</v>
      </c>
      <c r="X180" s="257">
        <f>INT($L180*W180*100+0.5)/100</f>
        <v>0</v>
      </c>
      <c r="Y180" s="258">
        <v>0</v>
      </c>
      <c r="Z180" s="257">
        <f>INT($L180*Y180*100+0.5)/100</f>
        <v>0</v>
      </c>
    </row>
    <row r="181" spans="1:26" ht="15" customHeight="1">
      <c r="A181" s="250"/>
      <c r="B181" s="251"/>
      <c r="C181" s="526"/>
      <c r="D181" s="526" t="s">
        <v>1530</v>
      </c>
      <c r="E181" s="251"/>
      <c r="F181" s="252"/>
      <c r="G181" s="253"/>
      <c r="H181" s="254"/>
      <c r="I181" s="253"/>
      <c r="J181" s="253"/>
      <c r="K181" s="251"/>
      <c r="L181" s="261"/>
      <c r="M181" s="258"/>
      <c r="N181" s="257"/>
      <c r="O181" s="258"/>
      <c r="P181" s="257"/>
      <c r="Q181" s="258"/>
      <c r="R181" s="257"/>
      <c r="S181" s="258"/>
      <c r="T181" s="257"/>
      <c r="U181" s="258"/>
      <c r="V181" s="257"/>
      <c r="W181" s="258"/>
      <c r="X181" s="257"/>
      <c r="Y181" s="258"/>
      <c r="Z181" s="257"/>
    </row>
    <row r="182" spans="1:26" ht="15" customHeight="1">
      <c r="A182" s="250"/>
      <c r="B182" s="251"/>
      <c r="C182" s="251"/>
      <c r="D182" s="292"/>
      <c r="E182" s="251"/>
      <c r="F182" s="252"/>
      <c r="G182" s="253"/>
      <c r="H182" s="290"/>
      <c r="I182" s="253"/>
      <c r="J182" s="253"/>
      <c r="K182" s="251"/>
      <c r="L182" s="255"/>
      <c r="M182" s="258"/>
      <c r="N182" s="257"/>
      <c r="O182" s="258"/>
      <c r="P182" s="257"/>
      <c r="Q182" s="258"/>
      <c r="R182" s="257"/>
      <c r="S182" s="258"/>
      <c r="T182" s="257"/>
      <c r="U182" s="258"/>
      <c r="V182" s="257"/>
      <c r="W182" s="258"/>
      <c r="X182" s="257"/>
      <c r="Y182" s="258"/>
      <c r="Z182" s="257"/>
    </row>
    <row r="183" spans="1:26" ht="15">
      <c r="A183" s="250">
        <f>A180+1</f>
        <v>84</v>
      </c>
      <c r="B183" s="251"/>
      <c r="C183" s="647" t="s">
        <v>2323</v>
      </c>
      <c r="D183" s="526" t="s">
        <v>8</v>
      </c>
      <c r="E183" s="251" t="s">
        <v>1898</v>
      </c>
      <c r="F183" s="252">
        <f>M183+O183+Q183+S183+U183+W183+Y183</f>
        <v>0</v>
      </c>
      <c r="G183" s="253">
        <f>L183</f>
        <v>27.22</v>
      </c>
      <c r="H183" s="254">
        <f>INT(F183*G183*100+0.5)/100</f>
        <v>0</v>
      </c>
      <c r="I183" s="253">
        <f>N183+P183+R183+T183+V183+X183+Z183</f>
        <v>0</v>
      </c>
      <c r="J183" s="253"/>
      <c r="K183" s="251" t="s">
        <v>1898</v>
      </c>
      <c r="L183" s="255">
        <v>27.22</v>
      </c>
      <c r="M183" s="258">
        <v>0</v>
      </c>
      <c r="N183" s="257">
        <f>INT($L183*M183*100+0.5)/100</f>
        <v>0</v>
      </c>
      <c r="O183" s="258">
        <v>0</v>
      </c>
      <c r="P183" s="257">
        <f>INT($L183*O183*100+0.5)/100</f>
        <v>0</v>
      </c>
      <c r="Q183" s="258">
        <v>0</v>
      </c>
      <c r="R183" s="257">
        <f>INT($L183*Q183*100+0.5)/100</f>
        <v>0</v>
      </c>
      <c r="S183" s="258">
        <v>0</v>
      </c>
      <c r="T183" s="257">
        <f>INT($L183*S183*100+0.5)/100</f>
        <v>0</v>
      </c>
      <c r="U183" s="258">
        <v>0</v>
      </c>
      <c r="V183" s="257">
        <f>INT($L183*U183*100+0.5)/100</f>
        <v>0</v>
      </c>
      <c r="W183" s="258">
        <v>0</v>
      </c>
      <c r="X183" s="257">
        <f>INT($L183*W183*100+0.5)/100</f>
        <v>0</v>
      </c>
      <c r="Y183" s="258">
        <v>0</v>
      </c>
      <c r="Z183" s="257">
        <f>INT($L183*Y183*100+0.5)/100</f>
        <v>0</v>
      </c>
    </row>
    <row r="184" spans="1:26" ht="15" customHeight="1">
      <c r="A184" s="250"/>
      <c r="B184" s="251"/>
      <c r="C184" s="647"/>
      <c r="D184" s="526" t="s">
        <v>7</v>
      </c>
      <c r="E184" s="251"/>
      <c r="F184" s="252"/>
      <c r="G184" s="253"/>
      <c r="H184" s="254"/>
      <c r="I184" s="253"/>
      <c r="J184" s="253"/>
      <c r="K184" s="251"/>
      <c r="L184" s="261"/>
      <c r="M184" s="258"/>
      <c r="N184" s="257"/>
      <c r="O184" s="258"/>
      <c r="P184" s="257"/>
      <c r="Q184" s="258"/>
      <c r="R184" s="257"/>
      <c r="S184" s="258"/>
      <c r="T184" s="257"/>
      <c r="U184" s="258"/>
      <c r="V184" s="257"/>
      <c r="W184" s="258"/>
      <c r="X184" s="257"/>
      <c r="Y184" s="258"/>
      <c r="Z184" s="257"/>
    </row>
    <row r="185" spans="1:26" ht="15" customHeight="1">
      <c r="A185" s="250"/>
      <c r="B185" s="251"/>
      <c r="C185" s="647"/>
      <c r="D185" s="292"/>
      <c r="E185" s="251"/>
      <c r="F185" s="252"/>
      <c r="G185" s="253"/>
      <c r="H185" s="254"/>
      <c r="I185" s="253"/>
      <c r="J185" s="253"/>
      <c r="K185" s="251"/>
      <c r="L185" s="261"/>
      <c r="M185" s="258"/>
      <c r="N185" s="257"/>
      <c r="O185" s="258"/>
      <c r="P185" s="257"/>
      <c r="Q185" s="258"/>
      <c r="R185" s="257"/>
      <c r="S185" s="258"/>
      <c r="T185" s="257"/>
      <c r="U185" s="258"/>
      <c r="V185" s="257"/>
      <c r="W185" s="258"/>
      <c r="X185" s="257"/>
      <c r="Y185" s="258"/>
      <c r="Z185" s="257"/>
    </row>
    <row r="186" spans="1:26" ht="15">
      <c r="A186" s="250">
        <f>A183+1</f>
        <v>85</v>
      </c>
      <c r="B186" s="251"/>
      <c r="C186" s="647" t="s">
        <v>2324</v>
      </c>
      <c r="D186" s="526" t="s">
        <v>678</v>
      </c>
      <c r="E186" s="251" t="s">
        <v>1898</v>
      </c>
      <c r="F186" s="252">
        <f>M186+O186+Q186+S186+U186+W186+Y186</f>
        <v>0</v>
      </c>
      <c r="G186" s="253">
        <f>L186</f>
        <v>31.5</v>
      </c>
      <c r="H186" s="254">
        <f>INT(F186*G186*100+0.5)/100</f>
        <v>0</v>
      </c>
      <c r="I186" s="253">
        <f>N186+P186+R186+T186+V186+X186+Z186</f>
        <v>0</v>
      </c>
      <c r="J186" s="253"/>
      <c r="K186" s="251" t="s">
        <v>1898</v>
      </c>
      <c r="L186" s="262">
        <v>31.5</v>
      </c>
      <c r="M186" s="258">
        <v>0</v>
      </c>
      <c r="N186" s="257">
        <f>INT($L186*M186*100+0.5)/100</f>
        <v>0</v>
      </c>
      <c r="O186" s="258">
        <v>0</v>
      </c>
      <c r="P186" s="257">
        <f>INT($L186*O186*100+0.5)/100</f>
        <v>0</v>
      </c>
      <c r="Q186" s="258">
        <v>0</v>
      </c>
      <c r="R186" s="257">
        <f>INT($L186*Q186*100+0.5)/100</f>
        <v>0</v>
      </c>
      <c r="S186" s="258">
        <v>0</v>
      </c>
      <c r="T186" s="257">
        <f>INT($L186*S186*100+0.5)/100</f>
        <v>0</v>
      </c>
      <c r="U186" s="258">
        <v>0</v>
      </c>
      <c r="V186" s="257">
        <f>INT($L186*U186*100+0.5)/100</f>
        <v>0</v>
      </c>
      <c r="W186" s="258">
        <v>0</v>
      </c>
      <c r="X186" s="257">
        <f>INT($L186*W186*100+0.5)/100</f>
        <v>0</v>
      </c>
      <c r="Y186" s="258">
        <v>0</v>
      </c>
      <c r="Z186" s="257">
        <f>INT($L186*Y186*100+0.5)/100</f>
        <v>0</v>
      </c>
    </row>
    <row r="187" spans="1:26" ht="15" customHeight="1">
      <c r="A187" s="250"/>
      <c r="B187" s="251"/>
      <c r="C187" s="647"/>
      <c r="D187" s="526" t="s">
        <v>677</v>
      </c>
      <c r="E187" s="251"/>
      <c r="F187" s="252"/>
      <c r="G187" s="253"/>
      <c r="H187" s="254"/>
      <c r="I187" s="253"/>
      <c r="J187" s="253"/>
      <c r="K187" s="251"/>
      <c r="L187" s="261"/>
      <c r="M187" s="258"/>
      <c r="N187" s="257"/>
      <c r="O187" s="258"/>
      <c r="P187" s="257"/>
      <c r="Q187" s="258"/>
      <c r="R187" s="257"/>
      <c r="S187" s="258"/>
      <c r="T187" s="257"/>
      <c r="U187" s="258"/>
      <c r="V187" s="257"/>
      <c r="W187" s="258"/>
      <c r="X187" s="257"/>
      <c r="Y187" s="258"/>
      <c r="Z187" s="257"/>
    </row>
    <row r="188" spans="1:26" ht="15" customHeight="1">
      <c r="A188" s="250"/>
      <c r="B188" s="251"/>
      <c r="C188" s="649"/>
      <c r="D188" s="292"/>
      <c r="E188" s="251"/>
      <c r="F188" s="252"/>
      <c r="G188" s="253"/>
      <c r="H188" s="254"/>
      <c r="I188" s="253"/>
      <c r="J188" s="253"/>
      <c r="K188" s="251"/>
      <c r="L188" s="261"/>
      <c r="M188" s="258"/>
      <c r="N188" s="257"/>
      <c r="O188" s="258"/>
      <c r="P188" s="257"/>
      <c r="Q188" s="258"/>
      <c r="R188" s="257"/>
      <c r="S188" s="258"/>
      <c r="T188" s="257"/>
      <c r="U188" s="258"/>
      <c r="V188" s="257"/>
      <c r="W188" s="258"/>
      <c r="X188" s="257"/>
      <c r="Y188" s="258"/>
      <c r="Z188" s="257"/>
    </row>
    <row r="189" spans="1:26" ht="15" customHeight="1">
      <c r="A189" s="250">
        <f>A186+1</f>
        <v>86</v>
      </c>
      <c r="B189" s="251"/>
      <c r="C189" s="647" t="s">
        <v>2325</v>
      </c>
      <c r="D189" s="526" t="s">
        <v>680</v>
      </c>
      <c r="E189" s="251" t="s">
        <v>2475</v>
      </c>
      <c r="F189" s="252">
        <f>M189+O189+Q189+S189+U189+W189+Y189</f>
        <v>0</v>
      </c>
      <c r="G189" s="253">
        <f>L189</f>
        <v>8.4</v>
      </c>
      <c r="H189" s="254">
        <f>INT(F189*G189*100+0.5)/100</f>
        <v>0</v>
      </c>
      <c r="I189" s="253">
        <f>N189+P189+R189+T189+V189+X189+Z189</f>
        <v>0</v>
      </c>
      <c r="J189" s="253"/>
      <c r="K189" s="251" t="s">
        <v>2475</v>
      </c>
      <c r="L189" s="262">
        <v>8.4</v>
      </c>
      <c r="M189" s="258">
        <v>0</v>
      </c>
      <c r="N189" s="257">
        <f>INT($L189*M189*100+0.5)/100</f>
        <v>0</v>
      </c>
      <c r="O189" s="258">
        <v>0</v>
      </c>
      <c r="P189" s="257">
        <f>INT($L189*O189*100+0.5)/100</f>
        <v>0</v>
      </c>
      <c r="Q189" s="258">
        <v>0</v>
      </c>
      <c r="R189" s="257">
        <f>INT($L189*Q189*100+0.5)/100</f>
        <v>0</v>
      </c>
      <c r="S189" s="258">
        <v>0</v>
      </c>
      <c r="T189" s="257">
        <f>INT($L189*S189*100+0.5)/100</f>
        <v>0</v>
      </c>
      <c r="U189" s="258">
        <v>0</v>
      </c>
      <c r="V189" s="257">
        <f>INT($L189*U189*100+0.5)/100</f>
        <v>0</v>
      </c>
      <c r="W189" s="258">
        <v>0</v>
      </c>
      <c r="X189" s="257">
        <f>INT($L189*W189*100+0.5)/100</f>
        <v>0</v>
      </c>
      <c r="Y189" s="258">
        <v>0</v>
      </c>
      <c r="Z189" s="257">
        <f>INT($L189*Y189*100+0.5)/100</f>
        <v>0</v>
      </c>
    </row>
    <row r="190" spans="1:26" ht="15">
      <c r="A190" s="250"/>
      <c r="B190" s="251"/>
      <c r="C190" s="647"/>
      <c r="D190" s="526" t="s">
        <v>679</v>
      </c>
      <c r="E190" s="251"/>
      <c r="F190" s="252"/>
      <c r="G190" s="253"/>
      <c r="H190" s="254"/>
      <c r="I190" s="253"/>
      <c r="J190" s="253"/>
      <c r="K190" s="251"/>
      <c r="L190" s="261"/>
      <c r="M190" s="258"/>
      <c r="N190" s="257"/>
      <c r="O190" s="258"/>
      <c r="P190" s="257"/>
      <c r="Q190" s="258"/>
      <c r="R190" s="257"/>
      <c r="S190" s="258"/>
      <c r="T190" s="257"/>
      <c r="U190" s="258"/>
      <c r="V190" s="257"/>
      <c r="W190" s="258"/>
      <c r="X190" s="257"/>
      <c r="Y190" s="258"/>
      <c r="Z190" s="257"/>
    </row>
    <row r="191" spans="1:26" ht="15" customHeight="1">
      <c r="A191" s="250"/>
      <c r="B191" s="251"/>
      <c r="C191" s="647"/>
      <c r="D191" s="292"/>
      <c r="E191" s="251"/>
      <c r="F191" s="252"/>
      <c r="G191" s="253"/>
      <c r="H191" s="254"/>
      <c r="I191" s="253"/>
      <c r="J191" s="253"/>
      <c r="K191" s="251"/>
      <c r="L191" s="261"/>
      <c r="M191" s="258"/>
      <c r="N191" s="257"/>
      <c r="O191" s="258"/>
      <c r="P191" s="257"/>
      <c r="Q191" s="258"/>
      <c r="R191" s="257"/>
      <c r="S191" s="258"/>
      <c r="T191" s="257"/>
      <c r="U191" s="258"/>
      <c r="V191" s="257"/>
      <c r="W191" s="258"/>
      <c r="X191" s="257"/>
      <c r="Y191" s="258"/>
      <c r="Z191" s="257"/>
    </row>
    <row r="192" spans="1:26" ht="15">
      <c r="A192" s="250">
        <f>A189+1</f>
        <v>87</v>
      </c>
      <c r="B192" s="251"/>
      <c r="C192" s="654" t="s">
        <v>1321</v>
      </c>
      <c r="D192" s="526" t="s">
        <v>1531</v>
      </c>
      <c r="E192" s="251" t="s">
        <v>1901</v>
      </c>
      <c r="F192" s="252"/>
      <c r="G192" s="253"/>
      <c r="H192" s="254"/>
      <c r="I192" s="253"/>
      <c r="J192" s="253"/>
      <c r="K192" s="251" t="s">
        <v>1901</v>
      </c>
      <c r="L192" s="255"/>
      <c r="M192" s="258"/>
      <c r="N192" s="257"/>
      <c r="O192" s="258"/>
      <c r="P192" s="257"/>
      <c r="Q192" s="258"/>
      <c r="R192" s="257"/>
      <c r="S192" s="258"/>
      <c r="T192" s="257"/>
      <c r="U192" s="258"/>
      <c r="V192" s="257"/>
      <c r="W192" s="258"/>
      <c r="X192" s="257"/>
      <c r="Y192" s="258"/>
      <c r="Z192" s="257"/>
    </row>
    <row r="193" spans="1:26" ht="15">
      <c r="A193" s="250"/>
      <c r="B193" s="251"/>
      <c r="C193" s="647"/>
      <c r="D193" s="526" t="s">
        <v>2457</v>
      </c>
      <c r="E193" s="251"/>
      <c r="F193" s="252"/>
      <c r="G193" s="253"/>
      <c r="H193" s="254"/>
      <c r="I193" s="253"/>
      <c r="J193" s="253"/>
      <c r="K193" s="251"/>
      <c r="L193" s="261"/>
      <c r="M193" s="258"/>
      <c r="N193" s="257"/>
      <c r="O193" s="258"/>
      <c r="P193" s="257"/>
      <c r="Q193" s="258"/>
      <c r="R193" s="257"/>
      <c r="S193" s="258"/>
      <c r="T193" s="257"/>
      <c r="U193" s="258"/>
      <c r="V193" s="257"/>
      <c r="W193" s="258"/>
      <c r="X193" s="257"/>
      <c r="Y193" s="258"/>
      <c r="Z193" s="257"/>
    </row>
    <row r="194" spans="1:26" ht="15">
      <c r="A194" s="250"/>
      <c r="B194" s="251"/>
      <c r="C194" s="647"/>
      <c r="D194" s="526" t="s">
        <v>2458</v>
      </c>
      <c r="E194" s="251"/>
      <c r="F194" s="252"/>
      <c r="G194" s="253"/>
      <c r="H194" s="254"/>
      <c r="I194" s="253"/>
      <c r="J194" s="253"/>
      <c r="K194" s="251"/>
      <c r="L194" s="261"/>
      <c r="M194" s="258">
        <v>2</v>
      </c>
      <c r="N194" s="257"/>
      <c r="O194" s="258"/>
      <c r="P194" s="257"/>
      <c r="Q194" s="258"/>
      <c r="R194" s="257"/>
      <c r="S194" s="258"/>
      <c r="T194" s="257"/>
      <c r="U194" s="258"/>
      <c r="V194" s="257"/>
      <c r="W194" s="258"/>
      <c r="X194" s="257"/>
      <c r="Y194" s="258"/>
      <c r="Z194" s="257"/>
    </row>
    <row r="195" spans="1:26" ht="15">
      <c r="A195" s="250"/>
      <c r="B195" s="251"/>
      <c r="C195" s="647"/>
      <c r="D195" s="526" t="s">
        <v>990</v>
      </c>
      <c r="E195" s="251"/>
      <c r="F195" s="252"/>
      <c r="G195" s="253"/>
      <c r="H195" s="254"/>
      <c r="I195" s="253"/>
      <c r="J195" s="253"/>
      <c r="K195" s="251"/>
      <c r="L195" s="261"/>
      <c r="M195" s="258">
        <f>13+9+6</f>
        <v>28</v>
      </c>
      <c r="N195" s="257"/>
      <c r="O195" s="258"/>
      <c r="P195" s="257"/>
      <c r="Q195" s="258"/>
      <c r="R195" s="257"/>
      <c r="S195" s="258"/>
      <c r="T195" s="257"/>
      <c r="U195" s="258"/>
      <c r="V195" s="257"/>
      <c r="W195" s="258"/>
      <c r="X195" s="257"/>
      <c r="Y195" s="258"/>
      <c r="Z195" s="257"/>
    </row>
    <row r="196" spans="1:26" ht="15">
      <c r="A196" s="250"/>
      <c r="B196" s="251"/>
      <c r="C196" s="647"/>
      <c r="D196" s="526" t="s">
        <v>2459</v>
      </c>
      <c r="E196" s="251"/>
      <c r="F196" s="252"/>
      <c r="G196" s="253"/>
      <c r="H196" s="254"/>
      <c r="I196" s="253"/>
      <c r="J196" s="253"/>
      <c r="K196" s="251"/>
      <c r="L196" s="261"/>
      <c r="M196" s="258">
        <v>2</v>
      </c>
      <c r="N196" s="257"/>
      <c r="O196" s="258"/>
      <c r="P196" s="257"/>
      <c r="Q196" s="258"/>
      <c r="R196" s="257"/>
      <c r="S196" s="258"/>
      <c r="T196" s="257"/>
      <c r="U196" s="258"/>
      <c r="V196" s="257"/>
      <c r="W196" s="258"/>
      <c r="X196" s="257"/>
      <c r="Y196" s="258"/>
      <c r="Z196" s="257"/>
    </row>
    <row r="197" spans="1:26" ht="15">
      <c r="A197" s="250"/>
      <c r="B197" s="251"/>
      <c r="C197" s="647"/>
      <c r="D197" s="526" t="s">
        <v>2476</v>
      </c>
      <c r="E197" s="251"/>
      <c r="F197" s="252"/>
      <c r="G197" s="253"/>
      <c r="H197" s="254"/>
      <c r="I197" s="253"/>
      <c r="J197" s="253"/>
      <c r="K197" s="251"/>
      <c r="L197" s="261"/>
      <c r="M197" s="258">
        <f>3*3</f>
        <v>9</v>
      </c>
      <c r="N197" s="257"/>
      <c r="O197" s="258"/>
      <c r="P197" s="257"/>
      <c r="Q197" s="258"/>
      <c r="R197" s="257"/>
      <c r="S197" s="258"/>
      <c r="T197" s="257"/>
      <c r="U197" s="258"/>
      <c r="V197" s="257"/>
      <c r="W197" s="258"/>
      <c r="X197" s="257"/>
      <c r="Y197" s="258"/>
      <c r="Z197" s="257"/>
    </row>
    <row r="198" spans="1:26" ht="15">
      <c r="A198" s="250"/>
      <c r="B198" s="251"/>
      <c r="C198" s="647"/>
      <c r="D198" s="526" t="s">
        <v>2477</v>
      </c>
      <c r="E198" s="251"/>
      <c r="F198" s="252"/>
      <c r="G198" s="253"/>
      <c r="H198" s="254"/>
      <c r="I198" s="253"/>
      <c r="J198" s="253"/>
      <c r="K198" s="251"/>
      <c r="L198" s="261"/>
      <c r="M198" s="293">
        <f>0*4</f>
        <v>0</v>
      </c>
      <c r="N198" s="257"/>
      <c r="O198" s="258"/>
      <c r="P198" s="257"/>
      <c r="Q198" s="258"/>
      <c r="R198" s="257"/>
      <c r="S198" s="258"/>
      <c r="T198" s="257"/>
      <c r="U198" s="258"/>
      <c r="V198" s="257"/>
      <c r="W198" s="258"/>
      <c r="X198" s="257"/>
      <c r="Y198" s="258"/>
      <c r="Z198" s="257"/>
    </row>
    <row r="199" spans="1:26" ht="15">
      <c r="A199" s="250"/>
      <c r="B199" s="251"/>
      <c r="C199" s="647"/>
      <c r="D199" s="526" t="s">
        <v>1900</v>
      </c>
      <c r="E199" s="251" t="s">
        <v>1901</v>
      </c>
      <c r="F199" s="252">
        <f>M199+O199+Q199+S199+U199+W199+Y199</f>
        <v>41</v>
      </c>
      <c r="G199" s="253">
        <f>L199</f>
        <v>54.88</v>
      </c>
      <c r="H199" s="254">
        <f>INT(F199*G199*100+0.5)/100</f>
        <v>2250.08</v>
      </c>
      <c r="I199" s="253">
        <f>N199+P199+R199+T199+V199+X199+Z199</f>
        <v>2250.08</v>
      </c>
      <c r="J199" s="253"/>
      <c r="K199" s="251" t="s">
        <v>1901</v>
      </c>
      <c r="L199" s="255">
        <v>54.88</v>
      </c>
      <c r="M199" s="258">
        <f>SUM(M194:M198)</f>
        <v>41</v>
      </c>
      <c r="N199" s="257">
        <f>INT($L199*M199*100+0.5)/100</f>
        <v>2250.08</v>
      </c>
      <c r="O199" s="258">
        <v>0</v>
      </c>
      <c r="P199" s="257">
        <f>INT($L199*O199*100+0.5)/100</f>
        <v>0</v>
      </c>
      <c r="Q199" s="258">
        <v>0</v>
      </c>
      <c r="R199" s="257">
        <f>INT($L199*Q199*100+0.5)/100</f>
        <v>0</v>
      </c>
      <c r="S199" s="258">
        <v>0</v>
      </c>
      <c r="T199" s="257">
        <f>INT($L199*S199*100+0.5)/100</f>
        <v>0</v>
      </c>
      <c r="U199" s="258">
        <v>0</v>
      </c>
      <c r="V199" s="257">
        <f>INT($L199*U199*100+0.5)/100</f>
        <v>0</v>
      </c>
      <c r="W199" s="258">
        <v>0</v>
      </c>
      <c r="X199" s="257">
        <f>INT($L199*W199*100+0.5)/100</f>
        <v>0</v>
      </c>
      <c r="Y199" s="258">
        <v>0</v>
      </c>
      <c r="Z199" s="257">
        <f>INT($L199*Y199*100+0.5)/100</f>
        <v>0</v>
      </c>
    </row>
    <row r="200" spans="1:26" ht="15">
      <c r="A200" s="250"/>
      <c r="B200" s="251"/>
      <c r="C200" s="647"/>
      <c r="D200" s="526"/>
      <c r="E200" s="251"/>
      <c r="F200" s="252"/>
      <c r="G200" s="253"/>
      <c r="H200" s="254"/>
      <c r="I200" s="253"/>
      <c r="J200" s="253"/>
      <c r="K200" s="251"/>
      <c r="L200" s="255"/>
      <c r="M200" s="258"/>
      <c r="N200" s="257"/>
      <c r="O200" s="258"/>
      <c r="P200" s="257"/>
      <c r="Q200" s="258"/>
      <c r="R200" s="257"/>
      <c r="S200" s="258"/>
      <c r="T200" s="257"/>
      <c r="U200" s="258"/>
      <c r="V200" s="257"/>
      <c r="W200" s="258"/>
      <c r="X200" s="257"/>
      <c r="Y200" s="258"/>
      <c r="Z200" s="257"/>
    </row>
    <row r="201" spans="1:26" ht="15" customHeight="1">
      <c r="A201" s="250">
        <f>A192+1</f>
        <v>88</v>
      </c>
      <c r="B201" s="251"/>
      <c r="C201" s="647" t="s">
        <v>2326</v>
      </c>
      <c r="D201" s="526" t="s">
        <v>1540</v>
      </c>
      <c r="E201" s="251" t="s">
        <v>2475</v>
      </c>
      <c r="F201" s="252"/>
      <c r="G201" s="253"/>
      <c r="H201" s="254"/>
      <c r="I201" s="253"/>
      <c r="J201" s="253"/>
      <c r="K201" s="251" t="s">
        <v>2475</v>
      </c>
      <c r="L201" s="255"/>
      <c r="M201" s="258"/>
      <c r="N201" s="257"/>
      <c r="O201" s="258"/>
      <c r="P201" s="257"/>
      <c r="Q201" s="258"/>
      <c r="R201" s="257"/>
      <c r="S201" s="258"/>
      <c r="T201" s="257"/>
      <c r="U201" s="258"/>
      <c r="V201" s="257"/>
      <c r="W201" s="258"/>
      <c r="X201" s="257"/>
      <c r="Y201" s="258"/>
      <c r="Z201" s="257"/>
    </row>
    <row r="202" spans="1:26" ht="15">
      <c r="A202" s="250"/>
      <c r="B202" s="251"/>
      <c r="C202" s="526"/>
      <c r="D202" s="526" t="s">
        <v>1539</v>
      </c>
      <c r="E202" s="251"/>
      <c r="F202" s="252"/>
      <c r="G202" s="253"/>
      <c r="H202" s="254"/>
      <c r="I202" s="253"/>
      <c r="J202" s="253"/>
      <c r="K202" s="251"/>
      <c r="L202" s="261"/>
      <c r="M202" s="258"/>
      <c r="N202" s="257"/>
      <c r="O202" s="258"/>
      <c r="P202" s="257"/>
      <c r="Q202" s="258"/>
      <c r="R202" s="257"/>
      <c r="S202" s="258"/>
      <c r="T202" s="257"/>
      <c r="U202" s="258"/>
      <c r="V202" s="257"/>
      <c r="W202" s="258"/>
      <c r="X202" s="257"/>
      <c r="Y202" s="258"/>
      <c r="Z202" s="257"/>
    </row>
    <row r="203" spans="1:26" ht="15" customHeight="1">
      <c r="A203" s="250"/>
      <c r="B203" s="251"/>
      <c r="C203" s="251"/>
      <c r="D203" s="292" t="s">
        <v>993</v>
      </c>
      <c r="E203" s="251"/>
      <c r="F203" s="252"/>
      <c r="G203" s="253"/>
      <c r="H203" s="254"/>
      <c r="I203" s="253"/>
      <c r="J203" s="253"/>
      <c r="K203" s="251"/>
      <c r="L203" s="255"/>
      <c r="M203" s="258">
        <v>0</v>
      </c>
      <c r="N203" s="257"/>
      <c r="O203" s="258">
        <v>0</v>
      </c>
      <c r="P203" s="257"/>
      <c r="Q203" s="258">
        <v>0</v>
      </c>
      <c r="R203" s="257"/>
      <c r="S203" s="258"/>
      <c r="T203" s="257"/>
      <c r="U203" s="258">
        <f>2*190*0</f>
        <v>0</v>
      </c>
      <c r="V203" s="257"/>
      <c r="W203" s="258"/>
      <c r="X203" s="257"/>
      <c r="Y203" s="258">
        <v>0</v>
      </c>
      <c r="Z203" s="257"/>
    </row>
    <row r="204" spans="1:26" ht="15" customHeight="1">
      <c r="A204" s="250"/>
      <c r="B204" s="251"/>
      <c r="C204" s="251"/>
      <c r="D204" s="292" t="s">
        <v>994</v>
      </c>
      <c r="E204" s="251"/>
      <c r="F204" s="252"/>
      <c r="G204" s="253"/>
      <c r="H204" s="254"/>
      <c r="I204" s="253"/>
      <c r="J204" s="253"/>
      <c r="K204" s="251"/>
      <c r="L204" s="255"/>
      <c r="M204" s="258">
        <v>0</v>
      </c>
      <c r="N204" s="257"/>
      <c r="O204" s="258">
        <v>0</v>
      </c>
      <c r="P204" s="257"/>
      <c r="Q204" s="258">
        <v>0</v>
      </c>
      <c r="R204" s="257"/>
      <c r="S204" s="258"/>
      <c r="T204" s="257"/>
      <c r="U204" s="258">
        <f>2*250*0</f>
        <v>0</v>
      </c>
      <c r="V204" s="257"/>
      <c r="W204" s="258"/>
      <c r="X204" s="257"/>
      <c r="Y204" s="258">
        <v>0</v>
      </c>
      <c r="Z204" s="257"/>
    </row>
    <row r="205" spans="1:26" ht="15" customHeight="1">
      <c r="A205" s="250"/>
      <c r="B205" s="251"/>
      <c r="C205" s="251"/>
      <c r="D205" s="292" t="s">
        <v>995</v>
      </c>
      <c r="E205" s="251"/>
      <c r="F205" s="252"/>
      <c r="G205" s="253"/>
      <c r="H205" s="254"/>
      <c r="I205" s="253"/>
      <c r="J205" s="253"/>
      <c r="K205" s="251"/>
      <c r="L205" s="255"/>
      <c r="M205" s="258">
        <v>0</v>
      </c>
      <c r="N205" s="257"/>
      <c r="O205" s="258">
        <v>0</v>
      </c>
      <c r="P205" s="257"/>
      <c r="Q205" s="258">
        <v>0</v>
      </c>
      <c r="R205" s="257"/>
      <c r="S205" s="258"/>
      <c r="T205" s="257"/>
      <c r="U205" s="258">
        <f>2*250*0</f>
        <v>0</v>
      </c>
      <c r="V205" s="257"/>
      <c r="W205" s="258"/>
      <c r="X205" s="257"/>
      <c r="Y205" s="258">
        <f>250*0</f>
        <v>0</v>
      </c>
      <c r="Z205" s="257"/>
    </row>
    <row r="206" spans="1:26" ht="15" customHeight="1">
      <c r="A206" s="250"/>
      <c r="B206" s="251"/>
      <c r="C206" s="251"/>
      <c r="D206" s="238" t="s">
        <v>927</v>
      </c>
      <c r="E206" s="251"/>
      <c r="F206" s="252"/>
      <c r="G206" s="253"/>
      <c r="H206" s="254"/>
      <c r="I206" s="253"/>
      <c r="J206" s="253"/>
      <c r="K206" s="251"/>
      <c r="L206" s="255"/>
      <c r="M206" s="258">
        <v>0</v>
      </c>
      <c r="N206" s="257"/>
      <c r="O206" s="258">
        <v>0</v>
      </c>
      <c r="P206" s="257"/>
      <c r="Q206" s="258">
        <v>0</v>
      </c>
      <c r="R206" s="257"/>
      <c r="S206" s="258"/>
      <c r="T206" s="257"/>
      <c r="U206" s="258"/>
      <c r="V206" s="257"/>
      <c r="W206" s="258"/>
      <c r="X206" s="257"/>
      <c r="Y206" s="258"/>
      <c r="Z206" s="257"/>
    </row>
    <row r="207" spans="1:26" ht="15" customHeight="1">
      <c r="A207" s="250"/>
      <c r="B207" s="251"/>
      <c r="C207" s="251"/>
      <c r="D207" s="238" t="s">
        <v>2451</v>
      </c>
      <c r="E207" s="251"/>
      <c r="F207" s="252"/>
      <c r="G207" s="253"/>
      <c r="H207" s="254"/>
      <c r="I207" s="253"/>
      <c r="J207" s="253"/>
      <c r="K207" s="251"/>
      <c r="L207" s="256">
        <v>0</v>
      </c>
      <c r="M207" s="256"/>
      <c r="N207" s="257"/>
      <c r="O207" s="258"/>
      <c r="P207" s="257"/>
      <c r="Q207" s="258"/>
      <c r="R207" s="257"/>
      <c r="S207" s="258"/>
      <c r="T207" s="257"/>
      <c r="U207" s="258"/>
      <c r="V207" s="257"/>
      <c r="W207" s="258"/>
      <c r="X207" s="257"/>
      <c r="Y207" s="258"/>
      <c r="Z207" s="257"/>
    </row>
    <row r="208" spans="1:26" ht="15" customHeight="1">
      <c r="A208" s="250"/>
      <c r="B208" s="251"/>
      <c r="C208" s="251"/>
      <c r="D208" s="238" t="s">
        <v>927</v>
      </c>
      <c r="E208" s="251"/>
      <c r="F208" s="252"/>
      <c r="G208" s="253"/>
      <c r="H208" s="254"/>
      <c r="I208" s="253"/>
      <c r="J208" s="253"/>
      <c r="K208" s="251"/>
      <c r="L208" s="256">
        <v>0</v>
      </c>
      <c r="M208" s="297"/>
      <c r="N208" s="294"/>
      <c r="O208" s="293"/>
      <c r="P208" s="294"/>
      <c r="Q208" s="293"/>
      <c r="R208" s="294"/>
      <c r="S208" s="293"/>
      <c r="T208" s="294"/>
      <c r="U208" s="293"/>
      <c r="V208" s="294"/>
      <c r="W208" s="293"/>
      <c r="X208" s="294"/>
      <c r="Y208" s="293"/>
      <c r="Z208" s="294"/>
    </row>
    <row r="209" spans="1:26" ht="15" customHeight="1">
      <c r="A209" s="250"/>
      <c r="B209" s="251"/>
      <c r="C209" s="251"/>
      <c r="D209" s="467"/>
      <c r="E209" s="251"/>
      <c r="F209" s="252">
        <f>M209+O209+Q209+S209+U209+W209+Y209</f>
        <v>0</v>
      </c>
      <c r="G209" s="253">
        <f>L209</f>
        <v>33.630000000000003</v>
      </c>
      <c r="H209" s="254">
        <f>INT(F209*G209*100+0.5)/100</f>
        <v>0</v>
      </c>
      <c r="I209" s="253">
        <f>N209+P209+R209+T209+V209+X209+Z209</f>
        <v>0</v>
      </c>
      <c r="J209" s="253"/>
      <c r="K209" s="251"/>
      <c r="L209" s="255">
        <v>33.630000000000003</v>
      </c>
      <c r="M209" s="258">
        <f>M171</f>
        <v>0</v>
      </c>
      <c r="N209" s="257">
        <f>INT($L209*M209*100+0.5)/100</f>
        <v>0</v>
      </c>
      <c r="O209" s="258">
        <f>SUM(O203:O208)</f>
        <v>0</v>
      </c>
      <c r="P209" s="257">
        <f>INT($L209*O209*100+0.5)/100</f>
        <v>0</v>
      </c>
      <c r="Q209" s="258">
        <f>SUM(Q203:Q208)</f>
        <v>0</v>
      </c>
      <c r="R209" s="257">
        <f>INT($L209*Q209*100+0.5)/100</f>
        <v>0</v>
      </c>
      <c r="S209" s="258">
        <f>SUM(S203:S208)</f>
        <v>0</v>
      </c>
      <c r="T209" s="257">
        <f>INT($L209*S209*100+0.5)/100</f>
        <v>0</v>
      </c>
      <c r="U209" s="258">
        <f>SUM(U203:U208)</f>
        <v>0</v>
      </c>
      <c r="V209" s="257">
        <f>INT($L209*U209*100+0.5)/100</f>
        <v>0</v>
      </c>
      <c r="W209" s="258">
        <f>SUM(W203:W208)</f>
        <v>0</v>
      </c>
      <c r="X209" s="257">
        <f>INT($L209*W209*100+0.5)/100</f>
        <v>0</v>
      </c>
      <c r="Y209" s="258">
        <f>SUM(Y203:Y208)</f>
        <v>0</v>
      </c>
      <c r="Z209" s="257">
        <f>INT($L209*Y209*100+0.5)/100</f>
        <v>0</v>
      </c>
    </row>
    <row r="210" spans="1:26" ht="15" customHeight="1">
      <c r="A210" s="250"/>
      <c r="B210" s="251"/>
      <c r="C210" s="526"/>
      <c r="D210" s="292"/>
      <c r="E210" s="251"/>
      <c r="F210" s="252"/>
      <c r="G210" s="253"/>
      <c r="H210" s="254"/>
      <c r="I210" s="253"/>
      <c r="J210" s="253"/>
      <c r="K210" s="251"/>
      <c r="L210" s="261"/>
      <c r="M210" s="258"/>
      <c r="N210" s="257"/>
      <c r="O210" s="258"/>
      <c r="P210" s="257"/>
      <c r="Q210" s="258"/>
      <c r="R210" s="257"/>
      <c r="S210" s="258"/>
      <c r="T210" s="257"/>
      <c r="U210" s="258"/>
      <c r="V210" s="257"/>
      <c r="W210" s="258"/>
      <c r="X210" s="257"/>
      <c r="Y210" s="258"/>
      <c r="Z210" s="257"/>
    </row>
    <row r="211" spans="1:26" s="303" customFormat="1" ht="30">
      <c r="A211" s="298"/>
      <c r="B211" s="299"/>
      <c r="C211" s="300">
        <v>53</v>
      </c>
      <c r="D211" s="333" t="s">
        <v>1447</v>
      </c>
      <c r="E211" s="299"/>
      <c r="F211" s="301"/>
      <c r="G211" s="273"/>
      <c r="H211" s="273"/>
      <c r="I211" s="272">
        <f>N211+P211+R211+T211+V211+X211+Z211</f>
        <v>47173.43</v>
      </c>
      <c r="J211" s="269">
        <f>SUM(N211:Z211)</f>
        <v>47173.43</v>
      </c>
      <c r="K211" s="299"/>
      <c r="L211" s="271"/>
      <c r="M211" s="273"/>
      <c r="N211" s="273">
        <f>SUM(N114:N210)</f>
        <v>5879.83</v>
      </c>
      <c r="O211" s="273"/>
      <c r="P211" s="273">
        <f>SUM(P114:P210)</f>
        <v>2486.3000000000002</v>
      </c>
      <c r="Q211" s="273"/>
      <c r="R211" s="273">
        <f>SUM(R114:R210)</f>
        <v>756</v>
      </c>
      <c r="S211" s="273"/>
      <c r="T211" s="273">
        <f>SUM(T114:T210)</f>
        <v>434.16</v>
      </c>
      <c r="U211" s="273"/>
      <c r="V211" s="273">
        <f>SUM(V114:V210)</f>
        <v>37617.14</v>
      </c>
      <c r="W211" s="273"/>
      <c r="X211" s="273">
        <f>SUM(X114:X210)</f>
        <v>0</v>
      </c>
      <c r="Y211" s="273"/>
      <c r="Z211" s="273">
        <f>SUM(Z114:Z210)</f>
        <v>0</v>
      </c>
    </row>
    <row r="212" spans="1:26" ht="15" customHeight="1">
      <c r="A212" s="250"/>
      <c r="B212" s="251"/>
      <c r="C212" s="526"/>
      <c r="D212" s="292"/>
      <c r="E212" s="251"/>
      <c r="F212" s="252"/>
      <c r="G212" s="253"/>
      <c r="H212" s="254"/>
      <c r="I212" s="694">
        <f>I211/'CompSolo Wolf'!I210</f>
        <v>0.74909565622804652</v>
      </c>
      <c r="J212" s="253"/>
      <c r="K212" s="251"/>
      <c r="L212" s="261"/>
      <c r="M212" s="258"/>
      <c r="N212" s="494">
        <f>N211/$N$1941</f>
        <v>4.2510911630201063E-2</v>
      </c>
      <c r="O212" s="258"/>
      <c r="P212" s="257"/>
      <c r="Q212" s="258"/>
      <c r="R212" s="257"/>
      <c r="S212" s="258"/>
      <c r="T212" s="257"/>
      <c r="U212" s="258"/>
      <c r="V212" s="257"/>
      <c r="W212" s="258"/>
      <c r="X212" s="257"/>
      <c r="Y212" s="258"/>
      <c r="Z212" s="257"/>
    </row>
    <row r="213" spans="1:26" ht="15">
      <c r="A213" s="250"/>
      <c r="B213" s="251"/>
      <c r="C213" s="526"/>
      <c r="D213" s="526"/>
      <c r="E213" s="251"/>
      <c r="F213" s="252"/>
      <c r="G213" s="253"/>
      <c r="H213" s="254"/>
      <c r="I213" s="253"/>
      <c r="J213" s="253"/>
      <c r="K213" s="251"/>
      <c r="L213" s="261"/>
      <c r="M213" s="258"/>
      <c r="N213" s="257"/>
      <c r="O213" s="258"/>
      <c r="P213" s="257"/>
      <c r="Q213" s="258"/>
      <c r="R213" s="257"/>
      <c r="S213" s="258"/>
      <c r="T213" s="257"/>
      <c r="U213" s="258"/>
      <c r="V213" s="257"/>
      <c r="W213" s="258"/>
      <c r="X213" s="257"/>
      <c r="Y213" s="258"/>
      <c r="Z213" s="257"/>
    </row>
    <row r="214" spans="1:26" ht="25.5">
      <c r="A214" s="250"/>
      <c r="B214" s="251"/>
      <c r="C214" s="453" t="s">
        <v>1448</v>
      </c>
      <c r="D214" s="330" t="s">
        <v>1449</v>
      </c>
      <c r="E214" s="251"/>
      <c r="F214" s="252"/>
      <c r="G214" s="253"/>
      <c r="H214" s="254"/>
      <c r="I214" s="253"/>
      <c r="J214" s="253"/>
      <c r="K214" s="251"/>
      <c r="L214" s="261"/>
      <c r="M214" s="258"/>
      <c r="N214" s="257"/>
      <c r="O214" s="258"/>
      <c r="P214" s="257"/>
      <c r="Q214" s="258"/>
      <c r="R214" s="257"/>
      <c r="S214" s="258"/>
      <c r="T214" s="257"/>
      <c r="U214" s="258"/>
      <c r="V214" s="257"/>
      <c r="W214" s="258"/>
      <c r="X214" s="257"/>
      <c r="Y214" s="258"/>
      <c r="Z214" s="257"/>
    </row>
    <row r="215" spans="1:26" s="247" customFormat="1" ht="15" customHeight="1">
      <c r="A215" s="284">
        <f>A201+1</f>
        <v>89</v>
      </c>
      <c r="B215" s="237"/>
      <c r="C215" s="654" t="s">
        <v>1623</v>
      </c>
      <c r="D215" s="238" t="s">
        <v>2460</v>
      </c>
      <c r="E215" s="237" t="s">
        <v>2461</v>
      </c>
      <c r="F215" s="304"/>
      <c r="G215" s="253"/>
      <c r="H215" s="244"/>
      <c r="I215" s="240"/>
      <c r="J215" s="240"/>
      <c r="K215" s="237" t="s">
        <v>2461</v>
      </c>
      <c r="L215" s="306"/>
      <c r="M215" s="289"/>
      <c r="N215" s="245"/>
      <c r="O215" s="289"/>
      <c r="P215" s="245"/>
      <c r="Q215" s="289"/>
      <c r="R215" s="245"/>
      <c r="S215" s="289"/>
      <c r="T215" s="245"/>
      <c r="U215" s="289"/>
      <c r="V215" s="245"/>
      <c r="W215" s="289"/>
      <c r="X215" s="245"/>
      <c r="Y215" s="289"/>
      <c r="Z215" s="245"/>
    </row>
    <row r="216" spans="1:26" ht="15" customHeight="1">
      <c r="A216" s="250"/>
      <c r="B216" s="251"/>
      <c r="C216" s="648"/>
      <c r="D216" s="292" t="s">
        <v>1908</v>
      </c>
      <c r="E216" s="251"/>
      <c r="F216" s="252"/>
      <c r="G216" s="253"/>
      <c r="H216" s="254"/>
      <c r="I216" s="253"/>
      <c r="J216" s="253"/>
      <c r="K216" s="251"/>
      <c r="L216" s="255"/>
      <c r="M216" s="258"/>
      <c r="N216" s="257"/>
      <c r="O216" s="258"/>
      <c r="P216" s="257"/>
      <c r="Q216" s="258"/>
      <c r="R216" s="257"/>
      <c r="S216" s="258"/>
      <c r="T216" s="257"/>
      <c r="U216" s="258"/>
      <c r="V216" s="257"/>
      <c r="W216" s="258"/>
      <c r="X216" s="257"/>
      <c r="Y216" s="258"/>
      <c r="Z216" s="257"/>
    </row>
    <row r="217" spans="1:26" ht="15" customHeight="1">
      <c r="A217" s="250"/>
      <c r="B217" s="251"/>
      <c r="C217" s="648"/>
      <c r="D217" s="292" t="s">
        <v>336</v>
      </c>
      <c r="E217" s="251"/>
      <c r="F217" s="252"/>
      <c r="G217" s="253"/>
      <c r="H217" s="254"/>
      <c r="I217" s="253"/>
      <c r="J217" s="253"/>
      <c r="K217" s="251"/>
      <c r="L217" s="255"/>
      <c r="M217" s="258">
        <v>0</v>
      </c>
      <c r="N217" s="257"/>
      <c r="O217" s="258">
        <v>0</v>
      </c>
      <c r="P217" s="257"/>
      <c r="Q217" s="258">
        <v>0</v>
      </c>
      <c r="R217" s="257"/>
      <c r="S217" s="258">
        <v>0</v>
      </c>
      <c r="T217" s="245"/>
      <c r="U217" s="258">
        <v>0</v>
      </c>
      <c r="V217" s="257"/>
      <c r="W217" s="258">
        <v>0</v>
      </c>
      <c r="X217" s="245"/>
      <c r="Y217" s="258">
        <v>0</v>
      </c>
      <c r="Z217" s="245"/>
    </row>
    <row r="218" spans="1:26" ht="15" customHeight="1">
      <c r="A218" s="250"/>
      <c r="B218" s="251"/>
      <c r="C218" s="648"/>
      <c r="D218" s="292" t="s">
        <v>337</v>
      </c>
      <c r="E218" s="251"/>
      <c r="F218" s="252"/>
      <c r="G218" s="253"/>
      <c r="H218" s="254"/>
      <c r="I218" s="253"/>
      <c r="J218" s="253"/>
      <c r="K218" s="251"/>
      <c r="L218" s="255"/>
      <c r="M218" s="258">
        <v>0</v>
      </c>
      <c r="N218" s="257"/>
      <c r="O218" s="258">
        <v>0</v>
      </c>
      <c r="P218" s="257"/>
      <c r="Q218" s="258">
        <v>0</v>
      </c>
      <c r="R218" s="257"/>
      <c r="S218" s="258">
        <v>0</v>
      </c>
      <c r="T218" s="245"/>
      <c r="U218" s="258">
        <v>0</v>
      </c>
      <c r="V218" s="257"/>
      <c r="W218" s="258">
        <v>0</v>
      </c>
      <c r="X218" s="245"/>
      <c r="Y218" s="258">
        <v>0</v>
      </c>
      <c r="Z218" s="245"/>
    </row>
    <row r="219" spans="1:26" ht="15" customHeight="1">
      <c r="A219" s="250"/>
      <c r="B219" s="251"/>
      <c r="C219" s="648"/>
      <c r="D219" s="292" t="s">
        <v>1899</v>
      </c>
      <c r="E219" s="251"/>
      <c r="F219" s="252"/>
      <c r="G219" s="253"/>
      <c r="H219" s="254"/>
      <c r="I219" s="253"/>
      <c r="J219" s="253"/>
      <c r="K219" s="251"/>
      <c r="L219" s="255"/>
      <c r="M219" s="293">
        <v>0</v>
      </c>
      <c r="N219" s="294"/>
      <c r="O219" s="293">
        <v>0</v>
      </c>
      <c r="P219" s="257"/>
      <c r="Q219" s="293">
        <v>0</v>
      </c>
      <c r="R219" s="257"/>
      <c r="S219" s="293">
        <v>0</v>
      </c>
      <c r="T219" s="294"/>
      <c r="U219" s="293">
        <v>0</v>
      </c>
      <c r="V219" s="294"/>
      <c r="W219" s="293">
        <v>0</v>
      </c>
      <c r="X219" s="294"/>
      <c r="Y219" s="293">
        <v>0</v>
      </c>
      <c r="Z219" s="294"/>
    </row>
    <row r="220" spans="1:26" ht="15" customHeight="1">
      <c r="A220" s="250"/>
      <c r="B220" s="251"/>
      <c r="C220" s="648"/>
      <c r="D220" s="292" t="s">
        <v>1900</v>
      </c>
      <c r="E220" s="251"/>
      <c r="F220" s="252">
        <f>M220+O220+Q220+S220+U220+W220+Y220</f>
        <v>0</v>
      </c>
      <c r="G220" s="253">
        <f>L220</f>
        <v>5.55</v>
      </c>
      <c r="H220" s="254">
        <f>INT(F220*G220*100+0.5)/100</f>
        <v>0</v>
      </c>
      <c r="I220" s="253">
        <f>N220+P220+R220+T220+V220+X220+Z220</f>
        <v>0</v>
      </c>
      <c r="J220" s="253"/>
      <c r="K220" s="251"/>
      <c r="L220" s="255">
        <v>5.55</v>
      </c>
      <c r="M220" s="258">
        <f>INT(SUM(M217:M219)*100+0.5)/100</f>
        <v>0</v>
      </c>
      <c r="N220" s="257">
        <f>INT($L220*M220*100+0.5)/100</f>
        <v>0</v>
      </c>
      <c r="O220" s="258">
        <f>INT(SUM(O217:O219)*100+0.5)/100</f>
        <v>0</v>
      </c>
      <c r="P220" s="257">
        <f>INT($L220*O220*100+0.5)/100</f>
        <v>0</v>
      </c>
      <c r="Q220" s="258">
        <f>INT(SUM(Q217:Q219)*100+0.5)/100</f>
        <v>0</v>
      </c>
      <c r="R220" s="257">
        <f>INT($L220*Q220*100+0.5)/100</f>
        <v>0</v>
      </c>
      <c r="S220" s="258">
        <f>INT(SUM(S217:S219)*100+0.5)/100</f>
        <v>0</v>
      </c>
      <c r="T220" s="245">
        <f>INT($L220*S220*100+0.5)/100</f>
        <v>0</v>
      </c>
      <c r="U220" s="258">
        <f>INT(SUM(U217:U219)*100+0.5)/100</f>
        <v>0</v>
      </c>
      <c r="V220" s="257">
        <f>INT($L220*U220*100+0.5)/100</f>
        <v>0</v>
      </c>
      <c r="W220" s="258">
        <f>INT(SUM(W217:W219)*100+0.5)/100</f>
        <v>0</v>
      </c>
      <c r="X220" s="245">
        <f>INT($L220*W220*100+0.5)/100</f>
        <v>0</v>
      </c>
      <c r="Y220" s="258">
        <f>INT(SUM(Y217:Y219)*100+0.5)/100</f>
        <v>0</v>
      </c>
      <c r="Z220" s="245">
        <f>INT($L220*Y220*100+0.5)/100</f>
        <v>0</v>
      </c>
    </row>
    <row r="221" spans="1:26" ht="15" customHeight="1">
      <c r="A221" s="250"/>
      <c r="B221" s="251"/>
      <c r="C221" s="648"/>
      <c r="D221" s="292"/>
      <c r="E221" s="251"/>
      <c r="F221" s="252"/>
      <c r="G221" s="253"/>
      <c r="H221" s="254"/>
      <c r="I221" s="253"/>
      <c r="J221" s="253"/>
      <c r="K221" s="251"/>
      <c r="L221" s="255"/>
      <c r="M221" s="258"/>
      <c r="N221" s="257"/>
      <c r="O221" s="258"/>
      <c r="P221" s="257"/>
      <c r="Q221" s="258"/>
      <c r="R221" s="257"/>
      <c r="S221" s="258"/>
      <c r="T221" s="257"/>
      <c r="U221" s="258"/>
      <c r="V221" s="257"/>
      <c r="W221" s="258"/>
      <c r="X221" s="257"/>
      <c r="Y221" s="258"/>
      <c r="Z221" s="257"/>
    </row>
    <row r="222" spans="1:26" ht="15" customHeight="1">
      <c r="A222" s="250">
        <f>A215+1</f>
        <v>90</v>
      </c>
      <c r="B222" s="251"/>
      <c r="C222" s="655" t="s">
        <v>1910</v>
      </c>
      <c r="D222" s="292" t="s">
        <v>1914</v>
      </c>
      <c r="E222" s="251" t="s">
        <v>2461</v>
      </c>
      <c r="F222" s="252">
        <f>M222+O222+Q222+S222+U222+W222+Y222</f>
        <v>0</v>
      </c>
      <c r="G222" s="253">
        <f>L222</f>
        <v>10.68</v>
      </c>
      <c r="H222" s="254">
        <f>INT(F222*G222*100+0.5)/100</f>
        <v>0</v>
      </c>
      <c r="I222" s="253">
        <f>N222+P222+R222+T222+V222+X222+Z222</f>
        <v>0</v>
      </c>
      <c r="J222" s="253"/>
      <c r="K222" s="251" t="s">
        <v>2461</v>
      </c>
      <c r="L222" s="255">
        <f>16.23-L220</f>
        <v>10.68</v>
      </c>
      <c r="M222" s="258">
        <v>0</v>
      </c>
      <c r="N222" s="257">
        <f>INT($L222*M222*100+0.5)/100</f>
        <v>0</v>
      </c>
      <c r="O222" s="258">
        <v>0</v>
      </c>
      <c r="P222" s="257">
        <f>INT($L222*O222*100+0.5)/100</f>
        <v>0</v>
      </c>
      <c r="Q222" s="258">
        <v>0</v>
      </c>
      <c r="R222" s="257">
        <f>INT($L222*Q222*100+0.5)/100</f>
        <v>0</v>
      </c>
      <c r="S222" s="258">
        <v>0</v>
      </c>
      <c r="T222" s="245">
        <f>INT($L222*S222*100+0.5)/100</f>
        <v>0</v>
      </c>
      <c r="U222" s="258">
        <v>0</v>
      </c>
      <c r="V222" s="257">
        <f>INT($L222*U222*100+0.5)/100</f>
        <v>0</v>
      </c>
      <c r="W222" s="258">
        <v>0</v>
      </c>
      <c r="X222" s="245">
        <f>INT($L222*W222*100+0.5)/100</f>
        <v>0</v>
      </c>
      <c r="Y222" s="258">
        <v>0</v>
      </c>
      <c r="Z222" s="245">
        <f>INT($L222*Y222*100+0.5)/100</f>
        <v>0</v>
      </c>
    </row>
    <row r="223" spans="1:26" ht="15" customHeight="1">
      <c r="A223" s="250"/>
      <c r="B223" s="251"/>
      <c r="C223" s="251"/>
      <c r="D223" s="292" t="s">
        <v>1915</v>
      </c>
      <c r="E223" s="251"/>
      <c r="F223" s="252"/>
      <c r="G223" s="253"/>
      <c r="H223" s="254"/>
      <c r="I223" s="253"/>
      <c r="J223" s="253"/>
      <c r="K223" s="251"/>
      <c r="L223" s="255"/>
      <c r="M223" s="258"/>
      <c r="N223" s="257"/>
      <c r="O223" s="258"/>
      <c r="P223" s="257"/>
      <c r="Q223" s="258"/>
      <c r="R223" s="257"/>
      <c r="S223" s="258"/>
      <c r="T223" s="245"/>
      <c r="U223" s="258"/>
      <c r="V223" s="257"/>
      <c r="W223" s="258"/>
      <c r="X223" s="245"/>
      <c r="Y223" s="258"/>
      <c r="Z223" s="245"/>
    </row>
    <row r="224" spans="1:26" ht="15" customHeight="1">
      <c r="A224" s="250"/>
      <c r="B224" s="251"/>
      <c r="C224" s="251"/>
      <c r="D224" s="292"/>
      <c r="E224" s="251"/>
      <c r="F224" s="252"/>
      <c r="G224" s="253"/>
      <c r="H224" s="254"/>
      <c r="I224" s="253"/>
      <c r="J224" s="253"/>
      <c r="K224" s="251"/>
      <c r="L224" s="255"/>
      <c r="M224" s="258"/>
      <c r="N224" s="257"/>
      <c r="O224" s="258"/>
      <c r="P224" s="257"/>
      <c r="Q224" s="258"/>
      <c r="R224" s="257"/>
      <c r="S224" s="258"/>
      <c r="T224" s="245"/>
      <c r="U224" s="258"/>
      <c r="V224" s="257"/>
      <c r="W224" s="258"/>
      <c r="X224" s="245"/>
      <c r="Y224" s="258"/>
      <c r="Z224" s="245"/>
    </row>
    <row r="225" spans="1:26" ht="25.5">
      <c r="A225" s="250">
        <f>A222+1</f>
        <v>91</v>
      </c>
      <c r="B225" s="251"/>
      <c r="C225" s="647" t="s">
        <v>2327</v>
      </c>
      <c r="D225" s="292" t="s">
        <v>1608</v>
      </c>
      <c r="E225" s="251" t="s">
        <v>2461</v>
      </c>
      <c r="F225" s="252">
        <f>M225+O225+Q225+S225+U225+W225+Y225</f>
        <v>0</v>
      </c>
      <c r="G225" s="253">
        <f>L225</f>
        <v>32.630000000000003</v>
      </c>
      <c r="H225" s="254">
        <f>INT(F225*G225*100+0.5)/100</f>
        <v>0</v>
      </c>
      <c r="I225" s="253">
        <f>N225+P225+R225+T225+V225+X225+Z225</f>
        <v>0</v>
      </c>
      <c r="J225" s="253"/>
      <c r="K225" s="251" t="s">
        <v>2461</v>
      </c>
      <c r="L225" s="255">
        <v>32.630000000000003</v>
      </c>
      <c r="M225" s="258">
        <v>0</v>
      </c>
      <c r="N225" s="257">
        <f>INT($L225*M225*100+0.5)/100</f>
        <v>0</v>
      </c>
      <c r="O225" s="258">
        <v>0</v>
      </c>
      <c r="P225" s="257">
        <f>INT($L225*O225*100+0.5)/100</f>
        <v>0</v>
      </c>
      <c r="Q225" s="258">
        <v>0</v>
      </c>
      <c r="R225" s="257">
        <f>INT($L225*Q225*100+0.5)/100</f>
        <v>0</v>
      </c>
      <c r="S225" s="258">
        <v>0</v>
      </c>
      <c r="T225" s="245">
        <f>INT($L225*S225*100+0.5)/100</f>
        <v>0</v>
      </c>
      <c r="U225" s="258">
        <v>0</v>
      </c>
      <c r="V225" s="257">
        <f>INT($L225*U225*100+0.5)/100</f>
        <v>0</v>
      </c>
      <c r="W225" s="258">
        <v>0</v>
      </c>
      <c r="X225" s="245">
        <f>INT($L225*W225*100+0.5)/100</f>
        <v>0</v>
      </c>
      <c r="Y225" s="258">
        <v>0</v>
      </c>
      <c r="Z225" s="245">
        <f>INT($L225*Y225*100+0.5)/100</f>
        <v>0</v>
      </c>
    </row>
    <row r="226" spans="1:26" ht="15" customHeight="1">
      <c r="A226" s="250"/>
      <c r="B226" s="251"/>
      <c r="C226" s="251"/>
      <c r="D226" s="292" t="s">
        <v>1609</v>
      </c>
      <c r="E226" s="251"/>
      <c r="F226" s="252"/>
      <c r="G226" s="253"/>
      <c r="H226" s="254"/>
      <c r="I226" s="253"/>
      <c r="J226" s="253"/>
      <c r="K226" s="251"/>
      <c r="L226" s="255"/>
      <c r="M226" s="258"/>
      <c r="N226" s="257"/>
      <c r="O226" s="258"/>
      <c r="P226" s="257"/>
      <c r="Q226" s="258"/>
      <c r="R226" s="257"/>
      <c r="S226" s="258"/>
      <c r="T226" s="245"/>
      <c r="U226" s="258"/>
      <c r="V226" s="257"/>
      <c r="W226" s="258"/>
      <c r="X226" s="245"/>
      <c r="Y226" s="258"/>
      <c r="Z226" s="245"/>
    </row>
    <row r="227" spans="1:26" ht="15" customHeight="1">
      <c r="A227" s="250"/>
      <c r="B227" s="251"/>
      <c r="C227" s="251"/>
      <c r="D227" s="292"/>
      <c r="E227" s="251"/>
      <c r="F227" s="252"/>
      <c r="G227" s="253"/>
      <c r="H227" s="254"/>
      <c r="I227" s="253"/>
      <c r="J227" s="253"/>
      <c r="K227" s="251"/>
      <c r="L227" s="255"/>
      <c r="M227" s="258"/>
      <c r="N227" s="257"/>
      <c r="O227" s="258"/>
      <c r="P227" s="257"/>
      <c r="Q227" s="258"/>
      <c r="R227" s="257"/>
      <c r="S227" s="258"/>
      <c r="T227" s="245"/>
      <c r="U227" s="258"/>
      <c r="V227" s="257"/>
      <c r="W227" s="258"/>
      <c r="X227" s="245"/>
      <c r="Y227" s="258"/>
      <c r="Z227" s="245"/>
    </row>
    <row r="228" spans="1:26" ht="25.5">
      <c r="A228" s="250">
        <f>A225+1</f>
        <v>92</v>
      </c>
      <c r="B228" s="251"/>
      <c r="C228" s="655" t="s">
        <v>1911</v>
      </c>
      <c r="D228" s="292" t="s">
        <v>459</v>
      </c>
      <c r="E228" s="251" t="s">
        <v>2461</v>
      </c>
      <c r="F228" s="252">
        <f>M228+O228+Q228+S228+U228+W228+Y228</f>
        <v>0</v>
      </c>
      <c r="G228" s="253">
        <f>L228</f>
        <v>10.77</v>
      </c>
      <c r="H228" s="254">
        <f>INT(F228*G228*100+0.5)/100</f>
        <v>0</v>
      </c>
      <c r="I228" s="253">
        <f>N228+P228+R228+T228+V228+X228+Z228</f>
        <v>0</v>
      </c>
      <c r="J228" s="253"/>
      <c r="K228" s="251" t="s">
        <v>2461</v>
      </c>
      <c r="L228" s="255">
        <f>16.32-L220</f>
        <v>10.77</v>
      </c>
      <c r="M228" s="258">
        <v>0</v>
      </c>
      <c r="N228" s="257">
        <f>INT($L228*M228*100+0.5)/100</f>
        <v>0</v>
      </c>
      <c r="O228" s="258">
        <v>0</v>
      </c>
      <c r="P228" s="257">
        <f>INT($L228*O228*100+0.5)/100</f>
        <v>0</v>
      </c>
      <c r="Q228" s="258">
        <v>0</v>
      </c>
      <c r="R228" s="257">
        <f>INT($L228*Q228*100+0.5)/100</f>
        <v>0</v>
      </c>
      <c r="S228" s="258">
        <v>0</v>
      </c>
      <c r="T228" s="245">
        <f>INT($L228*S228*100+0.5)/100</f>
        <v>0</v>
      </c>
      <c r="U228" s="258">
        <v>0</v>
      </c>
      <c r="V228" s="257">
        <f>INT($L228*U228*100+0.5)/100</f>
        <v>0</v>
      </c>
      <c r="W228" s="258">
        <v>0</v>
      </c>
      <c r="X228" s="245">
        <f>INT($L228*W228*100+0.5)/100</f>
        <v>0</v>
      </c>
      <c r="Y228" s="258">
        <v>0</v>
      </c>
      <c r="Z228" s="245">
        <f>INT($L228*Y228*100+0.5)/100</f>
        <v>0</v>
      </c>
    </row>
    <row r="229" spans="1:26" ht="25.5">
      <c r="A229" s="250"/>
      <c r="B229" s="251"/>
      <c r="C229" s="251"/>
      <c r="D229" s="292" t="s">
        <v>1916</v>
      </c>
      <c r="E229" s="251"/>
      <c r="F229" s="252"/>
      <c r="G229" s="253"/>
      <c r="H229" s="254"/>
      <c r="I229" s="253"/>
      <c r="J229" s="253"/>
      <c r="K229" s="251"/>
      <c r="L229" s="255"/>
      <c r="M229" s="258"/>
      <c r="N229" s="257"/>
      <c r="O229" s="258"/>
      <c r="P229" s="257"/>
      <c r="Q229" s="258"/>
      <c r="R229" s="257"/>
      <c r="S229" s="258"/>
      <c r="T229" s="245"/>
      <c r="U229" s="258"/>
      <c r="V229" s="257"/>
      <c r="W229" s="258"/>
      <c r="X229" s="245"/>
      <c r="Y229" s="258"/>
      <c r="Z229" s="245"/>
    </row>
    <row r="230" spans="1:26" ht="15" customHeight="1">
      <c r="A230" s="250"/>
      <c r="B230" s="251"/>
      <c r="C230" s="251"/>
      <c r="D230" s="292"/>
      <c r="E230" s="251"/>
      <c r="F230" s="252"/>
      <c r="G230" s="253"/>
      <c r="H230" s="254"/>
      <c r="I230" s="253"/>
      <c r="J230" s="253"/>
      <c r="K230" s="251"/>
      <c r="L230" s="255"/>
      <c r="M230" s="258"/>
      <c r="N230" s="257"/>
      <c r="O230" s="258"/>
      <c r="P230" s="257"/>
      <c r="Q230" s="258"/>
      <c r="R230" s="257"/>
      <c r="S230" s="258"/>
      <c r="T230" s="245"/>
      <c r="U230" s="258"/>
      <c r="V230" s="257"/>
      <c r="W230" s="258"/>
      <c r="X230" s="245"/>
      <c r="Y230" s="258"/>
      <c r="Z230" s="245"/>
    </row>
    <row r="231" spans="1:26" ht="15" customHeight="1">
      <c r="A231" s="250">
        <f>A228+1</f>
        <v>93</v>
      </c>
      <c r="B231" s="251"/>
      <c r="C231" s="655" t="s">
        <v>2328</v>
      </c>
      <c r="D231" s="292" t="s">
        <v>461</v>
      </c>
      <c r="E231" s="251" t="s">
        <v>2461</v>
      </c>
      <c r="F231" s="252">
        <f>M231+O231+Q231+S231+U231+W231+Y231</f>
        <v>0</v>
      </c>
      <c r="G231" s="253">
        <f>L231</f>
        <v>38.61</v>
      </c>
      <c r="H231" s="254">
        <f>INT(F231*G231*100+0.5)/100</f>
        <v>0</v>
      </c>
      <c r="I231" s="253">
        <f>N231+P231+R231+T231+V231+X231+Z231</f>
        <v>0</v>
      </c>
      <c r="J231" s="253"/>
      <c r="K231" s="251" t="s">
        <v>2461</v>
      </c>
      <c r="L231" s="255">
        <f>44.16-L220</f>
        <v>38.61</v>
      </c>
      <c r="M231" s="258">
        <v>0</v>
      </c>
      <c r="N231" s="257">
        <f>INT($L231*M231*100+0.5)/100</f>
        <v>0</v>
      </c>
      <c r="O231" s="258">
        <v>0</v>
      </c>
      <c r="P231" s="257">
        <f>INT($L231*O231*100+0.5)/100</f>
        <v>0</v>
      </c>
      <c r="Q231" s="258">
        <v>0</v>
      </c>
      <c r="R231" s="257">
        <f>INT($L231*Q231*100+0.5)/100</f>
        <v>0</v>
      </c>
      <c r="S231" s="258">
        <v>0</v>
      </c>
      <c r="T231" s="245">
        <f>INT($L231*S231*100+0.5)/100</f>
        <v>0</v>
      </c>
      <c r="U231" s="258">
        <v>0</v>
      </c>
      <c r="V231" s="257">
        <f>INT($L231*U231*100+0.5)/100</f>
        <v>0</v>
      </c>
      <c r="W231" s="258">
        <v>0</v>
      </c>
      <c r="X231" s="245">
        <f>INT($L231*W231*100+0.5)/100</f>
        <v>0</v>
      </c>
      <c r="Y231" s="258">
        <v>0</v>
      </c>
      <c r="Z231" s="245">
        <f>INT($L231*Y231*100+0.5)/100</f>
        <v>0</v>
      </c>
    </row>
    <row r="232" spans="1:26" ht="15" customHeight="1">
      <c r="A232" s="250"/>
      <c r="B232" s="251"/>
      <c r="C232" s="251"/>
      <c r="D232" s="292" t="s">
        <v>460</v>
      </c>
      <c r="E232" s="251"/>
      <c r="F232" s="252"/>
      <c r="G232" s="253"/>
      <c r="H232" s="254"/>
      <c r="I232" s="253"/>
      <c r="J232" s="253"/>
      <c r="K232" s="251"/>
      <c r="L232" s="255"/>
      <c r="M232" s="258"/>
      <c r="N232" s="257"/>
      <c r="O232" s="258"/>
      <c r="P232" s="257"/>
      <c r="Q232" s="258"/>
      <c r="R232" s="257"/>
      <c r="S232" s="258"/>
      <c r="T232" s="245"/>
      <c r="U232" s="258"/>
      <c r="V232" s="257"/>
      <c r="W232" s="258"/>
      <c r="X232" s="245"/>
      <c r="Y232" s="258"/>
      <c r="Z232" s="245"/>
    </row>
    <row r="233" spans="1:26" ht="15" customHeight="1">
      <c r="A233" s="250"/>
      <c r="B233" s="251"/>
      <c r="C233" s="251"/>
      <c r="D233" s="292"/>
      <c r="E233" s="251"/>
      <c r="F233" s="252"/>
      <c r="G233" s="253"/>
      <c r="H233" s="254"/>
      <c r="I233" s="253"/>
      <c r="J233" s="253"/>
      <c r="K233" s="251"/>
      <c r="L233" s="255"/>
      <c r="M233" s="258"/>
      <c r="N233" s="257"/>
      <c r="O233" s="258"/>
      <c r="P233" s="257"/>
      <c r="Q233" s="258"/>
      <c r="R233" s="257"/>
      <c r="S233" s="258"/>
      <c r="T233" s="245"/>
      <c r="U233" s="258"/>
      <c r="V233" s="257"/>
      <c r="W233" s="258"/>
      <c r="X233" s="245"/>
      <c r="Y233" s="258"/>
      <c r="Z233" s="245"/>
    </row>
    <row r="234" spans="1:26" ht="25.5">
      <c r="A234" s="250">
        <f>A231+1</f>
        <v>94</v>
      </c>
      <c r="B234" s="251"/>
      <c r="C234" s="655" t="s">
        <v>2329</v>
      </c>
      <c r="D234" s="292" t="s">
        <v>991</v>
      </c>
      <c r="E234" s="251" t="s">
        <v>2461</v>
      </c>
      <c r="F234" s="252"/>
      <c r="G234" s="253"/>
      <c r="H234" s="254"/>
      <c r="I234" s="253"/>
      <c r="J234" s="253"/>
      <c r="K234" s="251" t="s">
        <v>2461</v>
      </c>
      <c r="L234" s="255"/>
      <c r="M234" s="258"/>
      <c r="N234" s="257"/>
      <c r="O234" s="258"/>
      <c r="P234" s="257"/>
      <c r="Q234" s="258"/>
      <c r="R234" s="257"/>
      <c r="S234" s="258"/>
      <c r="T234" s="245"/>
      <c r="U234" s="258"/>
      <c r="V234" s="257"/>
      <c r="W234" s="258"/>
      <c r="X234" s="245"/>
      <c r="Y234" s="258"/>
      <c r="Z234" s="245"/>
    </row>
    <row r="235" spans="1:26" ht="25.5">
      <c r="A235" s="250"/>
      <c r="B235" s="251"/>
      <c r="C235" s="251"/>
      <c r="D235" s="292" t="s">
        <v>992</v>
      </c>
      <c r="E235" s="251"/>
      <c r="F235" s="252"/>
      <c r="G235" s="253"/>
      <c r="H235" s="254"/>
      <c r="I235" s="253"/>
      <c r="J235" s="253"/>
      <c r="K235" s="251"/>
      <c r="L235" s="255"/>
      <c r="M235" s="258"/>
      <c r="N235" s="257"/>
      <c r="O235" s="258"/>
      <c r="P235" s="257"/>
      <c r="Q235" s="258"/>
      <c r="R235" s="257"/>
      <c r="S235" s="258"/>
      <c r="T235" s="245"/>
      <c r="U235" s="258"/>
      <c r="V235" s="257"/>
      <c r="W235" s="258"/>
      <c r="X235" s="245"/>
      <c r="Y235" s="258"/>
      <c r="Z235" s="245"/>
    </row>
    <row r="236" spans="1:26" ht="15" customHeight="1">
      <c r="A236" s="250"/>
      <c r="B236" s="251"/>
      <c r="C236" s="251"/>
      <c r="D236" s="292" t="s">
        <v>993</v>
      </c>
      <c r="E236" s="251"/>
      <c r="F236" s="252"/>
      <c r="G236" s="253"/>
      <c r="H236" s="254"/>
      <c r="I236" s="253"/>
      <c r="J236" s="253"/>
      <c r="K236" s="251"/>
      <c r="L236" s="255"/>
      <c r="M236" s="258">
        <v>0</v>
      </c>
      <c r="N236" s="257"/>
      <c r="O236" s="258"/>
      <c r="P236" s="257"/>
      <c r="Q236" s="258">
        <v>0</v>
      </c>
      <c r="R236" s="257"/>
      <c r="S236" s="258"/>
      <c r="T236" s="245"/>
      <c r="U236" s="258">
        <v>0</v>
      </c>
      <c r="V236" s="257"/>
      <c r="W236" s="258"/>
      <c r="X236" s="245"/>
      <c r="Y236" s="258">
        <f>(170+10)*(7.7-2.65)*0.7</f>
        <v>636.30000000000007</v>
      </c>
      <c r="Z236" s="245"/>
    </row>
    <row r="237" spans="1:26" ht="15" customHeight="1">
      <c r="A237" s="250"/>
      <c r="B237" s="251"/>
      <c r="C237" s="251"/>
      <c r="D237" s="292" t="s">
        <v>994</v>
      </c>
      <c r="E237" s="251"/>
      <c r="F237" s="252"/>
      <c r="G237" s="253"/>
      <c r="H237" s="254"/>
      <c r="I237" s="253"/>
      <c r="J237" s="253"/>
      <c r="K237" s="251"/>
      <c r="L237" s="255"/>
      <c r="M237" s="258">
        <f>(10+145+10)*0.8</f>
        <v>132</v>
      </c>
      <c r="N237" s="257"/>
      <c r="O237" s="258">
        <f>(250+10-97)*2</f>
        <v>326</v>
      </c>
      <c r="P237" s="257"/>
      <c r="Q237" s="258">
        <f>(10+145+10)*1.33</f>
        <v>219.45000000000002</v>
      </c>
      <c r="R237" s="257"/>
      <c r="S237" s="258"/>
      <c r="T237" s="245"/>
      <c r="U237" s="258">
        <f>(10+145+10)*3*0.3+(10+145+10)*3*0.3</f>
        <v>297</v>
      </c>
      <c r="V237" s="257"/>
      <c r="W237" s="258"/>
      <c r="X237" s="245"/>
      <c r="Y237" s="258">
        <f>(10+250+10)*(7.2-2.65)*0.7</f>
        <v>859.95000000000016</v>
      </c>
      <c r="Z237" s="245"/>
    </row>
    <row r="238" spans="1:26" ht="15" customHeight="1">
      <c r="A238" s="250"/>
      <c r="B238" s="251"/>
      <c r="C238" s="251"/>
      <c r="D238" s="292" t="s">
        <v>995</v>
      </c>
      <c r="E238" s="251"/>
      <c r="F238" s="252"/>
      <c r="G238" s="253"/>
      <c r="H238" s="254"/>
      <c r="I238" s="253"/>
      <c r="J238" s="253"/>
      <c r="K238" s="251"/>
      <c r="L238" s="255"/>
      <c r="M238" s="258">
        <f>(10+250)*0.8</f>
        <v>208</v>
      </c>
      <c r="N238" s="257"/>
      <c r="O238" s="258">
        <f>(10+250)*2</f>
        <v>520</v>
      </c>
      <c r="P238" s="257"/>
      <c r="Q238" s="258">
        <f>(10+250)*1.33</f>
        <v>345.8</v>
      </c>
      <c r="R238" s="257"/>
      <c r="S238" s="258"/>
      <c r="T238" s="245"/>
      <c r="U238" s="258">
        <f>(10+250)*3.4*0.3+(10+250)*3.5*0.3</f>
        <v>538.20000000000005</v>
      </c>
      <c r="V238" s="257"/>
      <c r="W238" s="258"/>
      <c r="X238" s="245"/>
      <c r="Y238" s="258">
        <f>(10+250)*(6.1-2.65)*0.7</f>
        <v>627.89999999999986</v>
      </c>
      <c r="Z238" s="245"/>
    </row>
    <row r="239" spans="1:26" ht="15" customHeight="1">
      <c r="A239" s="250"/>
      <c r="B239" s="251"/>
      <c r="C239" s="251"/>
      <c r="D239" s="292" t="s">
        <v>2498</v>
      </c>
      <c r="E239" s="251"/>
      <c r="F239" s="252"/>
      <c r="G239" s="253"/>
      <c r="H239" s="254"/>
      <c r="I239" s="253"/>
      <c r="J239" s="253"/>
      <c r="K239" s="251"/>
      <c r="L239" s="255"/>
      <c r="M239" s="258">
        <f>(70)*0.8</f>
        <v>56</v>
      </c>
      <c r="N239" s="257"/>
      <c r="O239" s="258">
        <f>(70)*2</f>
        <v>140</v>
      </c>
      <c r="P239" s="257"/>
      <c r="Q239" s="258">
        <f>(70)*1.33</f>
        <v>93.100000000000009</v>
      </c>
      <c r="R239" s="257"/>
      <c r="S239" s="258"/>
      <c r="T239" s="245"/>
      <c r="U239" s="258">
        <f>(70)*3.5*0.3</f>
        <v>73.5</v>
      </c>
      <c r="V239" s="257"/>
      <c r="W239" s="258"/>
      <c r="X239" s="245"/>
      <c r="Y239" s="258">
        <f>(70)*(2)*0.7</f>
        <v>98</v>
      </c>
      <c r="Z239" s="245"/>
    </row>
    <row r="240" spans="1:26" ht="15" customHeight="1">
      <c r="A240" s="250"/>
      <c r="B240" s="251"/>
      <c r="C240" s="251"/>
      <c r="D240" s="292" t="s">
        <v>1232</v>
      </c>
      <c r="E240" s="251"/>
      <c r="F240" s="252"/>
      <c r="G240" s="253"/>
      <c r="H240" s="254"/>
      <c r="I240" s="253"/>
      <c r="J240" s="253"/>
      <c r="K240" s="251"/>
      <c r="L240" s="255"/>
      <c r="M240" s="458">
        <v>60</v>
      </c>
      <c r="N240" s="257"/>
      <c r="O240" s="258"/>
      <c r="P240" s="257"/>
      <c r="Q240" s="258">
        <f>(35*0.6)*0.8*1*2+(35*0.6)*0.8*1*1+70*0.6*1*1.5*1</f>
        <v>113.4</v>
      </c>
      <c r="R240" s="257"/>
      <c r="S240" s="258">
        <v>0</v>
      </c>
      <c r="T240" s="245"/>
      <c r="U240" s="258"/>
      <c r="V240" s="257"/>
      <c r="W240" s="258"/>
      <c r="X240" s="245"/>
      <c r="Y240" s="258"/>
      <c r="Z240" s="245"/>
    </row>
    <row r="241" spans="1:26" ht="15" customHeight="1">
      <c r="A241" s="250"/>
      <c r="B241" s="251"/>
      <c r="C241" s="251"/>
      <c r="D241" s="292" t="s">
        <v>35</v>
      </c>
      <c r="E241" s="251"/>
      <c r="F241" s="252"/>
      <c r="G241" s="253"/>
      <c r="H241" s="254"/>
      <c r="I241" s="253"/>
      <c r="J241" s="253"/>
      <c r="K241" s="251"/>
      <c r="L241" s="255"/>
      <c r="M241" s="258">
        <v>0</v>
      </c>
      <c r="N241" s="257"/>
      <c r="O241" s="258">
        <v>0</v>
      </c>
      <c r="P241" s="257"/>
      <c r="Q241" s="258">
        <v>0</v>
      </c>
      <c r="R241" s="257"/>
      <c r="S241" s="258">
        <f>6*(6.5)*0.8*1+(6+6)*1*1*1</f>
        <v>43.2</v>
      </c>
      <c r="T241" s="245"/>
      <c r="U241" s="258"/>
      <c r="V241" s="257"/>
      <c r="W241" s="258"/>
      <c r="X241" s="245"/>
      <c r="Y241" s="258"/>
      <c r="Z241" s="245"/>
    </row>
    <row r="242" spans="1:26" ht="15" customHeight="1">
      <c r="A242" s="250"/>
      <c r="B242" s="251"/>
      <c r="C242" s="251"/>
      <c r="D242" s="292" t="s">
        <v>2120</v>
      </c>
      <c r="E242" s="251"/>
      <c r="F242" s="252"/>
      <c r="G242" s="253"/>
      <c r="H242" s="254"/>
      <c r="I242" s="253"/>
      <c r="J242" s="253"/>
      <c r="K242" s="251"/>
      <c r="L242" s="255"/>
      <c r="M242" s="258">
        <v>0</v>
      </c>
      <c r="N242" s="257"/>
      <c r="O242" s="258">
        <f>200*0.8*1.3</f>
        <v>208</v>
      </c>
      <c r="P242" s="257"/>
      <c r="Q242" s="258"/>
      <c r="R242" s="257"/>
      <c r="S242" s="258"/>
      <c r="T242" s="245"/>
      <c r="U242" s="258"/>
      <c r="V242" s="257"/>
      <c r="W242" s="258">
        <f>158*(2+1+1)*0.4*0.3</f>
        <v>75.84</v>
      </c>
      <c r="X242" s="245"/>
      <c r="Y242" s="258">
        <f>(44*7+44*(7+5.7)/2+18*6.1*2)*0.2</f>
        <v>161.4</v>
      </c>
      <c r="Z242" s="245"/>
    </row>
    <row r="243" spans="1:26" ht="15" customHeight="1">
      <c r="A243" s="250"/>
      <c r="B243" s="251"/>
      <c r="C243" s="251"/>
      <c r="D243" s="292" t="s">
        <v>2451</v>
      </c>
      <c r="E243" s="251"/>
      <c r="F243" s="252"/>
      <c r="G243" s="253"/>
      <c r="H243" s="254"/>
      <c r="I243" s="253"/>
      <c r="J243" s="253"/>
      <c r="K243" s="251"/>
      <c r="L243" s="256">
        <f>0.2*(180+45+70+40)*0.9*1.3</f>
        <v>78.390000000000015</v>
      </c>
      <c r="M243" s="258"/>
      <c r="N243" s="257"/>
      <c r="O243" s="258"/>
      <c r="P243" s="257"/>
      <c r="Q243" s="258"/>
      <c r="R243" s="257"/>
      <c r="S243" s="258">
        <v>0</v>
      </c>
      <c r="T243" s="245"/>
      <c r="U243" s="258"/>
      <c r="V243" s="257"/>
      <c r="W243" s="258"/>
      <c r="X243" s="245"/>
      <c r="Y243" s="258"/>
      <c r="Z243" s="245"/>
    </row>
    <row r="244" spans="1:26" ht="15" customHeight="1">
      <c r="A244" s="250"/>
      <c r="B244" s="251"/>
      <c r="C244" s="648"/>
      <c r="D244" s="292" t="s">
        <v>2446</v>
      </c>
      <c r="E244" s="251"/>
      <c r="F244" s="252"/>
      <c r="G244" s="253"/>
      <c r="H244" s="254"/>
      <c r="I244" s="253"/>
      <c r="J244" s="253"/>
      <c r="K244" s="251"/>
      <c r="L244" s="256">
        <f>0.2*(55-32)*6*0.9*1.3</f>
        <v>32.292000000000009</v>
      </c>
      <c r="M244" s="293"/>
      <c r="N244" s="294"/>
      <c r="O244" s="293"/>
      <c r="P244" s="294"/>
      <c r="Q244" s="293"/>
      <c r="R244" s="294"/>
      <c r="S244" s="293"/>
      <c r="T244" s="296"/>
      <c r="U244" s="293"/>
      <c r="V244" s="294"/>
      <c r="W244" s="293"/>
      <c r="X244" s="296"/>
      <c r="Y244" s="293"/>
      <c r="Z244" s="296"/>
    </row>
    <row r="245" spans="1:26" ht="15" customHeight="1">
      <c r="A245" s="250"/>
      <c r="B245" s="251"/>
      <c r="C245" s="648"/>
      <c r="D245" s="292" t="s">
        <v>1900</v>
      </c>
      <c r="E245" s="251"/>
      <c r="F245" s="252">
        <f>M245+O245+Q245+S245+U245+W245+Y245</f>
        <v>5833.04</v>
      </c>
      <c r="G245" s="253">
        <f>L245</f>
        <v>10.47</v>
      </c>
      <c r="H245" s="254">
        <f>INT(F245*G245*100+0.5)/100</f>
        <v>61071.93</v>
      </c>
      <c r="I245" s="253">
        <f>N245+P245+R245+T245+V245+X245+Z245</f>
        <v>61071.92</v>
      </c>
      <c r="J245" s="253"/>
      <c r="K245" s="251"/>
      <c r="L245" s="255">
        <v>10.47</v>
      </c>
      <c r="M245" s="258">
        <f>INT(SUM(M235:M244)*100+0.5)/100</f>
        <v>456</v>
      </c>
      <c r="N245" s="257">
        <f>INT($L245*M245*100+0.5)/100</f>
        <v>4774.32</v>
      </c>
      <c r="O245" s="258">
        <f>INT(SUM(O235:O244)*100+0.5)/100</f>
        <v>1194</v>
      </c>
      <c r="P245" s="257">
        <f>INT($L245*O245*100+0.5)/100</f>
        <v>12501.18</v>
      </c>
      <c r="Q245" s="258">
        <f>INT(SUM(Q235:Q244)*100+0.5)/100</f>
        <v>771.75</v>
      </c>
      <c r="R245" s="257">
        <f>INT($L245*Q245*100+0.5)/100</f>
        <v>8080.22</v>
      </c>
      <c r="S245" s="258">
        <f>INT(SUM(S235:S244)*100+0.5)/100</f>
        <v>43.2</v>
      </c>
      <c r="T245" s="257">
        <f>INT($L245*S245*100+0.5)/100</f>
        <v>452.3</v>
      </c>
      <c r="U245" s="258">
        <f>INT(SUM(U235:U244)*100+0.5)/100</f>
        <v>908.7</v>
      </c>
      <c r="V245" s="257">
        <f>INT($L245*U245*100+0.5)/100</f>
        <v>9514.09</v>
      </c>
      <c r="W245" s="258">
        <f>INT(SUM(W235:W244)*100+0.5)/100</f>
        <v>75.84</v>
      </c>
      <c r="X245" s="257">
        <f>INT($L245*W245*100+0.5)/100</f>
        <v>794.04</v>
      </c>
      <c r="Y245" s="258">
        <f>INT(SUM(Y235:Y244)*100+0.5)/100</f>
        <v>2383.5500000000002</v>
      </c>
      <c r="Z245" s="257">
        <f>INT($L245*Y245*100+0.5)/100</f>
        <v>24955.77</v>
      </c>
    </row>
    <row r="246" spans="1:26" ht="15" customHeight="1">
      <c r="A246" s="250"/>
      <c r="B246" s="251"/>
      <c r="C246" s="648"/>
      <c r="D246" s="292"/>
      <c r="E246" s="251"/>
      <c r="F246" s="252"/>
      <c r="G246" s="253"/>
      <c r="H246" s="254"/>
      <c r="I246" s="253"/>
      <c r="J246" s="253"/>
      <c r="K246" s="251"/>
      <c r="L246" s="255"/>
      <c r="M246" s="258"/>
      <c r="N246" s="257"/>
      <c r="O246" s="258"/>
      <c r="P246" s="257"/>
      <c r="Q246" s="258"/>
      <c r="R246" s="257"/>
      <c r="S246" s="258"/>
      <c r="T246" s="257"/>
      <c r="U246" s="258"/>
      <c r="V246" s="257"/>
      <c r="W246" s="258"/>
      <c r="X246" s="257"/>
      <c r="Y246" s="258"/>
      <c r="Z246" s="257"/>
    </row>
    <row r="247" spans="1:26" ht="15" customHeight="1">
      <c r="A247" s="250"/>
      <c r="B247" s="251"/>
      <c r="C247" s="648"/>
      <c r="D247" s="292"/>
      <c r="E247" s="251"/>
      <c r="F247" s="252"/>
      <c r="G247" s="253"/>
      <c r="H247" s="254"/>
      <c r="I247" s="253"/>
      <c r="J247" s="253"/>
      <c r="K247" s="251"/>
      <c r="L247" s="255"/>
      <c r="M247" s="258"/>
      <c r="N247" s="257"/>
      <c r="O247" s="258"/>
      <c r="P247" s="257"/>
      <c r="Q247" s="258"/>
      <c r="R247" s="257"/>
      <c r="S247" s="258"/>
      <c r="T247" s="245"/>
      <c r="U247" s="258"/>
      <c r="V247" s="257"/>
      <c r="W247" s="258"/>
      <c r="X247" s="245"/>
      <c r="Y247" s="258"/>
      <c r="Z247" s="245"/>
    </row>
    <row r="248" spans="1:26" ht="25.5">
      <c r="A248" s="250">
        <f>A234+1</f>
        <v>95</v>
      </c>
      <c r="B248" s="251"/>
      <c r="C248" s="647" t="s">
        <v>2330</v>
      </c>
      <c r="D248" s="292" t="s">
        <v>1373</v>
      </c>
      <c r="E248" s="251" t="s">
        <v>2461</v>
      </c>
      <c r="F248" s="252"/>
      <c r="G248" s="253"/>
      <c r="H248" s="254"/>
      <c r="I248" s="253"/>
      <c r="J248" s="253"/>
      <c r="K248" s="251" t="s">
        <v>2461</v>
      </c>
      <c r="L248" s="255"/>
      <c r="M248" s="258"/>
      <c r="N248" s="257"/>
      <c r="O248" s="258"/>
      <c r="P248" s="257"/>
      <c r="Q248" s="258"/>
      <c r="R248" s="257"/>
      <c r="S248" s="258"/>
      <c r="T248" s="245"/>
      <c r="U248" s="258"/>
      <c r="V248" s="257"/>
      <c r="W248" s="258"/>
      <c r="X248" s="245"/>
      <c r="Y248" s="258"/>
      <c r="Z248" s="245"/>
    </row>
    <row r="249" spans="1:26" ht="25.5">
      <c r="A249" s="250"/>
      <c r="B249" s="251"/>
      <c r="C249" s="648"/>
      <c r="D249" s="292" t="s">
        <v>1372</v>
      </c>
      <c r="E249" s="251"/>
      <c r="F249" s="252"/>
      <c r="G249" s="253"/>
      <c r="H249" s="254"/>
      <c r="I249" s="253"/>
      <c r="J249" s="253"/>
      <c r="K249" s="251"/>
      <c r="L249" s="255"/>
      <c r="M249" s="258"/>
      <c r="N249" s="257"/>
      <c r="O249" s="258"/>
      <c r="P249" s="257"/>
      <c r="Q249" s="258"/>
      <c r="R249" s="257"/>
      <c r="S249" s="258"/>
      <c r="T249" s="245"/>
      <c r="U249" s="258"/>
      <c r="V249" s="257"/>
      <c r="W249" s="258"/>
      <c r="X249" s="245"/>
      <c r="Y249" s="258"/>
      <c r="Z249" s="245"/>
    </row>
    <row r="250" spans="1:26" ht="15" customHeight="1">
      <c r="A250" s="250"/>
      <c r="B250" s="251"/>
      <c r="C250" s="648"/>
      <c r="D250" s="503" t="s">
        <v>993</v>
      </c>
      <c r="E250" s="251"/>
      <c r="F250" s="252"/>
      <c r="G250" s="253"/>
      <c r="H250" s="254"/>
      <c r="I250" s="253"/>
      <c r="J250" s="253"/>
      <c r="K250" s="251"/>
      <c r="L250" s="255"/>
      <c r="M250" s="258">
        <v>0</v>
      </c>
      <c r="N250" s="257"/>
      <c r="O250" s="458">
        <v>50</v>
      </c>
      <c r="P250" s="257"/>
      <c r="Q250" s="458">
        <v>0</v>
      </c>
      <c r="R250" s="257"/>
      <c r="S250" s="258">
        <v>0</v>
      </c>
      <c r="T250" s="245"/>
      <c r="U250" s="258"/>
      <c r="V250" s="257"/>
      <c r="W250" s="258"/>
      <c r="X250" s="245"/>
      <c r="Y250" s="258"/>
      <c r="Z250" s="245"/>
    </row>
    <row r="251" spans="1:26" ht="15" customHeight="1">
      <c r="A251" s="250"/>
      <c r="B251" s="251"/>
      <c r="C251" s="648"/>
      <c r="D251" s="503" t="s">
        <v>994</v>
      </c>
      <c r="E251" s="251"/>
      <c r="F251" s="252"/>
      <c r="G251" s="253"/>
      <c r="H251" s="254"/>
      <c r="I251" s="253"/>
      <c r="J251" s="253"/>
      <c r="K251" s="251"/>
      <c r="L251" s="255"/>
      <c r="M251" s="258">
        <v>30</v>
      </c>
      <c r="N251" s="257"/>
      <c r="O251" s="458">
        <v>50</v>
      </c>
      <c r="P251" s="257"/>
      <c r="Q251" s="458">
        <v>30</v>
      </c>
      <c r="R251" s="257"/>
      <c r="S251" s="258">
        <v>0</v>
      </c>
      <c r="T251" s="245"/>
      <c r="U251" s="258"/>
      <c r="V251" s="257"/>
      <c r="W251" s="258"/>
      <c r="X251" s="245"/>
      <c r="Y251" s="258"/>
      <c r="Z251" s="245"/>
    </row>
    <row r="252" spans="1:26" ht="15" customHeight="1">
      <c r="A252" s="250"/>
      <c r="B252" s="251"/>
      <c r="C252" s="648"/>
      <c r="D252" s="503" t="s">
        <v>995</v>
      </c>
      <c r="E252" s="251"/>
      <c r="F252" s="252"/>
      <c r="G252" s="253"/>
      <c r="H252" s="254"/>
      <c r="I252" s="253"/>
      <c r="J252" s="253"/>
      <c r="K252" s="251"/>
      <c r="L252" s="255"/>
      <c r="M252" s="258">
        <v>30</v>
      </c>
      <c r="N252" s="257"/>
      <c r="O252" s="458">
        <v>50</v>
      </c>
      <c r="P252" s="257"/>
      <c r="Q252" s="458">
        <v>30</v>
      </c>
      <c r="R252" s="257"/>
      <c r="S252" s="258">
        <v>0</v>
      </c>
      <c r="T252" s="245"/>
      <c r="U252" s="258"/>
      <c r="V252" s="257"/>
      <c r="W252" s="258"/>
      <c r="X252" s="245"/>
      <c r="Y252" s="258"/>
      <c r="Z252" s="245"/>
    </row>
    <row r="253" spans="1:26" ht="15" customHeight="1">
      <c r="A253" s="250"/>
      <c r="B253" s="251"/>
      <c r="C253" s="648"/>
      <c r="D253" s="292" t="s">
        <v>2446</v>
      </c>
      <c r="E253" s="251"/>
      <c r="F253" s="252"/>
      <c r="G253" s="253"/>
      <c r="H253" s="254"/>
      <c r="I253" s="253"/>
      <c r="J253" s="253"/>
      <c r="K253" s="251"/>
      <c r="L253" s="255"/>
      <c r="M253" s="258">
        <v>0</v>
      </c>
      <c r="N253" s="257"/>
      <c r="O253" s="458">
        <v>50</v>
      </c>
      <c r="P253" s="257"/>
      <c r="Q253" s="258">
        <v>0</v>
      </c>
      <c r="R253" s="257"/>
      <c r="S253" s="258">
        <v>0</v>
      </c>
      <c r="T253" s="245"/>
      <c r="U253" s="258"/>
      <c r="V253" s="257"/>
      <c r="W253" s="258"/>
      <c r="X253" s="245"/>
      <c r="Y253" s="258"/>
      <c r="Z253" s="245"/>
    </row>
    <row r="254" spans="1:26" ht="15" customHeight="1">
      <c r="A254" s="250"/>
      <c r="B254" s="251"/>
      <c r="C254" s="648"/>
      <c r="D254" s="292" t="s">
        <v>2451</v>
      </c>
      <c r="E254" s="251"/>
      <c r="F254" s="252"/>
      <c r="G254" s="253"/>
      <c r="H254" s="254"/>
      <c r="I254" s="253"/>
      <c r="J254" s="253"/>
      <c r="K254" s="251"/>
      <c r="L254" s="256">
        <f>0.8*(180+45+70+40)*0.9*1.3</f>
        <v>313.56000000000006</v>
      </c>
      <c r="M254" s="258"/>
      <c r="N254" s="257"/>
      <c r="O254" s="258">
        <v>0</v>
      </c>
      <c r="P254" s="257"/>
      <c r="Q254" s="258">
        <v>0</v>
      </c>
      <c r="R254" s="257"/>
      <c r="S254" s="258">
        <v>0</v>
      </c>
      <c r="T254" s="245"/>
      <c r="U254" s="258">
        <v>0</v>
      </c>
      <c r="V254" s="257"/>
      <c r="W254" s="258">
        <v>0</v>
      </c>
      <c r="X254" s="245"/>
      <c r="Y254" s="258">
        <v>0</v>
      </c>
      <c r="Z254" s="245"/>
    </row>
    <row r="255" spans="1:26" ht="15" customHeight="1">
      <c r="A255" s="250"/>
      <c r="B255" s="251"/>
      <c r="C255" s="648"/>
      <c r="D255" s="292"/>
      <c r="E255" s="251"/>
      <c r="F255" s="252"/>
      <c r="G255" s="253"/>
      <c r="H255" s="254"/>
      <c r="I255" s="253"/>
      <c r="J255" s="253"/>
      <c r="K255" s="251"/>
      <c r="L255" s="256">
        <f>0.8*(55-32)*6*0.9*1.3</f>
        <v>129.16800000000003</v>
      </c>
      <c r="M255" s="293"/>
      <c r="N255" s="294"/>
      <c r="O255" s="293"/>
      <c r="P255" s="294"/>
      <c r="Q255" s="293"/>
      <c r="R255" s="294"/>
      <c r="S255" s="293"/>
      <c r="T255" s="296"/>
      <c r="U255" s="293"/>
      <c r="V255" s="294"/>
      <c r="W255" s="293"/>
      <c r="X255" s="296"/>
      <c r="Y255" s="293"/>
      <c r="Z255" s="296"/>
    </row>
    <row r="256" spans="1:26" ht="15" customHeight="1">
      <c r="A256" s="250"/>
      <c r="B256" s="251"/>
      <c r="C256" s="648"/>
      <c r="D256" s="292" t="s">
        <v>1900</v>
      </c>
      <c r="E256" s="251"/>
      <c r="F256" s="252">
        <f>M256+O256+Q256+S256+U256+W256+Y256</f>
        <v>320</v>
      </c>
      <c r="G256" s="253">
        <f>L256</f>
        <v>9.7799999999999994</v>
      </c>
      <c r="H256" s="254">
        <f>INT(F256*G256*100+0.5)/100</f>
        <v>3129.6</v>
      </c>
      <c r="I256" s="253">
        <f>N256+P256+R256+T256+V256+X256+Z256</f>
        <v>3129.6000000000004</v>
      </c>
      <c r="J256" s="253"/>
      <c r="K256" s="251"/>
      <c r="L256" s="255">
        <v>9.7799999999999994</v>
      </c>
      <c r="M256" s="258">
        <f>INT(SUM(M249:M255)*100+0.5)/100</f>
        <v>60</v>
      </c>
      <c r="N256" s="257">
        <f>INT($L256*M256*100+0.5)/100</f>
        <v>586.79999999999995</v>
      </c>
      <c r="O256" s="258">
        <f>INT(SUM(O249:O255)*100+0.5)/100</f>
        <v>200</v>
      </c>
      <c r="P256" s="257">
        <f>INT($L256*O256*100+0.5)/100</f>
        <v>1956</v>
      </c>
      <c r="Q256" s="258">
        <f>INT(SUM(Q249:Q255)*100+0.5)/100</f>
        <v>60</v>
      </c>
      <c r="R256" s="257">
        <f>INT($L256*Q256*100+0.5)/100</f>
        <v>586.79999999999995</v>
      </c>
      <c r="S256" s="258">
        <f>INT(SUM(S249:S255)*100+0.5)/100</f>
        <v>0</v>
      </c>
      <c r="T256" s="257">
        <f>INT($L256*S256*100+0.5)/100</f>
        <v>0</v>
      </c>
      <c r="U256" s="258">
        <f>INT(SUM(U249:U255)*100+0.5)/100</f>
        <v>0</v>
      </c>
      <c r="V256" s="257">
        <f>INT($L256*U256*100+0.5)/100</f>
        <v>0</v>
      </c>
      <c r="W256" s="258">
        <f>INT(SUM(W249:W255)*100+0.5)/100</f>
        <v>0</v>
      </c>
      <c r="X256" s="257">
        <f>INT($L256*W256*100+0.5)/100</f>
        <v>0</v>
      </c>
      <c r="Y256" s="258">
        <f>INT(SUM(Y249:Y255)*100+0.5)/100</f>
        <v>0</v>
      </c>
      <c r="Z256" s="257">
        <f>INT($L256*Y256*100+0.5)/100</f>
        <v>0</v>
      </c>
    </row>
    <row r="257" spans="1:26" ht="15" customHeight="1">
      <c r="A257" s="250"/>
      <c r="B257" s="251"/>
      <c r="C257" s="648"/>
      <c r="D257" s="292"/>
      <c r="E257" s="251"/>
      <c r="F257" s="488">
        <f>F245+F256</f>
        <v>6153.04</v>
      </c>
      <c r="G257" s="533" t="s">
        <v>1174</v>
      </c>
      <c r="H257" s="254"/>
      <c r="I257" s="253"/>
      <c r="J257" s="253"/>
      <c r="K257" s="251"/>
      <c r="L257" s="255"/>
      <c r="M257" s="258"/>
      <c r="N257" s="257"/>
      <c r="O257" s="258"/>
      <c r="P257" s="257"/>
      <c r="Q257" s="258"/>
      <c r="R257" s="257"/>
      <c r="S257" s="258"/>
      <c r="T257" s="257"/>
      <c r="U257" s="258"/>
      <c r="V257" s="257"/>
      <c r="W257" s="258"/>
      <c r="X257" s="257"/>
      <c r="Y257" s="258"/>
      <c r="Z257" s="257"/>
    </row>
    <row r="258" spans="1:26" ht="15" customHeight="1">
      <c r="A258" s="250">
        <f>A248+1</f>
        <v>96</v>
      </c>
      <c r="B258" s="251"/>
      <c r="C258" s="647" t="s">
        <v>1912</v>
      </c>
      <c r="D258" s="292" t="s">
        <v>1914</v>
      </c>
      <c r="E258" s="251" t="s">
        <v>2461</v>
      </c>
      <c r="F258" s="252"/>
      <c r="G258" s="489">
        <f>F257/690/6.2</f>
        <v>1.4382982702197289</v>
      </c>
      <c r="H258" s="254"/>
      <c r="I258" s="253"/>
      <c r="J258" s="253"/>
      <c r="K258" s="251" t="s">
        <v>2461</v>
      </c>
      <c r="L258" s="255"/>
      <c r="M258" s="258"/>
      <c r="N258" s="257"/>
      <c r="O258" s="258"/>
      <c r="P258" s="257"/>
      <c r="Q258" s="258"/>
      <c r="R258" s="257"/>
      <c r="S258" s="258"/>
      <c r="T258" s="257"/>
      <c r="U258" s="258"/>
      <c r="V258" s="257"/>
      <c r="W258" s="258"/>
      <c r="X258" s="257"/>
      <c r="Y258" s="258"/>
      <c r="Z258" s="257"/>
    </row>
    <row r="259" spans="1:26" ht="15" customHeight="1">
      <c r="A259" s="250"/>
      <c r="B259" s="251"/>
      <c r="C259" s="648"/>
      <c r="D259" s="292" t="s">
        <v>1913</v>
      </c>
      <c r="E259" s="251"/>
      <c r="F259" s="252"/>
      <c r="G259" s="253"/>
      <c r="H259" s="254"/>
      <c r="I259" s="253"/>
      <c r="J259" s="253"/>
      <c r="K259" s="251"/>
      <c r="L259" s="255"/>
      <c r="M259" s="258"/>
      <c r="N259" s="257"/>
      <c r="O259" s="258"/>
      <c r="P259" s="257"/>
      <c r="Q259" s="258"/>
      <c r="R259" s="257"/>
      <c r="S259" s="258"/>
      <c r="T259" s="257"/>
      <c r="U259" s="258"/>
      <c r="V259" s="257"/>
      <c r="W259" s="258"/>
      <c r="X259" s="257"/>
      <c r="Y259" s="258"/>
      <c r="Z259" s="257"/>
    </row>
    <row r="260" spans="1:26" ht="15">
      <c r="A260" s="250"/>
      <c r="B260" s="251"/>
      <c r="C260" s="648"/>
      <c r="D260" s="335" t="s">
        <v>442</v>
      </c>
      <c r="E260" s="251"/>
      <c r="F260" s="252">
        <f>M260+O260+Q260+S260+U260+W260+Y260</f>
        <v>1132.154</v>
      </c>
      <c r="G260" s="253">
        <f>L260</f>
        <v>10.590000000000002</v>
      </c>
      <c r="H260" s="254">
        <f>INT(F260*G260*100+0.5)/100</f>
        <v>11989.51</v>
      </c>
      <c r="I260" s="253">
        <f>N260+P260+R260+T260+V260+X260+Z260</f>
        <v>11989.51</v>
      </c>
      <c r="J260" s="253"/>
      <c r="K260" s="251"/>
      <c r="L260" s="255">
        <f>20.37-L256</f>
        <v>10.590000000000002</v>
      </c>
      <c r="M260" s="258">
        <f>(M245+M256)*0.2</f>
        <v>103.2</v>
      </c>
      <c r="N260" s="257">
        <f>INT($L260*M260*100+0.5)/100</f>
        <v>1092.8900000000001</v>
      </c>
      <c r="O260" s="258">
        <f>(O245+O256)*0.2</f>
        <v>278.8</v>
      </c>
      <c r="P260" s="257">
        <f>INT($L260*O260*100+0.5)/100</f>
        <v>2952.49</v>
      </c>
      <c r="Q260" s="258">
        <f>(Q245+Q256)*0.2</f>
        <v>166.35000000000002</v>
      </c>
      <c r="R260" s="257">
        <f>INT($L260*Q260*100+0.5)/100</f>
        <v>1761.65</v>
      </c>
      <c r="S260" s="258">
        <f>(S245+S256)*0.2</f>
        <v>8.64</v>
      </c>
      <c r="T260" s="257">
        <f>INT($L260*S260*100+0.5)/100</f>
        <v>91.5</v>
      </c>
      <c r="U260" s="258">
        <f>(U245+U256)*0.1</f>
        <v>90.87</v>
      </c>
      <c r="V260" s="257">
        <f>INT($L260*U260*100+0.5)/100</f>
        <v>962.31</v>
      </c>
      <c r="W260" s="258">
        <f>(W245+W256)*0.1</f>
        <v>7.5840000000000005</v>
      </c>
      <c r="X260" s="257">
        <f>INT($L260*W260*100+0.5)/100</f>
        <v>80.31</v>
      </c>
      <c r="Y260" s="258">
        <f>(Y245+Y256)*0.2</f>
        <v>476.71000000000004</v>
      </c>
      <c r="Z260" s="257">
        <f>INT($L260*Y260*100+0.5)/100</f>
        <v>5048.3599999999997</v>
      </c>
    </row>
    <row r="261" spans="1:26" ht="15" customHeight="1">
      <c r="A261" s="250"/>
      <c r="B261" s="251"/>
      <c r="C261" s="648"/>
      <c r="D261" s="292"/>
      <c r="E261" s="251"/>
      <c r="F261" s="252"/>
      <c r="G261" s="253"/>
      <c r="H261" s="254"/>
      <c r="I261" s="253"/>
      <c r="J261" s="253"/>
      <c r="K261" s="251"/>
      <c r="L261" s="255"/>
      <c r="M261" s="258"/>
      <c r="N261" s="257"/>
      <c r="O261" s="258"/>
      <c r="P261" s="257"/>
      <c r="Q261" s="258"/>
      <c r="R261" s="257"/>
      <c r="S261" s="258"/>
      <c r="T261" s="257"/>
      <c r="U261" s="258"/>
      <c r="V261" s="257"/>
      <c r="W261" s="258"/>
      <c r="X261" s="257"/>
      <c r="Y261" s="258"/>
      <c r="Z261" s="257"/>
    </row>
    <row r="262" spans="1:26" ht="25.5">
      <c r="A262" s="250">
        <f>A258+1</f>
        <v>97</v>
      </c>
      <c r="B262" s="251"/>
      <c r="C262" s="647" t="s">
        <v>2331</v>
      </c>
      <c r="D262" s="292" t="s">
        <v>1608</v>
      </c>
      <c r="E262" s="251" t="s">
        <v>2461</v>
      </c>
      <c r="F262" s="252"/>
      <c r="G262" s="253"/>
      <c r="H262" s="254"/>
      <c r="I262" s="253"/>
      <c r="J262" s="253"/>
      <c r="K262" s="251" t="s">
        <v>2461</v>
      </c>
      <c r="L262" s="255"/>
      <c r="M262" s="258"/>
      <c r="N262" s="257"/>
      <c r="O262" s="258"/>
      <c r="P262" s="257"/>
      <c r="Q262" s="258"/>
      <c r="R262" s="257"/>
      <c r="S262" s="258"/>
      <c r="T262" s="257"/>
      <c r="U262" s="258"/>
      <c r="V262" s="257"/>
      <c r="W262" s="258"/>
      <c r="X262" s="257"/>
      <c r="Y262" s="258"/>
      <c r="Z262" s="257"/>
    </row>
    <row r="263" spans="1:26" ht="15" customHeight="1">
      <c r="A263" s="250"/>
      <c r="B263" s="251"/>
      <c r="C263" s="648"/>
      <c r="D263" s="292" t="s">
        <v>1609</v>
      </c>
      <c r="E263" s="251"/>
      <c r="F263" s="252"/>
      <c r="G263" s="253"/>
      <c r="H263" s="254"/>
      <c r="I263" s="253"/>
      <c r="J263" s="253"/>
      <c r="K263" s="251"/>
      <c r="L263" s="255"/>
      <c r="M263" s="258"/>
      <c r="N263" s="257"/>
      <c r="O263" s="258"/>
      <c r="P263" s="257"/>
      <c r="Q263" s="258"/>
      <c r="R263" s="257"/>
      <c r="S263" s="258"/>
      <c r="T263" s="257"/>
      <c r="U263" s="258"/>
      <c r="V263" s="257"/>
      <c r="W263" s="258"/>
      <c r="X263" s="257"/>
      <c r="Y263" s="258"/>
      <c r="Z263" s="257"/>
    </row>
    <row r="264" spans="1:26" ht="15" customHeight="1">
      <c r="A264" s="250"/>
      <c r="B264" s="251"/>
      <c r="C264" s="648"/>
      <c r="D264" s="335" t="s">
        <v>443</v>
      </c>
      <c r="E264" s="251"/>
      <c r="F264" s="252">
        <f>M264+O264+Q264+S264+U264+W264+Y264</f>
        <v>310.11</v>
      </c>
      <c r="G264" s="253">
        <f>L264</f>
        <v>44.39</v>
      </c>
      <c r="H264" s="254">
        <f>INT(F264*G264*100+0.5)/100</f>
        <v>13765.78</v>
      </c>
      <c r="I264" s="253">
        <f>N264+P264+R264+T264+V264+X264+Z264</f>
        <v>13765.780000000002</v>
      </c>
      <c r="J264" s="253"/>
      <c r="K264" s="251"/>
      <c r="L264" s="255">
        <v>44.39</v>
      </c>
      <c r="M264" s="258">
        <f>M260*0.3</f>
        <v>30.96</v>
      </c>
      <c r="N264" s="257">
        <f>INT($L264*M264*100+0.5)/100</f>
        <v>1374.31</v>
      </c>
      <c r="O264" s="258">
        <f>O260*0.3</f>
        <v>83.64</v>
      </c>
      <c r="P264" s="257">
        <f>INT($L264*O264*100+0.5)/100</f>
        <v>3712.78</v>
      </c>
      <c r="Q264" s="258">
        <f>Q260*0.3</f>
        <v>49.905000000000008</v>
      </c>
      <c r="R264" s="257">
        <f>INT($L264*Q264*100+0.5)/100</f>
        <v>2215.2800000000002</v>
      </c>
      <c r="S264" s="258">
        <f>S260*0.3</f>
        <v>2.5920000000000001</v>
      </c>
      <c r="T264" s="257">
        <f>INT($L264*S264*100+0.5)/100</f>
        <v>115.06</v>
      </c>
      <c r="U264" s="258">
        <f>U260*0</f>
        <v>0</v>
      </c>
      <c r="V264" s="257">
        <f>INT($L264*U264*100+0.5)/100</f>
        <v>0</v>
      </c>
      <c r="W264" s="258">
        <f>W260*0</f>
        <v>0</v>
      </c>
      <c r="X264" s="257">
        <f>INT($L264*W264*100+0.5)/100</f>
        <v>0</v>
      </c>
      <c r="Y264" s="258">
        <f>Y260*0.3</f>
        <v>143.01300000000001</v>
      </c>
      <c r="Z264" s="257">
        <f>INT($L264*Y264*100+0.5)/100</f>
        <v>6348.35</v>
      </c>
    </row>
    <row r="265" spans="1:26" ht="15" customHeight="1">
      <c r="A265" s="250"/>
      <c r="B265" s="251"/>
      <c r="C265" s="648"/>
      <c r="D265" s="292"/>
      <c r="E265" s="251"/>
      <c r="F265" s="252"/>
      <c r="G265" s="253"/>
      <c r="H265" s="254"/>
      <c r="I265" s="253"/>
      <c r="J265" s="253"/>
      <c r="K265" s="251"/>
      <c r="L265" s="255"/>
      <c r="M265" s="258"/>
      <c r="N265" s="257"/>
      <c r="O265" s="258"/>
      <c r="P265" s="257"/>
      <c r="Q265" s="258"/>
      <c r="R265" s="257"/>
      <c r="S265" s="258"/>
      <c r="T265" s="257"/>
      <c r="U265" s="258"/>
      <c r="V265" s="257"/>
      <c r="W265" s="258"/>
      <c r="X265" s="257"/>
      <c r="Y265" s="258"/>
      <c r="Z265" s="257"/>
    </row>
    <row r="266" spans="1:26" ht="25.5">
      <c r="A266" s="250">
        <f>A262+1</f>
        <v>98</v>
      </c>
      <c r="B266" s="251"/>
      <c r="C266" s="647" t="s">
        <v>2332</v>
      </c>
      <c r="D266" s="292" t="s">
        <v>1038</v>
      </c>
      <c r="E266" s="251" t="s">
        <v>2461</v>
      </c>
      <c r="F266" s="252"/>
      <c r="G266" s="253"/>
      <c r="H266" s="254"/>
      <c r="I266" s="253"/>
      <c r="J266" s="253"/>
      <c r="K266" s="251" t="s">
        <v>2461</v>
      </c>
      <c r="L266" s="255"/>
      <c r="M266" s="258"/>
      <c r="N266" s="257"/>
      <c r="O266" s="258"/>
      <c r="P266" s="257"/>
      <c r="Q266" s="258"/>
      <c r="R266" s="257"/>
      <c r="S266" s="258"/>
      <c r="T266" s="257"/>
      <c r="U266" s="258"/>
      <c r="V266" s="257"/>
      <c r="W266" s="258"/>
      <c r="X266" s="257"/>
      <c r="Y266" s="258"/>
      <c r="Z266" s="257"/>
    </row>
    <row r="267" spans="1:26" ht="38.25">
      <c r="A267" s="250"/>
      <c r="B267" s="251"/>
      <c r="C267" s="648"/>
      <c r="D267" s="292" t="s">
        <v>1039</v>
      </c>
      <c r="E267" s="251"/>
      <c r="F267" s="252"/>
      <c r="G267" s="253"/>
      <c r="H267" s="254"/>
      <c r="I267" s="253"/>
      <c r="J267" s="253"/>
      <c r="K267" s="251"/>
      <c r="L267" s="255"/>
      <c r="M267" s="258"/>
      <c r="N267" s="257"/>
      <c r="O267" s="258"/>
      <c r="P267" s="257"/>
      <c r="Q267" s="258"/>
      <c r="R267" s="257"/>
      <c r="S267" s="258"/>
      <c r="T267" s="257"/>
      <c r="U267" s="258"/>
      <c r="V267" s="257"/>
      <c r="W267" s="258"/>
      <c r="X267" s="257"/>
      <c r="Y267" s="258"/>
      <c r="Z267" s="257"/>
    </row>
    <row r="268" spans="1:26" ht="15" customHeight="1">
      <c r="A268" s="250"/>
      <c r="B268" s="251"/>
      <c r="C268" s="648"/>
      <c r="D268" s="335" t="s">
        <v>574</v>
      </c>
      <c r="E268" s="251"/>
      <c r="F268" s="252">
        <f>M268+O268+Q268+S268+U268+W268+Y268</f>
        <v>615.30400000000009</v>
      </c>
      <c r="G268" s="253">
        <f>L268</f>
        <v>10.390000000000002</v>
      </c>
      <c r="H268" s="254">
        <f>INT(F268*G268*100+0.5)/100</f>
        <v>6393.01</v>
      </c>
      <c r="I268" s="253">
        <f>N268+P268+R268+T268+V268+X268+Z268</f>
        <v>6393.01</v>
      </c>
      <c r="J268" s="253"/>
      <c r="K268" s="251"/>
      <c r="L268" s="255">
        <f>20.17-L256</f>
        <v>10.390000000000002</v>
      </c>
      <c r="M268" s="258">
        <f>(M245+M256)*0.1</f>
        <v>51.6</v>
      </c>
      <c r="N268" s="257">
        <f>INT($L268*M268*100+0.5)/100</f>
        <v>536.12</v>
      </c>
      <c r="O268" s="258">
        <f>(O245+O256)*0.1</f>
        <v>139.4</v>
      </c>
      <c r="P268" s="257">
        <f>INT($L268*O268*100+0.5)/100</f>
        <v>1448.37</v>
      </c>
      <c r="Q268" s="258">
        <f>(Q245+Q256)*0.1</f>
        <v>83.175000000000011</v>
      </c>
      <c r="R268" s="257">
        <f>INT($L268*Q268*100+0.5)/100</f>
        <v>864.19</v>
      </c>
      <c r="S268" s="258">
        <f>(S245+S256)*0.1</f>
        <v>4.32</v>
      </c>
      <c r="T268" s="257">
        <f>INT($L268*S268*100+0.5)/100</f>
        <v>44.88</v>
      </c>
      <c r="U268" s="258">
        <f>(U245+U256)*0.1</f>
        <v>90.87</v>
      </c>
      <c r="V268" s="257">
        <f>INT($L268*U268*100+0.5)/100</f>
        <v>944.14</v>
      </c>
      <c r="W268" s="258">
        <f>(W245+W256)*0.1</f>
        <v>7.5840000000000005</v>
      </c>
      <c r="X268" s="257">
        <f>INT($L268*W268*100+0.5)/100</f>
        <v>78.8</v>
      </c>
      <c r="Y268" s="258">
        <f>(Y245+Y256)*0.1</f>
        <v>238.35500000000002</v>
      </c>
      <c r="Z268" s="257">
        <f>INT($L268*Y268*100+0.5)/100</f>
        <v>2476.5100000000002</v>
      </c>
    </row>
    <row r="269" spans="1:26" ht="15" customHeight="1">
      <c r="A269" s="250"/>
      <c r="B269" s="251"/>
      <c r="C269" s="648"/>
      <c r="D269" s="292"/>
      <c r="E269" s="251"/>
      <c r="F269" s="252"/>
      <c r="G269" s="253"/>
      <c r="H269" s="254"/>
      <c r="I269" s="253"/>
      <c r="J269" s="253"/>
      <c r="K269" s="251"/>
      <c r="L269" s="255"/>
      <c r="M269" s="258"/>
      <c r="N269" s="257"/>
      <c r="O269" s="258"/>
      <c r="P269" s="257"/>
      <c r="Q269" s="258"/>
      <c r="R269" s="257"/>
      <c r="S269" s="258"/>
      <c r="T269" s="257"/>
      <c r="U269" s="258"/>
      <c r="V269" s="257"/>
      <c r="W269" s="258"/>
      <c r="X269" s="257"/>
      <c r="Y269" s="258"/>
      <c r="Z269" s="257"/>
    </row>
    <row r="270" spans="1:26" ht="25.5">
      <c r="A270" s="250">
        <f>A266+1</f>
        <v>99</v>
      </c>
      <c r="B270" s="251"/>
      <c r="C270" s="647" t="s">
        <v>2333</v>
      </c>
      <c r="D270" s="292" t="s">
        <v>1877</v>
      </c>
      <c r="E270" s="251" t="s">
        <v>2461</v>
      </c>
      <c r="F270" s="252">
        <f>M270+O270+Q270+S270+U270+W270+Y270</f>
        <v>0</v>
      </c>
      <c r="G270" s="253">
        <f>L270</f>
        <v>4.7100000000000009</v>
      </c>
      <c r="H270" s="254">
        <f>INT(F270*G270*100+0.5)/100</f>
        <v>0</v>
      </c>
      <c r="I270" s="253">
        <f>N270+P270+R270+T270+V270+X270+Z270</f>
        <v>0</v>
      </c>
      <c r="J270" s="253"/>
      <c r="K270" s="251" t="s">
        <v>2461</v>
      </c>
      <c r="L270" s="255">
        <f>14.49-L256</f>
        <v>4.7100000000000009</v>
      </c>
      <c r="M270" s="258">
        <v>0</v>
      </c>
      <c r="N270" s="257">
        <f>INT($L270*M270*100+0.5)/100</f>
        <v>0</v>
      </c>
      <c r="O270" s="258">
        <v>0</v>
      </c>
      <c r="P270" s="257">
        <f>INT($L270*O270*100+0.5)/100</f>
        <v>0</v>
      </c>
      <c r="Q270" s="258">
        <v>0</v>
      </c>
      <c r="R270" s="257">
        <f>INT($L270*Q270*100+0.5)/100</f>
        <v>0</v>
      </c>
      <c r="S270" s="258">
        <v>0</v>
      </c>
      <c r="T270" s="257">
        <f>INT($L270*S270*100+0.5)/100</f>
        <v>0</v>
      </c>
      <c r="U270" s="258">
        <v>0</v>
      </c>
      <c r="V270" s="257">
        <f>INT($L270*U270*100+0.5)/100</f>
        <v>0</v>
      </c>
      <c r="W270" s="258">
        <v>0</v>
      </c>
      <c r="X270" s="257">
        <f>INT($L270*W270*100+0.5)/100</f>
        <v>0</v>
      </c>
      <c r="Y270" s="258">
        <v>0</v>
      </c>
      <c r="Z270" s="257">
        <f>INT($L270*Y270*100+0.5)/100</f>
        <v>0</v>
      </c>
    </row>
    <row r="271" spans="1:26" ht="25.5">
      <c r="A271" s="250"/>
      <c r="B271" s="251"/>
      <c r="C271" s="648"/>
      <c r="D271" s="292" t="s">
        <v>1878</v>
      </c>
      <c r="E271" s="251"/>
      <c r="F271" s="252"/>
      <c r="G271" s="253"/>
      <c r="H271" s="254"/>
      <c r="I271" s="253"/>
      <c r="J271" s="253"/>
      <c r="K271" s="251"/>
      <c r="L271" s="255"/>
      <c r="M271" s="258"/>
      <c r="N271" s="257"/>
      <c r="O271" s="258"/>
      <c r="P271" s="257"/>
      <c r="Q271" s="258"/>
      <c r="R271" s="257"/>
      <c r="S271" s="258"/>
      <c r="T271" s="257"/>
      <c r="U271" s="258"/>
      <c r="V271" s="257"/>
      <c r="W271" s="258"/>
      <c r="X271" s="257"/>
      <c r="Y271" s="258"/>
      <c r="Z271" s="257"/>
    </row>
    <row r="272" spans="1:26" ht="15" customHeight="1">
      <c r="A272" s="250"/>
      <c r="B272" s="251"/>
      <c r="C272" s="648"/>
      <c r="D272" s="292"/>
      <c r="E272" s="251"/>
      <c r="F272" s="252"/>
      <c r="G272" s="253"/>
      <c r="H272" s="254"/>
      <c r="I272" s="253"/>
      <c r="J272" s="253"/>
      <c r="K272" s="251"/>
      <c r="L272" s="255"/>
      <c r="M272" s="258"/>
      <c r="N272" s="257"/>
      <c r="O272" s="258"/>
      <c r="P272" s="257"/>
      <c r="Q272" s="258"/>
      <c r="R272" s="257"/>
      <c r="S272" s="258"/>
      <c r="T272" s="257"/>
      <c r="U272" s="258"/>
      <c r="V272" s="257"/>
      <c r="W272" s="258"/>
      <c r="X272" s="257"/>
      <c r="Y272" s="258"/>
      <c r="Z272" s="257"/>
    </row>
    <row r="273" spans="1:26" ht="25.5">
      <c r="A273" s="250">
        <f>A270+1</f>
        <v>100</v>
      </c>
      <c r="B273" s="251"/>
      <c r="C273" s="647" t="s">
        <v>2334</v>
      </c>
      <c r="D273" s="292" t="s">
        <v>1041</v>
      </c>
      <c r="E273" s="251" t="s">
        <v>2461</v>
      </c>
      <c r="F273" s="252"/>
      <c r="G273" s="253"/>
      <c r="H273" s="254"/>
      <c r="I273" s="253"/>
      <c r="J273" s="253"/>
      <c r="K273" s="251" t="s">
        <v>2461</v>
      </c>
      <c r="L273" s="255"/>
      <c r="M273" s="258"/>
      <c r="N273" s="257"/>
      <c r="O273" s="258"/>
      <c r="P273" s="257"/>
      <c r="Q273" s="258"/>
      <c r="R273" s="257"/>
      <c r="S273" s="258"/>
      <c r="T273" s="257"/>
      <c r="U273" s="258"/>
      <c r="V273" s="257"/>
      <c r="W273" s="258"/>
      <c r="X273" s="257"/>
      <c r="Y273" s="258"/>
      <c r="Z273" s="257"/>
    </row>
    <row r="274" spans="1:26" ht="25.5">
      <c r="A274" s="250"/>
      <c r="B274" s="251"/>
      <c r="C274" s="648"/>
      <c r="D274" s="292" t="s">
        <v>1040</v>
      </c>
      <c r="E274" s="251"/>
      <c r="F274" s="252"/>
      <c r="G274" s="253"/>
      <c r="H274" s="254"/>
      <c r="I274" s="253"/>
      <c r="J274" s="253"/>
      <c r="K274" s="251"/>
      <c r="L274" s="255"/>
      <c r="M274" s="258"/>
      <c r="N274" s="257"/>
      <c r="O274" s="258"/>
      <c r="P274" s="257"/>
      <c r="Q274" s="258"/>
      <c r="R274" s="257"/>
      <c r="S274" s="258"/>
      <c r="T274" s="257"/>
      <c r="U274" s="258"/>
      <c r="V274" s="257"/>
      <c r="W274" s="258"/>
      <c r="X274" s="257"/>
      <c r="Y274" s="258"/>
      <c r="Z274" s="257"/>
    </row>
    <row r="275" spans="1:26" ht="15" customHeight="1">
      <c r="A275" s="250"/>
      <c r="B275" s="251"/>
      <c r="C275" s="648"/>
      <c r="D275" s="335" t="s">
        <v>1876</v>
      </c>
      <c r="E275" s="251"/>
      <c r="F275" s="252">
        <f>M275+O275+Q275+S275+U275+W275+Y275</f>
        <v>307.65200000000004</v>
      </c>
      <c r="G275" s="253">
        <f>L275</f>
        <v>42.019999999999996</v>
      </c>
      <c r="H275" s="254">
        <f>INT(F275*G275*100+0.5)/100</f>
        <v>12927.54</v>
      </c>
      <c r="I275" s="253">
        <f>N275+P275+R275+T275+V275+X275+Z275</f>
        <v>12927.54</v>
      </c>
      <c r="J275" s="253"/>
      <c r="K275" s="251"/>
      <c r="L275" s="255">
        <f>51.8-L256</f>
        <v>42.019999999999996</v>
      </c>
      <c r="M275" s="258">
        <f>(M245+M256)*0.05</f>
        <v>25.8</v>
      </c>
      <c r="N275" s="257">
        <f>INT($L275*M275*100+0.5)/100</f>
        <v>1084.1199999999999</v>
      </c>
      <c r="O275" s="258">
        <f>(O245+O256)*0.05</f>
        <v>69.7</v>
      </c>
      <c r="P275" s="257">
        <f>INT($L275*O275*100+0.5)/100</f>
        <v>2928.79</v>
      </c>
      <c r="Q275" s="258">
        <f>(Q245+Q256)*0.05</f>
        <v>41.587500000000006</v>
      </c>
      <c r="R275" s="257">
        <f>INT($L275*Q275*100+0.5)/100</f>
        <v>1747.51</v>
      </c>
      <c r="S275" s="258">
        <f>(S245+S256)*0.05</f>
        <v>2.16</v>
      </c>
      <c r="T275" s="257">
        <f>INT($L275*S275*100+0.5)/100</f>
        <v>90.76</v>
      </c>
      <c r="U275" s="258">
        <f>(U245+U256)*0.05</f>
        <v>45.435000000000002</v>
      </c>
      <c r="V275" s="257">
        <f>INT($L275*U275*100+0.5)/100</f>
        <v>1909.18</v>
      </c>
      <c r="W275" s="258">
        <f>(W245+W256)*0.05</f>
        <v>3.7920000000000003</v>
      </c>
      <c r="X275" s="257">
        <f>INT($L275*W275*100+0.5)/100</f>
        <v>159.34</v>
      </c>
      <c r="Y275" s="258">
        <f>(Y245+Y256)*0.05</f>
        <v>119.17750000000001</v>
      </c>
      <c r="Z275" s="257">
        <f>INT($L275*Y275*100+0.5)/100</f>
        <v>5007.84</v>
      </c>
    </row>
    <row r="276" spans="1:26" ht="15" customHeight="1">
      <c r="A276" s="250"/>
      <c r="B276" s="251"/>
      <c r="C276" s="648"/>
      <c r="D276" s="292"/>
      <c r="E276" s="251"/>
      <c r="F276" s="252"/>
      <c r="G276" s="253"/>
      <c r="H276" s="254"/>
      <c r="I276" s="253"/>
      <c r="J276" s="253"/>
      <c r="K276" s="251"/>
      <c r="L276" s="255"/>
      <c r="M276" s="258"/>
      <c r="N276" s="257"/>
      <c r="O276" s="258"/>
      <c r="P276" s="257"/>
      <c r="Q276" s="258"/>
      <c r="R276" s="257"/>
      <c r="S276" s="258"/>
      <c r="T276" s="257"/>
      <c r="U276" s="258"/>
      <c r="V276" s="257"/>
      <c r="W276" s="258"/>
      <c r="X276" s="257"/>
      <c r="Y276" s="258"/>
      <c r="Z276" s="257"/>
    </row>
    <row r="277" spans="1:26" ht="25.5">
      <c r="A277" s="250">
        <f>A273+1</f>
        <v>101</v>
      </c>
      <c r="B277" s="251"/>
      <c r="C277" s="647" t="s">
        <v>2335</v>
      </c>
      <c r="D277" s="292" t="s">
        <v>2024</v>
      </c>
      <c r="E277" s="251" t="s">
        <v>2461</v>
      </c>
      <c r="F277" s="252">
        <f>M277+O277+Q277+S277+U277+W277+Y277</f>
        <v>0</v>
      </c>
      <c r="G277" s="253">
        <f>L277</f>
        <v>36.159999999999997</v>
      </c>
      <c r="H277" s="254">
        <f>INT(F277*G277*100+0.5)/100</f>
        <v>0</v>
      </c>
      <c r="I277" s="253">
        <f>N277+P277+R277+T277+V277+X277+Z277</f>
        <v>0</v>
      </c>
      <c r="J277" s="253"/>
      <c r="K277" s="251" t="s">
        <v>2461</v>
      </c>
      <c r="L277" s="255">
        <f>45.94-L256</f>
        <v>36.159999999999997</v>
      </c>
      <c r="M277" s="258">
        <v>0</v>
      </c>
      <c r="N277" s="257">
        <f>INT($L277*M277*100+0.5)/100</f>
        <v>0</v>
      </c>
      <c r="O277" s="258">
        <v>0</v>
      </c>
      <c r="P277" s="257">
        <f>INT($L277*O277*100+0.5)/100</f>
        <v>0</v>
      </c>
      <c r="Q277" s="258">
        <v>0</v>
      </c>
      <c r="R277" s="257">
        <f>INT($L277*Q277*100+0.5)/100</f>
        <v>0</v>
      </c>
      <c r="S277" s="258">
        <v>0</v>
      </c>
      <c r="T277" s="257">
        <f>INT($L277*S277*100+0.5)/100</f>
        <v>0</v>
      </c>
      <c r="U277" s="258">
        <v>0</v>
      </c>
      <c r="V277" s="257">
        <f>INT($L277*U277*100+0.5)/100</f>
        <v>0</v>
      </c>
      <c r="W277" s="258">
        <v>0</v>
      </c>
      <c r="X277" s="257">
        <f>INT($L277*W277*100+0.5)/100</f>
        <v>0</v>
      </c>
      <c r="Y277" s="258">
        <v>0</v>
      </c>
      <c r="Z277" s="257">
        <f>INT($L277*Y277*100+0.5)/100</f>
        <v>0</v>
      </c>
    </row>
    <row r="278" spans="1:26" ht="25.5">
      <c r="A278" s="250"/>
      <c r="B278" s="251"/>
      <c r="C278" s="648"/>
      <c r="D278" s="292" t="s">
        <v>2025</v>
      </c>
      <c r="E278" s="251"/>
      <c r="F278" s="252"/>
      <c r="G278" s="253"/>
      <c r="H278" s="254"/>
      <c r="I278" s="253"/>
      <c r="J278" s="253"/>
      <c r="K278" s="251"/>
      <c r="L278" s="255"/>
      <c r="M278" s="258"/>
      <c r="N278" s="257"/>
      <c r="O278" s="258"/>
      <c r="P278" s="257"/>
      <c r="Q278" s="258"/>
      <c r="R278" s="257"/>
      <c r="S278" s="258"/>
      <c r="T278" s="257"/>
      <c r="U278" s="258"/>
      <c r="V278" s="257"/>
      <c r="W278" s="258"/>
      <c r="X278" s="257"/>
      <c r="Y278" s="258"/>
      <c r="Z278" s="257"/>
    </row>
    <row r="279" spans="1:26" ht="15" customHeight="1">
      <c r="A279" s="250"/>
      <c r="B279" s="251"/>
      <c r="C279" s="648"/>
      <c r="D279" s="292"/>
      <c r="E279" s="251"/>
      <c r="F279" s="252"/>
      <c r="G279" s="253"/>
      <c r="H279" s="254"/>
      <c r="I279" s="253"/>
      <c r="J279" s="253"/>
      <c r="K279" s="251"/>
      <c r="L279" s="255"/>
      <c r="M279" s="258"/>
      <c r="N279" s="257"/>
      <c r="O279" s="258"/>
      <c r="P279" s="257"/>
      <c r="Q279" s="258"/>
      <c r="R279" s="257"/>
      <c r="S279" s="258"/>
      <c r="T279" s="257"/>
      <c r="U279" s="258"/>
      <c r="V279" s="257"/>
      <c r="W279" s="258"/>
      <c r="X279" s="257"/>
      <c r="Y279" s="258"/>
      <c r="Z279" s="257"/>
    </row>
    <row r="280" spans="1:26" ht="15" customHeight="1">
      <c r="A280" s="250">
        <f>A277+1</f>
        <v>102</v>
      </c>
      <c r="B280" s="251"/>
      <c r="C280" s="647" t="s">
        <v>2336</v>
      </c>
      <c r="D280" s="526" t="s">
        <v>2133</v>
      </c>
      <c r="E280" s="251" t="s">
        <v>1898</v>
      </c>
      <c r="F280" s="252">
        <f>M280+O280+Q280+S280+U280+W280+Y280</f>
        <v>5818.9</v>
      </c>
      <c r="G280" s="253">
        <f>L280</f>
        <v>2.77</v>
      </c>
      <c r="H280" s="254">
        <f>INT(F280*G280*100+0.5)/100</f>
        <v>16118.35</v>
      </c>
      <c r="I280" s="253">
        <f>N280+P280+R280+T280+V280+X280+Z280</f>
        <v>16118.35</v>
      </c>
      <c r="J280" s="253"/>
      <c r="K280" s="251" t="s">
        <v>1898</v>
      </c>
      <c r="L280" s="255">
        <v>2.77</v>
      </c>
      <c r="M280" s="258">
        <f>M393+M380</f>
        <v>208</v>
      </c>
      <c r="N280" s="257">
        <f>INT($L280*M280*100+0.5)/100</f>
        <v>576.16</v>
      </c>
      <c r="O280" s="258">
        <f>O393+O380</f>
        <v>838.2</v>
      </c>
      <c r="P280" s="257">
        <f>INT($L280*O280*100+0.5)/100</f>
        <v>2321.81</v>
      </c>
      <c r="Q280" s="258">
        <f>Q393+Q380</f>
        <v>576.20000000000005</v>
      </c>
      <c r="R280" s="257">
        <f>INT($L280*Q280*100+0.5)/100</f>
        <v>1596.07</v>
      </c>
      <c r="S280" s="258">
        <f>S393+S380</f>
        <v>0</v>
      </c>
      <c r="T280" s="257">
        <f>INT($L280*S280*100+0.5)/100</f>
        <v>0</v>
      </c>
      <c r="U280" s="258">
        <f>U393+U380</f>
        <v>2685.24</v>
      </c>
      <c r="V280" s="257">
        <f>INT($L280*U280*100+0.5)/100</f>
        <v>7438.11</v>
      </c>
      <c r="W280" s="258">
        <f>W393+W380</f>
        <v>113.76</v>
      </c>
      <c r="X280" s="257">
        <f>INT($L280*W280*100+0.5)/100</f>
        <v>315.12</v>
      </c>
      <c r="Y280" s="258">
        <f>Y393+Y380</f>
        <v>1397.5</v>
      </c>
      <c r="Z280" s="257">
        <f>INT($L280*Y280*100+0.5)/100</f>
        <v>3871.08</v>
      </c>
    </row>
    <row r="281" spans="1:26" ht="15" customHeight="1">
      <c r="A281" s="250"/>
      <c r="B281" s="251"/>
      <c r="C281" s="647"/>
      <c r="D281" s="526" t="s">
        <v>2132</v>
      </c>
      <c r="E281" s="251"/>
      <c r="F281" s="252"/>
      <c r="G281" s="253"/>
      <c r="H281" s="254"/>
      <c r="I281" s="253"/>
      <c r="J281" s="253"/>
      <c r="K281" s="251"/>
      <c r="L281" s="261"/>
      <c r="M281" s="258"/>
      <c r="N281" s="257"/>
      <c r="O281" s="258"/>
      <c r="P281" s="257"/>
      <c r="Q281" s="258"/>
      <c r="R281" s="257"/>
      <c r="S281" s="258"/>
      <c r="T281" s="257"/>
      <c r="U281" s="258"/>
      <c r="V281" s="257"/>
      <c r="W281" s="258"/>
      <c r="X281" s="257"/>
      <c r="Y281" s="258"/>
      <c r="Z281" s="257"/>
    </row>
    <row r="282" spans="1:26" ht="15" customHeight="1">
      <c r="A282" s="250"/>
      <c r="B282" s="251"/>
      <c r="C282" s="647"/>
      <c r="D282" s="292"/>
      <c r="E282" s="251"/>
      <c r="F282" s="252"/>
      <c r="G282" s="253"/>
      <c r="H282" s="254"/>
      <c r="I282" s="253"/>
      <c r="J282" s="253"/>
      <c r="K282" s="251"/>
      <c r="L282" s="261"/>
      <c r="M282" s="258"/>
      <c r="N282" s="257"/>
      <c r="O282" s="258"/>
      <c r="P282" s="257"/>
      <c r="Q282" s="258"/>
      <c r="R282" s="257"/>
      <c r="S282" s="258"/>
      <c r="T282" s="257"/>
      <c r="U282" s="258"/>
      <c r="V282" s="257"/>
      <c r="W282" s="258"/>
      <c r="X282" s="257"/>
      <c r="Y282" s="258"/>
      <c r="Z282" s="257"/>
    </row>
    <row r="283" spans="1:26" ht="15" customHeight="1">
      <c r="A283" s="250">
        <f>A280+1</f>
        <v>103</v>
      </c>
      <c r="B283" s="251"/>
      <c r="C283" s="647" t="s">
        <v>2337</v>
      </c>
      <c r="D283" s="292" t="s">
        <v>2463</v>
      </c>
      <c r="E283" s="251" t="s">
        <v>2461</v>
      </c>
      <c r="F283" s="252"/>
      <c r="G283" s="253"/>
      <c r="H283" s="254"/>
      <c r="I283" s="253"/>
      <c r="J283" s="253"/>
      <c r="K283" s="251" t="s">
        <v>2461</v>
      </c>
      <c r="L283" s="255"/>
      <c r="M283" s="258"/>
      <c r="N283" s="257"/>
      <c r="O283" s="258"/>
      <c r="P283" s="257"/>
      <c r="Q283" s="258"/>
      <c r="R283" s="257"/>
      <c r="S283" s="258"/>
      <c r="T283" s="257"/>
      <c r="U283" s="258"/>
      <c r="V283" s="257"/>
      <c r="W283" s="258"/>
      <c r="X283" s="257"/>
      <c r="Y283" s="258"/>
      <c r="Z283" s="257"/>
    </row>
    <row r="284" spans="1:26" ht="15" customHeight="1">
      <c r="A284" s="250"/>
      <c r="B284" s="251"/>
      <c r="C284" s="648"/>
      <c r="D284" s="292" t="s">
        <v>2462</v>
      </c>
      <c r="E284" s="251"/>
      <c r="F284" s="252"/>
      <c r="G284" s="253"/>
      <c r="H284" s="254"/>
      <c r="I284" s="253"/>
      <c r="J284" s="253"/>
      <c r="K284" s="251"/>
      <c r="L284" s="255"/>
      <c r="M284" s="258"/>
      <c r="N284" s="257"/>
      <c r="O284" s="258"/>
      <c r="P284" s="257"/>
      <c r="Q284" s="258"/>
      <c r="R284" s="257"/>
      <c r="S284" s="258"/>
      <c r="T284" s="257"/>
      <c r="U284" s="258"/>
      <c r="V284" s="257"/>
      <c r="W284" s="258"/>
      <c r="X284" s="257"/>
      <c r="Y284" s="258"/>
      <c r="Z284" s="257"/>
    </row>
    <row r="285" spans="1:26" ht="15" customHeight="1">
      <c r="A285" s="250"/>
      <c r="B285" s="251"/>
      <c r="C285" s="648"/>
      <c r="D285" s="292" t="s">
        <v>993</v>
      </c>
      <c r="E285" s="251"/>
      <c r="F285" s="252"/>
      <c r="G285" s="253"/>
      <c r="H285" s="254"/>
      <c r="I285" s="253"/>
      <c r="J285" s="253"/>
      <c r="K285" s="251"/>
      <c r="L285" s="255"/>
      <c r="M285" s="258">
        <f>0.1*M236</f>
        <v>0</v>
      </c>
      <c r="N285" s="257"/>
      <c r="O285" s="258">
        <f>0.1*O236</f>
        <v>0</v>
      </c>
      <c r="P285" s="257"/>
      <c r="Q285" s="258">
        <f>0.1*Q236</f>
        <v>0</v>
      </c>
      <c r="R285" s="257"/>
      <c r="S285" s="258"/>
      <c r="T285" s="245"/>
      <c r="U285" s="258">
        <f>0.1*U236</f>
        <v>0</v>
      </c>
      <c r="V285" s="257"/>
      <c r="W285" s="258"/>
      <c r="X285" s="245"/>
      <c r="Y285" s="258"/>
      <c r="Z285" s="245"/>
    </row>
    <row r="286" spans="1:26" ht="15" customHeight="1">
      <c r="A286" s="250"/>
      <c r="B286" s="251"/>
      <c r="C286" s="648"/>
      <c r="D286" s="292" t="s">
        <v>994</v>
      </c>
      <c r="E286" s="251"/>
      <c r="F286" s="252"/>
      <c r="G286" s="253"/>
      <c r="H286" s="254"/>
      <c r="I286" s="253"/>
      <c r="J286" s="253"/>
      <c r="K286" s="251"/>
      <c r="L286" s="255"/>
      <c r="M286" s="258">
        <f>0.1*M237</f>
        <v>13.200000000000001</v>
      </c>
      <c r="N286" s="257"/>
      <c r="O286" s="258">
        <f>0.1*O237</f>
        <v>32.6</v>
      </c>
      <c r="P286" s="257"/>
      <c r="Q286" s="258">
        <f>0.1*Q237</f>
        <v>21.945000000000004</v>
      </c>
      <c r="R286" s="257"/>
      <c r="S286" s="258"/>
      <c r="T286" s="245"/>
      <c r="U286" s="258">
        <f>0.1*U237</f>
        <v>29.700000000000003</v>
      </c>
      <c r="V286" s="257"/>
      <c r="W286" s="258"/>
      <c r="X286" s="245"/>
      <c r="Y286" s="258"/>
      <c r="Z286" s="245"/>
    </row>
    <row r="287" spans="1:26" ht="15" customHeight="1">
      <c r="A287" s="250"/>
      <c r="B287" s="251"/>
      <c r="C287" s="648"/>
      <c r="D287" s="292" t="s">
        <v>995</v>
      </c>
      <c r="E287" s="251"/>
      <c r="F287" s="252"/>
      <c r="G287" s="253"/>
      <c r="H287" s="254"/>
      <c r="I287" s="253"/>
      <c r="J287" s="253"/>
      <c r="K287" s="251"/>
      <c r="L287" s="255"/>
      <c r="M287" s="258">
        <f>0.1*M238</f>
        <v>20.8</v>
      </c>
      <c r="N287" s="257"/>
      <c r="O287" s="258">
        <f>0.1*O238</f>
        <v>52</v>
      </c>
      <c r="P287" s="257"/>
      <c r="Q287" s="258">
        <f>0.1*Q238</f>
        <v>34.580000000000005</v>
      </c>
      <c r="R287" s="257"/>
      <c r="S287" s="258"/>
      <c r="T287" s="245"/>
      <c r="U287" s="258">
        <f>0.1*U238</f>
        <v>53.820000000000007</v>
      </c>
      <c r="V287" s="257"/>
      <c r="W287" s="258"/>
      <c r="X287" s="245"/>
      <c r="Y287" s="258"/>
      <c r="Z287" s="245"/>
    </row>
    <row r="288" spans="1:26" ht="15" customHeight="1">
      <c r="A288" s="250"/>
      <c r="B288" s="251"/>
      <c r="C288" s="648"/>
      <c r="D288" s="292" t="s">
        <v>2498</v>
      </c>
      <c r="E288" s="251"/>
      <c r="F288" s="252"/>
      <c r="G288" s="253"/>
      <c r="H288" s="254"/>
      <c r="I288" s="253"/>
      <c r="J288" s="253"/>
      <c r="K288" s="251"/>
      <c r="L288" s="255"/>
      <c r="M288" s="258">
        <v>10</v>
      </c>
      <c r="N288" s="257"/>
      <c r="O288" s="258">
        <v>10</v>
      </c>
      <c r="P288" s="257"/>
      <c r="Q288" s="258">
        <v>10</v>
      </c>
      <c r="R288" s="257"/>
      <c r="S288" s="258"/>
      <c r="T288" s="245"/>
      <c r="U288" s="258">
        <v>5</v>
      </c>
      <c r="V288" s="257"/>
      <c r="W288" s="258">
        <v>5</v>
      </c>
      <c r="X288" s="245"/>
      <c r="Y288" s="258"/>
      <c r="Z288" s="245"/>
    </row>
    <row r="289" spans="1:26" ht="15" customHeight="1">
      <c r="A289" s="250"/>
      <c r="B289" s="251"/>
      <c r="C289" s="648"/>
      <c r="D289" s="292" t="s">
        <v>2446</v>
      </c>
      <c r="E289" s="251"/>
      <c r="F289" s="252"/>
      <c r="G289" s="253"/>
      <c r="H289" s="254"/>
      <c r="I289" s="253"/>
      <c r="J289" s="253"/>
      <c r="K289" s="251"/>
      <c r="L289" s="255"/>
      <c r="M289" s="258">
        <f>0.1*M240</f>
        <v>6</v>
      </c>
      <c r="N289" s="257" t="s">
        <v>324</v>
      </c>
      <c r="O289" s="258">
        <f>0.1*O242</f>
        <v>20.8</v>
      </c>
      <c r="P289" s="257"/>
      <c r="Q289" s="258">
        <f>0.1*Q240</f>
        <v>11.340000000000002</v>
      </c>
      <c r="R289" s="257"/>
      <c r="S289" s="258"/>
      <c r="T289" s="245"/>
      <c r="U289" s="258">
        <f>0.1*U240</f>
        <v>0</v>
      </c>
      <c r="V289" s="257"/>
      <c r="W289" s="258">
        <f>W245</f>
        <v>75.84</v>
      </c>
      <c r="X289" s="245"/>
      <c r="Y289" s="258"/>
      <c r="Z289" s="245"/>
    </row>
    <row r="290" spans="1:26" ht="15" customHeight="1">
      <c r="A290" s="250"/>
      <c r="B290" s="251"/>
      <c r="C290" s="648"/>
      <c r="D290" s="292" t="s">
        <v>2451</v>
      </c>
      <c r="E290" s="251"/>
      <c r="F290" s="252"/>
      <c r="G290" s="253"/>
      <c r="H290" s="254"/>
      <c r="I290" s="253"/>
      <c r="J290" s="253"/>
      <c r="K290" s="251"/>
      <c r="L290" s="256">
        <f>0.1*(180+45+70+40)*0.9*1.3</f>
        <v>39.195000000000007</v>
      </c>
      <c r="M290" s="258"/>
      <c r="N290" s="257"/>
      <c r="O290" s="258"/>
      <c r="P290" s="257"/>
      <c r="Q290" s="258"/>
      <c r="R290" s="257"/>
      <c r="S290" s="258">
        <v>0</v>
      </c>
      <c r="T290" s="245"/>
      <c r="U290" s="258"/>
      <c r="V290" s="257"/>
      <c r="W290" s="258"/>
      <c r="X290" s="245"/>
      <c r="Y290" s="258">
        <v>0</v>
      </c>
      <c r="Z290" s="245"/>
    </row>
    <row r="291" spans="1:26" ht="15" customHeight="1">
      <c r="A291" s="250"/>
      <c r="B291" s="251"/>
      <c r="C291" s="648"/>
      <c r="D291" s="292" t="s">
        <v>2446</v>
      </c>
      <c r="E291" s="251"/>
      <c r="F291" s="252"/>
      <c r="G291" s="253"/>
      <c r="H291" s="254"/>
      <c r="I291" s="253"/>
      <c r="J291" s="253"/>
      <c r="K291" s="251"/>
      <c r="L291" s="256">
        <f>0.1*50*0.9*1.3</f>
        <v>5.8500000000000005</v>
      </c>
      <c r="M291" s="293"/>
      <c r="N291" s="294"/>
      <c r="O291" s="293"/>
      <c r="P291" s="294"/>
      <c r="Q291" s="293"/>
      <c r="R291" s="294"/>
      <c r="S291" s="293"/>
      <c r="T291" s="296"/>
      <c r="U291" s="293"/>
      <c r="V291" s="294"/>
      <c r="W291" s="293"/>
      <c r="X291" s="296"/>
      <c r="Y291" s="293"/>
      <c r="Z291" s="296"/>
    </row>
    <row r="292" spans="1:26" ht="15" customHeight="1">
      <c r="A292" s="250"/>
      <c r="B292" s="251"/>
      <c r="C292" s="648"/>
      <c r="D292" s="292" t="s">
        <v>444</v>
      </c>
      <c r="E292" s="251"/>
      <c r="F292" s="252">
        <f>M292+O292+Q292+S292+U292+W292+Y292</f>
        <v>412.63</v>
      </c>
      <c r="G292" s="253">
        <f>L292</f>
        <v>56.38</v>
      </c>
      <c r="H292" s="254">
        <f>INT(F292*G292*100+0.5)/100</f>
        <v>23264.080000000002</v>
      </c>
      <c r="I292" s="253">
        <f>N292+P292+R292+T292+V292+X292+Z292</f>
        <v>23264.080000000002</v>
      </c>
      <c r="J292" s="253"/>
      <c r="K292" s="251"/>
      <c r="L292" s="255">
        <f>56.38</f>
        <v>56.38</v>
      </c>
      <c r="M292" s="258">
        <f>INT(SUM(M284:M291)*100+0.5)/100</f>
        <v>50</v>
      </c>
      <c r="N292" s="257">
        <f>INT($L292*M292*100+0.5)/100</f>
        <v>2819</v>
      </c>
      <c r="O292" s="258">
        <f>INT(SUM(O284:O291)*100+0.5)/100</f>
        <v>115.4</v>
      </c>
      <c r="P292" s="257">
        <f>INT($L292*O292*100+0.5)/100</f>
        <v>6506.25</v>
      </c>
      <c r="Q292" s="258">
        <f>INT(SUM(Q284:Q291)*100+0.5)/100</f>
        <v>77.87</v>
      </c>
      <c r="R292" s="257">
        <f>INT($L292*Q292*100+0.5)/100</f>
        <v>4390.3100000000004</v>
      </c>
      <c r="S292" s="258">
        <f>INT(SUM(S284:S291)*100+0.5)/100</f>
        <v>0</v>
      </c>
      <c r="T292" s="257">
        <f>INT($L292*S292*100+0.5)/100</f>
        <v>0</v>
      </c>
      <c r="U292" s="258">
        <f>INT(SUM(U284:U291)*100+0.5)/100</f>
        <v>88.52</v>
      </c>
      <c r="V292" s="257">
        <f>INT($L292*U292*100+0.5)/100</f>
        <v>4990.76</v>
      </c>
      <c r="W292" s="258">
        <f>INT(SUM(W284:W291)*100+0.5)/100</f>
        <v>80.84</v>
      </c>
      <c r="X292" s="257">
        <f>INT($L292*W292*100+0.5)/100</f>
        <v>4557.76</v>
      </c>
      <c r="Y292" s="258">
        <f>INT(SUM(Y284:Y291)*100+0.5)/100</f>
        <v>0</v>
      </c>
      <c r="Z292" s="257">
        <f>INT($L292*Y292*100+0.5)/100</f>
        <v>0</v>
      </c>
    </row>
    <row r="293" spans="1:26" ht="15" customHeight="1">
      <c r="A293" s="250"/>
      <c r="B293" s="251"/>
      <c r="C293" s="648"/>
      <c r="D293" s="292"/>
      <c r="E293" s="251"/>
      <c r="F293" s="252"/>
      <c r="G293" s="253"/>
      <c r="H293" s="254"/>
      <c r="I293" s="253"/>
      <c r="J293" s="253"/>
      <c r="K293" s="251"/>
      <c r="L293" s="255"/>
      <c r="M293" s="258"/>
      <c r="N293" s="257"/>
      <c r="O293" s="258"/>
      <c r="P293" s="257"/>
      <c r="Q293" s="258"/>
      <c r="R293" s="257"/>
      <c r="S293" s="258"/>
      <c r="T293" s="257"/>
      <c r="U293" s="258"/>
      <c r="V293" s="257"/>
      <c r="W293" s="258"/>
      <c r="X293" s="257"/>
      <c r="Y293" s="258"/>
      <c r="Z293" s="257"/>
    </row>
    <row r="294" spans="1:26" ht="15" customHeight="1">
      <c r="A294" s="250">
        <f>A283+1</f>
        <v>104</v>
      </c>
      <c r="B294" s="251"/>
      <c r="C294" s="647" t="s">
        <v>1568</v>
      </c>
      <c r="D294" s="292" t="s">
        <v>1612</v>
      </c>
      <c r="E294" s="251" t="s">
        <v>2461</v>
      </c>
      <c r="F294" s="252">
        <f>M294+O294+Q294+S294+U294+W294+Y294</f>
        <v>0</v>
      </c>
      <c r="G294" s="253">
        <f>L294</f>
        <v>2.61</v>
      </c>
      <c r="H294" s="254">
        <f>INT(F294*G294*100+0.5)/100</f>
        <v>0</v>
      </c>
      <c r="I294" s="253">
        <f>N294+P294+R294+T294+V294+X294+Z294</f>
        <v>0</v>
      </c>
      <c r="J294" s="253"/>
      <c r="K294" s="251" t="s">
        <v>2461</v>
      </c>
      <c r="L294" s="255">
        <v>2.61</v>
      </c>
      <c r="M294" s="258">
        <v>0</v>
      </c>
      <c r="N294" s="257">
        <f>INT($L294*M294*100+0.5)/100</f>
        <v>0</v>
      </c>
      <c r="O294" s="258">
        <v>0</v>
      </c>
      <c r="P294" s="257">
        <f>INT($L294*O294*100+0.5)/100</f>
        <v>0</v>
      </c>
      <c r="Q294" s="258">
        <v>0</v>
      </c>
      <c r="R294" s="257">
        <f>INT($L294*Q294*100+0.5)/100</f>
        <v>0</v>
      </c>
      <c r="S294" s="258">
        <v>0</v>
      </c>
      <c r="T294" s="257">
        <f>INT($L294*S294*100+0.5)/100</f>
        <v>0</v>
      </c>
      <c r="U294" s="258">
        <v>0</v>
      </c>
      <c r="V294" s="257">
        <f>INT($L294*U294*100+0.5)/100</f>
        <v>0</v>
      </c>
      <c r="W294" s="258">
        <v>0</v>
      </c>
      <c r="X294" s="257">
        <f>INT($L294*W294*100+0.5)/100</f>
        <v>0</v>
      </c>
      <c r="Y294" s="258">
        <v>0</v>
      </c>
      <c r="Z294" s="257">
        <f>INT($L294*Y294*100+0.5)/100</f>
        <v>0</v>
      </c>
    </row>
    <row r="295" spans="1:26" ht="15" customHeight="1">
      <c r="A295" s="250"/>
      <c r="B295" s="251"/>
      <c r="C295" s="648"/>
      <c r="D295" s="292" t="s">
        <v>1610</v>
      </c>
      <c r="E295" s="251"/>
      <c r="F295" s="252"/>
      <c r="G295" s="253"/>
      <c r="H295" s="254"/>
      <c r="I295" s="253"/>
      <c r="J295" s="253"/>
      <c r="K295" s="251"/>
      <c r="L295" s="255"/>
      <c r="M295" s="258"/>
      <c r="N295" s="257"/>
      <c r="O295" s="258"/>
      <c r="P295" s="257"/>
      <c r="Q295" s="258"/>
      <c r="R295" s="257"/>
      <c r="S295" s="258"/>
      <c r="T295" s="257"/>
      <c r="U295" s="258"/>
      <c r="V295" s="257"/>
      <c r="W295" s="258"/>
      <c r="X295" s="257"/>
      <c r="Y295" s="258"/>
      <c r="Z295" s="257"/>
    </row>
    <row r="296" spans="1:26" ht="15" customHeight="1">
      <c r="A296" s="250"/>
      <c r="B296" s="251"/>
      <c r="C296" s="648"/>
      <c r="D296" s="292"/>
      <c r="E296" s="251"/>
      <c r="F296" s="252"/>
      <c r="G296" s="253"/>
      <c r="H296" s="254"/>
      <c r="I296" s="253"/>
      <c r="J296" s="253"/>
      <c r="K296" s="251"/>
      <c r="L296" s="255"/>
      <c r="M296" s="258"/>
      <c r="N296" s="257"/>
      <c r="O296" s="258"/>
      <c r="P296" s="257"/>
      <c r="Q296" s="258"/>
      <c r="R296" s="257"/>
      <c r="S296" s="258"/>
      <c r="T296" s="257"/>
      <c r="U296" s="258"/>
      <c r="V296" s="257"/>
      <c r="W296" s="258"/>
      <c r="X296" s="257"/>
      <c r="Y296" s="258"/>
      <c r="Z296" s="257"/>
    </row>
    <row r="297" spans="1:26" ht="15" customHeight="1">
      <c r="A297" s="250">
        <f>A294+1</f>
        <v>105</v>
      </c>
      <c r="B297" s="251"/>
      <c r="C297" s="647" t="s">
        <v>1569</v>
      </c>
      <c r="D297" s="292" t="s">
        <v>1613</v>
      </c>
      <c r="E297" s="251" t="s">
        <v>2461</v>
      </c>
      <c r="F297" s="252">
        <f>M297+O297+Q297+S297+U297+W297+Y297</f>
        <v>0</v>
      </c>
      <c r="G297" s="253">
        <f>L297</f>
        <v>3.26</v>
      </c>
      <c r="H297" s="254">
        <f>INT(F297*G297*100+0.5)/100</f>
        <v>0</v>
      </c>
      <c r="I297" s="253">
        <f>N297+P297+R297+T297+V297+X297+Z297</f>
        <v>0</v>
      </c>
      <c r="J297" s="253"/>
      <c r="K297" s="251" t="s">
        <v>2461</v>
      </c>
      <c r="L297" s="255">
        <v>3.26</v>
      </c>
      <c r="M297" s="258">
        <v>0</v>
      </c>
      <c r="N297" s="257">
        <f>INT($L297*M297*100+0.5)/100</f>
        <v>0</v>
      </c>
      <c r="O297" s="258">
        <v>0</v>
      </c>
      <c r="P297" s="257">
        <f>INT($L297*O297*100+0.5)/100</f>
        <v>0</v>
      </c>
      <c r="Q297" s="258">
        <v>0</v>
      </c>
      <c r="R297" s="257">
        <f>INT($L297*Q297*100+0.5)/100</f>
        <v>0</v>
      </c>
      <c r="S297" s="258">
        <v>0</v>
      </c>
      <c r="T297" s="257">
        <f>INT($L297*S297*100+0.5)/100</f>
        <v>0</v>
      </c>
      <c r="U297" s="258">
        <v>0</v>
      </c>
      <c r="V297" s="257">
        <f>INT($L297*U297*100+0.5)/100</f>
        <v>0</v>
      </c>
      <c r="W297" s="258">
        <v>0</v>
      </c>
      <c r="X297" s="257">
        <f>INT($L297*W297*100+0.5)/100</f>
        <v>0</v>
      </c>
      <c r="Y297" s="258">
        <v>0</v>
      </c>
      <c r="Z297" s="257">
        <f>INT($L297*Y297*100+0.5)/100</f>
        <v>0</v>
      </c>
    </row>
    <row r="298" spans="1:26" ht="15" customHeight="1">
      <c r="A298" s="250"/>
      <c r="B298" s="251"/>
      <c r="C298" s="251"/>
      <c r="D298" s="292" t="s">
        <v>1611</v>
      </c>
      <c r="E298" s="251"/>
      <c r="F298" s="252"/>
      <c r="G298" s="253"/>
      <c r="H298" s="254"/>
      <c r="I298" s="253"/>
      <c r="J298" s="253"/>
      <c r="K298" s="251"/>
      <c r="L298" s="255"/>
      <c r="M298" s="258"/>
      <c r="N298" s="257"/>
      <c r="O298" s="258"/>
      <c r="P298" s="257"/>
      <c r="Q298" s="258"/>
      <c r="R298" s="257"/>
      <c r="S298" s="258"/>
      <c r="T298" s="257"/>
      <c r="U298" s="258"/>
      <c r="V298" s="257"/>
      <c r="W298" s="258"/>
      <c r="X298" s="257"/>
      <c r="Y298" s="258"/>
      <c r="Z298" s="257"/>
    </row>
    <row r="299" spans="1:26" ht="15" customHeight="1">
      <c r="A299" s="250"/>
      <c r="B299" s="251"/>
      <c r="C299" s="251"/>
      <c r="D299" s="292"/>
      <c r="E299" s="251"/>
      <c r="F299" s="252"/>
      <c r="G299" s="253"/>
      <c r="H299" s="254"/>
      <c r="I299" s="253"/>
      <c r="J299" s="253"/>
      <c r="K299" s="251"/>
      <c r="L299" s="255"/>
      <c r="M299" s="258"/>
      <c r="N299" s="257"/>
      <c r="O299" s="258"/>
      <c r="P299" s="257"/>
      <c r="Q299" s="258"/>
      <c r="R299" s="257"/>
      <c r="S299" s="258"/>
      <c r="T299" s="257"/>
      <c r="U299" s="258"/>
      <c r="V299" s="257"/>
      <c r="W299" s="258"/>
      <c r="X299" s="257"/>
      <c r="Y299" s="258"/>
      <c r="Z299" s="257"/>
    </row>
    <row r="300" spans="1:26" ht="15" customHeight="1">
      <c r="A300" s="250">
        <f>A297+1</f>
        <v>106</v>
      </c>
      <c r="B300" s="251"/>
      <c r="C300" s="527" t="s">
        <v>2487</v>
      </c>
      <c r="D300" s="292"/>
      <c r="E300" s="251" t="s">
        <v>1901</v>
      </c>
      <c r="F300" s="252"/>
      <c r="G300" s="253"/>
      <c r="H300" s="254"/>
      <c r="I300" s="253"/>
      <c r="J300" s="253"/>
      <c r="K300" s="251" t="s">
        <v>1901</v>
      </c>
      <c r="L300" s="255"/>
      <c r="M300" s="258"/>
      <c r="N300" s="257"/>
      <c r="O300" s="258"/>
      <c r="P300" s="257"/>
      <c r="Q300" s="258"/>
      <c r="R300" s="257"/>
      <c r="S300" s="258"/>
      <c r="T300" s="257"/>
      <c r="U300" s="258"/>
      <c r="V300" s="257"/>
      <c r="W300" s="258"/>
      <c r="X300" s="257"/>
      <c r="Y300" s="258"/>
      <c r="Z300" s="257"/>
    </row>
    <row r="301" spans="1:26" ht="25.5">
      <c r="A301" s="250"/>
      <c r="B301" s="251"/>
      <c r="C301" s="251"/>
      <c r="D301" s="292" t="s">
        <v>2489</v>
      </c>
      <c r="E301" s="251"/>
      <c r="F301" s="252"/>
      <c r="G301" s="253"/>
      <c r="H301" s="254"/>
      <c r="I301" s="253"/>
      <c r="J301" s="253"/>
      <c r="K301" s="251"/>
      <c r="L301" s="255"/>
      <c r="M301" s="258"/>
      <c r="N301" s="257"/>
      <c r="O301" s="258"/>
      <c r="P301" s="257"/>
      <c r="Q301" s="258"/>
      <c r="R301" s="257"/>
      <c r="S301" s="258"/>
      <c r="T301" s="257"/>
      <c r="U301" s="258"/>
      <c r="V301" s="257"/>
      <c r="W301" s="258"/>
      <c r="X301" s="257"/>
      <c r="Y301" s="258"/>
      <c r="Z301" s="257"/>
    </row>
    <row r="302" spans="1:26" ht="15" customHeight="1">
      <c r="A302" s="250"/>
      <c r="B302" s="251"/>
      <c r="C302" s="251"/>
      <c r="D302" s="292" t="s">
        <v>2481</v>
      </c>
      <c r="E302" s="251"/>
      <c r="F302" s="252"/>
      <c r="G302" s="253"/>
      <c r="H302" s="254"/>
      <c r="I302" s="253"/>
      <c r="J302" s="253"/>
      <c r="K302" s="251"/>
      <c r="L302" s="255"/>
      <c r="M302" s="258">
        <v>0</v>
      </c>
      <c r="N302" s="257"/>
      <c r="O302" s="258">
        <v>0</v>
      </c>
      <c r="P302" s="257"/>
      <c r="Q302" s="258">
        <v>0</v>
      </c>
      <c r="R302" s="257"/>
      <c r="S302" s="258"/>
      <c r="T302" s="245"/>
      <c r="U302" s="258">
        <v>0</v>
      </c>
      <c r="V302" s="257"/>
      <c r="W302" s="258">
        <v>0</v>
      </c>
      <c r="X302" s="245"/>
      <c r="Y302" s="258">
        <v>0</v>
      </c>
      <c r="Z302" s="245"/>
    </row>
    <row r="303" spans="1:26" ht="15" customHeight="1">
      <c r="A303" s="250"/>
      <c r="B303" s="251"/>
      <c r="C303" s="251"/>
      <c r="D303" s="292" t="s">
        <v>2482</v>
      </c>
      <c r="E303" s="251"/>
      <c r="F303" s="252"/>
      <c r="G303" s="253"/>
      <c r="H303" s="254"/>
      <c r="I303" s="253"/>
      <c r="J303" s="253"/>
      <c r="K303" s="251"/>
      <c r="L303" s="255"/>
      <c r="M303" s="258">
        <v>0</v>
      </c>
      <c r="N303" s="257"/>
      <c r="O303" s="258">
        <v>0</v>
      </c>
      <c r="P303" s="257"/>
      <c r="Q303" s="258">
        <v>0</v>
      </c>
      <c r="R303" s="257"/>
      <c r="S303" s="258"/>
      <c r="T303" s="245"/>
      <c r="U303" s="258">
        <v>0</v>
      </c>
      <c r="V303" s="257"/>
      <c r="W303" s="258">
        <v>0</v>
      </c>
      <c r="X303" s="245"/>
      <c r="Y303" s="258">
        <v>0</v>
      </c>
      <c r="Z303" s="245"/>
    </row>
    <row r="304" spans="1:26" ht="15" customHeight="1">
      <c r="A304" s="250"/>
      <c r="B304" s="251"/>
      <c r="C304" s="251"/>
      <c r="D304" s="292" t="s">
        <v>869</v>
      </c>
      <c r="E304" s="251"/>
      <c r="F304" s="252"/>
      <c r="G304" s="253"/>
      <c r="H304" s="254"/>
      <c r="I304" s="253"/>
      <c r="J304" s="253"/>
      <c r="K304" s="251"/>
      <c r="L304" s="255"/>
      <c r="M304" s="258">
        <v>13</v>
      </c>
      <c r="N304" s="257"/>
      <c r="O304" s="258">
        <v>0</v>
      </c>
      <c r="P304" s="257"/>
      <c r="Q304" s="258">
        <v>0</v>
      </c>
      <c r="R304" s="257"/>
      <c r="S304" s="258"/>
      <c r="T304" s="245"/>
      <c r="U304" s="258">
        <v>0</v>
      </c>
      <c r="V304" s="257"/>
      <c r="W304" s="258">
        <v>0</v>
      </c>
      <c r="X304" s="245"/>
      <c r="Y304" s="258">
        <v>0</v>
      </c>
      <c r="Z304" s="245"/>
    </row>
    <row r="305" spans="1:26" ht="15" customHeight="1">
      <c r="A305" s="250"/>
      <c r="B305" s="251"/>
      <c r="C305" s="251"/>
      <c r="D305" s="292" t="s">
        <v>2480</v>
      </c>
      <c r="E305" s="251"/>
      <c r="F305" s="252"/>
      <c r="G305" s="253"/>
      <c r="H305" s="254"/>
      <c r="I305" s="253"/>
      <c r="J305" s="253"/>
      <c r="K305" s="251"/>
      <c r="L305" s="255"/>
      <c r="M305" s="258">
        <f>2</f>
        <v>2</v>
      </c>
      <c r="N305" s="257"/>
      <c r="O305" s="258">
        <v>0</v>
      </c>
      <c r="P305" s="257"/>
      <c r="Q305" s="258">
        <v>0</v>
      </c>
      <c r="R305" s="257"/>
      <c r="S305" s="258"/>
      <c r="T305" s="245"/>
      <c r="U305" s="258">
        <v>0</v>
      </c>
      <c r="V305" s="257"/>
      <c r="W305" s="258">
        <v>0</v>
      </c>
      <c r="X305" s="245"/>
      <c r="Y305" s="258">
        <v>0</v>
      </c>
      <c r="Z305" s="245"/>
    </row>
    <row r="306" spans="1:26" ht="15" customHeight="1">
      <c r="A306" s="250"/>
      <c r="B306" s="251"/>
      <c r="C306" s="251"/>
      <c r="D306" s="292" t="s">
        <v>2484</v>
      </c>
      <c r="E306" s="251"/>
      <c r="F306" s="252"/>
      <c r="G306" s="253"/>
      <c r="H306" s="254"/>
      <c r="I306" s="253"/>
      <c r="J306" s="253"/>
      <c r="K306" s="251"/>
      <c r="L306" s="255"/>
      <c r="M306" s="258">
        <f>9</f>
        <v>9</v>
      </c>
      <c r="N306" s="257"/>
      <c r="O306" s="258">
        <v>0</v>
      </c>
      <c r="P306" s="257"/>
      <c r="Q306" s="258">
        <v>0</v>
      </c>
      <c r="R306" s="257"/>
      <c r="S306" s="258"/>
      <c r="T306" s="245"/>
      <c r="U306" s="258">
        <v>0</v>
      </c>
      <c r="V306" s="257"/>
      <c r="W306" s="258">
        <v>0</v>
      </c>
      <c r="X306" s="245"/>
      <c r="Y306" s="258">
        <v>0</v>
      </c>
      <c r="Z306" s="245"/>
    </row>
    <row r="307" spans="1:26" ht="15" customHeight="1">
      <c r="A307" s="250"/>
      <c r="B307" s="251"/>
      <c r="C307" s="251"/>
      <c r="D307" s="292" t="s">
        <v>2485</v>
      </c>
      <c r="E307" s="251"/>
      <c r="F307" s="252"/>
      <c r="G307" s="253"/>
      <c r="H307" s="254"/>
      <c r="I307" s="253"/>
      <c r="J307" s="253"/>
      <c r="K307" s="251"/>
      <c r="L307" s="255"/>
      <c r="M307" s="258">
        <f>2</f>
        <v>2</v>
      </c>
      <c r="N307" s="257"/>
      <c r="O307" s="258">
        <v>0</v>
      </c>
      <c r="P307" s="257"/>
      <c r="Q307" s="258">
        <v>0</v>
      </c>
      <c r="R307" s="257"/>
      <c r="S307" s="258"/>
      <c r="T307" s="245"/>
      <c r="U307" s="258">
        <v>0</v>
      </c>
      <c r="V307" s="257"/>
      <c r="W307" s="258">
        <v>0</v>
      </c>
      <c r="X307" s="245"/>
      <c r="Y307" s="258">
        <v>0</v>
      </c>
      <c r="Z307" s="245"/>
    </row>
    <row r="308" spans="1:26" ht="15" customHeight="1">
      <c r="A308" s="250"/>
      <c r="B308" s="251"/>
      <c r="C308" s="251"/>
      <c r="D308" s="292" t="s">
        <v>2498</v>
      </c>
      <c r="E308" s="251"/>
      <c r="F308" s="252"/>
      <c r="G308" s="253"/>
      <c r="H308" s="254"/>
      <c r="I308" s="253"/>
      <c r="J308" s="253"/>
      <c r="K308" s="251"/>
      <c r="L308" s="255"/>
      <c r="M308" s="258">
        <v>6</v>
      </c>
      <c r="N308" s="257"/>
      <c r="O308" s="258"/>
      <c r="P308" s="257"/>
      <c r="Q308" s="258"/>
      <c r="R308" s="257"/>
      <c r="S308" s="258"/>
      <c r="T308" s="245"/>
      <c r="U308" s="258"/>
      <c r="V308" s="257"/>
      <c r="W308" s="258"/>
      <c r="X308" s="245"/>
      <c r="Y308" s="258"/>
      <c r="Z308" s="245"/>
    </row>
    <row r="309" spans="1:26" ht="15" customHeight="1">
      <c r="A309" s="250"/>
      <c r="B309" s="251"/>
      <c r="C309" s="251"/>
      <c r="D309" s="292" t="s">
        <v>2479</v>
      </c>
      <c r="E309" s="251"/>
      <c r="F309" s="252"/>
      <c r="G309" s="253"/>
      <c r="H309" s="254"/>
      <c r="I309" s="253"/>
      <c r="J309" s="253"/>
      <c r="K309" s="251"/>
      <c r="L309" s="256">
        <v>4</v>
      </c>
      <c r="M309" s="258"/>
      <c r="N309" s="257"/>
      <c r="O309" s="258"/>
      <c r="P309" s="257"/>
      <c r="Q309" s="258"/>
      <c r="R309" s="257"/>
      <c r="S309" s="258">
        <v>0</v>
      </c>
      <c r="T309" s="245"/>
      <c r="U309" s="258"/>
      <c r="V309" s="257"/>
      <c r="W309" s="258"/>
      <c r="X309" s="245"/>
      <c r="Y309" s="258">
        <v>0</v>
      </c>
      <c r="Z309" s="245"/>
    </row>
    <row r="310" spans="1:26" ht="15" customHeight="1">
      <c r="A310" s="250"/>
      <c r="B310" s="251"/>
      <c r="C310" s="251"/>
      <c r="D310" s="292" t="s">
        <v>2478</v>
      </c>
      <c r="E310" s="251"/>
      <c r="F310" s="252"/>
      <c r="G310" s="253"/>
      <c r="H310" s="254"/>
      <c r="I310" s="253"/>
      <c r="J310" s="253"/>
      <c r="K310" s="251"/>
      <c r="L310" s="256">
        <f>(55-32)</f>
        <v>23</v>
      </c>
      <c r="M310" s="293"/>
      <c r="N310" s="294"/>
      <c r="O310" s="293"/>
      <c r="P310" s="294"/>
      <c r="Q310" s="293"/>
      <c r="R310" s="294"/>
      <c r="S310" s="293"/>
      <c r="T310" s="296"/>
      <c r="U310" s="293"/>
      <c r="V310" s="294"/>
      <c r="W310" s="293"/>
      <c r="X310" s="296"/>
      <c r="Y310" s="293"/>
      <c r="Z310" s="296"/>
    </row>
    <row r="311" spans="1:26" ht="15" customHeight="1">
      <c r="A311" s="250"/>
      <c r="B311" s="251"/>
      <c r="C311" s="251"/>
      <c r="D311" s="292" t="s">
        <v>1900</v>
      </c>
      <c r="E311" s="251"/>
      <c r="F311" s="252">
        <f>M311+O311+Q311+S311+U311+W311+Y311</f>
        <v>32</v>
      </c>
      <c r="G311" s="253">
        <f>L311</f>
        <v>210</v>
      </c>
      <c r="H311" s="254">
        <f>INT(F311*G311*100+0.5)/100</f>
        <v>6720</v>
      </c>
      <c r="I311" s="253">
        <f>N311+P311+R311+T311+V311+X311+Z311</f>
        <v>6720</v>
      </c>
      <c r="J311" s="253"/>
      <c r="K311" s="251"/>
      <c r="L311" s="656">
        <v>210</v>
      </c>
      <c r="M311" s="258">
        <f>INT(SUM(M301:M310)*100+0.5)/100</f>
        <v>32</v>
      </c>
      <c r="N311" s="257">
        <f>INT($L311*M311*100+0.5)/100</f>
        <v>6720</v>
      </c>
      <c r="O311" s="258">
        <f>INT(SUM(O301:O310)*100+0.5)/100</f>
        <v>0</v>
      </c>
      <c r="P311" s="257">
        <f>INT($L311*O311*100+0.5)/100</f>
        <v>0</v>
      </c>
      <c r="Q311" s="258">
        <f>INT(SUM(Q301:Q310)*100+0.5)/100</f>
        <v>0</v>
      </c>
      <c r="R311" s="257">
        <f>INT($L311*Q311*100+0.5)/100</f>
        <v>0</v>
      </c>
      <c r="S311" s="258">
        <f>INT(SUM(S301:S310)*100+0.5)/100</f>
        <v>0</v>
      </c>
      <c r="T311" s="257">
        <f>INT($L311*S311*100+0.5)/100</f>
        <v>0</v>
      </c>
      <c r="U311" s="258">
        <f>INT(SUM(U301:U310)*100+0.5)/100</f>
        <v>0</v>
      </c>
      <c r="V311" s="257">
        <f>INT($L311*U311*100+0.5)/100</f>
        <v>0</v>
      </c>
      <c r="W311" s="258">
        <f>INT(SUM(W301:W310)*100+0.5)/100</f>
        <v>0</v>
      </c>
      <c r="X311" s="257">
        <f>INT($L311*W311*100+0.5)/100</f>
        <v>0</v>
      </c>
      <c r="Y311" s="258">
        <f>INT(SUM(Y301:Y310)*100+0.5)/100</f>
        <v>0</v>
      </c>
      <c r="Z311" s="257">
        <f>INT($L311*Y311*100+0.5)/100</f>
        <v>0</v>
      </c>
    </row>
    <row r="312" spans="1:26" ht="15" customHeight="1">
      <c r="A312" s="250"/>
      <c r="B312" s="251"/>
      <c r="C312" s="251"/>
      <c r="D312" s="292"/>
      <c r="E312" s="251"/>
      <c r="F312" s="252"/>
      <c r="G312" s="253"/>
      <c r="H312" s="254"/>
      <c r="I312" s="253"/>
      <c r="J312" s="253"/>
      <c r="K312" s="251"/>
      <c r="L312" s="255"/>
      <c r="M312" s="258"/>
      <c r="N312" s="257"/>
      <c r="O312" s="258"/>
      <c r="P312" s="257"/>
      <c r="Q312" s="258"/>
      <c r="R312" s="257"/>
      <c r="S312" s="258"/>
      <c r="T312" s="257"/>
      <c r="U312" s="258"/>
      <c r="V312" s="257"/>
      <c r="W312" s="258"/>
      <c r="X312" s="257"/>
      <c r="Y312" s="258"/>
      <c r="Z312" s="257"/>
    </row>
    <row r="313" spans="1:26" ht="15" customHeight="1">
      <c r="A313" s="250">
        <f>A300+1</f>
        <v>107</v>
      </c>
      <c r="B313" s="251"/>
      <c r="C313" s="527" t="s">
        <v>2488</v>
      </c>
      <c r="D313" s="292"/>
      <c r="E313" s="251" t="s">
        <v>2475</v>
      </c>
      <c r="F313" s="252"/>
      <c r="G313" s="253"/>
      <c r="H313" s="254"/>
      <c r="I313" s="253"/>
      <c r="J313" s="253"/>
      <c r="K313" s="251" t="s">
        <v>2475</v>
      </c>
      <c r="L313" s="255"/>
      <c r="M313" s="258"/>
      <c r="N313" s="257"/>
      <c r="O313" s="258"/>
      <c r="P313" s="257"/>
      <c r="Q313" s="258"/>
      <c r="R313" s="257"/>
      <c r="S313" s="258"/>
      <c r="T313" s="257"/>
      <c r="U313" s="258"/>
      <c r="V313" s="257"/>
      <c r="W313" s="258"/>
      <c r="X313" s="257"/>
      <c r="Y313" s="258"/>
      <c r="Z313" s="257"/>
    </row>
    <row r="314" spans="1:26" ht="25.5">
      <c r="A314" s="250"/>
      <c r="B314" s="251"/>
      <c r="C314" s="251"/>
      <c r="D314" s="292" t="s">
        <v>2486</v>
      </c>
      <c r="E314" s="251"/>
      <c r="F314" s="252"/>
      <c r="G314" s="253"/>
      <c r="H314" s="254"/>
      <c r="I314" s="253"/>
      <c r="J314" s="253"/>
      <c r="K314" s="251"/>
      <c r="L314" s="255"/>
      <c r="M314" s="258"/>
      <c r="N314" s="257"/>
      <c r="O314" s="258"/>
      <c r="P314" s="257"/>
      <c r="Q314" s="258"/>
      <c r="R314" s="257"/>
      <c r="S314" s="258"/>
      <c r="T314" s="257"/>
      <c r="U314" s="258"/>
      <c r="V314" s="257"/>
      <c r="W314" s="258"/>
      <c r="X314" s="257"/>
      <c r="Y314" s="258"/>
      <c r="Z314" s="257"/>
    </row>
    <row r="315" spans="1:26" ht="15" customHeight="1">
      <c r="A315" s="250"/>
      <c r="B315" s="251"/>
      <c r="C315" s="251"/>
      <c r="D315" s="292" t="s">
        <v>1879</v>
      </c>
      <c r="E315" s="251"/>
      <c r="F315" s="252"/>
      <c r="G315" s="253"/>
      <c r="H315" s="254"/>
      <c r="I315" s="253"/>
      <c r="J315" s="253"/>
      <c r="K315" s="251"/>
      <c r="L315" s="255"/>
      <c r="M315" s="258">
        <v>0</v>
      </c>
      <c r="N315" s="257"/>
      <c r="O315" s="258">
        <v>0</v>
      </c>
      <c r="P315" s="257"/>
      <c r="Q315" s="258">
        <v>0</v>
      </c>
      <c r="R315" s="257"/>
      <c r="S315" s="258"/>
      <c r="T315" s="245"/>
      <c r="U315" s="258">
        <v>0</v>
      </c>
      <c r="V315" s="257"/>
      <c r="W315" s="258">
        <v>0</v>
      </c>
      <c r="X315" s="245"/>
      <c r="Y315" s="258">
        <v>0</v>
      </c>
      <c r="Z315" s="245"/>
    </row>
    <row r="316" spans="1:26" ht="15" customHeight="1">
      <c r="A316" s="250"/>
      <c r="B316" s="251"/>
      <c r="C316" s="251"/>
      <c r="D316" s="292" t="s">
        <v>2482</v>
      </c>
      <c r="E316" s="251"/>
      <c r="F316" s="252"/>
      <c r="G316" s="253"/>
      <c r="H316" s="254"/>
      <c r="I316" s="253"/>
      <c r="J316" s="253"/>
      <c r="K316" s="251"/>
      <c r="L316" s="255"/>
      <c r="M316" s="258">
        <v>0</v>
      </c>
      <c r="N316" s="257"/>
      <c r="O316" s="258">
        <v>0</v>
      </c>
      <c r="P316" s="257"/>
      <c r="Q316" s="258">
        <v>0</v>
      </c>
      <c r="R316" s="257"/>
      <c r="S316" s="258"/>
      <c r="T316" s="245"/>
      <c r="U316" s="258">
        <v>0</v>
      </c>
      <c r="V316" s="257"/>
      <c r="W316" s="258">
        <v>0</v>
      </c>
      <c r="X316" s="245"/>
      <c r="Y316" s="258">
        <v>0</v>
      </c>
      <c r="Z316" s="245"/>
    </row>
    <row r="317" spans="1:26" ht="15" customHeight="1">
      <c r="A317" s="250"/>
      <c r="B317" s="251"/>
      <c r="C317" s="251"/>
      <c r="D317" s="292" t="s">
        <v>1880</v>
      </c>
      <c r="E317" s="251"/>
      <c r="F317" s="252"/>
      <c r="G317" s="253"/>
      <c r="H317" s="254"/>
      <c r="I317" s="253"/>
      <c r="J317" s="253"/>
      <c r="K317" s="251"/>
      <c r="L317" s="255"/>
      <c r="M317" s="258">
        <f>9*4.5+3*8.5</f>
        <v>66</v>
      </c>
      <c r="N317" s="257"/>
      <c r="O317" s="258">
        <v>0</v>
      </c>
      <c r="P317" s="257"/>
      <c r="Q317" s="258">
        <v>0</v>
      </c>
      <c r="R317" s="257"/>
      <c r="S317" s="258"/>
      <c r="T317" s="245"/>
      <c r="U317" s="258">
        <v>0</v>
      </c>
      <c r="V317" s="257"/>
      <c r="W317" s="258">
        <v>0</v>
      </c>
      <c r="X317" s="245"/>
      <c r="Y317" s="258">
        <v>0</v>
      </c>
      <c r="Z317" s="245"/>
    </row>
    <row r="318" spans="1:26" ht="15" customHeight="1">
      <c r="A318" s="250"/>
      <c r="B318" s="251"/>
      <c r="C318" s="251"/>
      <c r="D318" s="292" t="s">
        <v>2480</v>
      </c>
      <c r="E318" s="251"/>
      <c r="F318" s="252"/>
      <c r="G318" s="253"/>
      <c r="H318" s="254"/>
      <c r="I318" s="253"/>
      <c r="J318" s="253"/>
      <c r="K318" s="251"/>
      <c r="L318" s="255"/>
      <c r="M318" s="258">
        <f>2*6</f>
        <v>12</v>
      </c>
      <c r="N318" s="257"/>
      <c r="O318" s="258">
        <v>0</v>
      </c>
      <c r="P318" s="257"/>
      <c r="Q318" s="258">
        <v>0</v>
      </c>
      <c r="R318" s="257"/>
      <c r="S318" s="258"/>
      <c r="T318" s="245"/>
      <c r="U318" s="258">
        <v>0</v>
      </c>
      <c r="V318" s="257"/>
      <c r="W318" s="258">
        <v>0</v>
      </c>
      <c r="X318" s="245"/>
      <c r="Y318" s="258">
        <v>0</v>
      </c>
      <c r="Z318" s="245"/>
    </row>
    <row r="319" spans="1:26" ht="15" customHeight="1">
      <c r="A319" s="250"/>
      <c r="B319" s="251"/>
      <c r="C319" s="251"/>
      <c r="D319" s="292" t="s">
        <v>1881</v>
      </c>
      <c r="E319" s="251"/>
      <c r="F319" s="252"/>
      <c r="G319" s="253"/>
      <c r="H319" s="254"/>
      <c r="I319" s="253"/>
      <c r="J319" s="253"/>
      <c r="K319" s="251"/>
      <c r="L319" s="255"/>
      <c r="M319" s="258">
        <f>5*4.5+4*8.5</f>
        <v>56.5</v>
      </c>
      <c r="N319" s="257"/>
      <c r="O319" s="258">
        <v>0</v>
      </c>
      <c r="P319" s="257"/>
      <c r="Q319" s="258">
        <v>0</v>
      </c>
      <c r="R319" s="257"/>
      <c r="S319" s="258"/>
      <c r="T319" s="245"/>
      <c r="U319" s="258">
        <v>0</v>
      </c>
      <c r="V319" s="257"/>
      <c r="W319" s="258">
        <v>0</v>
      </c>
      <c r="X319" s="245"/>
      <c r="Y319" s="258">
        <v>0</v>
      </c>
      <c r="Z319" s="245"/>
    </row>
    <row r="320" spans="1:26" ht="15" customHeight="1">
      <c r="A320" s="250"/>
      <c r="B320" s="251"/>
      <c r="C320" s="251"/>
      <c r="D320" s="292" t="s">
        <v>2485</v>
      </c>
      <c r="E320" s="251"/>
      <c r="F320" s="252"/>
      <c r="G320" s="253"/>
      <c r="H320" s="254"/>
      <c r="I320" s="253"/>
      <c r="J320" s="253"/>
      <c r="K320" s="251"/>
      <c r="L320" s="255"/>
      <c r="M320" s="258">
        <f>2*6</f>
        <v>12</v>
      </c>
      <c r="N320" s="257"/>
      <c r="O320" s="258">
        <v>0</v>
      </c>
      <c r="P320" s="257"/>
      <c r="Q320" s="258">
        <v>0</v>
      </c>
      <c r="R320" s="257"/>
      <c r="S320" s="258"/>
      <c r="T320" s="245"/>
      <c r="U320" s="258">
        <v>0</v>
      </c>
      <c r="V320" s="257"/>
      <c r="W320" s="258">
        <v>0</v>
      </c>
      <c r="X320" s="245"/>
      <c r="Y320" s="258">
        <v>0</v>
      </c>
      <c r="Z320" s="245"/>
    </row>
    <row r="321" spans="1:26" ht="15" customHeight="1">
      <c r="A321" s="250"/>
      <c r="B321" s="251"/>
      <c r="C321" s="251"/>
      <c r="D321" s="292" t="s">
        <v>2498</v>
      </c>
      <c r="E321" s="251"/>
      <c r="F321" s="252"/>
      <c r="G321" s="253"/>
      <c r="H321" s="254"/>
      <c r="I321" s="253"/>
      <c r="J321" s="253"/>
      <c r="K321" s="251"/>
      <c r="L321" s="255"/>
      <c r="M321" s="258">
        <f>6*4</f>
        <v>24</v>
      </c>
      <c r="N321" s="257"/>
      <c r="O321" s="258"/>
      <c r="P321" s="257"/>
      <c r="Q321" s="258"/>
      <c r="R321" s="257"/>
      <c r="S321" s="258"/>
      <c r="T321" s="245"/>
      <c r="U321" s="258"/>
      <c r="V321" s="257"/>
      <c r="W321" s="258"/>
      <c r="X321" s="245"/>
      <c r="Y321" s="258"/>
      <c r="Z321" s="245"/>
    </row>
    <row r="322" spans="1:26" ht="15" customHeight="1">
      <c r="A322" s="250"/>
      <c r="B322" s="251"/>
      <c r="C322" s="251"/>
      <c r="D322" s="292" t="s">
        <v>2479</v>
      </c>
      <c r="E322" s="251"/>
      <c r="F322" s="252"/>
      <c r="G322" s="253"/>
      <c r="H322" s="254"/>
      <c r="I322" s="253"/>
      <c r="J322" s="253"/>
      <c r="K322" s="251"/>
      <c r="L322" s="256">
        <f>4*6</f>
        <v>24</v>
      </c>
      <c r="M322" s="258"/>
      <c r="N322" s="257"/>
      <c r="O322" s="258"/>
      <c r="P322" s="257"/>
      <c r="Q322" s="258"/>
      <c r="R322" s="257"/>
      <c r="S322" s="258">
        <v>0</v>
      </c>
      <c r="T322" s="245"/>
      <c r="U322" s="258"/>
      <c r="V322" s="257"/>
      <c r="W322" s="258"/>
      <c r="X322" s="245"/>
      <c r="Y322" s="258">
        <v>0</v>
      </c>
      <c r="Z322" s="245"/>
    </row>
    <row r="323" spans="1:26" ht="15" customHeight="1">
      <c r="A323" s="250"/>
      <c r="B323" s="251"/>
      <c r="C323" s="251"/>
      <c r="D323" s="292" t="s">
        <v>2478</v>
      </c>
      <c r="E323" s="251"/>
      <c r="F323" s="252"/>
      <c r="G323" s="253"/>
      <c r="H323" s="254"/>
      <c r="I323" s="253"/>
      <c r="J323" s="253"/>
      <c r="K323" s="251"/>
      <c r="L323" s="256">
        <f>(55-32)*6</f>
        <v>138</v>
      </c>
      <c r="M323" s="293"/>
      <c r="N323" s="294"/>
      <c r="O323" s="293"/>
      <c r="P323" s="294"/>
      <c r="Q323" s="293"/>
      <c r="R323" s="294"/>
      <c r="S323" s="293"/>
      <c r="T323" s="296"/>
      <c r="U323" s="293"/>
      <c r="V323" s="294"/>
      <c r="W323" s="293"/>
      <c r="X323" s="296"/>
      <c r="Y323" s="293"/>
      <c r="Z323" s="296"/>
    </row>
    <row r="324" spans="1:26" ht="15" customHeight="1">
      <c r="A324" s="250"/>
      <c r="B324" s="251"/>
      <c r="C324" s="251"/>
      <c r="D324" s="292" t="s">
        <v>1900</v>
      </c>
      <c r="E324" s="251"/>
      <c r="F324" s="252">
        <f>M324+O324+Q324+S324+U324+W324+Y324</f>
        <v>170.5</v>
      </c>
      <c r="G324" s="253">
        <f>L324</f>
        <v>157.5</v>
      </c>
      <c r="H324" s="254">
        <f>INT(F324*G324*100+0.5)/100</f>
        <v>26853.75</v>
      </c>
      <c r="I324" s="253">
        <f>N324+P324+R324+T324+V324+X324+Z324</f>
        <v>26853.75</v>
      </c>
      <c r="J324" s="253"/>
      <c r="K324" s="251"/>
      <c r="L324" s="656">
        <v>157.5</v>
      </c>
      <c r="M324" s="258">
        <f>INT(SUM(M314:M323)*100+0.5)/100</f>
        <v>170.5</v>
      </c>
      <c r="N324" s="257">
        <f>INT($L324*M324*100+0.5)/100</f>
        <v>26853.75</v>
      </c>
      <c r="O324" s="258">
        <f>INT(SUM(O314:O323)*100+0.5)/100</f>
        <v>0</v>
      </c>
      <c r="P324" s="257">
        <f>INT($L324*O324*100+0.5)/100</f>
        <v>0</v>
      </c>
      <c r="Q324" s="258">
        <f>INT(SUM(Q314:Q323)*100+0.5)/100</f>
        <v>0</v>
      </c>
      <c r="R324" s="257">
        <f>INT($L324*Q324*100+0.5)/100</f>
        <v>0</v>
      </c>
      <c r="S324" s="258">
        <f>INT(SUM(S314:S323)*100+0.5)/100</f>
        <v>0</v>
      </c>
      <c r="T324" s="257">
        <f>INT($L324*S324*100+0.5)/100</f>
        <v>0</v>
      </c>
      <c r="U324" s="258">
        <f>INT(SUM(U314:U323)*100+0.5)/100</f>
        <v>0</v>
      </c>
      <c r="V324" s="257">
        <f>INT($L324*U324*100+0.5)/100</f>
        <v>0</v>
      </c>
      <c r="W324" s="258">
        <f>INT(SUM(W314:W323)*100+0.5)/100</f>
        <v>0</v>
      </c>
      <c r="X324" s="257">
        <f>INT($L324*W324*100+0.5)/100</f>
        <v>0</v>
      </c>
      <c r="Y324" s="258">
        <f>INT(SUM(Y314:Y323)*100+0.5)/100</f>
        <v>0</v>
      </c>
      <c r="Z324" s="257">
        <f>INT($L324*Y324*100+0.5)/100</f>
        <v>0</v>
      </c>
    </row>
    <row r="325" spans="1:26" ht="15" customHeight="1">
      <c r="A325" s="250"/>
      <c r="B325" s="251"/>
      <c r="C325" s="648"/>
      <c r="D325" s="292"/>
      <c r="E325" s="251"/>
      <c r="F325" s="252"/>
      <c r="G325" s="253"/>
      <c r="H325" s="254"/>
      <c r="I325" s="253"/>
      <c r="J325" s="253"/>
      <c r="K325" s="251"/>
      <c r="L325" s="255"/>
      <c r="M325" s="258"/>
      <c r="N325" s="257"/>
      <c r="O325" s="258"/>
      <c r="P325" s="257"/>
      <c r="Q325" s="258"/>
      <c r="R325" s="257"/>
      <c r="S325" s="258"/>
      <c r="T325" s="257"/>
      <c r="U325" s="258"/>
      <c r="V325" s="257"/>
      <c r="W325" s="258"/>
      <c r="X325" s="257"/>
      <c r="Y325" s="258"/>
      <c r="Z325" s="257"/>
    </row>
    <row r="326" spans="1:26" s="247" customFormat="1" ht="15" customHeight="1">
      <c r="A326" s="284">
        <f>A313+1</f>
        <v>108</v>
      </c>
      <c r="B326" s="237"/>
      <c r="C326" s="657" t="s">
        <v>330</v>
      </c>
      <c r="D326" s="238" t="s">
        <v>328</v>
      </c>
      <c r="E326" s="237" t="s">
        <v>2475</v>
      </c>
      <c r="F326" s="252">
        <f>M326+O326+Q326+S326+U326+W326+Y326</f>
        <v>0</v>
      </c>
      <c r="G326" s="253">
        <f>L326</f>
        <v>630</v>
      </c>
      <c r="H326" s="289">
        <f>INT(F326*G326*100+0.5)/100</f>
        <v>0</v>
      </c>
      <c r="I326" s="253">
        <f>N326+P326+R326+T326+V326+X326+Z326</f>
        <v>0</v>
      </c>
      <c r="J326" s="253"/>
      <c r="K326" s="237" t="s">
        <v>2475</v>
      </c>
      <c r="L326" s="278">
        <v>630</v>
      </c>
      <c r="M326" s="289">
        <v>0</v>
      </c>
      <c r="N326" s="245">
        <f>INT($L326*M326*100+0.5)/100</f>
        <v>0</v>
      </c>
      <c r="O326" s="289">
        <v>0</v>
      </c>
      <c r="P326" s="245">
        <f>INT($L326*O326*100+0.5)/100</f>
        <v>0</v>
      </c>
      <c r="Q326" s="289">
        <v>0</v>
      </c>
      <c r="R326" s="245">
        <f>INT($L326*Q326*100+0.5)/100</f>
        <v>0</v>
      </c>
      <c r="S326" s="289">
        <v>0</v>
      </c>
      <c r="T326" s="245">
        <f>INT($L326*S326*100+0.5)/100</f>
        <v>0</v>
      </c>
      <c r="U326" s="289">
        <v>0</v>
      </c>
      <c r="V326" s="245">
        <f>INT($L326*U326*100+0.5)/100</f>
        <v>0</v>
      </c>
      <c r="W326" s="289">
        <v>0</v>
      </c>
      <c r="X326" s="245">
        <f>INT($L326*W326*100+0.5)/100</f>
        <v>0</v>
      </c>
      <c r="Y326" s="289">
        <v>0</v>
      </c>
      <c r="Z326" s="245">
        <f>INT($L326*Y326*100+0.5)/100</f>
        <v>0</v>
      </c>
    </row>
    <row r="327" spans="1:26" ht="15" customHeight="1">
      <c r="A327" s="250"/>
      <c r="B327" s="251"/>
      <c r="C327" s="654"/>
      <c r="D327" s="532" t="s">
        <v>329</v>
      </c>
      <c r="E327" s="237"/>
      <c r="F327" s="308"/>
      <c r="G327" s="253"/>
      <c r="H327" s="289"/>
      <c r="I327" s="253"/>
      <c r="J327" s="253"/>
      <c r="K327" s="237"/>
      <c r="L327" s="306"/>
      <c r="M327" s="289"/>
      <c r="N327" s="245"/>
      <c r="O327" s="289"/>
      <c r="P327" s="245"/>
      <c r="Q327" s="289"/>
      <c r="R327" s="245"/>
      <c r="S327" s="289"/>
      <c r="T327" s="245"/>
      <c r="U327" s="289"/>
      <c r="V327" s="245"/>
      <c r="W327" s="289"/>
      <c r="X327" s="245"/>
      <c r="Y327" s="289"/>
      <c r="Z327" s="245"/>
    </row>
    <row r="328" spans="1:26" ht="15" customHeight="1">
      <c r="A328" s="250"/>
      <c r="B328" s="251"/>
      <c r="C328" s="647"/>
      <c r="D328" s="526"/>
      <c r="E328" s="251"/>
      <c r="F328" s="310"/>
      <c r="G328" s="253"/>
      <c r="H328" s="258"/>
      <c r="I328" s="253"/>
      <c r="J328" s="253"/>
      <c r="K328" s="251"/>
      <c r="L328" s="255"/>
      <c r="M328" s="258"/>
      <c r="N328" s="257"/>
      <c r="O328" s="258"/>
      <c r="P328" s="257"/>
      <c r="Q328" s="258"/>
      <c r="R328" s="257"/>
      <c r="S328" s="258"/>
      <c r="T328" s="257"/>
      <c r="U328" s="258"/>
      <c r="V328" s="257"/>
      <c r="W328" s="258"/>
      <c r="X328" s="257"/>
      <c r="Y328" s="258"/>
      <c r="Z328" s="257"/>
    </row>
    <row r="329" spans="1:26" ht="15" customHeight="1">
      <c r="A329" s="250">
        <f>A326+1</f>
        <v>109</v>
      </c>
      <c r="B329" s="251"/>
      <c r="C329" s="657" t="s">
        <v>331</v>
      </c>
      <c r="D329" s="526" t="s">
        <v>332</v>
      </c>
      <c r="E329" s="251" t="s">
        <v>1439</v>
      </c>
      <c r="F329" s="252">
        <f>M329+O329+Q329+S329+U329+W329+Y329</f>
        <v>0</v>
      </c>
      <c r="G329" s="253">
        <f>L329</f>
        <v>1.78</v>
      </c>
      <c r="H329" s="258">
        <f>INT(F329*G329*100+0.5)/100</f>
        <v>0</v>
      </c>
      <c r="I329" s="253">
        <f>N329+P329+R329+T329+V329+X329+Z329</f>
        <v>0</v>
      </c>
      <c r="J329" s="253"/>
      <c r="K329" s="251" t="s">
        <v>1439</v>
      </c>
      <c r="L329" s="262">
        <v>1.78</v>
      </c>
      <c r="M329" s="258">
        <v>0</v>
      </c>
      <c r="N329" s="257">
        <f>INT($L329*M329*100+0.5)/100</f>
        <v>0</v>
      </c>
      <c r="O329" s="258">
        <v>0</v>
      </c>
      <c r="P329" s="257">
        <f>INT($L329*O329*100+0.5)/100</f>
        <v>0</v>
      </c>
      <c r="Q329" s="258">
        <v>0</v>
      </c>
      <c r="R329" s="257">
        <f>INT($L329*Q329*100+0.5)/100</f>
        <v>0</v>
      </c>
      <c r="S329" s="258">
        <v>0</v>
      </c>
      <c r="T329" s="257">
        <f>INT($L329*S329*100+0.5)/100</f>
        <v>0</v>
      </c>
      <c r="U329" s="258">
        <v>0</v>
      </c>
      <c r="V329" s="257">
        <f>INT($L329*U329*100+0.5)/100</f>
        <v>0</v>
      </c>
      <c r="W329" s="258">
        <v>0</v>
      </c>
      <c r="X329" s="257">
        <f>INT($L329*W329*100+0.5)/100</f>
        <v>0</v>
      </c>
      <c r="Y329" s="258">
        <v>0</v>
      </c>
      <c r="Z329" s="257">
        <f>INT($L329*Y329*100+0.5)/100</f>
        <v>0</v>
      </c>
    </row>
    <row r="330" spans="1:26" ht="15" customHeight="1">
      <c r="A330" s="250"/>
      <c r="B330" s="251"/>
      <c r="C330" s="647"/>
      <c r="D330" s="526" t="s">
        <v>2113</v>
      </c>
      <c r="E330" s="251"/>
      <c r="F330" s="310"/>
      <c r="G330" s="253"/>
      <c r="H330" s="258"/>
      <c r="I330" s="253"/>
      <c r="J330" s="253"/>
      <c r="K330" s="251"/>
      <c r="L330" s="255"/>
      <c r="M330" s="258"/>
      <c r="N330" s="257"/>
      <c r="O330" s="258"/>
      <c r="P330" s="257"/>
      <c r="Q330" s="258"/>
      <c r="R330" s="257"/>
      <c r="S330" s="258"/>
      <c r="T330" s="257"/>
      <c r="U330" s="258"/>
      <c r="V330" s="257"/>
      <c r="W330" s="258"/>
      <c r="X330" s="257"/>
      <c r="Y330" s="258"/>
      <c r="Z330" s="257"/>
    </row>
    <row r="331" spans="1:26" ht="15" customHeight="1">
      <c r="A331" s="250"/>
      <c r="B331" s="251"/>
      <c r="C331" s="647"/>
      <c r="D331" s="526"/>
      <c r="E331" s="251"/>
      <c r="F331" s="310"/>
      <c r="G331" s="253"/>
      <c r="H331" s="258"/>
      <c r="I331" s="253"/>
      <c r="J331" s="253"/>
      <c r="K331" s="251"/>
      <c r="L331" s="261"/>
      <c r="M331" s="258"/>
      <c r="N331" s="257"/>
      <c r="O331" s="258"/>
      <c r="P331" s="257"/>
      <c r="Q331" s="258"/>
      <c r="R331" s="257"/>
      <c r="S331" s="258"/>
      <c r="T331" s="257"/>
      <c r="U331" s="258"/>
      <c r="V331" s="257"/>
      <c r="W331" s="258"/>
      <c r="X331" s="257"/>
      <c r="Y331" s="258"/>
      <c r="Z331" s="257"/>
    </row>
    <row r="332" spans="1:26" ht="15" customHeight="1">
      <c r="A332" s="250">
        <f>A329+1</f>
        <v>110</v>
      </c>
      <c r="B332" s="251"/>
      <c r="C332" s="655" t="s">
        <v>996</v>
      </c>
      <c r="D332" s="526"/>
      <c r="E332" s="251" t="s">
        <v>2475</v>
      </c>
      <c r="F332" s="252">
        <f>M332+O332+Q332+S332+U332+W332+Y332</f>
        <v>878</v>
      </c>
      <c r="G332" s="253">
        <f>L332</f>
        <v>3</v>
      </c>
      <c r="H332" s="254">
        <f>INT(F332*G332*100+0.5)/100</f>
        <v>2634</v>
      </c>
      <c r="I332" s="253">
        <f>N332+P332+R332+T332+V332+X332+Z332</f>
        <v>2634</v>
      </c>
      <c r="J332" s="253"/>
      <c r="K332" s="251" t="s">
        <v>2475</v>
      </c>
      <c r="L332" s="262">
        <v>3</v>
      </c>
      <c r="M332" s="258">
        <f>395+10</f>
        <v>405</v>
      </c>
      <c r="N332" s="257">
        <f>INT($L332*M332*100+0.5)/100</f>
        <v>1215</v>
      </c>
      <c r="O332" s="258">
        <f>250-97+10+10+250</f>
        <v>423</v>
      </c>
      <c r="P332" s="257">
        <f>INT($L332*O332*100+0.5)/100</f>
        <v>1269</v>
      </c>
      <c r="Q332" s="258">
        <v>50</v>
      </c>
      <c r="R332" s="257">
        <f>INT($L332*Q332*100+0.5)/100</f>
        <v>150</v>
      </c>
      <c r="S332" s="258">
        <v>0</v>
      </c>
      <c r="T332" s="245">
        <f>INT($L332*S332*100+0.5)/100</f>
        <v>0</v>
      </c>
      <c r="U332" s="258">
        <v>0</v>
      </c>
      <c r="V332" s="257">
        <f>INT($L332*U332*100+0.5)/100</f>
        <v>0</v>
      </c>
      <c r="W332" s="258">
        <v>0</v>
      </c>
      <c r="X332" s="245">
        <f>INT($L332*W332*100+0.5)/100</f>
        <v>0</v>
      </c>
      <c r="Y332" s="258">
        <v>0</v>
      </c>
      <c r="Z332" s="245">
        <f>INT($L332*Y332*100+0.5)/100</f>
        <v>0</v>
      </c>
    </row>
    <row r="333" spans="1:26" ht="15" customHeight="1">
      <c r="A333" s="250"/>
      <c r="B333" s="251"/>
      <c r="C333" s="648"/>
      <c r="D333" s="526" t="s">
        <v>997</v>
      </c>
      <c r="E333" s="251"/>
      <c r="F333" s="252"/>
      <c r="G333" s="253"/>
      <c r="H333" s="254"/>
      <c r="I333" s="253"/>
      <c r="J333" s="253"/>
      <c r="K333" s="251"/>
      <c r="L333" s="261"/>
      <c r="M333" s="258"/>
      <c r="N333" s="257"/>
      <c r="O333" s="258"/>
      <c r="P333" s="257"/>
      <c r="Q333" s="258"/>
      <c r="R333" s="257"/>
      <c r="S333" s="258"/>
      <c r="T333" s="245"/>
      <c r="U333" s="258"/>
      <c r="V333" s="257"/>
      <c r="W333" s="258"/>
      <c r="X333" s="245"/>
      <c r="Y333" s="258"/>
      <c r="Z333" s="245"/>
    </row>
    <row r="334" spans="1:26" ht="15" customHeight="1">
      <c r="A334" s="250"/>
      <c r="B334" s="251"/>
      <c r="C334" s="648"/>
      <c r="D334" s="292"/>
      <c r="E334" s="251"/>
      <c r="F334" s="252"/>
      <c r="G334" s="253"/>
      <c r="H334" s="254"/>
      <c r="I334" s="253"/>
      <c r="J334" s="253"/>
      <c r="K334" s="251"/>
      <c r="L334" s="261"/>
      <c r="M334" s="258"/>
      <c r="N334" s="257"/>
      <c r="O334" s="258"/>
      <c r="P334" s="257"/>
      <c r="Q334" s="258"/>
      <c r="R334" s="257"/>
      <c r="S334" s="258"/>
      <c r="T334" s="257"/>
      <c r="U334" s="258"/>
      <c r="V334" s="257"/>
      <c r="W334" s="258"/>
      <c r="X334" s="257"/>
      <c r="Y334" s="258"/>
      <c r="Z334" s="257"/>
    </row>
    <row r="335" spans="1:26" ht="15" customHeight="1">
      <c r="A335" s="250">
        <f>A332+1</f>
        <v>111</v>
      </c>
      <c r="B335" s="251"/>
      <c r="C335" s="655" t="s">
        <v>998</v>
      </c>
      <c r="D335" s="526"/>
      <c r="E335" s="251" t="s">
        <v>1901</v>
      </c>
      <c r="F335" s="252">
        <f>M335+O335+Q335+S335+U335+W335+Y335</f>
        <v>0</v>
      </c>
      <c r="G335" s="253">
        <f>L335</f>
        <v>28</v>
      </c>
      <c r="H335" s="254">
        <f>INT(F335*G335*100+0.5)/100</f>
        <v>0</v>
      </c>
      <c r="I335" s="253">
        <f>N335+P335+R335+T335+V335+X335+Z335</f>
        <v>0</v>
      </c>
      <c r="J335" s="253"/>
      <c r="K335" s="251" t="s">
        <v>1901</v>
      </c>
      <c r="L335" s="261">
        <v>28</v>
      </c>
      <c r="M335" s="258">
        <v>0</v>
      </c>
      <c r="N335" s="257">
        <f>INT($L335*M335*100+0.5)/100</f>
        <v>0</v>
      </c>
      <c r="O335" s="258">
        <v>0</v>
      </c>
      <c r="P335" s="257">
        <f>INT($L335*O335*100+0.5)/100</f>
        <v>0</v>
      </c>
      <c r="Q335" s="258">
        <v>0</v>
      </c>
      <c r="R335" s="257">
        <f>INT($L335*Q335*100+0.5)/100</f>
        <v>0</v>
      </c>
      <c r="S335" s="258">
        <v>0</v>
      </c>
      <c r="T335" s="245">
        <f>INT($L335*S335*100+0.5)/100</f>
        <v>0</v>
      </c>
      <c r="U335" s="258">
        <v>0</v>
      </c>
      <c r="V335" s="257">
        <f>INT($L335*U335*100+0.5)/100</f>
        <v>0</v>
      </c>
      <c r="W335" s="258">
        <v>0</v>
      </c>
      <c r="X335" s="245">
        <f>INT($L335*W335*100+0.5)/100</f>
        <v>0</v>
      </c>
      <c r="Y335" s="258">
        <v>0</v>
      </c>
      <c r="Z335" s="245">
        <f>INT($L335*Y335*100+0.5)/100</f>
        <v>0</v>
      </c>
    </row>
    <row r="336" spans="1:26" s="281" customFormat="1" ht="15" customHeight="1">
      <c r="A336" s="463"/>
      <c r="B336" s="277"/>
      <c r="C336" s="648"/>
      <c r="D336" s="536" t="s">
        <v>999</v>
      </c>
      <c r="E336" s="277"/>
      <c r="F336" s="455"/>
      <c r="G336" s="456"/>
      <c r="H336" s="457"/>
      <c r="I336" s="456"/>
      <c r="J336" s="456"/>
      <c r="K336" s="277"/>
      <c r="L336" s="262"/>
      <c r="M336" s="458"/>
      <c r="N336" s="280"/>
      <c r="O336" s="458"/>
      <c r="P336" s="280"/>
      <c r="Q336" s="458"/>
      <c r="R336" s="280"/>
      <c r="S336" s="458"/>
      <c r="T336" s="347"/>
      <c r="U336" s="458"/>
      <c r="V336" s="280"/>
      <c r="W336" s="458"/>
      <c r="X336" s="347"/>
      <c r="Y336" s="458"/>
      <c r="Z336" s="347"/>
    </row>
    <row r="337" spans="1:26" ht="15" customHeight="1">
      <c r="A337" s="250"/>
      <c r="B337" s="251"/>
      <c r="C337" s="648"/>
      <c r="D337" s="292"/>
      <c r="E337" s="251"/>
      <c r="F337" s="252"/>
      <c r="G337" s="253"/>
      <c r="H337" s="254"/>
      <c r="I337" s="253"/>
      <c r="J337" s="253"/>
      <c r="K337" s="251"/>
      <c r="L337" s="261"/>
      <c r="M337" s="258"/>
      <c r="N337" s="257"/>
      <c r="O337" s="258"/>
      <c r="P337" s="257"/>
      <c r="Q337" s="258"/>
      <c r="R337" s="257"/>
      <c r="S337" s="258"/>
      <c r="T337" s="257"/>
      <c r="U337" s="258"/>
      <c r="V337" s="257"/>
      <c r="W337" s="258"/>
      <c r="X337" s="257"/>
      <c r="Y337" s="258"/>
      <c r="Z337" s="257"/>
    </row>
    <row r="338" spans="1:26" ht="15" customHeight="1">
      <c r="A338" s="250">
        <f>A335+1</f>
        <v>112</v>
      </c>
      <c r="B338" s="251"/>
      <c r="C338" s="655" t="s">
        <v>1000</v>
      </c>
      <c r="D338" s="526"/>
      <c r="E338" s="251" t="s">
        <v>2461</v>
      </c>
      <c r="F338" s="252">
        <f>M338+O338+Q338+S338+U338+W338+Y338</f>
        <v>280.84000000000003</v>
      </c>
      <c r="G338" s="253">
        <f>L338</f>
        <v>30</v>
      </c>
      <c r="H338" s="254">
        <f>INT(F338*G338*100+0.5)/100</f>
        <v>8425.2000000000007</v>
      </c>
      <c r="I338" s="253">
        <f>N338+P338+R338+T338+V338+X338+Z338</f>
        <v>8425.2000000000007</v>
      </c>
      <c r="J338" s="253"/>
      <c r="K338" s="251" t="s">
        <v>2461</v>
      </c>
      <c r="L338" s="656">
        <v>30</v>
      </c>
      <c r="M338" s="258">
        <v>0</v>
      </c>
      <c r="N338" s="257">
        <f>INT($L338*M338*100+0.5)/100</f>
        <v>0</v>
      </c>
      <c r="O338" s="258">
        <v>0</v>
      </c>
      <c r="P338" s="257">
        <f>INT($L338*O338*100+0.5)/100</f>
        <v>0</v>
      </c>
      <c r="Q338" s="258">
        <f>45*1*1*1</f>
        <v>45</v>
      </c>
      <c r="R338" s="257">
        <f>INT($L338*Q338*100+0.5)/100</f>
        <v>1350</v>
      </c>
      <c r="S338" s="258">
        <v>0</v>
      </c>
      <c r="T338" s="245">
        <f>INT($L338*S338*100+0.5)/100</f>
        <v>0</v>
      </c>
      <c r="U338" s="258">
        <v>0</v>
      </c>
      <c r="V338" s="257">
        <f>INT($L338*U338*100+0.5)/100</f>
        <v>0</v>
      </c>
      <c r="W338" s="258">
        <f>W245</f>
        <v>75.84</v>
      </c>
      <c r="X338" s="245">
        <f>INT($L338*W338*100+0.5)/100</f>
        <v>2275.1999999999998</v>
      </c>
      <c r="Y338" s="508">
        <f>160*2*1*0.5</f>
        <v>160</v>
      </c>
      <c r="Z338" s="245">
        <f>INT($L338*Y338*100+0.5)/100</f>
        <v>4800</v>
      </c>
    </row>
    <row r="339" spans="1:26" ht="15" customHeight="1">
      <c r="A339" s="250"/>
      <c r="B339" s="251"/>
      <c r="C339" s="648"/>
      <c r="D339" s="526" t="s">
        <v>1001</v>
      </c>
      <c r="E339" s="251"/>
      <c r="F339" s="252"/>
      <c r="G339" s="253"/>
      <c r="H339" s="254"/>
      <c r="I339" s="253"/>
      <c r="J339" s="253"/>
      <c r="K339" s="251"/>
      <c r="L339" s="261"/>
      <c r="M339" s="258"/>
      <c r="N339" s="257"/>
      <c r="O339" s="258"/>
      <c r="P339" s="257"/>
      <c r="Q339" s="258"/>
      <c r="R339" s="257"/>
      <c r="S339" s="258"/>
      <c r="T339" s="245"/>
      <c r="U339" s="258"/>
      <c r="V339" s="257"/>
      <c r="W339" s="258"/>
      <c r="X339" s="245"/>
      <c r="Y339" s="258"/>
      <c r="Z339" s="245"/>
    </row>
    <row r="340" spans="1:26" ht="15" customHeight="1">
      <c r="A340" s="250"/>
      <c r="B340" s="251"/>
      <c r="C340" s="648"/>
      <c r="D340" s="292"/>
      <c r="E340" s="251"/>
      <c r="F340" s="252"/>
      <c r="G340" s="253"/>
      <c r="H340" s="254"/>
      <c r="I340" s="253"/>
      <c r="J340" s="253"/>
      <c r="K340" s="251"/>
      <c r="L340" s="261"/>
      <c r="M340" s="258"/>
      <c r="N340" s="257"/>
      <c r="O340" s="258"/>
      <c r="P340" s="257"/>
      <c r="Q340" s="258"/>
      <c r="R340" s="257"/>
      <c r="S340" s="258"/>
      <c r="T340" s="257"/>
      <c r="U340" s="258"/>
      <c r="V340" s="257"/>
      <c r="W340" s="258"/>
      <c r="X340" s="257"/>
      <c r="Y340" s="258"/>
      <c r="Z340" s="257"/>
    </row>
    <row r="341" spans="1:26" ht="25.5">
      <c r="A341" s="250">
        <f>A338+1</f>
        <v>113</v>
      </c>
      <c r="B341" s="251"/>
      <c r="C341" s="657" t="s">
        <v>584</v>
      </c>
      <c r="D341" s="526" t="s">
        <v>390</v>
      </c>
      <c r="E341" s="251" t="s">
        <v>1898</v>
      </c>
      <c r="F341" s="252">
        <f>M341+O341+Q341+S341+U341+W341+Y341</f>
        <v>0</v>
      </c>
      <c r="G341" s="253">
        <f>L341</f>
        <v>21</v>
      </c>
      <c r="H341" s="254">
        <f>INT(F341*G341*100+0.5)/100</f>
        <v>0</v>
      </c>
      <c r="I341" s="253">
        <f>N341+P341+R341+T341+V341+X341+Z341</f>
        <v>0</v>
      </c>
      <c r="J341" s="253"/>
      <c r="K341" s="251" t="s">
        <v>1898</v>
      </c>
      <c r="L341" s="262">
        <v>21</v>
      </c>
      <c r="M341" s="258">
        <v>0</v>
      </c>
      <c r="N341" s="257">
        <f>INT($L341*M341*100+0.5)/100</f>
        <v>0</v>
      </c>
      <c r="O341" s="258">
        <v>0</v>
      </c>
      <c r="P341" s="257">
        <f>INT($L341*O341*100+0.5)/100</f>
        <v>0</v>
      </c>
      <c r="Q341" s="258">
        <v>0</v>
      </c>
      <c r="R341" s="257">
        <f>INT($L341*Q341*100+0.5)/100</f>
        <v>0</v>
      </c>
      <c r="S341" s="258">
        <v>0</v>
      </c>
      <c r="T341" s="245">
        <f>INT($L341*S341*100+0.5)/100</f>
        <v>0</v>
      </c>
      <c r="U341" s="258">
        <v>0</v>
      </c>
      <c r="V341" s="257">
        <f>INT($L341*U341*100+0.5)/100</f>
        <v>0</v>
      </c>
      <c r="W341" s="258">
        <v>0</v>
      </c>
      <c r="X341" s="245">
        <f>INT($L341*W341*100+0.5)/100</f>
        <v>0</v>
      </c>
      <c r="Y341" s="258">
        <v>0</v>
      </c>
      <c r="Z341" s="245">
        <f>INT($L341*Y341*100+0.5)/100</f>
        <v>0</v>
      </c>
    </row>
    <row r="342" spans="1:26" ht="25.5">
      <c r="A342" s="250"/>
      <c r="B342" s="251"/>
      <c r="C342" s="648"/>
      <c r="D342" s="526" t="s">
        <v>389</v>
      </c>
      <c r="E342" s="251"/>
      <c r="F342" s="252"/>
      <c r="G342" s="253"/>
      <c r="H342" s="254"/>
      <c r="I342" s="253"/>
      <c r="J342" s="253"/>
      <c r="K342" s="251"/>
      <c r="L342" s="261"/>
      <c r="M342" s="258"/>
      <c r="N342" s="257"/>
      <c r="O342" s="258"/>
      <c r="P342" s="257"/>
      <c r="Q342" s="258"/>
      <c r="R342" s="257"/>
      <c r="S342" s="258"/>
      <c r="T342" s="245"/>
      <c r="U342" s="258"/>
      <c r="V342" s="257"/>
      <c r="W342" s="258"/>
      <c r="X342" s="245"/>
      <c r="Y342" s="258"/>
      <c r="Z342" s="245"/>
    </row>
    <row r="343" spans="1:26" ht="15" customHeight="1">
      <c r="A343" s="250"/>
      <c r="B343" s="251"/>
      <c r="C343" s="648"/>
      <c r="D343" s="526"/>
      <c r="E343" s="251"/>
      <c r="F343" s="252"/>
      <c r="G343" s="253"/>
      <c r="H343" s="254"/>
      <c r="I343" s="253"/>
      <c r="J343" s="253"/>
      <c r="K343" s="251"/>
      <c r="L343" s="261"/>
      <c r="M343" s="258"/>
      <c r="N343" s="257"/>
      <c r="O343" s="258"/>
      <c r="P343" s="257"/>
      <c r="Q343" s="258"/>
      <c r="R343" s="257"/>
      <c r="S343" s="258"/>
      <c r="T343" s="245"/>
      <c r="U343" s="258"/>
      <c r="V343" s="257"/>
      <c r="W343" s="258"/>
      <c r="X343" s="245"/>
      <c r="Y343" s="258"/>
      <c r="Z343" s="245"/>
    </row>
    <row r="344" spans="1:26" ht="15" customHeight="1">
      <c r="A344" s="250">
        <f>A341+1</f>
        <v>114</v>
      </c>
      <c r="B344" s="251"/>
      <c r="C344" s="647" t="s">
        <v>1622</v>
      </c>
      <c r="D344" s="292" t="s">
        <v>1615</v>
      </c>
      <c r="E344" s="251" t="s">
        <v>2461</v>
      </c>
      <c r="F344" s="252">
        <f>M344+O344+Q344+S344+U344+W344+Y344</f>
        <v>0</v>
      </c>
      <c r="G344" s="253">
        <f>L344</f>
        <v>11.07</v>
      </c>
      <c r="H344" s="254">
        <f>INT(F344*G344*100+0.5)/100</f>
        <v>0</v>
      </c>
      <c r="I344" s="253">
        <f>N344+P344+R344+T344+V344+X344+Z344</f>
        <v>0</v>
      </c>
      <c r="J344" s="253"/>
      <c r="K344" s="251" t="s">
        <v>2461</v>
      </c>
      <c r="L344" s="255">
        <v>11.07</v>
      </c>
      <c r="M344" s="258">
        <v>0</v>
      </c>
      <c r="N344" s="257">
        <f>INT($L344*M344*100+0.5)/100</f>
        <v>0</v>
      </c>
      <c r="O344" s="258">
        <v>0</v>
      </c>
      <c r="P344" s="257">
        <f>INT($L344*O344*100+0.5)/100</f>
        <v>0</v>
      </c>
      <c r="Q344" s="258">
        <v>0</v>
      </c>
      <c r="R344" s="257">
        <f>INT($L344*Q344*100+0.5)/100</f>
        <v>0</v>
      </c>
      <c r="S344" s="258">
        <v>0</v>
      </c>
      <c r="T344" s="257">
        <f>INT($L344*S344*100+0.5)/100</f>
        <v>0</v>
      </c>
      <c r="U344" s="258">
        <v>0</v>
      </c>
      <c r="V344" s="257">
        <f>INT($L344*U344*100+0.5)/100</f>
        <v>0</v>
      </c>
      <c r="W344" s="258">
        <v>0</v>
      </c>
      <c r="X344" s="257">
        <f>INT($L344*W344*100+0.5)/100</f>
        <v>0</v>
      </c>
      <c r="Y344" s="258">
        <v>0</v>
      </c>
      <c r="Z344" s="257">
        <f>INT($L344*Y344*100+0.5)/100</f>
        <v>0</v>
      </c>
    </row>
    <row r="345" spans="1:26" ht="15" customHeight="1">
      <c r="A345" s="250"/>
      <c r="B345" s="251"/>
      <c r="C345" s="648"/>
      <c r="D345" s="292" t="s">
        <v>1614</v>
      </c>
      <c r="E345" s="251"/>
      <c r="F345" s="252"/>
      <c r="G345" s="253"/>
      <c r="H345" s="254"/>
      <c r="I345" s="253"/>
      <c r="J345" s="253"/>
      <c r="K345" s="251"/>
      <c r="L345" s="255"/>
      <c r="M345" s="258"/>
      <c r="N345" s="257"/>
      <c r="O345" s="258"/>
      <c r="P345" s="257"/>
      <c r="Q345" s="258"/>
      <c r="R345" s="257"/>
      <c r="S345" s="258"/>
      <c r="T345" s="257"/>
      <c r="U345" s="258"/>
      <c r="V345" s="257"/>
      <c r="W345" s="258"/>
      <c r="X345" s="257"/>
      <c r="Y345" s="258"/>
      <c r="Z345" s="257"/>
    </row>
    <row r="346" spans="1:26" ht="15" customHeight="1">
      <c r="A346" s="250"/>
      <c r="B346" s="251"/>
      <c r="C346" s="648"/>
      <c r="D346" s="292"/>
      <c r="E346" s="251"/>
      <c r="F346" s="252"/>
      <c r="G346" s="253"/>
      <c r="H346" s="254"/>
      <c r="I346" s="253"/>
      <c r="J346" s="253"/>
      <c r="K346" s="251"/>
      <c r="L346" s="255"/>
      <c r="M346" s="258"/>
      <c r="N346" s="257"/>
      <c r="O346" s="258"/>
      <c r="P346" s="257"/>
      <c r="Q346" s="258"/>
      <c r="R346" s="257"/>
      <c r="S346" s="258"/>
      <c r="T346" s="257"/>
      <c r="U346" s="258"/>
      <c r="V346" s="257"/>
      <c r="W346" s="258"/>
      <c r="X346" s="257"/>
      <c r="Y346" s="258"/>
      <c r="Z346" s="257"/>
    </row>
    <row r="347" spans="1:26" ht="15" customHeight="1">
      <c r="A347" s="250">
        <f>A344+1</f>
        <v>115</v>
      </c>
      <c r="B347" s="251"/>
      <c r="C347" s="647" t="s">
        <v>1621</v>
      </c>
      <c r="D347" s="292" t="s">
        <v>1617</v>
      </c>
      <c r="E347" s="251" t="s">
        <v>2461</v>
      </c>
      <c r="F347" s="252">
        <f>M347+O347+Q347+S347+U347+W347+Y347</f>
        <v>11</v>
      </c>
      <c r="G347" s="253">
        <f>L347</f>
        <v>26.16</v>
      </c>
      <c r="H347" s="254">
        <f>INT(F347*G347*100+0.5)/100</f>
        <v>287.76</v>
      </c>
      <c r="I347" s="253">
        <f>N347+P347+R347+T347+V347+X347+Z347</f>
        <v>287.76000000000005</v>
      </c>
      <c r="J347" s="253"/>
      <c r="K347" s="251" t="s">
        <v>2461</v>
      </c>
      <c r="L347" s="255">
        <v>26.16</v>
      </c>
      <c r="M347" s="458">
        <v>3</v>
      </c>
      <c r="N347" s="257">
        <f>INT($L347*M347*100+0.5)/100</f>
        <v>78.48</v>
      </c>
      <c r="O347" s="458">
        <v>5</v>
      </c>
      <c r="P347" s="257">
        <f>INT($L347*O347*100+0.5)/100</f>
        <v>130.80000000000001</v>
      </c>
      <c r="Q347" s="458">
        <v>3</v>
      </c>
      <c r="R347" s="257">
        <f>INT($L347*Q347*100+0.5)/100</f>
        <v>78.48</v>
      </c>
      <c r="S347" s="258">
        <v>0</v>
      </c>
      <c r="T347" s="257">
        <f>INT($L347*S347*100+0.5)/100</f>
        <v>0</v>
      </c>
      <c r="U347" s="258">
        <v>0</v>
      </c>
      <c r="V347" s="257">
        <f>INT($L347*U347*100+0.5)/100</f>
        <v>0</v>
      </c>
      <c r="W347" s="258">
        <v>0</v>
      </c>
      <c r="X347" s="257">
        <f>INT($L347*W347*100+0.5)/100</f>
        <v>0</v>
      </c>
      <c r="Y347" s="258">
        <v>0</v>
      </c>
      <c r="Z347" s="257">
        <f>INT($L347*Y347*100+0.5)/100</f>
        <v>0</v>
      </c>
    </row>
    <row r="348" spans="1:26" ht="15" customHeight="1">
      <c r="A348" s="250"/>
      <c r="B348" s="251"/>
      <c r="C348" s="648"/>
      <c r="D348" s="292" t="s">
        <v>1616</v>
      </c>
      <c r="E348" s="251"/>
      <c r="F348" s="252"/>
      <c r="G348" s="253"/>
      <c r="H348" s="254"/>
      <c r="I348" s="253"/>
      <c r="J348" s="253"/>
      <c r="K348" s="251"/>
      <c r="L348" s="255"/>
      <c r="M348" s="258"/>
      <c r="N348" s="257"/>
      <c r="O348" s="258"/>
      <c r="P348" s="257"/>
      <c r="Q348" s="258"/>
      <c r="R348" s="257"/>
      <c r="S348" s="258"/>
      <c r="T348" s="257"/>
      <c r="U348" s="258"/>
      <c r="V348" s="257"/>
      <c r="W348" s="258"/>
      <c r="X348" s="257"/>
      <c r="Y348" s="258"/>
      <c r="Z348" s="257"/>
    </row>
    <row r="349" spans="1:26" ht="15" customHeight="1">
      <c r="A349" s="250"/>
      <c r="B349" s="251"/>
      <c r="C349" s="648"/>
      <c r="D349" s="292"/>
      <c r="E349" s="251"/>
      <c r="F349" s="252"/>
      <c r="G349" s="253"/>
      <c r="H349" s="254"/>
      <c r="I349" s="253"/>
      <c r="J349" s="253"/>
      <c r="K349" s="251"/>
      <c r="L349" s="255"/>
      <c r="M349" s="258"/>
      <c r="N349" s="257"/>
      <c r="O349" s="258"/>
      <c r="P349" s="257"/>
      <c r="Q349" s="258"/>
      <c r="R349" s="257"/>
      <c r="S349" s="258"/>
      <c r="T349" s="257"/>
      <c r="U349" s="258"/>
      <c r="V349" s="257"/>
      <c r="W349" s="258"/>
      <c r="X349" s="257"/>
      <c r="Y349" s="258"/>
      <c r="Z349" s="257"/>
    </row>
    <row r="350" spans="1:26" ht="15" customHeight="1">
      <c r="A350" s="250">
        <f>A347+1</f>
        <v>116</v>
      </c>
      <c r="B350" s="251"/>
      <c r="C350" s="647" t="s">
        <v>2338</v>
      </c>
      <c r="D350" s="292" t="s">
        <v>1002</v>
      </c>
      <c r="E350" s="251" t="s">
        <v>2461</v>
      </c>
      <c r="F350" s="252">
        <f>M350+O350+Q350+S350+U350+W350+Y350</f>
        <v>11</v>
      </c>
      <c r="G350" s="253">
        <f>L350</f>
        <v>141.02000000000001</v>
      </c>
      <c r="H350" s="254">
        <f>INT(F350*G350*100+0.5)/100</f>
        <v>1551.22</v>
      </c>
      <c r="I350" s="253">
        <f>N350+P350+R350+T350+V350+X350+Z350</f>
        <v>1551.22</v>
      </c>
      <c r="J350" s="253"/>
      <c r="K350" s="251" t="s">
        <v>2461</v>
      </c>
      <c r="L350" s="255">
        <v>141.02000000000001</v>
      </c>
      <c r="M350" s="458">
        <v>3</v>
      </c>
      <c r="N350" s="257">
        <f>INT($L350*M350*100+0.5)/100</f>
        <v>423.06</v>
      </c>
      <c r="O350" s="458">
        <v>5</v>
      </c>
      <c r="P350" s="257">
        <f>INT($L350*O350*100+0.5)/100</f>
        <v>705.1</v>
      </c>
      <c r="Q350" s="458">
        <v>3</v>
      </c>
      <c r="R350" s="257">
        <f>INT($L350*Q350*100+0.5)/100</f>
        <v>423.06</v>
      </c>
      <c r="S350" s="258">
        <v>0</v>
      </c>
      <c r="T350" s="257">
        <f>INT($L350*S350*100+0.5)/100</f>
        <v>0</v>
      </c>
      <c r="U350" s="258">
        <v>0</v>
      </c>
      <c r="V350" s="257">
        <f>INT($L350*U350*100+0.5)/100</f>
        <v>0</v>
      </c>
      <c r="W350" s="258">
        <v>0</v>
      </c>
      <c r="X350" s="257">
        <f>INT($L350*W350*100+0.5)/100</f>
        <v>0</v>
      </c>
      <c r="Y350" s="258">
        <v>0</v>
      </c>
      <c r="Z350" s="257">
        <f>INT($L350*Y350*100+0.5)/100</f>
        <v>0</v>
      </c>
    </row>
    <row r="351" spans="1:26" ht="15" customHeight="1">
      <c r="A351" s="250"/>
      <c r="B351" s="251"/>
      <c r="C351" s="648"/>
      <c r="D351" s="292" t="s">
        <v>1003</v>
      </c>
      <c r="E351" s="251"/>
      <c r="F351" s="252"/>
      <c r="G351" s="253"/>
      <c r="H351" s="254"/>
      <c r="I351" s="253"/>
      <c r="J351" s="253"/>
      <c r="K351" s="251"/>
      <c r="L351" s="255"/>
      <c r="M351" s="258"/>
      <c r="N351" s="257"/>
      <c r="O351" s="258"/>
      <c r="P351" s="257"/>
      <c r="Q351" s="258"/>
      <c r="R351" s="257"/>
      <c r="S351" s="258"/>
      <c r="T351" s="257"/>
      <c r="U351" s="258"/>
      <c r="V351" s="257"/>
      <c r="W351" s="258"/>
      <c r="X351" s="257"/>
      <c r="Y351" s="258"/>
      <c r="Z351" s="257"/>
    </row>
    <row r="352" spans="1:26" ht="15" customHeight="1">
      <c r="A352" s="250"/>
      <c r="B352" s="251"/>
      <c r="C352" s="648"/>
      <c r="D352" s="292"/>
      <c r="E352" s="251"/>
      <c r="F352" s="252"/>
      <c r="G352" s="253"/>
      <c r="H352" s="254"/>
      <c r="I352" s="253"/>
      <c r="J352" s="253"/>
      <c r="K352" s="251"/>
      <c r="L352" s="255"/>
      <c r="M352" s="258"/>
      <c r="N352" s="257"/>
      <c r="O352" s="258"/>
      <c r="P352" s="257"/>
      <c r="Q352" s="258"/>
      <c r="R352" s="257"/>
      <c r="S352" s="258"/>
      <c r="T352" s="257"/>
      <c r="U352" s="258"/>
      <c r="V352" s="257"/>
      <c r="W352" s="258"/>
      <c r="X352" s="257"/>
      <c r="Y352" s="258"/>
      <c r="Z352" s="257"/>
    </row>
    <row r="353" spans="1:26" ht="15">
      <c r="A353" s="250">
        <f>A350+1</f>
        <v>117</v>
      </c>
      <c r="B353" s="251"/>
      <c r="C353" s="647" t="s">
        <v>2339</v>
      </c>
      <c r="D353" s="292" t="s">
        <v>1619</v>
      </c>
      <c r="E353" s="251" t="s">
        <v>2461</v>
      </c>
      <c r="F353" s="252">
        <f>M353+O353+Q353+S353+U353+W353+Y353</f>
        <v>18</v>
      </c>
      <c r="G353" s="253">
        <f>L353</f>
        <v>253.43</v>
      </c>
      <c r="H353" s="254">
        <f>INT(F353*G353*100+0.5)/100</f>
        <v>4561.74</v>
      </c>
      <c r="I353" s="253">
        <f>N353+P353+R353+T353+V353+X353+Z353</f>
        <v>4561.74</v>
      </c>
      <c r="J353" s="253"/>
      <c r="K353" s="251" t="s">
        <v>2461</v>
      </c>
      <c r="L353" s="255">
        <v>253.43</v>
      </c>
      <c r="M353" s="458">
        <v>3</v>
      </c>
      <c r="N353" s="257">
        <f>INT($L353*M353*100+0.5)/100</f>
        <v>760.29</v>
      </c>
      <c r="O353" s="458">
        <v>5</v>
      </c>
      <c r="P353" s="257">
        <f>INT($L353*O353*100+0.5)/100</f>
        <v>1267.1500000000001</v>
      </c>
      <c r="Q353" s="458">
        <v>3</v>
      </c>
      <c r="R353" s="257">
        <f>INT($L353*Q353*100+0.5)/100</f>
        <v>760.29</v>
      </c>
      <c r="S353" s="258">
        <v>0</v>
      </c>
      <c r="T353" s="257">
        <f>INT($L353*S353*100+0.5)/100</f>
        <v>0</v>
      </c>
      <c r="U353" s="458">
        <v>5</v>
      </c>
      <c r="V353" s="257">
        <f>INT($L353*U353*100+0.5)/100</f>
        <v>1267.1500000000001</v>
      </c>
      <c r="W353" s="258">
        <v>2</v>
      </c>
      <c r="X353" s="257">
        <f>INT($L353*W353*100+0.5)/100</f>
        <v>506.86</v>
      </c>
      <c r="Y353" s="258">
        <v>0</v>
      </c>
      <c r="Z353" s="257">
        <f>INT($L353*Y353*100+0.5)/100</f>
        <v>0</v>
      </c>
    </row>
    <row r="354" spans="1:26" ht="15">
      <c r="A354" s="250"/>
      <c r="B354" s="251"/>
      <c r="C354" s="648"/>
      <c r="D354" s="292" t="s">
        <v>1618</v>
      </c>
      <c r="E354" s="251"/>
      <c r="F354" s="252"/>
      <c r="G354" s="253"/>
      <c r="H354" s="254"/>
      <c r="I354" s="253"/>
      <c r="J354" s="253"/>
      <c r="K354" s="251"/>
      <c r="L354" s="261"/>
      <c r="M354" s="258"/>
      <c r="N354" s="257"/>
      <c r="O354" s="258"/>
      <c r="P354" s="257"/>
      <c r="Q354" s="258"/>
      <c r="R354" s="257"/>
      <c r="S354" s="258"/>
      <c r="T354" s="257"/>
      <c r="U354" s="258"/>
      <c r="V354" s="257"/>
      <c r="W354" s="258"/>
      <c r="X354" s="257"/>
      <c r="Y354" s="258"/>
      <c r="Z354" s="257"/>
    </row>
    <row r="355" spans="1:26" ht="15.75" customHeight="1">
      <c r="A355" s="250"/>
      <c r="B355" s="251"/>
      <c r="C355" s="648"/>
      <c r="D355" s="292"/>
      <c r="E355" s="251"/>
      <c r="F355" s="252"/>
      <c r="G355" s="253"/>
      <c r="H355" s="254"/>
      <c r="I355" s="253"/>
      <c r="J355" s="253"/>
      <c r="K355" s="251"/>
      <c r="L355" s="255"/>
      <c r="M355" s="258"/>
      <c r="N355" s="257"/>
      <c r="O355" s="258"/>
      <c r="P355" s="257"/>
      <c r="Q355" s="258"/>
      <c r="R355" s="257"/>
      <c r="S355" s="258"/>
      <c r="T355" s="257"/>
      <c r="U355" s="258"/>
      <c r="V355" s="257"/>
      <c r="W355" s="258"/>
      <c r="X355" s="257"/>
      <c r="Y355" s="258"/>
      <c r="Z355" s="257"/>
    </row>
    <row r="356" spans="1:26" ht="15.75" customHeight="1">
      <c r="A356" s="250">
        <f>A353+1</f>
        <v>118</v>
      </c>
      <c r="B356" s="251"/>
      <c r="C356" s="657" t="s">
        <v>2340</v>
      </c>
      <c r="D356" s="292" t="s">
        <v>1009</v>
      </c>
      <c r="E356" s="251" t="s">
        <v>1620</v>
      </c>
      <c r="F356" s="252">
        <f>M356+O356+Q356+S356+U356+W356+Y356</f>
        <v>130</v>
      </c>
      <c r="G356" s="253">
        <f>L356</f>
        <v>1.57</v>
      </c>
      <c r="H356" s="254">
        <f>INT(F356*G356*100+0.5)/100</f>
        <v>204.1</v>
      </c>
      <c r="I356" s="253">
        <f>N356+P356+R356+T356+V356+X356+Z356</f>
        <v>204.1</v>
      </c>
      <c r="J356" s="253"/>
      <c r="K356" s="251" t="s">
        <v>1620</v>
      </c>
      <c r="L356" s="255">
        <v>1.57</v>
      </c>
      <c r="M356" s="458">
        <v>50</v>
      </c>
      <c r="N356" s="257">
        <f>INT($L356*M356*100+0.5)/100</f>
        <v>78.5</v>
      </c>
      <c r="O356" s="458">
        <v>80</v>
      </c>
      <c r="P356" s="257">
        <f>INT($L356*O356*100+0.5)/100</f>
        <v>125.6</v>
      </c>
      <c r="Q356" s="258">
        <v>0</v>
      </c>
      <c r="R356" s="257">
        <f>INT($L356*Q356*100+0.5)/100</f>
        <v>0</v>
      </c>
      <c r="S356" s="258">
        <v>0</v>
      </c>
      <c r="T356" s="245">
        <f>INT($L356*S356*100+0.5)/100</f>
        <v>0</v>
      </c>
      <c r="U356" s="258">
        <v>0</v>
      </c>
      <c r="V356" s="257">
        <f>INT($L356*U356*100+0.5)/100</f>
        <v>0</v>
      </c>
      <c r="W356" s="258">
        <v>0</v>
      </c>
      <c r="X356" s="245">
        <f>INT($L356*W356*100+0.5)/100</f>
        <v>0</v>
      </c>
      <c r="Y356" s="258">
        <v>0</v>
      </c>
      <c r="Z356" s="245">
        <f>INT($L356*Y356*100+0.5)/100</f>
        <v>0</v>
      </c>
    </row>
    <row r="357" spans="1:26" ht="25.5">
      <c r="A357" s="250"/>
      <c r="B357" s="251"/>
      <c r="C357" s="648"/>
      <c r="D357" s="292" t="s">
        <v>1010</v>
      </c>
      <c r="E357" s="251"/>
      <c r="F357" s="252"/>
      <c r="G357" s="253"/>
      <c r="H357" s="254"/>
      <c r="I357" s="253"/>
      <c r="J357" s="253"/>
      <c r="K357" s="251"/>
      <c r="L357" s="255"/>
      <c r="M357" s="458"/>
      <c r="N357" s="257"/>
      <c r="O357" s="458"/>
      <c r="P357" s="257"/>
      <c r="Q357" s="258"/>
      <c r="R357" s="257"/>
      <c r="S357" s="258"/>
      <c r="T357" s="245"/>
      <c r="U357" s="258"/>
      <c r="V357" s="257"/>
      <c r="W357" s="258"/>
      <c r="X357" s="245"/>
      <c r="Y357" s="258"/>
      <c r="Z357" s="245"/>
    </row>
    <row r="358" spans="1:26" ht="15.75" customHeight="1">
      <c r="A358" s="250"/>
      <c r="B358" s="251"/>
      <c r="C358" s="648"/>
      <c r="D358" s="292"/>
      <c r="E358" s="251"/>
      <c r="F358" s="252"/>
      <c r="G358" s="253"/>
      <c r="H358" s="254"/>
      <c r="I358" s="253"/>
      <c r="J358" s="253"/>
      <c r="K358" s="251"/>
      <c r="L358" s="255"/>
      <c r="M358" s="458"/>
      <c r="N358" s="257"/>
      <c r="O358" s="458"/>
      <c r="P358" s="257"/>
      <c r="Q358" s="258"/>
      <c r="R358" s="257"/>
      <c r="S358" s="258"/>
      <c r="T358" s="245"/>
      <c r="U358" s="258"/>
      <c r="V358" s="257"/>
      <c r="W358" s="258"/>
      <c r="X358" s="245"/>
      <c r="Y358" s="258"/>
      <c r="Z358" s="245"/>
    </row>
    <row r="359" spans="1:26" ht="15.75" customHeight="1">
      <c r="A359" s="250">
        <f>A356+1</f>
        <v>119</v>
      </c>
      <c r="B359" s="251"/>
      <c r="C359" s="647" t="s">
        <v>2341</v>
      </c>
      <c r="D359" s="292" t="s">
        <v>1011</v>
      </c>
      <c r="E359" s="251" t="s">
        <v>1620</v>
      </c>
      <c r="F359" s="252">
        <f>M359+O359+Q359+S359+U359+W359+Y359</f>
        <v>130</v>
      </c>
      <c r="G359" s="253">
        <f>L359</f>
        <v>1.97</v>
      </c>
      <c r="H359" s="254">
        <f>INT(F359*G359*100+0.5)/100</f>
        <v>256.10000000000002</v>
      </c>
      <c r="I359" s="253">
        <f>N359+P359+R359+T359+V359+X359+Z359</f>
        <v>256.10000000000002</v>
      </c>
      <c r="J359" s="253"/>
      <c r="K359" s="251" t="s">
        <v>1620</v>
      </c>
      <c r="L359" s="255">
        <v>1.97</v>
      </c>
      <c r="M359" s="458">
        <v>50</v>
      </c>
      <c r="N359" s="257">
        <f>INT($L359*M359*100+0.5)/100</f>
        <v>98.5</v>
      </c>
      <c r="O359" s="458">
        <v>80</v>
      </c>
      <c r="P359" s="257">
        <f>INT($L359*O359*100+0.5)/100</f>
        <v>157.6</v>
      </c>
      <c r="Q359" s="258">
        <v>0</v>
      </c>
      <c r="R359" s="257">
        <f>INT($L359*Q359*100+0.5)/100</f>
        <v>0</v>
      </c>
      <c r="S359" s="258">
        <v>0</v>
      </c>
      <c r="T359" s="245">
        <f>INT($L359*S359*100+0.5)/100</f>
        <v>0</v>
      </c>
      <c r="U359" s="258">
        <v>0</v>
      </c>
      <c r="V359" s="257">
        <f>INT($L359*U359*100+0.5)/100</f>
        <v>0</v>
      </c>
      <c r="W359" s="258">
        <v>0</v>
      </c>
      <c r="X359" s="245">
        <f>INT($L359*W359*100+0.5)/100</f>
        <v>0</v>
      </c>
      <c r="Y359" s="258">
        <v>0</v>
      </c>
      <c r="Z359" s="245">
        <f>INT($L359*Y359*100+0.5)/100</f>
        <v>0</v>
      </c>
    </row>
    <row r="360" spans="1:26" ht="25.5">
      <c r="A360" s="250"/>
      <c r="B360" s="251"/>
      <c r="C360" s="251"/>
      <c r="D360" s="292" t="s">
        <v>1012</v>
      </c>
      <c r="E360" s="251"/>
      <c r="F360" s="252"/>
      <c r="G360" s="253"/>
      <c r="H360" s="254"/>
      <c r="I360" s="253"/>
      <c r="J360" s="253"/>
      <c r="K360" s="251"/>
      <c r="L360" s="255"/>
      <c r="M360" s="458"/>
      <c r="N360" s="257"/>
      <c r="O360" s="458"/>
      <c r="P360" s="257"/>
      <c r="Q360" s="258"/>
      <c r="R360" s="257"/>
      <c r="S360" s="258"/>
      <c r="T360" s="245"/>
      <c r="U360" s="258"/>
      <c r="V360" s="257"/>
      <c r="W360" s="258"/>
      <c r="X360" s="245"/>
      <c r="Y360" s="258"/>
      <c r="Z360" s="245"/>
    </row>
    <row r="361" spans="1:26" ht="15" customHeight="1">
      <c r="A361" s="250"/>
      <c r="B361" s="251"/>
      <c r="C361" s="251"/>
      <c r="D361" s="292"/>
      <c r="E361" s="251"/>
      <c r="F361" s="252"/>
      <c r="G361" s="253"/>
      <c r="H361" s="254"/>
      <c r="I361" s="253"/>
      <c r="J361" s="253"/>
      <c r="K361" s="251"/>
      <c r="L361" s="255"/>
      <c r="M361" s="458"/>
      <c r="N361" s="257"/>
      <c r="O361" s="458"/>
      <c r="P361" s="257"/>
      <c r="Q361" s="258"/>
      <c r="R361" s="257"/>
      <c r="S361" s="258"/>
      <c r="T361" s="245"/>
      <c r="U361" s="258"/>
      <c r="V361" s="257"/>
      <c r="W361" s="258"/>
      <c r="X361" s="245"/>
      <c r="Y361" s="258"/>
      <c r="Z361" s="245"/>
    </row>
    <row r="362" spans="1:26" ht="15" customHeight="1">
      <c r="A362" s="250">
        <f>A359+1</f>
        <v>120</v>
      </c>
      <c r="B362" s="251"/>
      <c r="C362" s="647" t="s">
        <v>2342</v>
      </c>
      <c r="D362" s="292" t="s">
        <v>352</v>
      </c>
      <c r="E362" s="251" t="s">
        <v>1620</v>
      </c>
      <c r="F362" s="252">
        <f>M362+O362+Q362+S362+U362+W362+Y362</f>
        <v>130</v>
      </c>
      <c r="G362" s="253">
        <f>L362</f>
        <v>2.79</v>
      </c>
      <c r="H362" s="254">
        <f>INT(F362*G362*100+0.5)/100</f>
        <v>362.7</v>
      </c>
      <c r="I362" s="253">
        <f>N362+P362+R362+T362+V362+X362+Z362</f>
        <v>362.7</v>
      </c>
      <c r="J362" s="253"/>
      <c r="K362" s="251" t="s">
        <v>1620</v>
      </c>
      <c r="L362" s="255">
        <v>2.79</v>
      </c>
      <c r="M362" s="458">
        <v>50</v>
      </c>
      <c r="N362" s="257">
        <f>INT($L362*M362*100+0.5)/100</f>
        <v>139.5</v>
      </c>
      <c r="O362" s="458">
        <v>80</v>
      </c>
      <c r="P362" s="257">
        <f>INT($L362*O362*100+0.5)/100</f>
        <v>223.2</v>
      </c>
      <c r="Q362" s="258">
        <v>0</v>
      </c>
      <c r="R362" s="257">
        <f>INT($L362*Q362*100+0.5)/100</f>
        <v>0</v>
      </c>
      <c r="S362" s="258">
        <v>0</v>
      </c>
      <c r="T362" s="245">
        <f>INT($L362*S362*100+0.5)/100</f>
        <v>0</v>
      </c>
      <c r="U362" s="258">
        <v>0</v>
      </c>
      <c r="V362" s="257">
        <f>INT($L362*U362*100+0.5)/100</f>
        <v>0</v>
      </c>
      <c r="W362" s="258">
        <v>0</v>
      </c>
      <c r="X362" s="245">
        <f>INT($L362*W362*100+0.5)/100</f>
        <v>0</v>
      </c>
      <c r="Y362" s="258">
        <v>0</v>
      </c>
      <c r="Z362" s="245">
        <f>INT($L362*Y362*100+0.5)/100</f>
        <v>0</v>
      </c>
    </row>
    <row r="363" spans="1:26" ht="15">
      <c r="A363" s="250"/>
      <c r="B363" s="251"/>
      <c r="C363" s="648"/>
      <c r="D363" s="292" t="s">
        <v>353</v>
      </c>
      <c r="E363" s="251"/>
      <c r="F363" s="252"/>
      <c r="G363" s="253"/>
      <c r="H363" s="254"/>
      <c r="I363" s="253"/>
      <c r="J363" s="253"/>
      <c r="K363" s="251"/>
      <c r="L363" s="255"/>
      <c r="M363" s="458"/>
      <c r="N363" s="257"/>
      <c r="O363" s="458"/>
      <c r="P363" s="257"/>
      <c r="Q363" s="258"/>
      <c r="R363" s="257"/>
      <c r="S363" s="258"/>
      <c r="T363" s="245"/>
      <c r="U363" s="258"/>
      <c r="V363" s="257"/>
      <c r="W363" s="258"/>
      <c r="X363" s="245"/>
      <c r="Y363" s="258"/>
      <c r="Z363" s="245"/>
    </row>
    <row r="364" spans="1:26" ht="15" customHeight="1">
      <c r="A364" s="250"/>
      <c r="B364" s="251"/>
      <c r="C364" s="648"/>
      <c r="D364" s="292"/>
      <c r="E364" s="251"/>
      <c r="F364" s="252"/>
      <c r="G364" s="253"/>
      <c r="H364" s="254"/>
      <c r="I364" s="253"/>
      <c r="J364" s="253"/>
      <c r="K364" s="251"/>
      <c r="L364" s="255"/>
      <c r="M364" s="458"/>
      <c r="N364" s="257"/>
      <c r="O364" s="458"/>
      <c r="P364" s="257"/>
      <c r="Q364" s="258"/>
      <c r="R364" s="257"/>
      <c r="S364" s="258"/>
      <c r="T364" s="245"/>
      <c r="U364" s="258"/>
      <c r="V364" s="257"/>
      <c r="W364" s="258"/>
      <c r="X364" s="245"/>
      <c r="Y364" s="258"/>
      <c r="Z364" s="245"/>
    </row>
    <row r="365" spans="1:26" ht="15" customHeight="1">
      <c r="A365" s="250">
        <f>A362+1</f>
        <v>121</v>
      </c>
      <c r="B365" s="251"/>
      <c r="C365" s="647" t="s">
        <v>2343</v>
      </c>
      <c r="D365" s="292" t="s">
        <v>354</v>
      </c>
      <c r="E365" s="251" t="s">
        <v>1620</v>
      </c>
      <c r="F365" s="252">
        <f>M365+O365+Q365+S365+U365+W365+Y365</f>
        <v>250</v>
      </c>
      <c r="G365" s="253">
        <f>L365</f>
        <v>3.51</v>
      </c>
      <c r="H365" s="254">
        <f>INT(F365*G365*100+0.5)/100</f>
        <v>877.5</v>
      </c>
      <c r="I365" s="253">
        <f>N365+P365+R365+T365+V365+X365+Z365</f>
        <v>877.5</v>
      </c>
      <c r="J365" s="253"/>
      <c r="K365" s="251" t="s">
        <v>1620</v>
      </c>
      <c r="L365" s="255">
        <v>3.51</v>
      </c>
      <c r="M365" s="458">
        <v>120</v>
      </c>
      <c r="N365" s="257">
        <f>INT($L365*M365*100+0.5)/100</f>
        <v>421.2</v>
      </c>
      <c r="O365" s="458">
        <v>80</v>
      </c>
      <c r="P365" s="257">
        <f>INT($L365*O365*100+0.5)/100</f>
        <v>280.8</v>
      </c>
      <c r="Q365" s="458">
        <v>50</v>
      </c>
      <c r="R365" s="257">
        <f>INT($L365*Q365*100+0.5)/100</f>
        <v>175.5</v>
      </c>
      <c r="S365" s="258">
        <v>0</v>
      </c>
      <c r="T365" s="245">
        <f>INT($L365*S365*100+0.5)/100</f>
        <v>0</v>
      </c>
      <c r="U365" s="258">
        <v>0</v>
      </c>
      <c r="V365" s="257">
        <f>INT($L365*U365*100+0.5)/100</f>
        <v>0</v>
      </c>
      <c r="W365" s="258">
        <v>0</v>
      </c>
      <c r="X365" s="245">
        <f>INT($L365*W365*100+0.5)/100</f>
        <v>0</v>
      </c>
      <c r="Y365" s="258">
        <v>0</v>
      </c>
      <c r="Z365" s="245">
        <f>INT($L365*Y365*100+0.5)/100</f>
        <v>0</v>
      </c>
    </row>
    <row r="366" spans="1:26" ht="15">
      <c r="A366" s="250"/>
      <c r="B366" s="251"/>
      <c r="C366" s="648"/>
      <c r="D366" s="292" t="s">
        <v>355</v>
      </c>
      <c r="E366" s="251"/>
      <c r="F366" s="252"/>
      <c r="G366" s="253"/>
      <c r="H366" s="254"/>
      <c r="I366" s="253"/>
      <c r="J366" s="253"/>
      <c r="K366" s="251"/>
      <c r="L366" s="255"/>
      <c r="M366" s="458"/>
      <c r="N366" s="257"/>
      <c r="O366" s="458"/>
      <c r="P366" s="257"/>
      <c r="Q366" s="458"/>
      <c r="R366" s="257"/>
      <c r="S366" s="258"/>
      <c r="T366" s="245"/>
      <c r="U366" s="258"/>
      <c r="V366" s="257"/>
      <c r="W366" s="258"/>
      <c r="X366" s="245"/>
      <c r="Y366" s="258"/>
      <c r="Z366" s="245"/>
    </row>
    <row r="367" spans="1:26" ht="15" customHeight="1">
      <c r="A367" s="250"/>
      <c r="B367" s="251"/>
      <c r="C367" s="648"/>
      <c r="D367" s="292"/>
      <c r="E367" s="251"/>
      <c r="F367" s="252"/>
      <c r="G367" s="253"/>
      <c r="H367" s="254"/>
      <c r="I367" s="253"/>
      <c r="J367" s="253"/>
      <c r="K367" s="251"/>
      <c r="L367" s="255"/>
      <c r="M367" s="458"/>
      <c r="N367" s="257"/>
      <c r="O367" s="458"/>
      <c r="P367" s="257"/>
      <c r="Q367" s="458"/>
      <c r="R367" s="257"/>
      <c r="S367" s="258"/>
      <c r="T367" s="245"/>
      <c r="U367" s="258"/>
      <c r="V367" s="257"/>
      <c r="W367" s="258"/>
      <c r="X367" s="245"/>
      <c r="Y367" s="258"/>
      <c r="Z367" s="245"/>
    </row>
    <row r="368" spans="1:26" ht="15" customHeight="1">
      <c r="A368" s="250">
        <f>A365+1</f>
        <v>122</v>
      </c>
      <c r="B368" s="251"/>
      <c r="C368" s="657" t="s">
        <v>2344</v>
      </c>
      <c r="D368" s="292" t="s">
        <v>1004</v>
      </c>
      <c r="E368" s="251" t="s">
        <v>1620</v>
      </c>
      <c r="F368" s="252">
        <f>M368+O368+Q368+S368+U368+W368+Y368</f>
        <v>250</v>
      </c>
      <c r="G368" s="253">
        <f>L368</f>
        <v>3.61</v>
      </c>
      <c r="H368" s="254">
        <f>INT(F368*G368*100+0.5)/100</f>
        <v>902.5</v>
      </c>
      <c r="I368" s="253">
        <f>N368+P368+R368+T368+V368+X368+Z368</f>
        <v>902.5</v>
      </c>
      <c r="J368" s="253"/>
      <c r="K368" s="251" t="s">
        <v>1620</v>
      </c>
      <c r="L368" s="255">
        <v>3.61</v>
      </c>
      <c r="M368" s="458">
        <v>120</v>
      </c>
      <c r="N368" s="257">
        <f>INT($L368*M368*100+0.5)/100</f>
        <v>433.2</v>
      </c>
      <c r="O368" s="458">
        <v>80</v>
      </c>
      <c r="P368" s="257">
        <f>INT($L368*O368*100+0.5)/100</f>
        <v>288.8</v>
      </c>
      <c r="Q368" s="458">
        <v>50</v>
      </c>
      <c r="R368" s="257">
        <f>INT($L368*Q368*100+0.5)/100</f>
        <v>180.5</v>
      </c>
      <c r="S368" s="258">
        <v>0</v>
      </c>
      <c r="T368" s="245">
        <f>INT($L368*S368*100+0.5)/100</f>
        <v>0</v>
      </c>
      <c r="U368" s="258">
        <v>0</v>
      </c>
      <c r="V368" s="257">
        <f>INT($L368*U368*100+0.5)/100</f>
        <v>0</v>
      </c>
      <c r="W368" s="258">
        <v>0</v>
      </c>
      <c r="X368" s="245">
        <f>INT($L368*W368*100+0.5)/100</f>
        <v>0</v>
      </c>
      <c r="Y368" s="258">
        <v>0</v>
      </c>
      <c r="Z368" s="245">
        <f>INT($L368*Y368*100+0.5)/100</f>
        <v>0</v>
      </c>
    </row>
    <row r="369" spans="1:26" ht="25.5">
      <c r="A369" s="250"/>
      <c r="B369" s="251"/>
      <c r="C369" s="648"/>
      <c r="D369" s="292" t="s">
        <v>1005</v>
      </c>
      <c r="E369" s="251"/>
      <c r="F369" s="252"/>
      <c r="G369" s="253"/>
      <c r="H369" s="254"/>
      <c r="I369" s="253"/>
      <c r="J369" s="253"/>
      <c r="K369" s="251"/>
      <c r="L369" s="261"/>
      <c r="M369" s="258"/>
      <c r="N369" s="257"/>
      <c r="O369" s="258"/>
      <c r="P369" s="257"/>
      <c r="Q369" s="258"/>
      <c r="R369" s="257"/>
      <c r="S369" s="258"/>
      <c r="T369" s="257"/>
      <c r="U369" s="258"/>
      <c r="V369" s="257"/>
      <c r="W369" s="258"/>
      <c r="X369" s="257"/>
      <c r="Y369" s="258"/>
      <c r="Z369" s="257"/>
    </row>
    <row r="370" spans="1:26" s="247" customFormat="1" ht="15" customHeight="1">
      <c r="A370" s="284"/>
      <c r="B370" s="237"/>
      <c r="C370" s="653"/>
      <c r="D370" s="238"/>
      <c r="E370" s="237"/>
      <c r="F370" s="304"/>
      <c r="G370" s="253"/>
      <c r="H370" s="244"/>
      <c r="I370" s="240"/>
      <c r="J370" s="240"/>
      <c r="K370" s="237"/>
      <c r="L370" s="306"/>
      <c r="M370" s="289"/>
      <c r="N370" s="245"/>
      <c r="O370" s="289"/>
      <c r="P370" s="245"/>
      <c r="Q370" s="289"/>
      <c r="R370" s="245"/>
      <c r="S370" s="289"/>
      <c r="T370" s="245"/>
      <c r="U370" s="289"/>
      <c r="V370" s="245"/>
      <c r="W370" s="289"/>
      <c r="X370" s="245"/>
      <c r="Y370" s="289"/>
      <c r="Z370" s="245"/>
    </row>
    <row r="371" spans="1:26" ht="15" customHeight="1">
      <c r="A371" s="250">
        <f>A368+1</f>
        <v>123</v>
      </c>
      <c r="B371" s="251"/>
      <c r="C371" s="647" t="s">
        <v>2345</v>
      </c>
      <c r="D371" s="526" t="s">
        <v>4</v>
      </c>
      <c r="E371" s="251" t="s">
        <v>1898</v>
      </c>
      <c r="F371" s="252"/>
      <c r="G371" s="253"/>
      <c r="H371" s="254"/>
      <c r="I371" s="253"/>
      <c r="J371" s="253"/>
      <c r="K371" s="251" t="s">
        <v>1898</v>
      </c>
      <c r="L371" s="255"/>
      <c r="M371" s="258"/>
      <c r="N371" s="257"/>
      <c r="O371" s="258"/>
      <c r="P371" s="257"/>
      <c r="Q371" s="258"/>
      <c r="R371" s="257"/>
      <c r="S371" s="258"/>
      <c r="T371" s="257"/>
      <c r="U371" s="258"/>
      <c r="V371" s="257"/>
      <c r="W371" s="258"/>
      <c r="X371" s="257"/>
      <c r="Y371" s="258"/>
      <c r="Z371" s="257"/>
    </row>
    <row r="372" spans="1:26" ht="15">
      <c r="A372" s="250"/>
      <c r="B372" s="251"/>
      <c r="C372" s="648"/>
      <c r="D372" s="526" t="s">
        <v>3</v>
      </c>
      <c r="E372" s="251"/>
      <c r="F372" s="252"/>
      <c r="G372" s="253"/>
      <c r="H372" s="254"/>
      <c r="I372" s="253"/>
      <c r="J372" s="253"/>
      <c r="K372" s="251"/>
      <c r="L372" s="255"/>
      <c r="M372" s="258"/>
      <c r="N372" s="257"/>
      <c r="O372" s="258"/>
      <c r="P372" s="257"/>
      <c r="Q372" s="258"/>
      <c r="R372" s="257"/>
      <c r="S372" s="258"/>
      <c r="T372" s="257"/>
      <c r="U372" s="258"/>
      <c r="V372" s="257"/>
      <c r="W372" s="258"/>
      <c r="X372" s="257"/>
      <c r="Y372" s="258"/>
      <c r="Z372" s="257"/>
    </row>
    <row r="373" spans="1:26" ht="15" customHeight="1">
      <c r="A373" s="250"/>
      <c r="B373" s="251"/>
      <c r="C373" s="648"/>
      <c r="D373" s="292" t="s">
        <v>993</v>
      </c>
      <c r="E373" s="251"/>
      <c r="F373" s="252"/>
      <c r="G373" s="253"/>
      <c r="H373" s="254"/>
      <c r="I373" s="253"/>
      <c r="J373" s="253"/>
      <c r="K373" s="251"/>
      <c r="L373" s="255"/>
      <c r="M373" s="258">
        <v>0</v>
      </c>
      <c r="N373" s="257"/>
      <c r="O373" s="258">
        <v>0</v>
      </c>
      <c r="P373" s="257"/>
      <c r="Q373" s="258">
        <v>0</v>
      </c>
      <c r="R373" s="257"/>
      <c r="S373" s="258"/>
      <c r="T373" s="245"/>
      <c r="U373" s="258">
        <v>0</v>
      </c>
      <c r="V373" s="257"/>
      <c r="W373" s="258"/>
      <c r="X373" s="245"/>
      <c r="Y373" s="258">
        <v>0</v>
      </c>
      <c r="Z373" s="245"/>
    </row>
    <row r="374" spans="1:26" ht="15" customHeight="1">
      <c r="A374" s="250"/>
      <c r="B374" s="251"/>
      <c r="C374" s="648"/>
      <c r="D374" s="292" t="s">
        <v>994</v>
      </c>
      <c r="E374" s="251"/>
      <c r="F374" s="252"/>
      <c r="G374" s="253"/>
      <c r="H374" s="254"/>
      <c r="I374" s="253"/>
      <c r="J374" s="253"/>
      <c r="K374" s="251"/>
      <c r="L374" s="255"/>
      <c r="M374" s="258">
        <v>0</v>
      </c>
      <c r="N374" s="257"/>
      <c r="O374" s="258">
        <v>0</v>
      </c>
      <c r="P374" s="257"/>
      <c r="Q374" s="258">
        <v>0</v>
      </c>
      <c r="R374" s="257"/>
      <c r="S374" s="258"/>
      <c r="T374" s="245"/>
      <c r="U374" s="258">
        <f>(10+145+10)*3+(10+145+10)*3</f>
        <v>990</v>
      </c>
      <c r="V374" s="257"/>
      <c r="W374" s="258"/>
      <c r="X374" s="245"/>
      <c r="Y374" s="258">
        <v>0</v>
      </c>
      <c r="Z374" s="245"/>
    </row>
    <row r="375" spans="1:26" ht="15" customHeight="1">
      <c r="A375" s="250"/>
      <c r="B375" s="251"/>
      <c r="C375" s="648"/>
      <c r="D375" s="292" t="s">
        <v>995</v>
      </c>
      <c r="E375" s="251"/>
      <c r="F375" s="252"/>
      <c r="G375" s="253"/>
      <c r="H375" s="254"/>
      <c r="I375" s="253"/>
      <c r="J375" s="253"/>
      <c r="K375" s="251"/>
      <c r="L375" s="255"/>
      <c r="M375" s="258">
        <v>0</v>
      </c>
      <c r="N375" s="257"/>
      <c r="O375" s="258">
        <v>0</v>
      </c>
      <c r="P375" s="257"/>
      <c r="Q375" s="258">
        <v>0</v>
      </c>
      <c r="R375" s="257"/>
      <c r="S375" s="258"/>
      <c r="T375" s="245"/>
      <c r="U375" s="258">
        <f>(10+250)*3.4+(10+250)*3.5</f>
        <v>1794</v>
      </c>
      <c r="V375" s="257"/>
      <c r="W375" s="258"/>
      <c r="X375" s="245"/>
      <c r="Y375" s="258">
        <v>0</v>
      </c>
      <c r="Z375" s="245"/>
    </row>
    <row r="376" spans="1:26" ht="15" customHeight="1">
      <c r="A376" s="250"/>
      <c r="B376" s="251"/>
      <c r="C376" s="648"/>
      <c r="D376" s="292" t="s">
        <v>2498</v>
      </c>
      <c r="E376" s="251"/>
      <c r="F376" s="252"/>
      <c r="G376" s="253"/>
      <c r="H376" s="254"/>
      <c r="I376" s="253"/>
      <c r="J376" s="253"/>
      <c r="K376" s="251"/>
      <c r="L376" s="255"/>
      <c r="M376" s="258"/>
      <c r="N376" s="257"/>
      <c r="O376" s="258"/>
      <c r="P376" s="257"/>
      <c r="Q376" s="258"/>
      <c r="R376" s="257"/>
      <c r="S376" s="258"/>
      <c r="T376" s="245"/>
      <c r="U376" s="258">
        <f>6*1.5+4*1.5</f>
        <v>15</v>
      </c>
      <c r="V376" s="257"/>
      <c r="W376" s="258"/>
      <c r="X376" s="245"/>
      <c r="Y376" s="258"/>
      <c r="Z376" s="245"/>
    </row>
    <row r="377" spans="1:26" ht="15" customHeight="1">
      <c r="A377" s="250"/>
      <c r="B377" s="251"/>
      <c r="C377" s="648"/>
      <c r="D377" s="292" t="s">
        <v>446</v>
      </c>
      <c r="E377" s="251"/>
      <c r="F377" s="252"/>
      <c r="G377" s="253"/>
      <c r="H377" s="254"/>
      <c r="I377" s="253"/>
      <c r="J377" s="253"/>
      <c r="K377" s="251"/>
      <c r="L377" s="255"/>
      <c r="M377" s="258">
        <v>0</v>
      </c>
      <c r="N377" s="257"/>
      <c r="O377" s="458">
        <f>100*1.5</f>
        <v>150</v>
      </c>
      <c r="P377" s="257"/>
      <c r="Q377" s="258">
        <v>0</v>
      </c>
      <c r="R377" s="257"/>
      <c r="S377" s="258"/>
      <c r="T377" s="245"/>
      <c r="U377" s="258">
        <f>-W377</f>
        <v>-113.75999999999999</v>
      </c>
      <c r="V377" s="257"/>
      <c r="W377" s="258">
        <f>158*0.6*(2+1+1)*0.3</f>
        <v>113.75999999999999</v>
      </c>
      <c r="X377" s="245"/>
      <c r="Y377" s="258"/>
      <c r="Z377" s="245"/>
    </row>
    <row r="378" spans="1:26" ht="15" customHeight="1">
      <c r="A378" s="250"/>
      <c r="B378" s="251"/>
      <c r="C378" s="648"/>
      <c r="D378" s="292" t="s">
        <v>2451</v>
      </c>
      <c r="E378" s="251"/>
      <c r="F378" s="252"/>
      <c r="G378" s="253"/>
      <c r="H378" s="254"/>
      <c r="I378" s="253"/>
      <c r="J378" s="253"/>
      <c r="K378" s="251"/>
      <c r="L378" s="256"/>
      <c r="M378" s="258"/>
      <c r="N378" s="257"/>
      <c r="O378" s="258"/>
      <c r="P378" s="257"/>
      <c r="Q378" s="258"/>
      <c r="R378" s="257"/>
      <c r="S378" s="258">
        <v>0</v>
      </c>
      <c r="T378" s="245"/>
      <c r="U378" s="258"/>
      <c r="V378" s="257"/>
      <c r="W378" s="258"/>
      <c r="X378" s="245"/>
      <c r="Y378" s="258"/>
      <c r="Z378" s="245"/>
    </row>
    <row r="379" spans="1:26" ht="15" customHeight="1">
      <c r="A379" s="250"/>
      <c r="B379" s="251"/>
      <c r="C379" s="648"/>
      <c r="D379" s="292" t="s">
        <v>2446</v>
      </c>
      <c r="E379" s="251"/>
      <c r="F379" s="252"/>
      <c r="G379" s="253"/>
      <c r="H379" s="254"/>
      <c r="I379" s="253"/>
      <c r="J379" s="253"/>
      <c r="K379" s="251"/>
      <c r="L379" s="256"/>
      <c r="M379" s="293"/>
      <c r="N379" s="294"/>
      <c r="O379" s="293"/>
      <c r="P379" s="294"/>
      <c r="Q379" s="293"/>
      <c r="R379" s="294"/>
      <c r="S379" s="293"/>
      <c r="T379" s="296"/>
      <c r="U379" s="293"/>
      <c r="V379" s="294"/>
      <c r="W379" s="293"/>
      <c r="X379" s="296"/>
      <c r="Y379" s="293"/>
      <c r="Z379" s="296"/>
    </row>
    <row r="380" spans="1:26" ht="15" customHeight="1">
      <c r="A380" s="250"/>
      <c r="B380" s="251"/>
      <c r="C380" s="648"/>
      <c r="D380" s="292" t="s">
        <v>1900</v>
      </c>
      <c r="E380" s="251"/>
      <c r="F380" s="252">
        <f>M380+O380+Q380+S380+U380+W380+Y380</f>
        <v>2949</v>
      </c>
      <c r="G380" s="253">
        <f>L380</f>
        <v>2.95</v>
      </c>
      <c r="H380" s="254">
        <f>INT(F380*G380*100+0.5)/100</f>
        <v>8699.5499999999993</v>
      </c>
      <c r="I380" s="253">
        <f>N380+P380+R380+T380+V380+X380+Z380</f>
        <v>8699.5499999999993</v>
      </c>
      <c r="J380" s="253"/>
      <c r="K380" s="251"/>
      <c r="L380" s="255">
        <v>2.95</v>
      </c>
      <c r="M380" s="258">
        <f>INT(SUM(M372:M379)*100+0.5)/100</f>
        <v>0</v>
      </c>
      <c r="N380" s="257">
        <f>INT($L380*M380*100+0.5)/100</f>
        <v>0</v>
      </c>
      <c r="O380" s="258">
        <f>INT(SUM(O372:O379)*100+0.5)/100</f>
        <v>150</v>
      </c>
      <c r="P380" s="257">
        <f>INT($L380*O380*100+0.5)/100</f>
        <v>442.5</v>
      </c>
      <c r="Q380" s="258">
        <f>INT(SUM(Q372:Q379)*100+0.5)/100</f>
        <v>0</v>
      </c>
      <c r="R380" s="257">
        <f>INT($L380*Q380*100+0.5)/100</f>
        <v>0</v>
      </c>
      <c r="S380" s="258">
        <f>INT(SUM(S373:S379)*100+0.5)/100</f>
        <v>0</v>
      </c>
      <c r="T380" s="257">
        <f>INT($L380*S380*100+0.5)/100</f>
        <v>0</v>
      </c>
      <c r="U380" s="258">
        <f>INT(SUM(U373:U379)*100+0.5)/100</f>
        <v>2685.24</v>
      </c>
      <c r="V380" s="257">
        <f>INT($L380*U380*100+0.5)/100</f>
        <v>7921.46</v>
      </c>
      <c r="W380" s="258">
        <f>INT(SUM(W373:W379)*100+0.5)/100</f>
        <v>113.76</v>
      </c>
      <c r="X380" s="257">
        <f>INT($L380*W380*100+0.5)/100</f>
        <v>335.59</v>
      </c>
      <c r="Y380" s="258">
        <f>INT(SUM(Y373:Y379)*100+0.5)/100</f>
        <v>0</v>
      </c>
      <c r="Z380" s="257">
        <f>INT($L380*Y380*100+0.5)/100</f>
        <v>0</v>
      </c>
    </row>
    <row r="381" spans="1:26" ht="15" customHeight="1">
      <c r="A381" s="250"/>
      <c r="B381" s="251"/>
      <c r="C381" s="648"/>
      <c r="D381" s="292"/>
      <c r="E381" s="251"/>
      <c r="F381" s="488">
        <f>F380*0.1</f>
        <v>294.90000000000003</v>
      </c>
      <c r="G381" s="489" t="s">
        <v>1173</v>
      </c>
      <c r="H381" s="254"/>
      <c r="I381" s="253"/>
      <c r="J381" s="253"/>
      <c r="K381" s="251"/>
      <c r="L381" s="255"/>
      <c r="M381" s="258"/>
      <c r="N381" s="257"/>
      <c r="O381" s="258"/>
      <c r="P381" s="257"/>
      <c r="Q381" s="258"/>
      <c r="R381" s="257"/>
      <c r="S381" s="258"/>
      <c r="T381" s="257"/>
      <c r="U381" s="258"/>
      <c r="V381" s="257"/>
      <c r="W381" s="258"/>
      <c r="X381" s="257"/>
      <c r="Y381" s="258"/>
      <c r="Z381" s="257"/>
    </row>
    <row r="382" spans="1:26" ht="15" customHeight="1">
      <c r="A382" s="250">
        <f>A371+1</f>
        <v>124</v>
      </c>
      <c r="B382" s="251"/>
      <c r="C382" s="647" t="s">
        <v>1056</v>
      </c>
      <c r="D382" s="526" t="s">
        <v>1057</v>
      </c>
      <c r="E382" s="251" t="s">
        <v>1898</v>
      </c>
      <c r="F382" s="252"/>
      <c r="G382" s="253"/>
      <c r="H382" s="254"/>
      <c r="I382" s="253"/>
      <c r="J382" s="253"/>
      <c r="K382" s="251" t="s">
        <v>1898</v>
      </c>
      <c r="L382" s="261"/>
      <c r="M382" s="258"/>
      <c r="N382" s="257"/>
      <c r="O382" s="258"/>
      <c r="P382" s="257"/>
      <c r="Q382" s="258"/>
      <c r="R382" s="257"/>
      <c r="S382" s="258"/>
      <c r="T382" s="257"/>
      <c r="U382" s="258"/>
      <c r="V382" s="257"/>
      <c r="W382" s="258"/>
      <c r="X382" s="257"/>
      <c r="Y382" s="258"/>
      <c r="Z382" s="257"/>
    </row>
    <row r="383" spans="1:26" ht="15" customHeight="1">
      <c r="A383" s="250"/>
      <c r="B383" s="251"/>
      <c r="C383" s="648"/>
      <c r="D383" s="526" t="s">
        <v>1058</v>
      </c>
      <c r="E383" s="251"/>
      <c r="F383" s="252"/>
      <c r="G383" s="253"/>
      <c r="H383" s="254"/>
      <c r="I383" s="253"/>
      <c r="J383" s="253"/>
      <c r="K383" s="251"/>
      <c r="L383" s="261"/>
      <c r="M383" s="258"/>
      <c r="N383" s="257"/>
      <c r="O383" s="258"/>
      <c r="P383" s="257"/>
      <c r="Q383" s="258"/>
      <c r="R383" s="257"/>
      <c r="S383" s="258"/>
      <c r="T383" s="257"/>
      <c r="U383" s="258"/>
      <c r="V383" s="257"/>
      <c r="W383" s="258"/>
      <c r="X383" s="257"/>
      <c r="Y383" s="258"/>
      <c r="Z383" s="257"/>
    </row>
    <row r="384" spans="1:26" ht="15" customHeight="1">
      <c r="A384" s="250"/>
      <c r="B384" s="251"/>
      <c r="C384" s="648"/>
      <c r="D384" s="292" t="s">
        <v>993</v>
      </c>
      <c r="E384" s="251"/>
      <c r="F384" s="252"/>
      <c r="G384" s="253"/>
      <c r="H384" s="254"/>
      <c r="I384" s="253"/>
      <c r="J384" s="253"/>
      <c r="K384" s="251"/>
      <c r="L384" s="261"/>
      <c r="M384" s="258">
        <v>0</v>
      </c>
      <c r="N384" s="257"/>
      <c r="O384" s="258"/>
      <c r="P384" s="257"/>
      <c r="Q384" s="258">
        <f>(172+10)*0.85</f>
        <v>154.69999999999999</v>
      </c>
      <c r="R384" s="257"/>
      <c r="S384" s="258"/>
      <c r="T384" s="245"/>
      <c r="U384" s="258">
        <v>0</v>
      </c>
      <c r="V384" s="257"/>
      <c r="W384" s="258">
        <v>0</v>
      </c>
      <c r="X384" s="245"/>
      <c r="Y384" s="258">
        <v>0</v>
      </c>
      <c r="Z384" s="245"/>
    </row>
    <row r="385" spans="1:26" ht="15" customHeight="1">
      <c r="A385" s="250"/>
      <c r="B385" s="251"/>
      <c r="C385" s="648"/>
      <c r="D385" s="292" t="s">
        <v>994</v>
      </c>
      <c r="E385" s="251"/>
      <c r="F385" s="252"/>
      <c r="G385" s="253"/>
      <c r="H385" s="254"/>
      <c r="I385" s="253"/>
      <c r="J385" s="253"/>
      <c r="K385" s="251"/>
      <c r="L385" s="261"/>
      <c r="M385" s="258">
        <f>(10+145+10)*0.5</f>
        <v>82.5</v>
      </c>
      <c r="N385" s="257"/>
      <c r="O385" s="258">
        <f>(250+10-97)*1.3</f>
        <v>211.9</v>
      </c>
      <c r="P385" s="257"/>
      <c r="Q385" s="258">
        <f>(10+145+10)*0.85</f>
        <v>140.25</v>
      </c>
      <c r="R385" s="257"/>
      <c r="S385" s="258"/>
      <c r="T385" s="245"/>
      <c r="U385" s="258">
        <v>0</v>
      </c>
      <c r="V385" s="257"/>
      <c r="W385" s="258">
        <v>0</v>
      </c>
      <c r="X385" s="245"/>
      <c r="Y385" s="258">
        <f>(10+145+10)*7.2-Q385-O385-M385</f>
        <v>753.35</v>
      </c>
      <c r="Z385" s="245"/>
    </row>
    <row r="386" spans="1:26" ht="15" customHeight="1">
      <c r="A386" s="250"/>
      <c r="B386" s="251"/>
      <c r="C386" s="648"/>
      <c r="D386" s="292" t="s">
        <v>995</v>
      </c>
      <c r="E386" s="251"/>
      <c r="F386" s="252"/>
      <c r="G386" s="253"/>
      <c r="H386" s="254"/>
      <c r="I386" s="253"/>
      <c r="J386" s="253"/>
      <c r="K386" s="251"/>
      <c r="L386" s="261"/>
      <c r="M386" s="258">
        <f>(10+250)*0.5</f>
        <v>130</v>
      </c>
      <c r="N386" s="257"/>
      <c r="O386" s="258">
        <f>(10+250)*1.3</f>
        <v>338</v>
      </c>
      <c r="P386" s="257"/>
      <c r="Q386" s="258">
        <f>(10+250)*0.85</f>
        <v>221</v>
      </c>
      <c r="R386" s="257"/>
      <c r="S386" s="258"/>
      <c r="T386" s="245"/>
      <c r="U386" s="258">
        <v>0</v>
      </c>
      <c r="V386" s="257"/>
      <c r="W386" s="258">
        <v>0</v>
      </c>
      <c r="X386" s="245"/>
      <c r="Y386" s="258">
        <f>(10+250)*6.1-Q386-O386-M386</f>
        <v>897</v>
      </c>
      <c r="Z386" s="245"/>
    </row>
    <row r="387" spans="1:26" ht="15" customHeight="1">
      <c r="A387" s="250"/>
      <c r="B387" s="251"/>
      <c r="C387" s="648"/>
      <c r="D387" s="292" t="s">
        <v>2498</v>
      </c>
      <c r="E387" s="251"/>
      <c r="F387" s="252"/>
      <c r="G387" s="253"/>
      <c r="H387" s="254"/>
      <c r="I387" s="253"/>
      <c r="J387" s="253"/>
      <c r="K387" s="251"/>
      <c r="L387" s="261"/>
      <c r="M387" s="258">
        <f>70*0.5</f>
        <v>35</v>
      </c>
      <c r="N387" s="257"/>
      <c r="O387" s="258">
        <f>70*1.3</f>
        <v>91</v>
      </c>
      <c r="P387" s="257"/>
      <c r="Q387" s="258">
        <f>70*0.5</f>
        <v>35</v>
      </c>
      <c r="R387" s="257"/>
      <c r="S387" s="258"/>
      <c r="T387" s="245"/>
      <c r="U387" s="258"/>
      <c r="V387" s="257"/>
      <c r="W387" s="258"/>
      <c r="X387" s="245"/>
      <c r="Y387" s="258">
        <f>70*1.5</f>
        <v>105</v>
      </c>
      <c r="Z387" s="245"/>
    </row>
    <row r="388" spans="1:26" ht="15" customHeight="1">
      <c r="A388" s="250"/>
      <c r="B388" s="251"/>
      <c r="C388" s="648"/>
      <c r="D388" s="292" t="s">
        <v>1233</v>
      </c>
      <c r="E388" s="251"/>
      <c r="F388" s="252"/>
      <c r="G388" s="253"/>
      <c r="H388" s="254"/>
      <c r="I388" s="253"/>
      <c r="J388" s="253"/>
      <c r="K388" s="251"/>
      <c r="L388" s="261"/>
      <c r="M388" s="258">
        <v>0</v>
      </c>
      <c r="N388" s="257"/>
      <c r="O388" s="258"/>
      <c r="P388" s="257"/>
      <c r="Q388" s="258">
        <f>70*1.1*1.2</f>
        <v>92.399999999999991</v>
      </c>
      <c r="R388" s="257"/>
      <c r="S388" s="258">
        <v>0</v>
      </c>
      <c r="T388" s="245"/>
      <c r="U388" s="258">
        <v>0</v>
      </c>
      <c r="V388" s="257"/>
      <c r="W388" s="258">
        <v>0</v>
      </c>
      <c r="X388" s="245"/>
      <c r="Y388" s="258"/>
      <c r="Z388" s="245"/>
    </row>
    <row r="389" spans="1:26" ht="15" customHeight="1">
      <c r="A389" s="250"/>
      <c r="B389" s="251"/>
      <c r="C389" s="648"/>
      <c r="D389" s="292" t="s">
        <v>2446</v>
      </c>
      <c r="E389" s="251"/>
      <c r="F389" s="252"/>
      <c r="G389" s="253"/>
      <c r="H389" s="254"/>
      <c r="I389" s="253"/>
      <c r="J389" s="253"/>
      <c r="K389" s="251"/>
      <c r="L389" s="261"/>
      <c r="M389" s="258">
        <v>0</v>
      </c>
      <c r="N389" s="257"/>
      <c r="O389" s="258">
        <f>100*1.5</f>
        <v>150</v>
      </c>
      <c r="P389" s="257"/>
      <c r="Q389" s="258"/>
      <c r="R389" s="257"/>
      <c r="S389" s="258"/>
      <c r="T389" s="245"/>
      <c r="U389" s="258"/>
      <c r="V389" s="257"/>
      <c r="W389" s="258"/>
      <c r="X389" s="245"/>
      <c r="Y389" s="258"/>
      <c r="Z389" s="245"/>
    </row>
    <row r="390" spans="1:26" ht="15" customHeight="1">
      <c r="A390" s="250"/>
      <c r="B390" s="251"/>
      <c r="C390" s="648"/>
      <c r="D390" s="292" t="s">
        <v>445</v>
      </c>
      <c r="E390" s="251"/>
      <c r="F390" s="252"/>
      <c r="G390" s="253"/>
      <c r="H390" s="254"/>
      <c r="I390" s="253"/>
      <c r="J390" s="253"/>
      <c r="K390" s="251"/>
      <c r="L390" s="261"/>
      <c r="M390" s="258">
        <f>-M402</f>
        <v>-39.5</v>
      </c>
      <c r="N390" s="257"/>
      <c r="O390" s="258">
        <f>-O402</f>
        <v>-102.7</v>
      </c>
      <c r="P390" s="257"/>
      <c r="Q390" s="258">
        <f>-Q402</f>
        <v>-67.150000000000006</v>
      </c>
      <c r="R390" s="257"/>
      <c r="S390" s="258"/>
      <c r="T390" s="245"/>
      <c r="U390" s="258"/>
      <c r="V390" s="257"/>
      <c r="W390" s="258"/>
      <c r="X390" s="245"/>
      <c r="Y390" s="258">
        <f>-Y402</f>
        <v>-357.85</v>
      </c>
      <c r="Z390" s="245"/>
    </row>
    <row r="391" spans="1:26" ht="15" customHeight="1">
      <c r="A391" s="250"/>
      <c r="B391" s="251"/>
      <c r="C391" s="648"/>
      <c r="D391" s="292" t="s">
        <v>2451</v>
      </c>
      <c r="E391" s="251"/>
      <c r="F391" s="252"/>
      <c r="G391" s="253"/>
      <c r="H391" s="254"/>
      <c r="I391" s="253"/>
      <c r="J391" s="253"/>
      <c r="K391" s="251"/>
      <c r="L391" s="256">
        <f>(180+45+70+40)*2.4</f>
        <v>804</v>
      </c>
      <c r="M391" s="258"/>
      <c r="N391" s="257"/>
      <c r="O391" s="258"/>
      <c r="P391" s="257"/>
      <c r="Q391" s="258"/>
      <c r="R391" s="257"/>
      <c r="S391" s="258">
        <v>0</v>
      </c>
      <c r="T391" s="245"/>
      <c r="U391" s="258"/>
      <c r="V391" s="257"/>
      <c r="W391" s="258"/>
      <c r="X391" s="245"/>
      <c r="Y391" s="258"/>
      <c r="Z391" s="245"/>
    </row>
    <row r="392" spans="1:26" ht="15" customHeight="1">
      <c r="A392" s="250"/>
      <c r="B392" s="251"/>
      <c r="C392" s="648"/>
      <c r="D392" s="292" t="s">
        <v>2446</v>
      </c>
      <c r="E392" s="251"/>
      <c r="F392" s="252"/>
      <c r="G392" s="253"/>
      <c r="H392" s="254"/>
      <c r="I392" s="253"/>
      <c r="J392" s="253"/>
      <c r="K392" s="251"/>
      <c r="L392" s="256">
        <f>50*2</f>
        <v>100</v>
      </c>
      <c r="M392" s="293"/>
      <c r="N392" s="294"/>
      <c r="O392" s="293"/>
      <c r="P392" s="294"/>
      <c r="Q392" s="293"/>
      <c r="R392" s="294"/>
      <c r="S392" s="293"/>
      <c r="T392" s="296"/>
      <c r="U392" s="293"/>
      <c r="V392" s="294"/>
      <c r="W392" s="293"/>
      <c r="X392" s="296"/>
      <c r="Y392" s="293"/>
      <c r="Z392" s="296"/>
    </row>
    <row r="393" spans="1:26" ht="15" customHeight="1">
      <c r="A393" s="250"/>
      <c r="B393" s="251"/>
      <c r="C393" s="648"/>
      <c r="D393" s="292" t="s">
        <v>1900</v>
      </c>
      <c r="E393" s="251"/>
      <c r="F393" s="252">
        <f>M393+O393+Q393+S393+U393+W393+Y393</f>
        <v>2869.9</v>
      </c>
      <c r="G393" s="253">
        <f>L393</f>
        <v>3.31</v>
      </c>
      <c r="H393" s="254">
        <f>INT(F393*G393*100+0.5)/100</f>
        <v>9499.3700000000008</v>
      </c>
      <c r="I393" s="253">
        <f>N393+P393+R393+T393+V393+X393+Z393</f>
        <v>9499.369999999999</v>
      </c>
      <c r="J393" s="253"/>
      <c r="K393" s="251"/>
      <c r="L393" s="255">
        <v>3.31</v>
      </c>
      <c r="M393" s="258">
        <f>INT(SUM(M384:M392)*100+0.5)/100</f>
        <v>208</v>
      </c>
      <c r="N393" s="257">
        <f>INT($L393*M393*100+0.5)/100</f>
        <v>688.48</v>
      </c>
      <c r="O393" s="258">
        <f>INT(SUM(O384:O392)*100+0.5)/100</f>
        <v>688.2</v>
      </c>
      <c r="P393" s="257">
        <f>INT($L393*O393*100+0.5)/100</f>
        <v>2277.94</v>
      </c>
      <c r="Q393" s="258">
        <f>INT(SUM(Q384:Q392)*100+0.5)/100</f>
        <v>576.20000000000005</v>
      </c>
      <c r="R393" s="257">
        <f>INT($L393*Q393*100+0.5)/100</f>
        <v>1907.22</v>
      </c>
      <c r="S393" s="258">
        <f>INT(SUM(S384:S392)*100+0.5)/100</f>
        <v>0</v>
      </c>
      <c r="T393" s="257">
        <f>INT($L393*S393*100+0.5)/100</f>
        <v>0</v>
      </c>
      <c r="U393" s="258">
        <f>INT(SUM(U384:U392)*100+0.5)/100</f>
        <v>0</v>
      </c>
      <c r="V393" s="257">
        <f>INT($L393*U393*100+0.5)/100</f>
        <v>0</v>
      </c>
      <c r="W393" s="258">
        <f>INT(SUM(W384:W392)*100+0.5)/100</f>
        <v>0</v>
      </c>
      <c r="X393" s="257">
        <f>INT($L393*W393*100+0.5)/100</f>
        <v>0</v>
      </c>
      <c r="Y393" s="258">
        <f>INT(SUM(Y384:Y392)*100+0.5)/100</f>
        <v>1397.5</v>
      </c>
      <c r="Z393" s="257">
        <f>INT($L393*Y393*100+0.5)/100</f>
        <v>4625.7299999999996</v>
      </c>
    </row>
    <row r="394" spans="1:26" ht="15" customHeight="1">
      <c r="A394" s="250"/>
      <c r="B394" s="251"/>
      <c r="C394" s="648"/>
      <c r="D394" s="526"/>
      <c r="E394" s="251"/>
      <c r="F394" s="488">
        <f>F393*0.15</f>
        <v>430.48500000000001</v>
      </c>
      <c r="G394" s="489" t="s">
        <v>1172</v>
      </c>
      <c r="H394" s="254"/>
      <c r="I394" s="253"/>
      <c r="J394" s="253"/>
      <c r="K394" s="251"/>
      <c r="L394" s="255"/>
      <c r="M394" s="258"/>
      <c r="N394" s="257"/>
      <c r="O394" s="258"/>
      <c r="P394" s="257"/>
      <c r="Q394" s="258"/>
      <c r="R394" s="257"/>
      <c r="S394" s="258"/>
      <c r="T394" s="257"/>
      <c r="U394" s="258"/>
      <c r="V394" s="257"/>
      <c r="W394" s="258"/>
      <c r="X394" s="257"/>
      <c r="Y394" s="258"/>
      <c r="Z394" s="257"/>
    </row>
    <row r="395" spans="1:26" ht="25.5">
      <c r="A395" s="250">
        <f>A382+1</f>
        <v>125</v>
      </c>
      <c r="B395" s="251"/>
      <c r="C395" s="647" t="s">
        <v>1059</v>
      </c>
      <c r="D395" s="526" t="s">
        <v>1296</v>
      </c>
      <c r="E395" s="251" t="s">
        <v>1898</v>
      </c>
      <c r="F395" s="252"/>
      <c r="G395" s="253"/>
      <c r="H395" s="254"/>
      <c r="I395" s="253"/>
      <c r="J395" s="253"/>
      <c r="K395" s="251" t="s">
        <v>1898</v>
      </c>
      <c r="L395" s="262"/>
      <c r="M395" s="258"/>
      <c r="N395" s="257"/>
      <c r="O395" s="258"/>
      <c r="P395" s="257"/>
      <c r="Q395" s="258"/>
      <c r="R395" s="257"/>
      <c r="S395" s="258"/>
      <c r="T395" s="257"/>
      <c r="U395" s="258"/>
      <c r="V395" s="257"/>
      <c r="W395" s="258"/>
      <c r="X395" s="257"/>
      <c r="Y395" s="258"/>
      <c r="Z395" s="257"/>
    </row>
    <row r="396" spans="1:26" ht="25.5">
      <c r="A396" s="250"/>
      <c r="B396" s="251"/>
      <c r="C396" s="648"/>
      <c r="D396" s="526" t="s">
        <v>1297</v>
      </c>
      <c r="E396" s="251"/>
      <c r="F396" s="252"/>
      <c r="G396" s="253"/>
      <c r="H396" s="254"/>
      <c r="I396" s="253"/>
      <c r="J396" s="253"/>
      <c r="K396" s="251"/>
      <c r="L396" s="255"/>
      <c r="M396" s="258"/>
      <c r="N396" s="257"/>
      <c r="O396" s="258"/>
      <c r="P396" s="257"/>
      <c r="Q396" s="258"/>
      <c r="R396" s="257"/>
      <c r="S396" s="258"/>
      <c r="T396" s="257"/>
      <c r="U396" s="258"/>
      <c r="V396" s="257"/>
      <c r="W396" s="258"/>
      <c r="X396" s="257"/>
      <c r="Y396" s="258"/>
      <c r="Z396" s="257"/>
    </row>
    <row r="397" spans="1:26" ht="15" customHeight="1">
      <c r="A397" s="250"/>
      <c r="B397" s="251"/>
      <c r="C397" s="648"/>
      <c r="D397" s="292" t="s">
        <v>1061</v>
      </c>
      <c r="E397" s="251"/>
      <c r="F397" s="252"/>
      <c r="G397" s="253"/>
      <c r="H397" s="254"/>
      <c r="I397" s="253"/>
      <c r="J397" s="253"/>
      <c r="K397" s="251"/>
      <c r="L397" s="255"/>
      <c r="M397" s="258">
        <v>0</v>
      </c>
      <c r="N397" s="257"/>
      <c r="O397" s="258"/>
      <c r="P397" s="257"/>
      <c r="Q397" s="258">
        <v>0</v>
      </c>
      <c r="R397" s="257"/>
      <c r="S397" s="258"/>
      <c r="T397" s="245"/>
      <c r="U397" s="458">
        <v>0</v>
      </c>
      <c r="V397" s="257"/>
      <c r="W397" s="258"/>
      <c r="X397" s="245"/>
      <c r="Y397" s="258">
        <v>0</v>
      </c>
      <c r="Z397" s="245"/>
    </row>
    <row r="398" spans="1:26" ht="15" customHeight="1">
      <c r="A398" s="250"/>
      <c r="B398" s="251"/>
      <c r="C398" s="648"/>
      <c r="D398" s="292" t="s">
        <v>1060</v>
      </c>
      <c r="E398" s="251"/>
      <c r="F398" s="252"/>
      <c r="G398" s="253"/>
      <c r="H398" s="254"/>
      <c r="I398" s="253"/>
      <c r="J398" s="253"/>
      <c r="K398" s="251"/>
      <c r="L398" s="255"/>
      <c r="M398" s="458">
        <f>(16+27)*0.5</f>
        <v>21.5</v>
      </c>
      <c r="N398" s="280"/>
      <c r="O398" s="258">
        <f>(16+27)*1.3</f>
        <v>55.9</v>
      </c>
      <c r="P398" s="280"/>
      <c r="Q398" s="458">
        <f>(16+27)*0.85</f>
        <v>36.549999999999997</v>
      </c>
      <c r="R398" s="280"/>
      <c r="S398" s="458"/>
      <c r="T398" s="347"/>
      <c r="U398" s="458"/>
      <c r="V398" s="280"/>
      <c r="W398" s="458"/>
      <c r="X398" s="347"/>
      <c r="Y398" s="458">
        <f>(16+27)*7.2-Q398-O398-M398</f>
        <v>195.65</v>
      </c>
      <c r="Z398" s="245"/>
    </row>
    <row r="399" spans="1:26" ht="15" customHeight="1">
      <c r="A399" s="250"/>
      <c r="B399" s="251"/>
      <c r="C399" s="648"/>
      <c r="D399" s="292" t="s">
        <v>870</v>
      </c>
      <c r="E399" s="251"/>
      <c r="F399" s="252"/>
      <c r="G399" s="253"/>
      <c r="H399" s="254"/>
      <c r="I399" s="253"/>
      <c r="J399" s="253"/>
      <c r="K399" s="251"/>
      <c r="L399" s="255"/>
      <c r="M399" s="458">
        <f>(18+18)*0.5</f>
        <v>18</v>
      </c>
      <c r="N399" s="280"/>
      <c r="O399" s="258">
        <f>(18+18)*1.3</f>
        <v>46.800000000000004</v>
      </c>
      <c r="P399" s="280"/>
      <c r="Q399" s="458">
        <f>(18+18)*0.85</f>
        <v>30.599999999999998</v>
      </c>
      <c r="R399" s="280"/>
      <c r="S399" s="458"/>
      <c r="T399" s="347"/>
      <c r="U399" s="458"/>
      <c r="V399" s="280"/>
      <c r="W399" s="458"/>
      <c r="X399" s="347"/>
      <c r="Y399" s="458">
        <f>(18+18)*6.1-Q399-O399-M399</f>
        <v>124.19999999999999</v>
      </c>
      <c r="Z399" s="245"/>
    </row>
    <row r="400" spans="1:26" ht="15" customHeight="1">
      <c r="A400" s="250"/>
      <c r="B400" s="251"/>
      <c r="C400" s="648"/>
      <c r="D400" s="292" t="s">
        <v>2450</v>
      </c>
      <c r="E400" s="251"/>
      <c r="F400" s="252"/>
      <c r="G400" s="253"/>
      <c r="H400" s="254"/>
      <c r="I400" s="253"/>
      <c r="J400" s="253"/>
      <c r="K400" s="251"/>
      <c r="L400" s="255"/>
      <c r="M400" s="258"/>
      <c r="N400" s="257"/>
      <c r="O400" s="258"/>
      <c r="P400" s="257"/>
      <c r="Q400" s="258"/>
      <c r="R400" s="257"/>
      <c r="S400" s="258">
        <v>0</v>
      </c>
      <c r="T400" s="245"/>
      <c r="U400" s="258"/>
      <c r="V400" s="257"/>
      <c r="W400" s="258">
        <v>0</v>
      </c>
      <c r="X400" s="245"/>
      <c r="Y400" s="458">
        <f>17*2+4</f>
        <v>38</v>
      </c>
      <c r="Z400" s="245"/>
    </row>
    <row r="401" spans="1:26" ht="15" customHeight="1">
      <c r="A401" s="250"/>
      <c r="B401" s="251"/>
      <c r="C401" s="648"/>
      <c r="D401" s="292" t="s">
        <v>2451</v>
      </c>
      <c r="E401" s="251"/>
      <c r="F401" s="252"/>
      <c r="G401" s="253"/>
      <c r="H401" s="254"/>
      <c r="I401" s="253"/>
      <c r="J401" s="253"/>
      <c r="K401" s="251"/>
      <c r="L401" s="256">
        <f>17*3</f>
        <v>51</v>
      </c>
      <c r="M401" s="293"/>
      <c r="N401" s="294"/>
      <c r="O401" s="293"/>
      <c r="P401" s="294"/>
      <c r="Q401" s="293"/>
      <c r="R401" s="294"/>
      <c r="S401" s="293">
        <v>0</v>
      </c>
      <c r="T401" s="296"/>
      <c r="U401" s="293"/>
      <c r="V401" s="294"/>
      <c r="W401" s="293">
        <v>0</v>
      </c>
      <c r="X401" s="296"/>
      <c r="Y401" s="293"/>
      <c r="Z401" s="296"/>
    </row>
    <row r="402" spans="1:26" ht="15" customHeight="1">
      <c r="A402" s="250"/>
      <c r="B402" s="251"/>
      <c r="C402" s="648"/>
      <c r="D402" s="292" t="s">
        <v>1900</v>
      </c>
      <c r="E402" s="251"/>
      <c r="F402" s="252">
        <f>M402+O402+Q402+S402+U402+W402+Y402</f>
        <v>567.20000000000005</v>
      </c>
      <c r="G402" s="253">
        <f>L402</f>
        <v>4.5</v>
      </c>
      <c r="H402" s="254">
        <f>INT(F402*G402*100+0.5)/100</f>
        <v>2552.4</v>
      </c>
      <c r="I402" s="253">
        <f>N402+P402+R402+T402+V402+X402+Z402</f>
        <v>2552.41</v>
      </c>
      <c r="J402" s="253"/>
      <c r="K402" s="251"/>
      <c r="L402" s="255">
        <v>4.5</v>
      </c>
      <c r="M402" s="258">
        <f>INT(SUM(M397:M401)*100+0.5)/100</f>
        <v>39.5</v>
      </c>
      <c r="N402" s="257">
        <f>INT($L402*M402*100+0.5)/100</f>
        <v>177.75</v>
      </c>
      <c r="O402" s="258">
        <f>INT(SUM(O397:O401)*100+0.5)/100</f>
        <v>102.7</v>
      </c>
      <c r="P402" s="257">
        <f>INT($L402*O402*100+0.5)/100</f>
        <v>462.15</v>
      </c>
      <c r="Q402" s="258">
        <f>INT(SUM(Q397:Q401)*100+0.5)/100</f>
        <v>67.150000000000006</v>
      </c>
      <c r="R402" s="257">
        <f>INT($L402*Q402*100+0.5)/100</f>
        <v>302.18</v>
      </c>
      <c r="S402" s="258">
        <f>INT(SUM(S397:S401)*100+0.5)/100</f>
        <v>0</v>
      </c>
      <c r="T402" s="257">
        <f>INT($L402*S402*100+0.5)/100</f>
        <v>0</v>
      </c>
      <c r="U402" s="258">
        <f>INT(SUM(U397:U401)*100+0.5)/100</f>
        <v>0</v>
      </c>
      <c r="V402" s="257">
        <f>INT($L402*U402*100+0.5)/100</f>
        <v>0</v>
      </c>
      <c r="W402" s="258">
        <f>INT(SUM(W397:W401)*100+0.5)/100</f>
        <v>0</v>
      </c>
      <c r="X402" s="257">
        <f>INT($L402*W402*100+0.5)/100</f>
        <v>0</v>
      </c>
      <c r="Y402" s="258">
        <f>INT(SUM(Y397:Y401)*100+0.5)/100</f>
        <v>357.85</v>
      </c>
      <c r="Z402" s="257">
        <f>INT($L402*Y402*100+0.5)/100</f>
        <v>1610.33</v>
      </c>
    </row>
    <row r="403" spans="1:26" ht="15" customHeight="1">
      <c r="A403" s="250"/>
      <c r="B403" s="251"/>
      <c r="C403" s="648"/>
      <c r="D403" s="526"/>
      <c r="E403" s="251"/>
      <c r="F403" s="252"/>
      <c r="G403" s="253"/>
      <c r="H403" s="254"/>
      <c r="I403" s="253"/>
      <c r="J403" s="253"/>
      <c r="K403" s="251"/>
      <c r="L403" s="255"/>
      <c r="M403" s="458"/>
      <c r="N403" s="257"/>
      <c r="O403" s="258"/>
      <c r="P403" s="257"/>
      <c r="Q403" s="258"/>
      <c r="R403" s="257"/>
      <c r="S403" s="258"/>
      <c r="T403" s="257"/>
      <c r="U403" s="258"/>
      <c r="V403" s="257"/>
      <c r="W403" s="258"/>
      <c r="X403" s="257"/>
      <c r="Y403" s="258"/>
      <c r="Z403" s="257"/>
    </row>
    <row r="404" spans="1:26" ht="25.5">
      <c r="A404" s="250">
        <f>A395+1</f>
        <v>126</v>
      </c>
      <c r="B404" s="251"/>
      <c r="C404" s="647" t="s">
        <v>2346</v>
      </c>
      <c r="D404" s="526" t="s">
        <v>1294</v>
      </c>
      <c r="E404" s="251" t="s">
        <v>1898</v>
      </c>
      <c r="F404" s="252">
        <f>M404+O404+Q404+S404+U404+W404+Y404</f>
        <v>29</v>
      </c>
      <c r="G404" s="253">
        <f>L404</f>
        <v>10.87</v>
      </c>
      <c r="H404" s="254">
        <f>INT(F404*G404*100+0.5)/100</f>
        <v>315.23</v>
      </c>
      <c r="I404" s="253">
        <f>N404+P404+R404+T404+V404+X404+Z404</f>
        <v>315.23</v>
      </c>
      <c r="J404" s="253"/>
      <c r="K404" s="251" t="s">
        <v>1898</v>
      </c>
      <c r="L404" s="255">
        <v>10.87</v>
      </c>
      <c r="M404" s="458">
        <v>6</v>
      </c>
      <c r="N404" s="257">
        <f>INT($L404*M404*100+0.5)/100</f>
        <v>65.22</v>
      </c>
      <c r="O404" s="458">
        <v>20</v>
      </c>
      <c r="P404" s="257">
        <f>INT($L404*O404*100+0.5)/100</f>
        <v>217.4</v>
      </c>
      <c r="Q404" s="458">
        <v>3</v>
      </c>
      <c r="R404" s="257">
        <f>INT($L404*Q404*100+0.5)/100</f>
        <v>32.61</v>
      </c>
      <c r="S404" s="258">
        <v>0</v>
      </c>
      <c r="T404" s="257">
        <f>INT($L404*S404*100+0.5)/100</f>
        <v>0</v>
      </c>
      <c r="U404" s="258">
        <v>0</v>
      </c>
      <c r="V404" s="257">
        <f>INT($L404*U404*100+0.5)/100</f>
        <v>0</v>
      </c>
      <c r="W404" s="258">
        <v>0</v>
      </c>
      <c r="X404" s="257">
        <f>INT($L404*W404*100+0.5)/100</f>
        <v>0</v>
      </c>
      <c r="Y404" s="258">
        <v>0</v>
      </c>
      <c r="Z404" s="257">
        <f>INT($L404*Y404*100+0.5)/100</f>
        <v>0</v>
      </c>
    </row>
    <row r="405" spans="1:26" ht="15">
      <c r="A405" s="250"/>
      <c r="B405" s="251"/>
      <c r="C405" s="648"/>
      <c r="D405" s="526" t="s">
        <v>1295</v>
      </c>
      <c r="E405" s="251"/>
      <c r="F405" s="252"/>
      <c r="G405" s="253"/>
      <c r="H405" s="254"/>
      <c r="I405" s="253"/>
      <c r="J405" s="253"/>
      <c r="K405" s="251"/>
      <c r="L405" s="255"/>
      <c r="M405" s="258"/>
      <c r="N405" s="257"/>
      <c r="O405" s="258"/>
      <c r="P405" s="257"/>
      <c r="Q405" s="258"/>
      <c r="R405" s="257"/>
      <c r="S405" s="258"/>
      <c r="T405" s="257"/>
      <c r="U405" s="258"/>
      <c r="V405" s="257"/>
      <c r="W405" s="258"/>
      <c r="X405" s="257"/>
      <c r="Y405" s="258"/>
      <c r="Z405" s="257"/>
    </row>
    <row r="406" spans="1:26" s="247" customFormat="1" ht="15" customHeight="1">
      <c r="A406" s="284"/>
      <c r="B406" s="237"/>
      <c r="C406" s="653"/>
      <c r="D406" s="238"/>
      <c r="E406" s="237"/>
      <c r="F406" s="304"/>
      <c r="G406" s="240"/>
      <c r="H406" s="244"/>
      <c r="I406" s="240"/>
      <c r="J406" s="240"/>
      <c r="K406" s="237"/>
      <c r="L406" s="306"/>
      <c r="M406" s="289"/>
      <c r="N406" s="245"/>
      <c r="O406" s="289"/>
      <c r="P406" s="245"/>
      <c r="Q406" s="289"/>
      <c r="R406" s="245"/>
      <c r="S406" s="289"/>
      <c r="T406" s="245"/>
      <c r="U406" s="289"/>
      <c r="V406" s="245"/>
      <c r="W406" s="289"/>
      <c r="X406" s="245"/>
      <c r="Y406" s="289"/>
      <c r="Z406" s="245"/>
    </row>
    <row r="407" spans="1:26" ht="51">
      <c r="A407" s="250">
        <f>A404+1</f>
        <v>127</v>
      </c>
      <c r="B407" s="251"/>
      <c r="C407" s="647" t="s">
        <v>2347</v>
      </c>
      <c r="D407" s="526" t="s">
        <v>1293</v>
      </c>
      <c r="E407" s="251" t="s">
        <v>2461</v>
      </c>
      <c r="F407" s="252"/>
      <c r="G407" s="253"/>
      <c r="H407" s="254"/>
      <c r="I407" s="253"/>
      <c r="J407" s="253"/>
      <c r="K407" s="251" t="s">
        <v>2461</v>
      </c>
      <c r="L407" s="255"/>
      <c r="M407" s="258"/>
      <c r="N407" s="257"/>
      <c r="O407" s="258"/>
      <c r="P407" s="257"/>
      <c r="Q407" s="258"/>
      <c r="R407" s="257"/>
      <c r="S407" s="258"/>
      <c r="T407" s="257"/>
      <c r="U407" s="258"/>
      <c r="V407" s="257"/>
      <c r="W407" s="258"/>
      <c r="X407" s="257"/>
      <c r="Y407" s="258"/>
      <c r="Z407" s="257"/>
    </row>
    <row r="408" spans="1:26" ht="51">
      <c r="A408" s="250"/>
      <c r="B408" s="251"/>
      <c r="C408" s="648"/>
      <c r="D408" s="526" t="s">
        <v>1292</v>
      </c>
      <c r="E408" s="251"/>
      <c r="F408" s="252"/>
      <c r="G408" s="253"/>
      <c r="H408" s="254"/>
      <c r="I408" s="253"/>
      <c r="J408" s="253"/>
      <c r="K408" s="251"/>
      <c r="L408" s="255"/>
      <c r="M408" s="258"/>
      <c r="N408" s="257"/>
      <c r="O408" s="258"/>
      <c r="P408" s="257"/>
      <c r="Q408" s="258"/>
      <c r="R408" s="257"/>
      <c r="S408" s="258"/>
      <c r="T408" s="257"/>
      <c r="U408" s="258"/>
      <c r="V408" s="257"/>
      <c r="W408" s="258"/>
      <c r="X408" s="257"/>
      <c r="Y408" s="258"/>
      <c r="Z408" s="257"/>
    </row>
    <row r="409" spans="1:26" ht="15" customHeight="1">
      <c r="A409" s="250"/>
      <c r="B409" s="251"/>
      <c r="C409" s="648"/>
      <c r="D409" s="292" t="s">
        <v>993</v>
      </c>
      <c r="E409" s="251"/>
      <c r="F409" s="252"/>
      <c r="G409" s="253"/>
      <c r="H409" s="254"/>
      <c r="I409" s="253"/>
      <c r="J409" s="253"/>
      <c r="K409" s="251"/>
      <c r="L409" s="255"/>
      <c r="M409" s="258">
        <v>0</v>
      </c>
      <c r="N409" s="258"/>
      <c r="O409" s="258"/>
      <c r="P409" s="257"/>
      <c r="Q409" s="258">
        <v>0</v>
      </c>
      <c r="R409" s="257"/>
      <c r="S409" s="258"/>
      <c r="T409" s="257"/>
      <c r="U409" s="258"/>
      <c r="V409" s="257"/>
      <c r="W409" s="258"/>
      <c r="X409" s="257"/>
      <c r="Y409" s="258"/>
      <c r="Z409" s="257"/>
    </row>
    <row r="410" spans="1:26" ht="15" customHeight="1">
      <c r="A410" s="250"/>
      <c r="B410" s="251"/>
      <c r="C410" s="648"/>
      <c r="D410" s="292" t="s">
        <v>994</v>
      </c>
      <c r="E410" s="251"/>
      <c r="F410" s="252"/>
      <c r="G410" s="253"/>
      <c r="H410" s="254"/>
      <c r="I410" s="253"/>
      <c r="J410" s="253"/>
      <c r="K410" s="251"/>
      <c r="L410" s="255"/>
      <c r="M410" s="258">
        <f>(10+145+10)*0.5*(1.5-0.1-0.6-0.4)</f>
        <v>32.999999999999993</v>
      </c>
      <c r="N410" s="258"/>
      <c r="O410" s="258">
        <f>(250+10-97)*1.3*(1.5-0.1-0.6-0.6)</f>
        <v>42.379999999999988</v>
      </c>
      <c r="P410" s="257"/>
      <c r="Q410" s="258">
        <f>(10+145+10)*0.85*(1.5-0.6-0.6)</f>
        <v>42.075000000000003</v>
      </c>
      <c r="R410" s="257"/>
      <c r="S410" s="258"/>
      <c r="T410" s="257"/>
      <c r="U410" s="258"/>
      <c r="V410" s="257"/>
      <c r="W410" s="258"/>
      <c r="X410" s="257"/>
      <c r="Y410" s="258"/>
      <c r="Z410" s="257"/>
    </row>
    <row r="411" spans="1:26" ht="15" customHeight="1">
      <c r="A411" s="250"/>
      <c r="B411" s="251"/>
      <c r="C411" s="648"/>
      <c r="D411" s="292" t="s">
        <v>995</v>
      </c>
      <c r="E411" s="251"/>
      <c r="F411" s="252"/>
      <c r="G411" s="253"/>
      <c r="H411" s="254"/>
      <c r="I411" s="253"/>
      <c r="J411" s="253"/>
      <c r="K411" s="251"/>
      <c r="L411" s="255"/>
      <c r="M411" s="258">
        <f>(10+250)*0.5*(1.5-0.1-0.6-0.4)</f>
        <v>51.999999999999986</v>
      </c>
      <c r="N411" s="258"/>
      <c r="O411" s="258">
        <f>(10+250)*1.3*(1.5-0.1-0.6-0.6)</f>
        <v>67.59999999999998</v>
      </c>
      <c r="P411" s="257"/>
      <c r="Q411" s="258">
        <f>(10+250)*0.85*(1.5-0.6-0.6)</f>
        <v>66.300000000000011</v>
      </c>
      <c r="R411" s="257"/>
      <c r="S411" s="258"/>
      <c r="T411" s="257"/>
      <c r="U411" s="258"/>
      <c r="V411" s="257"/>
      <c r="W411" s="258"/>
      <c r="X411" s="257"/>
      <c r="Y411" s="258"/>
      <c r="Z411" s="257"/>
    </row>
    <row r="412" spans="1:26" ht="15" customHeight="1">
      <c r="A412" s="250"/>
      <c r="B412" s="251"/>
      <c r="C412" s="648"/>
      <c r="D412" s="292" t="s">
        <v>2498</v>
      </c>
      <c r="E412" s="251"/>
      <c r="F412" s="252"/>
      <c r="G412" s="253"/>
      <c r="H412" s="254"/>
      <c r="I412" s="253"/>
      <c r="J412" s="253"/>
      <c r="K412" s="251"/>
      <c r="L412" s="255"/>
      <c r="M412" s="258">
        <f>(70)*0.5*(1.5-0.1-0.6-0.4)</f>
        <v>13.999999999999996</v>
      </c>
      <c r="N412" s="258"/>
      <c r="O412" s="258">
        <f>(70)*1.3*(1.5-0.1-0.6-0.6)</f>
        <v>18.199999999999996</v>
      </c>
      <c r="P412" s="257"/>
      <c r="Q412" s="258">
        <f>(70)*0.85*(1.5-0.6-0.6)</f>
        <v>17.850000000000001</v>
      </c>
      <c r="R412" s="257"/>
      <c r="S412" s="258"/>
      <c r="T412" s="257"/>
      <c r="U412" s="258"/>
      <c r="V412" s="257"/>
      <c r="W412" s="258"/>
      <c r="X412" s="257"/>
      <c r="Y412" s="258"/>
      <c r="Z412" s="257"/>
    </row>
    <row r="413" spans="1:26" ht="15" customHeight="1">
      <c r="A413" s="250"/>
      <c r="B413" s="251"/>
      <c r="C413" s="648"/>
      <c r="D413" s="292" t="s">
        <v>2446</v>
      </c>
      <c r="E413" s="251"/>
      <c r="F413" s="252"/>
      <c r="G413" s="253"/>
      <c r="H413" s="254"/>
      <c r="I413" s="253"/>
      <c r="J413" s="253"/>
      <c r="K413" s="251"/>
      <c r="L413" s="255"/>
      <c r="M413" s="258">
        <v>0</v>
      </c>
      <c r="N413" s="257"/>
      <c r="O413" s="258">
        <f>200*0.8*(1.3-0.4-0.5)</f>
        <v>64</v>
      </c>
      <c r="P413" s="257"/>
      <c r="Q413" s="258">
        <f>(35*0.6)*0.8*(1-0.6)*4+(35*0.6)*0.8*(1-0.6)*1+70*0.6*(1*1.5)*1</f>
        <v>96.6</v>
      </c>
      <c r="R413" s="257"/>
      <c r="S413" s="258"/>
      <c r="T413" s="257"/>
      <c r="U413" s="258"/>
      <c r="V413" s="257"/>
      <c r="W413" s="258"/>
      <c r="X413" s="257"/>
      <c r="Y413" s="258"/>
      <c r="Z413" s="257"/>
    </row>
    <row r="414" spans="1:26" ht="15" customHeight="1">
      <c r="A414" s="250"/>
      <c r="B414" s="251"/>
      <c r="C414" s="648"/>
      <c r="D414" s="292" t="s">
        <v>2451</v>
      </c>
      <c r="E414" s="251"/>
      <c r="F414" s="252"/>
      <c r="G414" s="253"/>
      <c r="H414" s="254"/>
      <c r="I414" s="253"/>
      <c r="J414" s="253"/>
      <c r="K414" s="251"/>
      <c r="L414" s="256">
        <f>(180+45+70+40)*0.9*0.2</f>
        <v>60.300000000000004</v>
      </c>
      <c r="M414" s="256"/>
      <c r="N414" s="257"/>
      <c r="O414" s="258"/>
      <c r="P414" s="257"/>
      <c r="Q414" s="258"/>
      <c r="R414" s="257"/>
      <c r="S414" s="258"/>
      <c r="T414" s="257"/>
      <c r="U414" s="258"/>
      <c r="V414" s="257"/>
      <c r="W414" s="258"/>
      <c r="X414" s="257"/>
      <c r="Y414" s="258"/>
      <c r="Z414" s="257"/>
    </row>
    <row r="415" spans="1:26" ht="15" customHeight="1">
      <c r="A415" s="250"/>
      <c r="B415" s="251"/>
      <c r="C415" s="648"/>
      <c r="D415" s="292" t="s">
        <v>2446</v>
      </c>
      <c r="E415" s="251"/>
      <c r="F415" s="252"/>
      <c r="G415" s="253"/>
      <c r="H415" s="254"/>
      <c r="I415" s="253"/>
      <c r="J415" s="253"/>
      <c r="K415" s="251"/>
      <c r="L415" s="256">
        <f>50*0.9*0.2</f>
        <v>9</v>
      </c>
      <c r="M415" s="297"/>
      <c r="N415" s="294"/>
      <c r="O415" s="293"/>
      <c r="P415" s="294"/>
      <c r="Q415" s="293"/>
      <c r="R415" s="294"/>
      <c r="S415" s="293"/>
      <c r="T415" s="294"/>
      <c r="U415" s="293"/>
      <c r="V415" s="294"/>
      <c r="W415" s="293"/>
      <c r="X415" s="294"/>
      <c r="Y415" s="293"/>
      <c r="Z415" s="294"/>
    </row>
    <row r="416" spans="1:26" ht="15" customHeight="1">
      <c r="A416" s="250"/>
      <c r="B416" s="251"/>
      <c r="C416" s="648"/>
      <c r="D416" s="292" t="s">
        <v>575</v>
      </c>
      <c r="E416" s="251"/>
      <c r="F416" s="252">
        <f>M416+O416+Q416+S416+U416+W416+Y416</f>
        <v>514.005</v>
      </c>
      <c r="G416" s="253">
        <f>L416</f>
        <v>23.72</v>
      </c>
      <c r="H416" s="254">
        <f>INT(F416*G416*100+0.5)/100</f>
        <v>12192.2</v>
      </c>
      <c r="I416" s="253">
        <f>N416+P416+R416+T416+V416+X416+Z416</f>
        <v>12192.2</v>
      </c>
      <c r="J416" s="253"/>
      <c r="K416" s="251"/>
      <c r="L416" s="255">
        <v>23.72</v>
      </c>
      <c r="M416" s="258">
        <f>SUM(M409:M415)</f>
        <v>98.999999999999972</v>
      </c>
      <c r="N416" s="257">
        <f>INT($L416*M416*100+0.5)/100</f>
        <v>2348.2800000000002</v>
      </c>
      <c r="O416" s="258">
        <f>SUM(O409:O415)</f>
        <v>192.17999999999995</v>
      </c>
      <c r="P416" s="257">
        <f>INT($L416*O416*100+0.5)/100</f>
        <v>4558.51</v>
      </c>
      <c r="Q416" s="258">
        <f>SUM(Q409:Q415)</f>
        <v>222.82500000000002</v>
      </c>
      <c r="R416" s="257">
        <f>INT($L416*Q416*100+0.5)/100</f>
        <v>5285.41</v>
      </c>
      <c r="S416" s="258">
        <f>SUM(S409:S415)</f>
        <v>0</v>
      </c>
      <c r="T416" s="257">
        <f>INT($L416*S416*100+0.5)/100</f>
        <v>0</v>
      </c>
      <c r="U416" s="258">
        <f>SUM(U409:U415)</f>
        <v>0</v>
      </c>
      <c r="V416" s="257">
        <f>INT($L416*U416*100+0.5)/100</f>
        <v>0</v>
      </c>
      <c r="W416" s="258">
        <f>SUM(W409:W415)</f>
        <v>0</v>
      </c>
      <c r="X416" s="257">
        <f>INT($L416*W416*100+0.5)/100</f>
        <v>0</v>
      </c>
      <c r="Y416" s="258">
        <f>SUM(Y409:Y415)</f>
        <v>0</v>
      </c>
      <c r="Z416" s="257">
        <f>INT($L416*Y416*100+0.5)/100</f>
        <v>0</v>
      </c>
    </row>
    <row r="417" spans="1:26" ht="15" customHeight="1">
      <c r="A417" s="250"/>
      <c r="B417" s="251"/>
      <c r="C417" s="251"/>
      <c r="D417" s="292"/>
      <c r="E417" s="251"/>
      <c r="F417" s="252"/>
      <c r="G417" s="253"/>
      <c r="H417" s="254"/>
      <c r="I417" s="253"/>
      <c r="J417" s="253"/>
      <c r="K417" s="251"/>
      <c r="L417" s="261"/>
      <c r="M417" s="258"/>
      <c r="N417" s="257"/>
      <c r="O417" s="258"/>
      <c r="P417" s="257"/>
      <c r="Q417" s="258"/>
      <c r="R417" s="257"/>
      <c r="S417" s="258"/>
      <c r="T417" s="257"/>
      <c r="U417" s="258"/>
      <c r="V417" s="257"/>
      <c r="W417" s="258"/>
      <c r="X417" s="257"/>
      <c r="Y417" s="258"/>
      <c r="Z417" s="257"/>
    </row>
    <row r="418" spans="1:26" ht="15" customHeight="1">
      <c r="A418" s="250">
        <f>A407+1</f>
        <v>128</v>
      </c>
      <c r="B418" s="251"/>
      <c r="C418" s="647" t="s">
        <v>11</v>
      </c>
      <c r="D418" s="526" t="s">
        <v>10</v>
      </c>
      <c r="E418" s="251" t="s">
        <v>2461</v>
      </c>
      <c r="F418" s="252"/>
      <c r="G418" s="253"/>
      <c r="H418" s="254"/>
      <c r="I418" s="253"/>
      <c r="J418" s="253"/>
      <c r="K418" s="251" t="s">
        <v>2461</v>
      </c>
      <c r="L418" s="255"/>
      <c r="M418" s="258"/>
      <c r="N418" s="257"/>
      <c r="O418" s="258"/>
      <c r="P418" s="257"/>
      <c r="Q418" s="258"/>
      <c r="R418" s="257"/>
      <c r="S418" s="258"/>
      <c r="T418" s="257"/>
      <c r="U418" s="258"/>
      <c r="V418" s="257"/>
      <c r="W418" s="258"/>
      <c r="X418" s="257"/>
      <c r="Y418" s="258"/>
      <c r="Z418" s="257"/>
    </row>
    <row r="419" spans="1:26" ht="15" customHeight="1">
      <c r="A419" s="250"/>
      <c r="B419" s="251"/>
      <c r="C419" s="648"/>
      <c r="D419" s="526" t="s">
        <v>9</v>
      </c>
      <c r="E419" s="251"/>
      <c r="F419" s="252"/>
      <c r="G419" s="253"/>
      <c r="H419" s="254"/>
      <c r="I419" s="253"/>
      <c r="J419" s="253"/>
      <c r="K419" s="251"/>
      <c r="L419" s="255"/>
      <c r="M419" s="258"/>
      <c r="N419" s="257"/>
      <c r="O419" s="258"/>
      <c r="P419" s="257"/>
      <c r="Q419" s="258"/>
      <c r="R419" s="257"/>
      <c r="S419" s="258"/>
      <c r="T419" s="257"/>
      <c r="U419" s="258"/>
      <c r="V419" s="257"/>
      <c r="W419" s="258"/>
      <c r="X419" s="257"/>
      <c r="Y419" s="258"/>
      <c r="Z419" s="257"/>
    </row>
    <row r="420" spans="1:26" ht="15" customHeight="1">
      <c r="A420" s="250"/>
      <c r="B420" s="251"/>
      <c r="C420" s="648"/>
      <c r="D420" s="292" t="s">
        <v>993</v>
      </c>
      <c r="E420" s="251"/>
      <c r="F420" s="252"/>
      <c r="G420" s="253"/>
      <c r="H420" s="254"/>
      <c r="I420" s="253"/>
      <c r="J420" s="253"/>
      <c r="K420" s="251"/>
      <c r="L420" s="256">
        <f>190*0.9*0.4</f>
        <v>68.400000000000006</v>
      </c>
      <c r="M420" s="458">
        <v>0</v>
      </c>
      <c r="N420" s="257"/>
      <c r="O420" s="258"/>
      <c r="P420" s="257"/>
      <c r="Q420" s="258"/>
      <c r="R420" s="257"/>
      <c r="S420" s="258"/>
      <c r="T420" s="257"/>
      <c r="U420" s="258"/>
      <c r="V420" s="257"/>
      <c r="W420" s="258"/>
      <c r="X420" s="257"/>
      <c r="Y420" s="258"/>
      <c r="Z420" s="257"/>
    </row>
    <row r="421" spans="1:26" ht="15" customHeight="1">
      <c r="A421" s="250"/>
      <c r="B421" s="251"/>
      <c r="C421" s="648"/>
      <c r="D421" s="292" t="s">
        <v>994</v>
      </c>
      <c r="E421" s="251"/>
      <c r="F421" s="252"/>
      <c r="G421" s="253"/>
      <c r="H421" s="254"/>
      <c r="I421" s="253"/>
      <c r="J421" s="253"/>
      <c r="K421" s="251"/>
      <c r="L421" s="256">
        <f>250*0.9*0.4</f>
        <v>90</v>
      </c>
      <c r="M421" s="458">
        <v>0</v>
      </c>
      <c r="N421" s="257"/>
      <c r="O421" s="258">
        <f>(250+10-97)*(1.3*0.6-0.19)</f>
        <v>96.170000000000016</v>
      </c>
      <c r="P421" s="257"/>
      <c r="Q421" s="258"/>
      <c r="R421" s="257"/>
      <c r="S421" s="258"/>
      <c r="T421" s="257"/>
      <c r="U421" s="258"/>
      <c r="V421" s="257"/>
      <c r="W421" s="258"/>
      <c r="X421" s="257"/>
      <c r="Y421" s="258"/>
      <c r="Z421" s="257"/>
    </row>
    <row r="422" spans="1:26" ht="15" customHeight="1">
      <c r="A422" s="250"/>
      <c r="B422" s="251"/>
      <c r="C422" s="648"/>
      <c r="D422" s="292" t="s">
        <v>995</v>
      </c>
      <c r="E422" s="251"/>
      <c r="F422" s="252"/>
      <c r="G422" s="253"/>
      <c r="H422" s="254"/>
      <c r="I422" s="253"/>
      <c r="J422" s="253"/>
      <c r="K422" s="251"/>
      <c r="L422" s="256">
        <f>250*0.9*0.4</f>
        <v>90</v>
      </c>
      <c r="M422" s="458">
        <v>0</v>
      </c>
      <c r="N422" s="257"/>
      <c r="O422" s="258">
        <f>(10+250)*(1.3*0.6-0.19)</f>
        <v>153.40000000000003</v>
      </c>
      <c r="P422" s="257"/>
      <c r="Q422" s="258"/>
      <c r="R422" s="257"/>
      <c r="S422" s="258"/>
      <c r="T422" s="257"/>
      <c r="U422" s="258"/>
      <c r="V422" s="257"/>
      <c r="W422" s="258"/>
      <c r="X422" s="257"/>
      <c r="Y422" s="258"/>
      <c r="Z422" s="257"/>
    </row>
    <row r="423" spans="1:26" ht="15" customHeight="1">
      <c r="A423" s="250"/>
      <c r="B423" s="251"/>
      <c r="C423" s="648"/>
      <c r="D423" s="292" t="s">
        <v>2498</v>
      </c>
      <c r="E423" s="251"/>
      <c r="F423" s="252"/>
      <c r="G423" s="253"/>
      <c r="H423" s="254"/>
      <c r="I423" s="253"/>
      <c r="J423" s="253"/>
      <c r="K423" s="251"/>
      <c r="L423" s="256"/>
      <c r="M423" s="458"/>
      <c r="N423" s="257"/>
      <c r="O423" s="258">
        <f>(70)*(1.3*0.6-0.19)</f>
        <v>41.300000000000004</v>
      </c>
      <c r="P423" s="257"/>
      <c r="Q423" s="258"/>
      <c r="R423" s="257"/>
      <c r="S423" s="258"/>
      <c r="T423" s="257"/>
      <c r="U423" s="258"/>
      <c r="V423" s="257"/>
      <c r="W423" s="258"/>
      <c r="X423" s="257"/>
      <c r="Y423" s="258"/>
      <c r="Z423" s="257"/>
    </row>
    <row r="424" spans="1:26" ht="15" customHeight="1">
      <c r="A424" s="250"/>
      <c r="B424" s="251"/>
      <c r="C424" s="648"/>
      <c r="D424" s="292" t="s">
        <v>2069</v>
      </c>
      <c r="E424" s="251"/>
      <c r="F424" s="252"/>
      <c r="G424" s="253"/>
      <c r="H424" s="254"/>
      <c r="I424" s="253"/>
      <c r="J424" s="253"/>
      <c r="K424" s="251"/>
      <c r="L424" s="256">
        <f>300*0.9*0.4</f>
        <v>108</v>
      </c>
      <c r="M424" s="458">
        <v>0</v>
      </c>
      <c r="N424" s="257"/>
      <c r="O424" s="258">
        <f>200*0.9*0.4</f>
        <v>72</v>
      </c>
      <c r="P424" s="257"/>
      <c r="Q424" s="258"/>
      <c r="R424" s="257"/>
      <c r="S424" s="258"/>
      <c r="T424" s="257"/>
      <c r="U424" s="258"/>
      <c r="V424" s="257"/>
      <c r="W424" s="258"/>
      <c r="X424" s="257"/>
      <c r="Y424" s="258"/>
      <c r="Z424" s="257"/>
    </row>
    <row r="425" spans="1:26" ht="15" customHeight="1">
      <c r="A425" s="250"/>
      <c r="B425" s="251"/>
      <c r="C425" s="648"/>
      <c r="D425" s="292" t="s">
        <v>2451</v>
      </c>
      <c r="E425" s="251"/>
      <c r="F425" s="252"/>
      <c r="G425" s="253"/>
      <c r="H425" s="254"/>
      <c r="I425" s="253"/>
      <c r="J425" s="253"/>
      <c r="K425" s="251"/>
      <c r="L425" s="256">
        <f>(180+45+70+40)*0.9*0.4</f>
        <v>120.60000000000001</v>
      </c>
      <c r="M425" s="256"/>
      <c r="N425" s="257"/>
      <c r="O425" s="258"/>
      <c r="P425" s="257"/>
      <c r="Q425" s="258"/>
      <c r="R425" s="257"/>
      <c r="S425" s="258"/>
      <c r="T425" s="257"/>
      <c r="U425" s="258"/>
      <c r="V425" s="257"/>
      <c r="W425" s="258"/>
      <c r="X425" s="257"/>
      <c r="Y425" s="258"/>
      <c r="Z425" s="257"/>
    </row>
    <row r="426" spans="1:26" ht="15" customHeight="1">
      <c r="A426" s="250"/>
      <c r="B426" s="251"/>
      <c r="C426" s="648"/>
      <c r="D426" s="292" t="s">
        <v>2446</v>
      </c>
      <c r="E426" s="251"/>
      <c r="F426" s="252"/>
      <c r="G426" s="253"/>
      <c r="H426" s="254"/>
      <c r="I426" s="253"/>
      <c r="J426" s="253"/>
      <c r="K426" s="251"/>
      <c r="L426" s="256">
        <f>50*0.9*0.4</f>
        <v>18</v>
      </c>
      <c r="M426" s="297"/>
      <c r="N426" s="294"/>
      <c r="O426" s="293"/>
      <c r="P426" s="294"/>
      <c r="Q426" s="293"/>
      <c r="R426" s="294"/>
      <c r="S426" s="293"/>
      <c r="T426" s="294"/>
      <c r="U426" s="293"/>
      <c r="V426" s="294"/>
      <c r="W426" s="293"/>
      <c r="X426" s="294"/>
      <c r="Y426" s="293"/>
      <c r="Z426" s="294"/>
    </row>
    <row r="427" spans="1:26" ht="15" customHeight="1">
      <c r="A427" s="250"/>
      <c r="B427" s="251"/>
      <c r="C427" s="648"/>
      <c r="D427" s="292" t="s">
        <v>575</v>
      </c>
      <c r="E427" s="251"/>
      <c r="F427" s="252">
        <f>M427+O427+Q427+S427+U427+W427+Y427</f>
        <v>362.87000000000006</v>
      </c>
      <c r="G427" s="253">
        <f>L427</f>
        <v>30.21</v>
      </c>
      <c r="H427" s="254">
        <f>INT(F427*G427*100+0.5)/100</f>
        <v>10962.3</v>
      </c>
      <c r="I427" s="253">
        <f>N427+P427+R427+T427+V427+X427+Z427</f>
        <v>10962.3</v>
      </c>
      <c r="J427" s="253"/>
      <c r="K427" s="251"/>
      <c r="L427" s="255">
        <v>30.21</v>
      </c>
      <c r="M427" s="258">
        <f>SUM(M420:M426)</f>
        <v>0</v>
      </c>
      <c r="N427" s="257">
        <f>INT($L427*M427*100+0.5)/100</f>
        <v>0</v>
      </c>
      <c r="O427" s="258">
        <f>SUM(O420:O426)</f>
        <v>362.87000000000006</v>
      </c>
      <c r="P427" s="257">
        <f>INT($L427*O427*100+0.5)/100</f>
        <v>10962.3</v>
      </c>
      <c r="Q427" s="258">
        <f>SUM(Q420:Q426)</f>
        <v>0</v>
      </c>
      <c r="R427" s="257">
        <f>INT($L427*Q427*100+0.5)/100</f>
        <v>0</v>
      </c>
      <c r="S427" s="258">
        <f>SUM(S420:S426)</f>
        <v>0</v>
      </c>
      <c r="T427" s="257">
        <f>INT($L427*S427*100+0.5)/100</f>
        <v>0</v>
      </c>
      <c r="U427" s="258">
        <f>SUM(U420:U426)</f>
        <v>0</v>
      </c>
      <c r="V427" s="257">
        <f>INT($L427*U427*100+0.5)/100</f>
        <v>0</v>
      </c>
      <c r="W427" s="258">
        <f>SUM(W420:W426)</f>
        <v>0</v>
      </c>
      <c r="X427" s="257">
        <f>INT($L427*W427*100+0.5)/100</f>
        <v>0</v>
      </c>
      <c r="Y427" s="258">
        <f>SUM(Y420:Y426)</f>
        <v>0</v>
      </c>
      <c r="Z427" s="257">
        <f>INT($L427*Y427*100+0.5)/100</f>
        <v>0</v>
      </c>
    </row>
    <row r="428" spans="1:26" ht="15" customHeight="1">
      <c r="A428" s="250"/>
      <c r="B428" s="251"/>
      <c r="C428" s="648"/>
      <c r="D428" s="292"/>
      <c r="E428" s="251"/>
      <c r="F428" s="252"/>
      <c r="G428" s="253"/>
      <c r="H428" s="254"/>
      <c r="I428" s="253"/>
      <c r="J428" s="253"/>
      <c r="K428" s="251"/>
      <c r="L428" s="261"/>
      <c r="M428" s="258"/>
      <c r="N428" s="257"/>
      <c r="O428" s="258"/>
      <c r="P428" s="257"/>
      <c r="Q428" s="258"/>
      <c r="R428" s="257"/>
      <c r="S428" s="258"/>
      <c r="T428" s="257"/>
      <c r="U428" s="258"/>
      <c r="V428" s="257"/>
      <c r="W428" s="258"/>
      <c r="X428" s="257"/>
      <c r="Y428" s="258"/>
      <c r="Z428" s="257"/>
    </row>
    <row r="429" spans="1:26" ht="38.25">
      <c r="A429" s="250">
        <f>A418+1</f>
        <v>129</v>
      </c>
      <c r="B429" s="251"/>
      <c r="C429" s="647" t="s">
        <v>2348</v>
      </c>
      <c r="D429" s="526" t="s">
        <v>1291</v>
      </c>
      <c r="E429" s="251" t="s">
        <v>2461</v>
      </c>
      <c r="F429" s="252"/>
      <c r="G429" s="253"/>
      <c r="H429" s="254"/>
      <c r="I429" s="253"/>
      <c r="J429" s="253"/>
      <c r="K429" s="251" t="s">
        <v>2461</v>
      </c>
      <c r="L429" s="255"/>
      <c r="M429" s="258"/>
      <c r="N429" s="257"/>
      <c r="O429" s="258"/>
      <c r="P429" s="257"/>
      <c r="Q429" s="258"/>
      <c r="R429" s="257"/>
      <c r="S429" s="258"/>
      <c r="T429" s="257"/>
      <c r="U429" s="258"/>
      <c r="V429" s="257"/>
      <c r="W429" s="258"/>
      <c r="X429" s="257"/>
      <c r="Y429" s="258"/>
      <c r="Z429" s="257"/>
    </row>
    <row r="430" spans="1:26" ht="38.25">
      <c r="A430" s="250"/>
      <c r="B430" s="251"/>
      <c r="C430" s="648"/>
      <c r="D430" s="526" t="s">
        <v>1290</v>
      </c>
      <c r="E430" s="251"/>
      <c r="F430" s="252"/>
      <c r="G430" s="253"/>
      <c r="H430" s="254"/>
      <c r="I430" s="253"/>
      <c r="J430" s="253"/>
      <c r="K430" s="251"/>
      <c r="L430" s="255"/>
      <c r="M430" s="258"/>
      <c r="N430" s="257"/>
      <c r="O430" s="258"/>
      <c r="P430" s="257"/>
      <c r="Q430" s="258"/>
      <c r="R430" s="257"/>
      <c r="S430" s="258"/>
      <c r="T430" s="257"/>
      <c r="U430" s="258"/>
      <c r="V430" s="257"/>
      <c r="W430" s="258"/>
      <c r="X430" s="257"/>
      <c r="Y430" s="258"/>
      <c r="Z430" s="257"/>
    </row>
    <row r="431" spans="1:26" ht="15" customHeight="1">
      <c r="A431" s="250"/>
      <c r="B431" s="251"/>
      <c r="C431" s="648"/>
      <c r="D431" s="292" t="s">
        <v>993</v>
      </c>
      <c r="E431" s="251"/>
      <c r="F431" s="252"/>
      <c r="G431" s="253"/>
      <c r="H431" s="254"/>
      <c r="I431" s="253"/>
      <c r="J431" s="253"/>
      <c r="K431" s="251"/>
      <c r="L431" s="256"/>
      <c r="M431" s="458">
        <v>0</v>
      </c>
      <c r="N431" s="257"/>
      <c r="O431" s="258"/>
      <c r="P431" s="257"/>
      <c r="Q431" s="258">
        <v>0</v>
      </c>
      <c r="R431" s="257"/>
      <c r="S431" s="258"/>
      <c r="T431" s="257"/>
      <c r="U431" s="258"/>
      <c r="V431" s="257"/>
      <c r="W431" s="258"/>
      <c r="X431" s="257"/>
      <c r="Y431" s="258"/>
      <c r="Z431" s="257"/>
    </row>
    <row r="432" spans="1:26" ht="15" customHeight="1">
      <c r="A432" s="250"/>
      <c r="B432" s="251"/>
      <c r="C432" s="648"/>
      <c r="D432" s="292" t="s">
        <v>994</v>
      </c>
      <c r="E432" s="251"/>
      <c r="F432" s="252"/>
      <c r="G432" s="253"/>
      <c r="H432" s="254"/>
      <c r="I432" s="253"/>
      <c r="J432" s="253"/>
      <c r="K432" s="251"/>
      <c r="L432" s="256"/>
      <c r="M432" s="458">
        <v>0</v>
      </c>
      <c r="N432" s="257"/>
      <c r="O432" s="258">
        <v>0</v>
      </c>
      <c r="P432" s="257"/>
      <c r="Q432" s="258">
        <f>(10+145+10)*(0.85*0.6-0.19)</f>
        <v>52.800000000000004</v>
      </c>
      <c r="R432" s="257"/>
      <c r="S432" s="258"/>
      <c r="T432" s="257"/>
      <c r="U432" s="258"/>
      <c r="V432" s="257"/>
      <c r="W432" s="258"/>
      <c r="X432" s="257"/>
      <c r="Y432" s="258"/>
      <c r="Z432" s="257"/>
    </row>
    <row r="433" spans="1:26" ht="15" customHeight="1">
      <c r="A433" s="250"/>
      <c r="B433" s="251"/>
      <c r="C433" s="648"/>
      <c r="D433" s="292" t="s">
        <v>995</v>
      </c>
      <c r="E433" s="251"/>
      <c r="F433" s="252"/>
      <c r="G433" s="253"/>
      <c r="H433" s="254"/>
      <c r="I433" s="253"/>
      <c r="J433" s="253"/>
      <c r="K433" s="251"/>
      <c r="L433" s="256"/>
      <c r="M433" s="458">
        <v>0</v>
      </c>
      <c r="N433" s="257"/>
      <c r="O433" s="258">
        <v>0</v>
      </c>
      <c r="P433" s="257"/>
      <c r="Q433" s="258">
        <f>(10+250)*(0.85*0.6-0.19)</f>
        <v>83.2</v>
      </c>
      <c r="R433" s="257"/>
      <c r="S433" s="258"/>
      <c r="T433" s="257"/>
      <c r="U433" s="258"/>
      <c r="V433" s="257"/>
      <c r="W433" s="258"/>
      <c r="X433" s="257"/>
      <c r="Y433" s="258"/>
      <c r="Z433" s="257"/>
    </row>
    <row r="434" spans="1:26" ht="15" customHeight="1">
      <c r="A434" s="250"/>
      <c r="B434" s="251"/>
      <c r="C434" s="648"/>
      <c r="D434" s="292" t="s">
        <v>2498</v>
      </c>
      <c r="E434" s="251"/>
      <c r="F434" s="252"/>
      <c r="G434" s="253"/>
      <c r="H434" s="254"/>
      <c r="I434" s="253"/>
      <c r="J434" s="253"/>
      <c r="K434" s="251"/>
      <c r="L434" s="256"/>
      <c r="M434" s="458"/>
      <c r="N434" s="257"/>
      <c r="O434" s="258"/>
      <c r="P434" s="257"/>
      <c r="Q434" s="258">
        <f>(170)*(0.85*0.6-0.19)</f>
        <v>54.4</v>
      </c>
      <c r="R434" s="257"/>
      <c r="S434" s="258"/>
      <c r="T434" s="257"/>
      <c r="U434" s="258"/>
      <c r="V434" s="257"/>
      <c r="W434" s="258"/>
      <c r="X434" s="257"/>
      <c r="Y434" s="258"/>
      <c r="Z434" s="257"/>
    </row>
    <row r="435" spans="1:26" ht="15" customHeight="1">
      <c r="A435" s="250"/>
      <c r="B435" s="251"/>
      <c r="C435" s="648"/>
      <c r="D435" s="292" t="s">
        <v>2069</v>
      </c>
      <c r="E435" s="251"/>
      <c r="F435" s="252"/>
      <c r="G435" s="253"/>
      <c r="H435" s="254"/>
      <c r="I435" s="253"/>
      <c r="J435" s="253"/>
      <c r="K435" s="251"/>
      <c r="L435" s="256"/>
      <c r="M435" s="458">
        <v>0</v>
      </c>
      <c r="N435" s="257"/>
      <c r="O435" s="258">
        <v>0</v>
      </c>
      <c r="P435" s="257"/>
      <c r="Q435" s="258">
        <f>35*0.6*2*(6+1)*0.8*0.4</f>
        <v>94.080000000000013</v>
      </c>
      <c r="R435" s="257"/>
      <c r="S435" s="258"/>
      <c r="T435" s="257"/>
      <c r="U435" s="258"/>
      <c r="V435" s="257"/>
      <c r="W435" s="258"/>
      <c r="X435" s="257"/>
      <c r="Y435" s="258"/>
      <c r="Z435" s="257"/>
    </row>
    <row r="436" spans="1:26" ht="15" customHeight="1">
      <c r="A436" s="250"/>
      <c r="B436" s="251"/>
      <c r="C436" s="648"/>
      <c r="D436" s="292" t="s">
        <v>2451</v>
      </c>
      <c r="E436" s="251"/>
      <c r="F436" s="252"/>
      <c r="G436" s="253"/>
      <c r="H436" s="254"/>
      <c r="I436" s="253"/>
      <c r="J436" s="253"/>
      <c r="K436" s="251"/>
      <c r="L436" s="256"/>
      <c r="M436" s="256"/>
      <c r="N436" s="257"/>
      <c r="O436" s="258"/>
      <c r="P436" s="257"/>
      <c r="Q436" s="258"/>
      <c r="R436" s="257"/>
      <c r="S436" s="258"/>
      <c r="T436" s="257"/>
      <c r="U436" s="258"/>
      <c r="V436" s="257"/>
      <c r="W436" s="258"/>
      <c r="X436" s="257"/>
      <c r="Y436" s="258"/>
      <c r="Z436" s="257"/>
    </row>
    <row r="437" spans="1:26" ht="15" customHeight="1">
      <c r="A437" s="250"/>
      <c r="B437" s="251"/>
      <c r="C437" s="648"/>
      <c r="D437" s="292" t="s">
        <v>2446</v>
      </c>
      <c r="E437" s="251"/>
      <c r="F437" s="252"/>
      <c r="G437" s="253"/>
      <c r="H437" s="254"/>
      <c r="I437" s="253"/>
      <c r="J437" s="253"/>
      <c r="K437" s="251"/>
      <c r="L437" s="256"/>
      <c r="M437" s="297"/>
      <c r="N437" s="294"/>
      <c r="O437" s="293"/>
      <c r="P437" s="294"/>
      <c r="Q437" s="293"/>
      <c r="R437" s="294"/>
      <c r="S437" s="293"/>
      <c r="T437" s="294"/>
      <c r="U437" s="293"/>
      <c r="V437" s="294"/>
      <c r="W437" s="293"/>
      <c r="X437" s="294"/>
      <c r="Y437" s="293"/>
      <c r="Z437" s="294"/>
    </row>
    <row r="438" spans="1:26" ht="15" customHeight="1">
      <c r="A438" s="250"/>
      <c r="B438" s="251"/>
      <c r="C438" s="648"/>
      <c r="D438" s="292" t="s">
        <v>575</v>
      </c>
      <c r="E438" s="251"/>
      <c r="F438" s="252">
        <f>M438+O438+Q438+S438+U438+W438+Y438</f>
        <v>284.48</v>
      </c>
      <c r="G438" s="253">
        <f>L438</f>
        <v>28.27</v>
      </c>
      <c r="H438" s="254">
        <f>INT(F438*G438*100+0.5)/100</f>
        <v>8042.25</v>
      </c>
      <c r="I438" s="253">
        <f>N438+P438+R438+T438+V438+X438+Z438</f>
        <v>8042.25</v>
      </c>
      <c r="J438" s="253"/>
      <c r="K438" s="251"/>
      <c r="L438" s="255">
        <v>28.27</v>
      </c>
      <c r="M438" s="258">
        <f>SUM(M431:M437)</f>
        <v>0</v>
      </c>
      <c r="N438" s="257">
        <f>INT($L438*M438*100+0.5)/100</f>
        <v>0</v>
      </c>
      <c r="O438" s="258">
        <f>SUM(O431:O437)</f>
        <v>0</v>
      </c>
      <c r="P438" s="257">
        <f>INT($L438*O438*100+0.5)/100</f>
        <v>0</v>
      </c>
      <c r="Q438" s="258">
        <f>SUM(Q431:Q437)</f>
        <v>284.48</v>
      </c>
      <c r="R438" s="257">
        <f>INT($L438*Q438*100+0.5)/100</f>
        <v>8042.25</v>
      </c>
      <c r="S438" s="258">
        <f>SUM(S431:S437)</f>
        <v>0</v>
      </c>
      <c r="T438" s="257">
        <f>INT($L438*S438*100+0.5)/100</f>
        <v>0</v>
      </c>
      <c r="U438" s="258">
        <f>SUM(U431:U437)</f>
        <v>0</v>
      </c>
      <c r="V438" s="257">
        <f>INT($L438*U438*100+0.5)/100</f>
        <v>0</v>
      </c>
      <c r="W438" s="258">
        <f>SUM(W431:W437)</f>
        <v>0</v>
      </c>
      <c r="X438" s="257">
        <f>INT($L438*W438*100+0.5)/100</f>
        <v>0</v>
      </c>
      <c r="Y438" s="258">
        <f>SUM(Y431:Y437)</f>
        <v>0</v>
      </c>
      <c r="Z438" s="257">
        <f>INT($L438*Y438*100+0.5)/100</f>
        <v>0</v>
      </c>
    </row>
    <row r="439" spans="1:26" ht="15" customHeight="1">
      <c r="A439" s="250"/>
      <c r="B439" s="251"/>
      <c r="C439" s="648"/>
      <c r="D439" s="292"/>
      <c r="E439" s="251"/>
      <c r="F439" s="252"/>
      <c r="G439" s="253"/>
      <c r="H439" s="254"/>
      <c r="I439" s="253"/>
      <c r="J439" s="253"/>
      <c r="K439" s="251"/>
      <c r="L439" s="261"/>
      <c r="M439" s="258"/>
      <c r="N439" s="257"/>
      <c r="O439" s="258"/>
      <c r="P439" s="257"/>
      <c r="Q439" s="258"/>
      <c r="R439" s="257"/>
      <c r="S439" s="258"/>
      <c r="T439" s="257"/>
      <c r="U439" s="258"/>
      <c r="V439" s="257"/>
      <c r="W439" s="258"/>
      <c r="X439" s="257"/>
      <c r="Y439" s="258"/>
      <c r="Z439" s="257"/>
    </row>
    <row r="440" spans="1:26" ht="15" customHeight="1">
      <c r="A440" s="250">
        <f>A429+1</f>
        <v>130</v>
      </c>
      <c r="B440" s="251"/>
      <c r="C440" s="647" t="s">
        <v>2101</v>
      </c>
      <c r="D440" s="526" t="s">
        <v>1438</v>
      </c>
      <c r="E440" s="251" t="s">
        <v>2461</v>
      </c>
      <c r="F440" s="252"/>
      <c r="G440" s="253"/>
      <c r="H440" s="254"/>
      <c r="I440" s="253"/>
      <c r="J440" s="253"/>
      <c r="K440" s="251" t="s">
        <v>2461</v>
      </c>
      <c r="L440" s="261"/>
      <c r="M440" s="258"/>
      <c r="N440" s="257"/>
      <c r="O440" s="258"/>
      <c r="P440" s="257"/>
      <c r="Q440" s="258"/>
      <c r="R440" s="257"/>
      <c r="S440" s="258"/>
      <c r="T440" s="257"/>
      <c r="U440" s="258"/>
      <c r="V440" s="257"/>
      <c r="W440" s="258"/>
      <c r="X440" s="257"/>
      <c r="Y440" s="258"/>
      <c r="Z440" s="257"/>
    </row>
    <row r="441" spans="1:26" ht="15" customHeight="1">
      <c r="A441" s="250"/>
      <c r="B441" s="251"/>
      <c r="C441" s="647"/>
      <c r="D441" s="526" t="s">
        <v>681</v>
      </c>
      <c r="E441" s="251"/>
      <c r="F441" s="252"/>
      <c r="G441" s="253"/>
      <c r="H441" s="254"/>
      <c r="I441" s="253"/>
      <c r="J441" s="253"/>
      <c r="K441" s="251"/>
      <c r="L441" s="261"/>
      <c r="M441" s="258"/>
      <c r="N441" s="257"/>
      <c r="O441" s="258"/>
      <c r="P441" s="257"/>
      <c r="Q441" s="258"/>
      <c r="R441" s="257"/>
      <c r="S441" s="258"/>
      <c r="T441" s="257"/>
      <c r="U441" s="258"/>
      <c r="V441" s="257"/>
      <c r="W441" s="258"/>
      <c r="X441" s="257"/>
      <c r="Y441" s="258"/>
      <c r="Z441" s="257"/>
    </row>
    <row r="442" spans="1:26" ht="15" customHeight="1">
      <c r="A442" s="250"/>
      <c r="B442" s="251"/>
      <c r="C442" s="647"/>
      <c r="D442" s="292" t="s">
        <v>338</v>
      </c>
      <c r="E442" s="251"/>
      <c r="F442" s="252"/>
      <c r="G442" s="253"/>
      <c r="H442" s="254"/>
      <c r="I442" s="253"/>
      <c r="J442" s="253"/>
      <c r="K442" s="251"/>
      <c r="L442" s="261"/>
      <c r="M442" s="258">
        <v>0</v>
      </c>
      <c r="N442" s="257"/>
      <c r="O442" s="258">
        <v>0</v>
      </c>
      <c r="P442" s="257"/>
      <c r="Q442" s="258">
        <v>0</v>
      </c>
      <c r="R442" s="257"/>
      <c r="S442" s="258">
        <v>0</v>
      </c>
      <c r="T442" s="257"/>
      <c r="U442" s="258">
        <v>0</v>
      </c>
      <c r="V442" s="257"/>
      <c r="W442" s="258">
        <v>0</v>
      </c>
      <c r="X442" s="257"/>
      <c r="Y442" s="258">
        <v>0</v>
      </c>
      <c r="Z442" s="257"/>
    </row>
    <row r="443" spans="1:26" ht="15" customHeight="1">
      <c r="A443" s="250"/>
      <c r="B443" s="251"/>
      <c r="C443" s="647"/>
      <c r="D443" s="292" t="s">
        <v>1899</v>
      </c>
      <c r="E443" s="251"/>
      <c r="F443" s="252"/>
      <c r="G443" s="253"/>
      <c r="H443" s="254"/>
      <c r="I443" s="253"/>
      <c r="J443" s="253"/>
      <c r="K443" s="251"/>
      <c r="L443" s="255"/>
      <c r="M443" s="293">
        <v>0</v>
      </c>
      <c r="N443" s="294"/>
      <c r="O443" s="293">
        <v>0</v>
      </c>
      <c r="P443" s="294"/>
      <c r="Q443" s="293">
        <v>0</v>
      </c>
      <c r="R443" s="294"/>
      <c r="S443" s="293">
        <v>0</v>
      </c>
      <c r="T443" s="294"/>
      <c r="U443" s="293">
        <v>0</v>
      </c>
      <c r="V443" s="294"/>
      <c r="W443" s="293">
        <v>0</v>
      </c>
      <c r="X443" s="294"/>
      <c r="Y443" s="293">
        <v>0</v>
      </c>
      <c r="Z443" s="294"/>
    </row>
    <row r="444" spans="1:26" ht="15" customHeight="1">
      <c r="A444" s="250"/>
      <c r="B444" s="251"/>
      <c r="C444" s="647"/>
      <c r="D444" s="292" t="s">
        <v>575</v>
      </c>
      <c r="E444" s="251"/>
      <c r="F444" s="252">
        <f>M444+O444+Q444+S444+U444+W444+Y444</f>
        <v>0</v>
      </c>
      <c r="G444" s="253">
        <f>L444</f>
        <v>22.04</v>
      </c>
      <c r="H444" s="254">
        <f>INT(F444*G444*100+0.5)/100</f>
        <v>0</v>
      </c>
      <c r="I444" s="253">
        <f>N444+P444+R444+T444+V444+X444+Z444</f>
        <v>0</v>
      </c>
      <c r="J444" s="253"/>
      <c r="K444" s="251"/>
      <c r="L444" s="255">
        <v>22.04</v>
      </c>
      <c r="M444" s="258">
        <f>INT(SUM(M442:M443)*100+0.5)/100</f>
        <v>0</v>
      </c>
      <c r="N444" s="257">
        <f>INT($L444*M444*100+0.5)/100</f>
        <v>0</v>
      </c>
      <c r="O444" s="258">
        <f>INT(SUM(O442:O443)*100+0.5)/100</f>
        <v>0</v>
      </c>
      <c r="P444" s="257">
        <f>INT($L444*O444*100+0.5)/100</f>
        <v>0</v>
      </c>
      <c r="Q444" s="258">
        <f>INT(SUM(Q442:Q443)*100+0.5)/100</f>
        <v>0</v>
      </c>
      <c r="R444" s="257">
        <f>INT($L444*Q444*100+0.5)/100</f>
        <v>0</v>
      </c>
      <c r="S444" s="258">
        <f>INT(SUM(S442:S443)*100+0.5)/100</f>
        <v>0</v>
      </c>
      <c r="T444" s="257">
        <f>INT($L444*S444*100+0.5)/100</f>
        <v>0</v>
      </c>
      <c r="U444" s="258">
        <f>INT(SUM(U442:U443)*100+0.5)/100</f>
        <v>0</v>
      </c>
      <c r="V444" s="257">
        <f>INT($L444*U444*100+0.5)/100</f>
        <v>0</v>
      </c>
      <c r="W444" s="258">
        <f>INT(SUM(W442:W443)*100+0.5)/100</f>
        <v>0</v>
      </c>
      <c r="X444" s="257">
        <f>INT($L444*W444*100+0.5)/100</f>
        <v>0</v>
      </c>
      <c r="Y444" s="258">
        <f>INT(SUM(Y442:Y443)*100+0.5)/100</f>
        <v>0</v>
      </c>
      <c r="Z444" s="257">
        <f>INT($L444*Y444*100+0.5)/100</f>
        <v>0</v>
      </c>
    </row>
    <row r="445" spans="1:26" ht="15" customHeight="1">
      <c r="A445" s="250"/>
      <c r="B445" s="251"/>
      <c r="C445" s="526"/>
      <c r="D445" s="292"/>
      <c r="E445" s="251"/>
      <c r="F445" s="252"/>
      <c r="G445" s="253"/>
      <c r="H445" s="254"/>
      <c r="I445" s="253"/>
      <c r="J445" s="253"/>
      <c r="K445" s="251"/>
      <c r="L445" s="255"/>
      <c r="M445" s="258"/>
      <c r="N445" s="257"/>
      <c r="O445" s="258"/>
      <c r="P445" s="257"/>
      <c r="Q445" s="258"/>
      <c r="R445" s="257"/>
      <c r="S445" s="258"/>
      <c r="T445" s="257"/>
      <c r="U445" s="258"/>
      <c r="V445" s="257"/>
      <c r="W445" s="258"/>
      <c r="X445" s="257"/>
      <c r="Y445" s="258"/>
      <c r="Z445" s="257"/>
    </row>
    <row r="446" spans="1:26" ht="25.5">
      <c r="A446" s="250">
        <f>A440+1</f>
        <v>131</v>
      </c>
      <c r="B446" s="251"/>
      <c r="C446" s="647" t="s">
        <v>2349</v>
      </c>
      <c r="D446" s="526" t="s">
        <v>2135</v>
      </c>
      <c r="E446" s="251" t="s">
        <v>1898</v>
      </c>
      <c r="F446" s="252"/>
      <c r="G446" s="253"/>
      <c r="H446" s="254"/>
      <c r="I446" s="253"/>
      <c r="J446" s="253"/>
      <c r="K446" s="251" t="s">
        <v>1898</v>
      </c>
      <c r="L446" s="255"/>
      <c r="M446" s="258"/>
      <c r="N446" s="257"/>
      <c r="O446" s="258"/>
      <c r="P446" s="257"/>
      <c r="Q446" s="258"/>
      <c r="R446" s="257"/>
      <c r="S446" s="258"/>
      <c r="T446" s="257"/>
      <c r="U446" s="258"/>
      <c r="V446" s="257"/>
      <c r="W446" s="258"/>
      <c r="X446" s="257"/>
      <c r="Y446" s="258"/>
      <c r="Z446" s="257"/>
    </row>
    <row r="447" spans="1:26" ht="15" customHeight="1">
      <c r="A447" s="250"/>
      <c r="B447" s="251"/>
      <c r="C447" s="526"/>
      <c r="D447" s="526" t="s">
        <v>2134</v>
      </c>
      <c r="E447" s="251"/>
      <c r="F447" s="252"/>
      <c r="G447" s="253"/>
      <c r="H447" s="254"/>
      <c r="I447" s="253"/>
      <c r="J447" s="253"/>
      <c r="K447" s="251"/>
      <c r="L447" s="255"/>
      <c r="M447" s="258"/>
      <c r="N447" s="257"/>
      <c r="O447" s="258"/>
      <c r="P447" s="257"/>
      <c r="Q447" s="258"/>
      <c r="R447" s="257"/>
      <c r="S447" s="258"/>
      <c r="T447" s="257"/>
      <c r="U447" s="258"/>
      <c r="V447" s="257"/>
      <c r="W447" s="258"/>
      <c r="X447" s="257"/>
      <c r="Y447" s="258"/>
      <c r="Z447" s="257"/>
    </row>
    <row r="448" spans="1:26" ht="15" customHeight="1">
      <c r="A448" s="250"/>
      <c r="B448" s="251"/>
      <c r="C448" s="526"/>
      <c r="D448" s="526" t="s">
        <v>1298</v>
      </c>
      <c r="E448" s="251"/>
      <c r="F448" s="252">
        <f>M448+O448+Q448+S448+U448+W448+Y448</f>
        <v>2685.24</v>
      </c>
      <c r="G448" s="253">
        <f>L448</f>
        <v>5.66</v>
      </c>
      <c r="H448" s="254">
        <f>INT(F448*G448*100+0.5)/100</f>
        <v>15198.46</v>
      </c>
      <c r="I448" s="253">
        <f>N448+P448+R448+T448+V448+X448+Z448</f>
        <v>15198.46</v>
      </c>
      <c r="J448" s="253"/>
      <c r="K448" s="251"/>
      <c r="L448" s="255">
        <v>5.66</v>
      </c>
      <c r="M448" s="258"/>
      <c r="N448" s="257">
        <f>INT($L448*M448*100+0.5)/100</f>
        <v>0</v>
      </c>
      <c r="O448" s="258">
        <v>0</v>
      </c>
      <c r="P448" s="257">
        <f>INT($L448*O448*100+0.5)/100</f>
        <v>0</v>
      </c>
      <c r="Q448" s="258">
        <v>0</v>
      </c>
      <c r="R448" s="257">
        <f>INT($L448*Q448*100+0.5)/100</f>
        <v>0</v>
      </c>
      <c r="S448" s="258">
        <v>0</v>
      </c>
      <c r="T448" s="257">
        <f>INT($L448*S448*100+0.5)/100</f>
        <v>0</v>
      </c>
      <c r="U448" s="258">
        <f>U380</f>
        <v>2685.24</v>
      </c>
      <c r="V448" s="257">
        <f>INT($L448*U448*100+0.5)/100</f>
        <v>15198.46</v>
      </c>
      <c r="W448" s="258">
        <v>0</v>
      </c>
      <c r="X448" s="257">
        <f>INT($L448*W448*100+0.5)/100</f>
        <v>0</v>
      </c>
      <c r="Y448" s="258">
        <v>0</v>
      </c>
      <c r="Z448" s="257">
        <f>INT($L448*Y448*100+0.5)/100</f>
        <v>0</v>
      </c>
    </row>
    <row r="449" spans="1:26" ht="15" customHeight="1">
      <c r="A449" s="284"/>
      <c r="B449" s="237"/>
      <c r="C449" s="526"/>
      <c r="D449" s="292"/>
      <c r="E449" s="251"/>
      <c r="F449" s="252"/>
      <c r="G449" s="253"/>
      <c r="H449" s="254"/>
      <c r="I449" s="253"/>
      <c r="J449" s="253"/>
      <c r="K449" s="251"/>
      <c r="L449" s="255"/>
      <c r="M449" s="258"/>
      <c r="N449" s="257"/>
      <c r="O449" s="258"/>
      <c r="P449" s="257"/>
      <c r="Q449" s="258"/>
      <c r="R449" s="257"/>
      <c r="S449" s="258"/>
      <c r="T449" s="257"/>
      <c r="U449" s="258"/>
      <c r="V449" s="257"/>
      <c r="W449" s="258"/>
      <c r="X449" s="257"/>
      <c r="Y449" s="258"/>
      <c r="Z449" s="257"/>
    </row>
    <row r="450" spans="1:26" ht="25.5">
      <c r="A450" s="250">
        <f>A446+1</f>
        <v>132</v>
      </c>
      <c r="B450" s="251"/>
      <c r="C450" s="647" t="s">
        <v>2350</v>
      </c>
      <c r="D450" s="526" t="s">
        <v>6</v>
      </c>
      <c r="E450" s="251" t="s">
        <v>1898</v>
      </c>
      <c r="F450" s="252">
        <f>M450+O450+Q450+S450+U450+W450+Y450</f>
        <v>0</v>
      </c>
      <c r="G450" s="253">
        <f>L450</f>
        <v>10.45</v>
      </c>
      <c r="H450" s="254">
        <f>INT(F450*G450*100+0.5)/100</f>
        <v>0</v>
      </c>
      <c r="I450" s="253">
        <f>N450+P450+R450+T450+V450+X450+Z450</f>
        <v>0</v>
      </c>
      <c r="J450" s="253"/>
      <c r="K450" s="251" t="s">
        <v>1898</v>
      </c>
      <c r="L450" s="255">
        <v>10.45</v>
      </c>
      <c r="M450" s="258">
        <v>0</v>
      </c>
      <c r="N450" s="257">
        <f>INT($L450*M450*100+0.5)/100</f>
        <v>0</v>
      </c>
      <c r="O450" s="258">
        <v>0</v>
      </c>
      <c r="P450" s="257">
        <f>INT($L450*O450*100+0.5)/100</f>
        <v>0</v>
      </c>
      <c r="Q450" s="258">
        <v>0</v>
      </c>
      <c r="R450" s="257">
        <f>INT($L450*Q450*100+0.5)/100</f>
        <v>0</v>
      </c>
      <c r="S450" s="258">
        <v>0</v>
      </c>
      <c r="T450" s="257">
        <f>INT($L450*S450*100+0.5)/100</f>
        <v>0</v>
      </c>
      <c r="U450" s="258">
        <v>0</v>
      </c>
      <c r="V450" s="257">
        <f>INT($L450*U450*100+0.5)/100</f>
        <v>0</v>
      </c>
      <c r="W450" s="258">
        <v>0</v>
      </c>
      <c r="X450" s="257">
        <f>INT($L450*W450*100+0.5)/100</f>
        <v>0</v>
      </c>
      <c r="Y450" s="258">
        <v>0</v>
      </c>
      <c r="Z450" s="257">
        <f>INT($L450*Y450*100+0.5)/100</f>
        <v>0</v>
      </c>
    </row>
    <row r="451" spans="1:26" ht="15" customHeight="1">
      <c r="A451" s="250"/>
      <c r="B451" s="251"/>
      <c r="C451" s="647"/>
      <c r="D451" s="526" t="s">
        <v>5</v>
      </c>
      <c r="E451" s="251"/>
      <c r="F451" s="252"/>
      <c r="G451" s="253"/>
      <c r="H451" s="254"/>
      <c r="I451" s="253"/>
      <c r="J451" s="253"/>
      <c r="K451" s="251"/>
      <c r="L451" s="255"/>
      <c r="M451" s="258"/>
      <c r="N451" s="257"/>
      <c r="O451" s="258"/>
      <c r="P451" s="257"/>
      <c r="Q451" s="258"/>
      <c r="R451" s="257"/>
      <c r="S451" s="258"/>
      <c r="T451" s="257"/>
      <c r="U451" s="258"/>
      <c r="V451" s="257"/>
      <c r="W451" s="258"/>
      <c r="X451" s="257"/>
      <c r="Y451" s="258"/>
      <c r="Z451" s="257"/>
    </row>
    <row r="452" spans="1:26" ht="15" customHeight="1">
      <c r="A452" s="284"/>
      <c r="B452" s="237"/>
      <c r="C452" s="647"/>
      <c r="D452" s="529"/>
      <c r="E452" s="251"/>
      <c r="F452" s="252"/>
      <c r="G452" s="253"/>
      <c r="H452" s="254"/>
      <c r="I452" s="253"/>
      <c r="J452" s="253"/>
      <c r="K452" s="251"/>
      <c r="L452" s="261"/>
      <c r="M452" s="258"/>
      <c r="N452" s="257"/>
      <c r="O452" s="258"/>
      <c r="P452" s="257"/>
      <c r="Q452" s="258"/>
      <c r="R452" s="257"/>
      <c r="S452" s="258"/>
      <c r="T452" s="257"/>
      <c r="U452" s="258"/>
      <c r="V452" s="257"/>
      <c r="W452" s="258"/>
      <c r="X452" s="257"/>
      <c r="Y452" s="258"/>
      <c r="Z452" s="257"/>
    </row>
    <row r="453" spans="1:26" ht="25.5">
      <c r="A453" s="250">
        <f>A450+1</f>
        <v>133</v>
      </c>
      <c r="B453" s="251"/>
      <c r="C453" s="647" t="s">
        <v>2351</v>
      </c>
      <c r="D453" s="526" t="s">
        <v>323</v>
      </c>
      <c r="E453" s="251" t="s">
        <v>2461</v>
      </c>
      <c r="F453" s="252"/>
      <c r="G453" s="253"/>
      <c r="H453" s="254"/>
      <c r="I453" s="253"/>
      <c r="J453" s="253"/>
      <c r="K453" s="251" t="s">
        <v>1898</v>
      </c>
      <c r="L453" s="255"/>
      <c r="M453" s="258"/>
      <c r="N453" s="257"/>
      <c r="O453" s="258"/>
      <c r="P453" s="257"/>
      <c r="Q453" s="258"/>
      <c r="R453" s="257"/>
      <c r="S453" s="258"/>
      <c r="T453" s="257"/>
      <c r="U453" s="258"/>
      <c r="V453" s="257"/>
      <c r="W453" s="258"/>
      <c r="X453" s="257"/>
      <c r="Y453" s="258"/>
      <c r="Z453" s="257"/>
    </row>
    <row r="454" spans="1:26" ht="15" customHeight="1">
      <c r="A454" s="250"/>
      <c r="B454" s="251"/>
      <c r="C454" s="526"/>
      <c r="D454" s="526" t="s">
        <v>322</v>
      </c>
      <c r="E454" s="251"/>
      <c r="F454" s="252"/>
      <c r="G454" s="253"/>
      <c r="H454" s="254"/>
      <c r="I454" s="253"/>
      <c r="J454" s="253"/>
      <c r="K454" s="251"/>
      <c r="L454" s="255"/>
      <c r="M454" s="258"/>
      <c r="N454" s="257"/>
      <c r="O454" s="258"/>
      <c r="P454" s="257"/>
      <c r="Q454" s="258"/>
      <c r="R454" s="257"/>
      <c r="S454" s="258"/>
      <c r="T454" s="257"/>
      <c r="U454" s="258"/>
      <c r="V454" s="257"/>
      <c r="W454" s="258"/>
      <c r="X454" s="257"/>
      <c r="Y454" s="258"/>
      <c r="Z454" s="257"/>
    </row>
    <row r="455" spans="1:26" ht="15" customHeight="1">
      <c r="A455" s="250"/>
      <c r="B455" s="251"/>
      <c r="C455" s="251"/>
      <c r="D455" s="292" t="s">
        <v>993</v>
      </c>
      <c r="E455" s="251"/>
      <c r="F455" s="252"/>
      <c r="G455" s="253"/>
      <c r="H455" s="254"/>
      <c r="I455" s="253"/>
      <c r="J455" s="253"/>
      <c r="K455" s="251"/>
      <c r="L455" s="255"/>
      <c r="M455" s="258">
        <v>0</v>
      </c>
      <c r="N455" s="257"/>
      <c r="O455" s="258"/>
      <c r="P455" s="257"/>
      <c r="Q455" s="258">
        <v>0</v>
      </c>
      <c r="R455" s="257"/>
      <c r="S455" s="258"/>
      <c r="T455" s="257"/>
      <c r="U455" s="258"/>
      <c r="V455" s="257"/>
      <c r="W455" s="258"/>
      <c r="X455" s="257"/>
      <c r="Y455" s="258">
        <v>0</v>
      </c>
      <c r="Z455" s="257"/>
    </row>
    <row r="456" spans="1:26" ht="15" customHeight="1">
      <c r="A456" s="250"/>
      <c r="B456" s="251"/>
      <c r="C456" s="251"/>
      <c r="D456" s="292" t="s">
        <v>994</v>
      </c>
      <c r="E456" s="251"/>
      <c r="F456" s="252"/>
      <c r="G456" s="253"/>
      <c r="H456" s="254"/>
      <c r="I456" s="253"/>
      <c r="J456" s="253"/>
      <c r="K456" s="251"/>
      <c r="L456" s="255"/>
      <c r="M456" s="258">
        <f>(10+145+10)*0.5*0.6</f>
        <v>49.5</v>
      </c>
      <c r="N456" s="257"/>
      <c r="O456" s="258">
        <f>(250+10-97)*(1.3*0.6)</f>
        <v>127.14</v>
      </c>
      <c r="P456" s="257"/>
      <c r="Q456" s="258">
        <f>(10+145+10)*0.85*0.6</f>
        <v>84.149999999999991</v>
      </c>
      <c r="R456" s="257"/>
      <c r="S456" s="258"/>
      <c r="T456" s="257"/>
      <c r="U456" s="258"/>
      <c r="V456" s="257"/>
      <c r="W456" s="258"/>
      <c r="X456" s="257"/>
      <c r="Y456" s="258">
        <f>145*6.2*0.6-Q456-O456-M456</f>
        <v>278.61</v>
      </c>
      <c r="Z456" s="257"/>
    </row>
    <row r="457" spans="1:26" ht="15" customHeight="1">
      <c r="A457" s="250"/>
      <c r="B457" s="251"/>
      <c r="C457" s="251"/>
      <c r="D457" s="292" t="s">
        <v>995</v>
      </c>
      <c r="E457" s="251"/>
      <c r="F457" s="252"/>
      <c r="G457" s="253"/>
      <c r="H457" s="254"/>
      <c r="I457" s="253"/>
      <c r="J457" s="253"/>
      <c r="K457" s="251"/>
      <c r="L457" s="255"/>
      <c r="M457" s="258">
        <f>(10+250)*0.5*0.6</f>
        <v>78</v>
      </c>
      <c r="N457" s="257"/>
      <c r="O457" s="258">
        <f>(10+250)*1.3*0.6</f>
        <v>202.79999999999998</v>
      </c>
      <c r="P457" s="257"/>
      <c r="Q457" s="258">
        <f>(10+250)*0.85*0.6</f>
        <v>132.6</v>
      </c>
      <c r="R457" s="257"/>
      <c r="S457" s="258"/>
      <c r="T457" s="257"/>
      <c r="U457" s="258"/>
      <c r="V457" s="257"/>
      <c r="W457" s="258"/>
      <c r="X457" s="257"/>
      <c r="Y457" s="258">
        <f>250*6.2*0.6-Q457-O457-M457</f>
        <v>516.6</v>
      </c>
      <c r="Z457" s="257"/>
    </row>
    <row r="458" spans="1:26" ht="15" customHeight="1">
      <c r="A458" s="250"/>
      <c r="B458" s="251"/>
      <c r="C458" s="251"/>
      <c r="D458" s="292" t="s">
        <v>2498</v>
      </c>
      <c r="E458" s="251"/>
      <c r="F458" s="252"/>
      <c r="G458" s="253"/>
      <c r="H458" s="254"/>
      <c r="I458" s="253"/>
      <c r="J458" s="253"/>
      <c r="K458" s="251"/>
      <c r="L458" s="255"/>
      <c r="M458" s="258">
        <f>(70)*0.5*0.6</f>
        <v>21</v>
      </c>
      <c r="N458" s="257"/>
      <c r="O458" s="258">
        <f>(70)*1.3*0.6</f>
        <v>54.6</v>
      </c>
      <c r="P458" s="257"/>
      <c r="Q458" s="258">
        <f>(70)*0.85*0.6</f>
        <v>35.699999999999996</v>
      </c>
      <c r="R458" s="257"/>
      <c r="S458" s="258"/>
      <c r="T458" s="257"/>
      <c r="U458" s="258"/>
      <c r="V458" s="257"/>
      <c r="W458" s="258"/>
      <c r="X458" s="257"/>
      <c r="Y458" s="258">
        <f>70*3*0.6-Q458-O458-M458</f>
        <v>14.70000000000001</v>
      </c>
      <c r="Z458" s="257"/>
    </row>
    <row r="459" spans="1:26" ht="15" customHeight="1">
      <c r="A459" s="250"/>
      <c r="B459" s="251"/>
      <c r="C459" s="251"/>
      <c r="D459" s="292" t="s">
        <v>2121</v>
      </c>
      <c r="E459" s="251"/>
      <c r="F459" s="252"/>
      <c r="G459" s="253"/>
      <c r="H459" s="254"/>
      <c r="I459" s="253"/>
      <c r="J459" s="253"/>
      <c r="K459" s="251"/>
      <c r="L459" s="255"/>
      <c r="M459" s="258">
        <v>0</v>
      </c>
      <c r="N459" s="257"/>
      <c r="O459" s="258">
        <f>200*0.8*0.4</f>
        <v>64</v>
      </c>
      <c r="P459" s="257"/>
      <c r="Q459" s="258">
        <f>(35*0.6)*0.8*0.6*2+(35*0.6)*0.8*0.6*1+70*0.6*1*1.5*0.6</f>
        <v>68.039999999999992</v>
      </c>
      <c r="R459" s="257"/>
      <c r="S459" s="258"/>
      <c r="T459" s="257"/>
      <c r="U459" s="258"/>
      <c r="V459" s="257"/>
      <c r="W459" s="258"/>
      <c r="X459" s="257"/>
      <c r="Y459" s="258">
        <f>Y242</f>
        <v>161.4</v>
      </c>
      <c r="Z459" s="257"/>
    </row>
    <row r="460" spans="1:26" ht="15" customHeight="1">
      <c r="A460" s="250"/>
      <c r="B460" s="251"/>
      <c r="C460" s="251"/>
      <c r="D460" s="292" t="s">
        <v>2451</v>
      </c>
      <c r="E460" s="251"/>
      <c r="F460" s="252"/>
      <c r="G460" s="253"/>
      <c r="H460" s="254"/>
      <c r="I460" s="253"/>
      <c r="J460" s="253"/>
      <c r="K460" s="251"/>
      <c r="L460" s="256">
        <f>(180+45+70+40)*0.9</f>
        <v>301.5</v>
      </c>
      <c r="M460" s="256"/>
      <c r="N460" s="257"/>
      <c r="O460" s="258"/>
      <c r="P460" s="257"/>
      <c r="Q460" s="258"/>
      <c r="R460" s="257"/>
      <c r="S460" s="258"/>
      <c r="T460" s="257"/>
      <c r="U460" s="258"/>
      <c r="V460" s="257"/>
      <c r="W460" s="258"/>
      <c r="X460" s="257"/>
      <c r="Y460" s="258"/>
      <c r="Z460" s="257"/>
    </row>
    <row r="461" spans="1:26" ht="15" customHeight="1">
      <c r="A461" s="250"/>
      <c r="B461" s="251"/>
      <c r="C461" s="251"/>
      <c r="D461" s="292" t="s">
        <v>2446</v>
      </c>
      <c r="E461" s="251"/>
      <c r="F461" s="252"/>
      <c r="G461" s="253"/>
      <c r="H461" s="254"/>
      <c r="I461" s="253"/>
      <c r="J461" s="253"/>
      <c r="K461" s="251"/>
      <c r="L461" s="256">
        <f>50*0.9</f>
        <v>45</v>
      </c>
      <c r="M461" s="297"/>
      <c r="N461" s="294"/>
      <c r="O461" s="293"/>
      <c r="P461" s="294"/>
      <c r="Q461" s="293"/>
      <c r="R461" s="294"/>
      <c r="S461" s="293"/>
      <c r="T461" s="294"/>
      <c r="U461" s="293"/>
      <c r="V461" s="294"/>
      <c r="W461" s="293"/>
      <c r="X461" s="294"/>
      <c r="Y461" s="293"/>
      <c r="Z461" s="294"/>
    </row>
    <row r="462" spans="1:26" ht="15" customHeight="1">
      <c r="A462" s="250"/>
      <c r="B462" s="251"/>
      <c r="C462" s="251"/>
      <c r="D462" s="292" t="s">
        <v>575</v>
      </c>
      <c r="E462" s="251"/>
      <c r="F462" s="252">
        <f>M462+O462+Q462+S462+U462+W462+Y462</f>
        <v>1888.8400000000001</v>
      </c>
      <c r="G462" s="253">
        <f>L462</f>
        <v>25.99</v>
      </c>
      <c r="H462" s="254">
        <f>INT(F462*G462*100+0.5)/100</f>
        <v>49090.95</v>
      </c>
      <c r="I462" s="253">
        <f>N462+P462+R462+T462+V462+X462+Z462</f>
        <v>49090.96</v>
      </c>
      <c r="J462" s="253"/>
      <c r="K462" s="251"/>
      <c r="L462" s="255">
        <v>25.99</v>
      </c>
      <c r="M462" s="258">
        <f>SUM(M455:M461)</f>
        <v>148.5</v>
      </c>
      <c r="N462" s="257">
        <f>INT($L462*M462*100+0.5)/100</f>
        <v>3859.52</v>
      </c>
      <c r="O462" s="258">
        <f>SUM(O455:O461)</f>
        <v>448.54</v>
      </c>
      <c r="P462" s="257">
        <f>INT($L462*O462*100+0.5)/100</f>
        <v>11657.55</v>
      </c>
      <c r="Q462" s="258">
        <f>SUM(Q455:Q461)</f>
        <v>320.49</v>
      </c>
      <c r="R462" s="257">
        <f>INT($L462*Q462*100+0.5)/100</f>
        <v>8329.5400000000009</v>
      </c>
      <c r="S462" s="258">
        <f>SUM(S455:S461)</f>
        <v>0</v>
      </c>
      <c r="T462" s="257">
        <f>INT($L462*S462*100+0.5)/100</f>
        <v>0</v>
      </c>
      <c r="U462" s="258">
        <f>SUM(U455:U461)</f>
        <v>0</v>
      </c>
      <c r="V462" s="257">
        <f>INT($L462*U462*100+0.5)/100</f>
        <v>0</v>
      </c>
      <c r="W462" s="258">
        <f>SUM(W455:W461)</f>
        <v>0</v>
      </c>
      <c r="X462" s="257">
        <f>INT($L462*W462*100+0.5)/100</f>
        <v>0</v>
      </c>
      <c r="Y462" s="258">
        <f>SUM(Y455:Y461)</f>
        <v>971.31000000000006</v>
      </c>
      <c r="Z462" s="257">
        <f>INT($L462*Y462*100+0.5)/100</f>
        <v>25244.35</v>
      </c>
    </row>
    <row r="463" spans="1:26" ht="15" customHeight="1">
      <c r="A463" s="284"/>
      <c r="B463" s="237"/>
      <c r="C463" s="526"/>
      <c r="D463" s="529"/>
      <c r="E463" s="251"/>
      <c r="F463" s="252"/>
      <c r="G463" s="253"/>
      <c r="H463" s="254"/>
      <c r="I463" s="253"/>
      <c r="J463" s="253"/>
      <c r="K463" s="251"/>
      <c r="L463" s="261"/>
      <c r="M463" s="258"/>
      <c r="N463" s="257"/>
      <c r="O463" s="258"/>
      <c r="P463" s="257"/>
      <c r="Q463" s="258"/>
      <c r="R463" s="257"/>
      <c r="S463" s="258"/>
      <c r="T463" s="257"/>
      <c r="U463" s="258"/>
      <c r="V463" s="257"/>
      <c r="W463" s="258"/>
      <c r="X463" s="257"/>
      <c r="Y463" s="258"/>
      <c r="Z463" s="257"/>
    </row>
    <row r="464" spans="1:26" ht="68.25" customHeight="1">
      <c r="A464" s="250">
        <f>A453+1</f>
        <v>134</v>
      </c>
      <c r="B464" s="251"/>
      <c r="C464" s="647" t="s">
        <v>2352</v>
      </c>
      <c r="D464" s="537" t="s">
        <v>1299</v>
      </c>
      <c r="E464" s="251" t="s">
        <v>2461</v>
      </c>
      <c r="F464" s="252"/>
      <c r="G464" s="253"/>
      <c r="H464" s="254"/>
      <c r="I464" s="253"/>
      <c r="J464" s="253"/>
      <c r="K464" s="251" t="s">
        <v>2461</v>
      </c>
      <c r="L464" s="255"/>
      <c r="M464" s="258"/>
      <c r="N464" s="257"/>
      <c r="O464" s="258"/>
      <c r="P464" s="257"/>
      <c r="Q464" s="258"/>
      <c r="R464" s="257"/>
      <c r="S464" s="258"/>
      <c r="T464" s="257"/>
      <c r="U464" s="258"/>
      <c r="V464" s="257"/>
      <c r="W464" s="258"/>
      <c r="X464" s="257"/>
      <c r="Y464" s="258"/>
      <c r="Z464" s="257"/>
    </row>
    <row r="465" spans="1:26" ht="51">
      <c r="A465" s="250"/>
      <c r="B465" s="251"/>
      <c r="C465" s="648"/>
      <c r="D465" s="538" t="s">
        <v>1524</v>
      </c>
      <c r="E465" s="311"/>
      <c r="F465" s="252"/>
      <c r="G465" s="253"/>
      <c r="H465" s="254"/>
      <c r="I465" s="253"/>
      <c r="J465" s="253"/>
      <c r="K465" s="311"/>
      <c r="L465" s="255"/>
      <c r="M465" s="258"/>
      <c r="N465" s="257"/>
      <c r="O465" s="258"/>
      <c r="P465" s="257"/>
      <c r="Q465" s="258"/>
      <c r="R465" s="257"/>
      <c r="S465" s="258"/>
      <c r="T465" s="257"/>
      <c r="U465" s="258"/>
      <c r="V465" s="257"/>
      <c r="W465" s="258"/>
      <c r="X465" s="257"/>
      <c r="Y465" s="258"/>
      <c r="Z465" s="257"/>
    </row>
    <row r="466" spans="1:26" ht="15" customHeight="1">
      <c r="A466" s="250"/>
      <c r="B466" s="251"/>
      <c r="C466" s="648"/>
      <c r="D466" s="292" t="s">
        <v>993</v>
      </c>
      <c r="E466" s="251"/>
      <c r="F466" s="252"/>
      <c r="G466" s="253"/>
      <c r="H466" s="254"/>
      <c r="I466" s="253"/>
      <c r="J466" s="253"/>
      <c r="K466" s="251"/>
      <c r="L466" s="255"/>
      <c r="M466" s="258">
        <v>0</v>
      </c>
      <c r="N466" s="257"/>
      <c r="O466" s="258"/>
      <c r="P466" s="257"/>
      <c r="Q466" s="258">
        <v>0</v>
      </c>
      <c r="R466" s="257"/>
      <c r="S466" s="258"/>
      <c r="T466" s="257"/>
      <c r="U466" s="258">
        <v>0</v>
      </c>
      <c r="V466" s="257"/>
      <c r="W466" s="258"/>
      <c r="X466" s="258"/>
      <c r="Y466" s="258">
        <v>0</v>
      </c>
      <c r="Z466" s="257"/>
    </row>
    <row r="467" spans="1:26" ht="15" customHeight="1">
      <c r="A467" s="250"/>
      <c r="B467" s="251"/>
      <c r="C467" s="648"/>
      <c r="D467" s="292" t="s">
        <v>994</v>
      </c>
      <c r="E467" s="251"/>
      <c r="F467" s="252"/>
      <c r="G467" s="253"/>
      <c r="H467" s="254"/>
      <c r="I467" s="253"/>
      <c r="J467" s="253"/>
      <c r="K467" s="251"/>
      <c r="L467" s="255"/>
      <c r="M467" s="258">
        <f>(10+145+10)*0.5*0.1</f>
        <v>8.25</v>
      </c>
      <c r="N467" s="257"/>
      <c r="O467" s="258">
        <f>(250+10-97)*(1.3*0.1)</f>
        <v>21.19</v>
      </c>
      <c r="P467" s="257"/>
      <c r="Q467" s="258">
        <f>(10+145+10)*0.85*0.1</f>
        <v>14.025</v>
      </c>
      <c r="R467" s="257"/>
      <c r="S467" s="258"/>
      <c r="T467" s="257"/>
      <c r="U467" s="258">
        <f>(10+145+10)*3*0.05+(10+145+10)*3*0.05</f>
        <v>49.5</v>
      </c>
      <c r="V467" s="257"/>
      <c r="W467" s="258"/>
      <c r="X467" s="258"/>
      <c r="Y467" s="258">
        <f>(10+145+10)*(7.2-2.65)*0.1-Q467-O467-M467</f>
        <v>31.610000000000014</v>
      </c>
      <c r="Z467" s="257"/>
    </row>
    <row r="468" spans="1:26" ht="15" customHeight="1">
      <c r="A468" s="250"/>
      <c r="B468" s="251"/>
      <c r="C468" s="648"/>
      <c r="D468" s="292" t="s">
        <v>995</v>
      </c>
      <c r="E468" s="251"/>
      <c r="F468" s="252"/>
      <c r="G468" s="253"/>
      <c r="H468" s="254"/>
      <c r="I468" s="253"/>
      <c r="J468" s="253"/>
      <c r="K468" s="251"/>
      <c r="L468" s="255"/>
      <c r="M468" s="258">
        <f>(10+250)*0.5*0.1</f>
        <v>13</v>
      </c>
      <c r="N468" s="257"/>
      <c r="O468" s="258">
        <f>(10+250)*1.3*0.1</f>
        <v>33.800000000000004</v>
      </c>
      <c r="P468" s="257"/>
      <c r="Q468" s="258">
        <f>(10+250)*0.85*0.1</f>
        <v>22.1</v>
      </c>
      <c r="R468" s="257"/>
      <c r="S468" s="258"/>
      <c r="T468" s="257"/>
      <c r="U468" s="258">
        <f>(10+250)*3.4*0.05+(10+250)*3.5*0.05</f>
        <v>89.7</v>
      </c>
      <c r="V468" s="257"/>
      <c r="W468" s="258"/>
      <c r="X468" s="258"/>
      <c r="Y468" s="258">
        <f>(10+250)*(6.1-2.65)*0.1-Q468-O468-M468</f>
        <v>20.79999999999999</v>
      </c>
      <c r="Z468" s="257"/>
    </row>
    <row r="469" spans="1:26" ht="15" customHeight="1">
      <c r="A469" s="250"/>
      <c r="B469" s="251"/>
      <c r="C469" s="648"/>
      <c r="D469" s="292" t="s">
        <v>2498</v>
      </c>
      <c r="E469" s="251"/>
      <c r="F469" s="252"/>
      <c r="G469" s="253"/>
      <c r="H469" s="254"/>
      <c r="I469" s="253"/>
      <c r="J469" s="253"/>
      <c r="K469" s="251"/>
      <c r="L469" s="255"/>
      <c r="M469" s="258">
        <f>(70)*0.5*0.1</f>
        <v>3.5</v>
      </c>
      <c r="N469" s="257"/>
      <c r="O469" s="258">
        <f>(70)*1.3*0.1</f>
        <v>9.1</v>
      </c>
      <c r="P469" s="257"/>
      <c r="Q469" s="258">
        <f>(70)*0.85*0.1</f>
        <v>5.95</v>
      </c>
      <c r="R469" s="257"/>
      <c r="S469" s="258"/>
      <c r="T469" s="257"/>
      <c r="U469" s="258">
        <f>(70)*3.4*0.05+(10+250)*3.5*0.05</f>
        <v>57.4</v>
      </c>
      <c r="V469" s="257"/>
      <c r="W469" s="258"/>
      <c r="X469" s="258"/>
      <c r="Y469" s="258">
        <f>(70)*(6.1-2.65)*0.1-Q469-O469-M469</f>
        <v>5.6</v>
      </c>
      <c r="Z469" s="257"/>
    </row>
    <row r="470" spans="1:26" ht="15" customHeight="1">
      <c r="A470" s="250"/>
      <c r="B470" s="251"/>
      <c r="C470" s="648"/>
      <c r="D470" s="292" t="s">
        <v>2446</v>
      </c>
      <c r="E470" s="251"/>
      <c r="F470" s="252"/>
      <c r="G470" s="253"/>
      <c r="H470" s="254"/>
      <c r="I470" s="253"/>
      <c r="J470" s="253"/>
      <c r="K470" s="251"/>
      <c r="L470" s="255"/>
      <c r="M470" s="258">
        <v>0</v>
      </c>
      <c r="N470" s="257"/>
      <c r="O470" s="258">
        <f>100*0.9*0.06</f>
        <v>5.3999999999999995</v>
      </c>
      <c r="P470" s="257"/>
      <c r="Q470" s="258">
        <f>100*0.8*0.06</f>
        <v>4.8</v>
      </c>
      <c r="R470" s="257"/>
      <c r="S470" s="258"/>
      <c r="T470" s="257"/>
      <c r="U470" s="258"/>
      <c r="V470" s="257"/>
      <c r="W470" s="258"/>
      <c r="X470" s="257"/>
      <c r="Y470" s="258"/>
      <c r="Z470" s="257"/>
    </row>
    <row r="471" spans="1:26" ht="15" customHeight="1">
      <c r="A471" s="250"/>
      <c r="B471" s="251"/>
      <c r="C471" s="648"/>
      <c r="D471" s="292" t="s">
        <v>2451</v>
      </c>
      <c r="E471" s="251"/>
      <c r="F471" s="252"/>
      <c r="G471" s="253"/>
      <c r="H471" s="254"/>
      <c r="I471" s="253"/>
      <c r="J471" s="253"/>
      <c r="K471" s="251"/>
      <c r="L471" s="256">
        <f>(180+45+70+40)*0.9*0.1</f>
        <v>30.150000000000002</v>
      </c>
      <c r="M471" s="256"/>
      <c r="N471" s="257"/>
      <c r="O471" s="258"/>
      <c r="P471" s="257"/>
      <c r="Q471" s="258"/>
      <c r="R471" s="257"/>
      <c r="S471" s="258"/>
      <c r="T471" s="257"/>
      <c r="U471" s="258"/>
      <c r="V471" s="257"/>
      <c r="W471" s="258"/>
      <c r="X471" s="257"/>
      <c r="Y471" s="258"/>
      <c r="Z471" s="257"/>
    </row>
    <row r="472" spans="1:26" ht="15" customHeight="1">
      <c r="A472" s="250"/>
      <c r="B472" s="251"/>
      <c r="C472" s="648"/>
      <c r="D472" s="292" t="s">
        <v>2446</v>
      </c>
      <c r="E472" s="251"/>
      <c r="F472" s="252"/>
      <c r="G472" s="253"/>
      <c r="H472" s="254"/>
      <c r="I472" s="253"/>
      <c r="J472" s="253"/>
      <c r="K472" s="251"/>
      <c r="L472" s="256">
        <f>50*0.9*0.1</f>
        <v>4.5</v>
      </c>
      <c r="M472" s="297"/>
      <c r="N472" s="294"/>
      <c r="O472" s="293"/>
      <c r="P472" s="294"/>
      <c r="Q472" s="293"/>
      <c r="R472" s="294"/>
      <c r="S472" s="293"/>
      <c r="T472" s="294"/>
      <c r="U472" s="293"/>
      <c r="V472" s="294"/>
      <c r="W472" s="293"/>
      <c r="X472" s="294"/>
      <c r="Y472" s="293"/>
      <c r="Z472" s="294"/>
    </row>
    <row r="473" spans="1:26" ht="15" customHeight="1">
      <c r="A473" s="250"/>
      <c r="B473" s="251"/>
      <c r="C473" s="648"/>
      <c r="D473" s="292" t="s">
        <v>575</v>
      </c>
      <c r="E473" s="251"/>
      <c r="F473" s="252">
        <f>M473+O473+Q473+S473+U473+W473+Y473</f>
        <v>395.72500000000002</v>
      </c>
      <c r="G473" s="253">
        <f>L473</f>
        <v>47.34</v>
      </c>
      <c r="H473" s="254">
        <f>INT(F473*G473*100+0.5)/100</f>
        <v>18733.62</v>
      </c>
      <c r="I473" s="253">
        <f>N473+P473+R473+T473+V473+X473+Z473</f>
        <v>18733.62</v>
      </c>
      <c r="J473" s="253"/>
      <c r="K473" s="251"/>
      <c r="L473" s="255">
        <v>47.34</v>
      </c>
      <c r="M473" s="258">
        <f>SUM(M466:M472)</f>
        <v>24.75</v>
      </c>
      <c r="N473" s="257">
        <f>INT($L473*M473*100+0.5)/100</f>
        <v>1171.67</v>
      </c>
      <c r="O473" s="258">
        <f>SUM(O466:O472)</f>
        <v>69.490000000000009</v>
      </c>
      <c r="P473" s="257">
        <f>INT($L473*O473*100+0.5)/100</f>
        <v>3289.66</v>
      </c>
      <c r="Q473" s="258">
        <f>SUM(Q466:Q472)</f>
        <v>46.875</v>
      </c>
      <c r="R473" s="257">
        <f>INT($L473*Q473*100+0.5)/100</f>
        <v>2219.06</v>
      </c>
      <c r="S473" s="258">
        <f>SUM(S466:S472)</f>
        <v>0</v>
      </c>
      <c r="T473" s="257">
        <f>INT($L473*S473*100+0.5)/100</f>
        <v>0</v>
      </c>
      <c r="U473" s="258">
        <f>SUM(U466:U472)</f>
        <v>196.6</v>
      </c>
      <c r="V473" s="257">
        <f>INT($L473*U473*100+0.5)/100</f>
        <v>9307.0400000000009</v>
      </c>
      <c r="W473" s="258">
        <f>SUM(W466:W472)</f>
        <v>0</v>
      </c>
      <c r="X473" s="257">
        <f>INT($L473*W473*100+0.5)/100</f>
        <v>0</v>
      </c>
      <c r="Y473" s="258">
        <f>SUM(Y466:Y472)</f>
        <v>58.010000000000005</v>
      </c>
      <c r="Z473" s="257">
        <f>INT($L473*Y473*100+0.5)/100</f>
        <v>2746.19</v>
      </c>
    </row>
    <row r="474" spans="1:26" ht="15" customHeight="1">
      <c r="A474" s="250"/>
      <c r="B474" s="251"/>
      <c r="C474" s="648"/>
      <c r="D474" s="292"/>
      <c r="E474" s="251"/>
      <c r="F474" s="252"/>
      <c r="G474" s="253"/>
      <c r="H474" s="254"/>
      <c r="I474" s="253"/>
      <c r="J474" s="253"/>
      <c r="K474" s="251"/>
      <c r="L474" s="261"/>
      <c r="M474" s="258"/>
      <c r="N474" s="257"/>
      <c r="O474" s="258"/>
      <c r="P474" s="257"/>
      <c r="Q474" s="258"/>
      <c r="R474" s="257"/>
      <c r="S474" s="258"/>
      <c r="T474" s="257"/>
      <c r="U474" s="258"/>
      <c r="V474" s="257"/>
      <c r="W474" s="258"/>
      <c r="X474" s="257"/>
      <c r="Y474" s="258"/>
      <c r="Z474" s="257"/>
    </row>
    <row r="475" spans="1:26" ht="15" customHeight="1">
      <c r="A475" s="312">
        <f>A464+1</f>
        <v>135</v>
      </c>
      <c r="B475" s="311"/>
      <c r="C475" s="658" t="s">
        <v>2353</v>
      </c>
      <c r="D475" s="539" t="s">
        <v>2080</v>
      </c>
      <c r="E475" s="251" t="s">
        <v>2461</v>
      </c>
      <c r="F475" s="252">
        <f>M475+O475+Q475+S475+U475+W475+Y475</f>
        <v>56</v>
      </c>
      <c r="G475" s="253">
        <f>L475</f>
        <v>32.090000000000003</v>
      </c>
      <c r="H475" s="254">
        <f>INT(F475*G475*100+0.5)/100</f>
        <v>1797.04</v>
      </c>
      <c r="I475" s="253">
        <f>N475+P475+R475+T475+V475+X475+Z475</f>
        <v>1797.0399999999997</v>
      </c>
      <c r="J475" s="253"/>
      <c r="K475" s="251" t="s">
        <v>2461</v>
      </c>
      <c r="L475" s="255">
        <v>32.090000000000003</v>
      </c>
      <c r="M475" s="458">
        <v>12</v>
      </c>
      <c r="N475" s="257">
        <f>INT($L475*M475*100+0.5)/100</f>
        <v>385.08</v>
      </c>
      <c r="O475" s="458">
        <v>20</v>
      </c>
      <c r="P475" s="257">
        <f>INT($L475*O475*100+0.5)/100</f>
        <v>641.79999999999995</v>
      </c>
      <c r="Q475" s="458">
        <v>6</v>
      </c>
      <c r="R475" s="257">
        <f>INT($L475*Q475*100+0.5)/100</f>
        <v>192.54</v>
      </c>
      <c r="S475" s="258">
        <f>S162</f>
        <v>0</v>
      </c>
      <c r="T475" s="257">
        <f>INT($L475*S475*100+0.5)/100</f>
        <v>0</v>
      </c>
      <c r="U475" s="458">
        <v>6</v>
      </c>
      <c r="V475" s="257">
        <f>INT($L475*U475*100+0.5)/100</f>
        <v>192.54</v>
      </c>
      <c r="W475" s="258">
        <v>0</v>
      </c>
      <c r="X475" s="257">
        <f>INT($L475*W475*100+0.5)/100</f>
        <v>0</v>
      </c>
      <c r="Y475" s="458">
        <v>12</v>
      </c>
      <c r="Z475" s="257">
        <f>INT($L475*Y475*100+0.5)/100</f>
        <v>385.08</v>
      </c>
    </row>
    <row r="476" spans="1:26" ht="15" customHeight="1">
      <c r="A476" s="312"/>
      <c r="B476" s="311"/>
      <c r="C476" s="538"/>
      <c r="D476" s="539" t="s">
        <v>2079</v>
      </c>
      <c r="E476" s="311"/>
      <c r="F476" s="252"/>
      <c r="G476" s="253"/>
      <c r="H476" s="254"/>
      <c r="I476" s="222"/>
      <c r="J476" s="222"/>
      <c r="K476" s="311"/>
      <c r="L476" s="261"/>
      <c r="M476" s="258"/>
      <c r="N476" s="257"/>
      <c r="O476" s="258"/>
      <c r="P476" s="257"/>
      <c r="Q476" s="258"/>
      <c r="R476" s="257"/>
      <c r="S476" s="258"/>
      <c r="T476" s="257"/>
      <c r="U476" s="258"/>
      <c r="V476" s="257"/>
      <c r="W476" s="258"/>
      <c r="X476" s="257"/>
      <c r="Y476" s="258"/>
      <c r="Z476" s="257"/>
    </row>
    <row r="477" spans="1:26" ht="15" customHeight="1">
      <c r="A477" s="312"/>
      <c r="B477" s="311"/>
      <c r="C477" s="538"/>
      <c r="D477" s="313"/>
      <c r="E477" s="311"/>
      <c r="F477" s="252"/>
      <c r="G477" s="253"/>
      <c r="H477" s="254"/>
      <c r="I477" s="222"/>
      <c r="J477" s="222"/>
      <c r="K477" s="311"/>
      <c r="L477" s="261"/>
      <c r="M477" s="258"/>
      <c r="N477" s="257"/>
      <c r="O477" s="258"/>
      <c r="P477" s="257"/>
      <c r="Q477" s="258"/>
      <c r="R477" s="257"/>
      <c r="S477" s="258"/>
      <c r="T477" s="257"/>
      <c r="U477" s="258"/>
      <c r="V477" s="257"/>
      <c r="W477" s="258"/>
      <c r="X477" s="257"/>
      <c r="Y477" s="258"/>
      <c r="Z477" s="257"/>
    </row>
    <row r="478" spans="1:26" ht="15" customHeight="1">
      <c r="A478" s="250">
        <f>A475+1</f>
        <v>136</v>
      </c>
      <c r="B478" s="251"/>
      <c r="C478" s="647" t="s">
        <v>2354</v>
      </c>
      <c r="D478" s="526" t="s">
        <v>1789</v>
      </c>
      <c r="E478" s="251" t="s">
        <v>2461</v>
      </c>
      <c r="F478" s="252"/>
      <c r="G478" s="253"/>
      <c r="H478" s="254"/>
      <c r="I478" s="253"/>
      <c r="J478" s="253"/>
      <c r="K478" s="251" t="s">
        <v>2461</v>
      </c>
      <c r="L478" s="255"/>
      <c r="M478" s="258"/>
      <c r="N478" s="257"/>
      <c r="O478" s="258"/>
      <c r="P478" s="257"/>
      <c r="Q478" s="258"/>
      <c r="R478" s="257"/>
      <c r="S478" s="258"/>
      <c r="T478" s="257"/>
      <c r="U478" s="258"/>
      <c r="V478" s="257"/>
      <c r="W478" s="258"/>
      <c r="X478" s="257"/>
      <c r="Y478" s="258"/>
      <c r="Z478" s="257"/>
    </row>
    <row r="479" spans="1:26" ht="25.5">
      <c r="A479" s="250"/>
      <c r="B479" s="251"/>
      <c r="C479" s="648"/>
      <c r="D479" s="526" t="s">
        <v>12</v>
      </c>
      <c r="E479" s="311"/>
      <c r="F479" s="252"/>
      <c r="G479" s="253"/>
      <c r="H479" s="254"/>
      <c r="I479" s="253"/>
      <c r="J479" s="253"/>
      <c r="K479" s="311"/>
      <c r="L479" s="255"/>
      <c r="M479" s="258"/>
      <c r="N479" s="257"/>
      <c r="O479" s="258"/>
      <c r="P479" s="257"/>
      <c r="Q479" s="258"/>
      <c r="R479" s="257"/>
      <c r="S479" s="258"/>
      <c r="T479" s="257"/>
      <c r="U479" s="258"/>
      <c r="V479" s="257"/>
      <c r="W479" s="258"/>
      <c r="X479" s="257"/>
      <c r="Y479" s="258"/>
      <c r="Z479" s="257"/>
    </row>
    <row r="480" spans="1:26" ht="15" customHeight="1">
      <c r="A480" s="250"/>
      <c r="B480" s="251"/>
      <c r="C480" s="648"/>
      <c r="D480" s="292" t="s">
        <v>1899</v>
      </c>
      <c r="E480" s="251"/>
      <c r="F480" s="252"/>
      <c r="G480" s="253"/>
      <c r="H480" s="254"/>
      <c r="I480" s="253"/>
      <c r="J480" s="253"/>
      <c r="K480" s="251"/>
      <c r="L480" s="255"/>
      <c r="M480" s="293">
        <v>0</v>
      </c>
      <c r="N480" s="294"/>
      <c r="O480" s="293">
        <v>0</v>
      </c>
      <c r="P480" s="294"/>
      <c r="Q480" s="293">
        <v>0</v>
      </c>
      <c r="R480" s="294"/>
      <c r="S480" s="293">
        <v>0</v>
      </c>
      <c r="T480" s="294"/>
      <c r="U480" s="293">
        <v>0</v>
      </c>
      <c r="V480" s="294"/>
      <c r="W480" s="293">
        <v>0</v>
      </c>
      <c r="X480" s="294"/>
      <c r="Y480" s="293">
        <v>0</v>
      </c>
      <c r="Z480" s="294"/>
    </row>
    <row r="481" spans="1:26" ht="15" customHeight="1">
      <c r="A481" s="250"/>
      <c r="B481" s="251"/>
      <c r="C481" s="648"/>
      <c r="D481" s="292" t="s">
        <v>1904</v>
      </c>
      <c r="E481" s="251"/>
      <c r="F481" s="252">
        <f>M481+O481+Q481+S481+U481+W481+Y481</f>
        <v>220</v>
      </c>
      <c r="G481" s="253">
        <f>L481</f>
        <v>24.85</v>
      </c>
      <c r="H481" s="254">
        <f>INT(F481*G481*100+0.5)/100</f>
        <v>5467</v>
      </c>
      <c r="I481" s="253">
        <f>N481+P481+R481+T481+V481+X481+Z481</f>
        <v>5467</v>
      </c>
      <c r="J481" s="253"/>
      <c r="K481" s="251"/>
      <c r="L481" s="255">
        <v>24.85</v>
      </c>
      <c r="M481" s="458">
        <v>60</v>
      </c>
      <c r="N481" s="257">
        <f>INT($L481*M481*100+0.5)/100</f>
        <v>1491</v>
      </c>
      <c r="O481" s="458">
        <v>100</v>
      </c>
      <c r="P481" s="257">
        <f>INT($L481*O481*100+0.5)/100</f>
        <v>2485</v>
      </c>
      <c r="Q481" s="458">
        <v>60</v>
      </c>
      <c r="R481" s="257">
        <f>INT($L481*Q481*100+0.5)/100</f>
        <v>1491</v>
      </c>
      <c r="S481" s="258">
        <f>INT(SUM(S480:S480)*100+0.5)/100</f>
        <v>0</v>
      </c>
      <c r="T481" s="257">
        <f>INT($L481*S481*100+0.5)/100</f>
        <v>0</v>
      </c>
      <c r="U481" s="258">
        <f>INT(SUM(U480:U480)*100+0.5)/100</f>
        <v>0</v>
      </c>
      <c r="V481" s="257">
        <f>INT($L481*U481*100+0.5)/100</f>
        <v>0</v>
      </c>
      <c r="W481" s="258">
        <f>INT(SUM(W480:W480)*100+0.5)/100</f>
        <v>0</v>
      </c>
      <c r="X481" s="257">
        <f>INT($L481*W481*100+0.5)/100</f>
        <v>0</v>
      </c>
      <c r="Y481" s="258">
        <f>INT(SUM(Y480:Y480)*100+0.5)/100</f>
        <v>0</v>
      </c>
      <c r="Z481" s="257">
        <f>INT($L481*Y481*100+0.5)/100</f>
        <v>0</v>
      </c>
    </row>
    <row r="482" spans="1:26" ht="15" customHeight="1">
      <c r="A482" s="250"/>
      <c r="B482" s="251"/>
      <c r="C482" s="648"/>
      <c r="D482" s="292"/>
      <c r="E482" s="251"/>
      <c r="F482" s="252"/>
      <c r="G482" s="253"/>
      <c r="H482" s="254"/>
      <c r="I482" s="253"/>
      <c r="J482" s="253"/>
      <c r="K482" s="251"/>
      <c r="L482" s="255"/>
      <c r="M482" s="258"/>
      <c r="N482" s="257"/>
      <c r="O482" s="258"/>
      <c r="P482" s="257"/>
      <c r="Q482" s="258"/>
      <c r="R482" s="257"/>
      <c r="S482" s="258"/>
      <c r="T482" s="257"/>
      <c r="U482" s="258"/>
      <c r="V482" s="257"/>
      <c r="W482" s="258"/>
      <c r="X482" s="257"/>
      <c r="Y482" s="258"/>
      <c r="Z482" s="257"/>
    </row>
    <row r="483" spans="1:26" ht="15" customHeight="1">
      <c r="A483" s="250">
        <f>A478+1</f>
        <v>137</v>
      </c>
      <c r="B483" s="251"/>
      <c r="C483" s="647" t="s">
        <v>2355</v>
      </c>
      <c r="D483" s="526" t="s">
        <v>1051</v>
      </c>
      <c r="E483" s="251" t="s">
        <v>1898</v>
      </c>
      <c r="F483" s="252">
        <f>M483+O483+Q483+S483+U483+W483+Y483</f>
        <v>0</v>
      </c>
      <c r="G483" s="253">
        <f>L483</f>
        <v>5.48</v>
      </c>
      <c r="H483" s="254">
        <f>INT(F483*G483*100+0.5)/100</f>
        <v>0</v>
      </c>
      <c r="I483" s="253">
        <f>N483+P483+R483+T483+V483+X483+Z483</f>
        <v>0</v>
      </c>
      <c r="J483" s="253"/>
      <c r="K483" s="251" t="s">
        <v>1898</v>
      </c>
      <c r="L483" s="255">
        <v>5.48</v>
      </c>
      <c r="M483" s="258">
        <v>0</v>
      </c>
      <c r="N483" s="257">
        <f>INT($L483*M483*100+0.5)/100</f>
        <v>0</v>
      </c>
      <c r="O483" s="258">
        <v>0</v>
      </c>
      <c r="P483" s="257">
        <f>INT($L483*O483*100+0.5)/100</f>
        <v>0</v>
      </c>
      <c r="Q483" s="258">
        <v>0</v>
      </c>
      <c r="R483" s="257">
        <f>INT($L483*Q483*100+0.5)/100</f>
        <v>0</v>
      </c>
      <c r="S483" s="258">
        <v>0</v>
      </c>
      <c r="T483" s="257">
        <f>INT($L483*S483*100+0.5)/100</f>
        <v>0</v>
      </c>
      <c r="U483" s="258">
        <v>0</v>
      </c>
      <c r="V483" s="257">
        <f>INT($L483*U483*100+0.5)/100</f>
        <v>0</v>
      </c>
      <c r="W483" s="258">
        <v>0</v>
      </c>
      <c r="X483" s="257">
        <f>INT($L483*W483*100+0.5)/100</f>
        <v>0</v>
      </c>
      <c r="Y483" s="258">
        <v>0</v>
      </c>
      <c r="Z483" s="257">
        <f>INT($L483*Y483*100+0.5)/100</f>
        <v>0</v>
      </c>
    </row>
    <row r="484" spans="1:26" ht="15" customHeight="1">
      <c r="A484" s="250"/>
      <c r="B484" s="251"/>
      <c r="C484" s="648"/>
      <c r="D484" s="526" t="s">
        <v>356</v>
      </c>
      <c r="E484" s="251"/>
      <c r="F484" s="252"/>
      <c r="G484" s="253"/>
      <c r="H484" s="254"/>
      <c r="I484" s="253"/>
      <c r="J484" s="253"/>
      <c r="K484" s="251"/>
      <c r="L484" s="255"/>
      <c r="M484" s="258"/>
      <c r="N484" s="257"/>
      <c r="O484" s="258"/>
      <c r="P484" s="257"/>
      <c r="Q484" s="258"/>
      <c r="R484" s="257"/>
      <c r="S484" s="258"/>
      <c r="T484" s="257"/>
      <c r="U484" s="258"/>
      <c r="V484" s="257"/>
      <c r="W484" s="258"/>
      <c r="X484" s="257"/>
      <c r="Y484" s="258"/>
      <c r="Z484" s="257"/>
    </row>
    <row r="485" spans="1:26" ht="15" customHeight="1">
      <c r="A485" s="250"/>
      <c r="B485" s="251"/>
      <c r="C485" s="648"/>
      <c r="D485" s="292"/>
      <c r="E485" s="251"/>
      <c r="F485" s="252"/>
      <c r="G485" s="253"/>
      <c r="H485" s="254"/>
      <c r="I485" s="253"/>
      <c r="J485" s="253"/>
      <c r="K485" s="251"/>
      <c r="L485" s="255"/>
      <c r="M485" s="258"/>
      <c r="N485" s="257"/>
      <c r="O485" s="258"/>
      <c r="P485" s="257"/>
      <c r="Q485" s="258"/>
      <c r="R485" s="257"/>
      <c r="S485" s="258"/>
      <c r="T485" s="257"/>
      <c r="U485" s="258"/>
      <c r="V485" s="257"/>
      <c r="W485" s="258"/>
      <c r="X485" s="257"/>
      <c r="Y485" s="258"/>
      <c r="Z485" s="257"/>
    </row>
    <row r="486" spans="1:26" ht="15">
      <c r="A486" s="250">
        <f>A483+1</f>
        <v>138</v>
      </c>
      <c r="B486" s="251"/>
      <c r="C486" s="647" t="s">
        <v>2356</v>
      </c>
      <c r="D486" s="526" t="s">
        <v>1371</v>
      </c>
      <c r="E486" s="251" t="s">
        <v>1898</v>
      </c>
      <c r="F486" s="252">
        <f>M486+O486+Q486+S486+U486+W486+Y486</f>
        <v>0</v>
      </c>
      <c r="G486" s="253">
        <f>L486</f>
        <v>1.1299999999999999</v>
      </c>
      <c r="H486" s="254">
        <f>INT(F486*G486*100+0.5)/100</f>
        <v>0</v>
      </c>
      <c r="I486" s="253">
        <f>N486+P486+R486+T486+V486+X486+Z486</f>
        <v>0</v>
      </c>
      <c r="J486" s="253"/>
      <c r="K486" s="251" t="s">
        <v>1898</v>
      </c>
      <c r="L486" s="255">
        <v>1.1299999999999999</v>
      </c>
      <c r="M486" s="258">
        <f>SUM(M129:M131)</f>
        <v>0</v>
      </c>
      <c r="N486" s="257">
        <f>INT($L486*M486*100+0.5)/100</f>
        <v>0</v>
      </c>
      <c r="O486" s="258">
        <f>SUM(O129:O131)</f>
        <v>0</v>
      </c>
      <c r="P486" s="257">
        <f>INT($L486*O486*100+0.5)/100</f>
        <v>0</v>
      </c>
      <c r="Q486" s="258">
        <f>SUM(Q129:Q131)</f>
        <v>0</v>
      </c>
      <c r="R486" s="257">
        <f>INT($L486*Q486*100+0.5)/100</f>
        <v>0</v>
      </c>
      <c r="S486" s="258">
        <f>SUM(S129:S131)</f>
        <v>0</v>
      </c>
      <c r="T486" s="257">
        <f>INT($L486*S486*100+0.5)/100</f>
        <v>0</v>
      </c>
      <c r="U486" s="258">
        <f>SUM(U129:U131)</f>
        <v>0</v>
      </c>
      <c r="V486" s="257">
        <f>INT($L486*U486*100+0.5)/100</f>
        <v>0</v>
      </c>
      <c r="W486" s="258">
        <f>SUM(W129:W131)</f>
        <v>0</v>
      </c>
      <c r="X486" s="257">
        <f>INT($L486*W486*100+0.5)/100</f>
        <v>0</v>
      </c>
      <c r="Y486" s="258">
        <f>SUM(Y129:Y131)</f>
        <v>0</v>
      </c>
      <c r="Z486" s="257">
        <f>INT($L486*Y486*100+0.5)/100</f>
        <v>0</v>
      </c>
    </row>
    <row r="487" spans="1:26" ht="25.5">
      <c r="A487" s="250"/>
      <c r="B487" s="251"/>
      <c r="C487" s="648"/>
      <c r="D487" s="526" t="s">
        <v>1370</v>
      </c>
      <c r="E487" s="251"/>
      <c r="F487" s="252"/>
      <c r="G487" s="253"/>
      <c r="H487" s="254"/>
      <c r="I487" s="253"/>
      <c r="J487" s="253"/>
      <c r="K487" s="251"/>
      <c r="L487" s="255"/>
      <c r="M487" s="258"/>
      <c r="N487" s="257"/>
      <c r="O487" s="258"/>
      <c r="P487" s="257"/>
      <c r="Q487" s="258"/>
      <c r="R487" s="257"/>
      <c r="S487" s="258"/>
      <c r="T487" s="257"/>
      <c r="U487" s="258"/>
      <c r="V487" s="257"/>
      <c r="W487" s="258"/>
      <c r="X487" s="257"/>
      <c r="Y487" s="258"/>
      <c r="Z487" s="257"/>
    </row>
    <row r="488" spans="1:26" ht="15" customHeight="1">
      <c r="A488" s="250"/>
      <c r="B488" s="251"/>
      <c r="C488" s="648"/>
      <c r="D488" s="292"/>
      <c r="E488" s="251"/>
      <c r="F488" s="252"/>
      <c r="G488" s="253"/>
      <c r="H488" s="254"/>
      <c r="I488" s="253"/>
      <c r="J488" s="253"/>
      <c r="K488" s="251"/>
      <c r="L488" s="255"/>
      <c r="M488" s="258"/>
      <c r="N488" s="257"/>
      <c r="O488" s="258"/>
      <c r="P488" s="257"/>
      <c r="Q488" s="258"/>
      <c r="R488" s="257"/>
      <c r="S488" s="258"/>
      <c r="T488" s="257"/>
      <c r="U488" s="258"/>
      <c r="V488" s="257"/>
      <c r="W488" s="258"/>
      <c r="X488" s="257"/>
      <c r="Y488" s="258"/>
      <c r="Z488" s="257"/>
    </row>
    <row r="489" spans="1:26" ht="25.5">
      <c r="A489" s="250">
        <f>A486+1</f>
        <v>139</v>
      </c>
      <c r="B489" s="251"/>
      <c r="C489" s="647" t="s">
        <v>2357</v>
      </c>
      <c r="D489" s="526" t="s">
        <v>493</v>
      </c>
      <c r="E489" s="251" t="s">
        <v>1898</v>
      </c>
      <c r="F489" s="252">
        <f>M489+O489+Q489+S489+U489+W489+Y489</f>
        <v>0</v>
      </c>
      <c r="G489" s="253">
        <f>L489</f>
        <v>4.72</v>
      </c>
      <c r="H489" s="254">
        <f>INT(F489*G489*100+0.5)/100</f>
        <v>0</v>
      </c>
      <c r="I489" s="253">
        <f>N489+P489+R489+T489+V489+X489+Z489</f>
        <v>0</v>
      </c>
      <c r="J489" s="253"/>
      <c r="K489" s="251" t="s">
        <v>1898</v>
      </c>
      <c r="L489" s="255">
        <v>4.72</v>
      </c>
      <c r="M489" s="258">
        <v>0</v>
      </c>
      <c r="N489" s="257">
        <f>INT($L489*M489*100+0.5)/100</f>
        <v>0</v>
      </c>
      <c r="O489" s="258">
        <v>0</v>
      </c>
      <c r="P489" s="257">
        <f>INT($L489*O489*100+0.5)/100</f>
        <v>0</v>
      </c>
      <c r="Q489" s="258">
        <v>0</v>
      </c>
      <c r="R489" s="257">
        <f>INT($L489*Q489*100+0.5)/100</f>
        <v>0</v>
      </c>
      <c r="S489" s="258">
        <v>0</v>
      </c>
      <c r="T489" s="257">
        <f>INT($L489*S489*100+0.5)/100</f>
        <v>0</v>
      </c>
      <c r="U489" s="258">
        <v>0</v>
      </c>
      <c r="V489" s="257">
        <f>INT($L489*U489*100+0.5)/100</f>
        <v>0</v>
      </c>
      <c r="W489" s="258">
        <v>0</v>
      </c>
      <c r="X489" s="257">
        <f>INT($L489*W489*100+0.5)/100</f>
        <v>0</v>
      </c>
      <c r="Y489" s="258">
        <v>0</v>
      </c>
      <c r="Z489" s="257">
        <f>INT($L489*Y489*100+0.5)/100</f>
        <v>0</v>
      </c>
    </row>
    <row r="490" spans="1:26" ht="25.5">
      <c r="A490" s="250"/>
      <c r="B490" s="251"/>
      <c r="C490" s="526"/>
      <c r="D490" s="526" t="s">
        <v>1803</v>
      </c>
      <c r="E490" s="251"/>
      <c r="F490" s="252"/>
      <c r="G490" s="253"/>
      <c r="H490" s="254"/>
      <c r="I490" s="253"/>
      <c r="J490" s="253"/>
      <c r="K490" s="251"/>
      <c r="L490" s="255"/>
      <c r="M490" s="258"/>
      <c r="N490" s="257"/>
      <c r="O490" s="258"/>
      <c r="P490" s="257"/>
      <c r="Q490" s="258"/>
      <c r="R490" s="257"/>
      <c r="S490" s="258"/>
      <c r="T490" s="257"/>
      <c r="U490" s="258"/>
      <c r="V490" s="257"/>
      <c r="W490" s="258"/>
      <c r="X490" s="257"/>
      <c r="Y490" s="258"/>
      <c r="Z490" s="257"/>
    </row>
    <row r="491" spans="1:26" ht="15" customHeight="1">
      <c r="A491" s="250"/>
      <c r="B491" s="251"/>
      <c r="C491" s="526"/>
      <c r="D491" s="292"/>
      <c r="E491" s="251"/>
      <c r="F491" s="252"/>
      <c r="G491" s="253"/>
      <c r="H491" s="254"/>
      <c r="I491" s="253"/>
      <c r="J491" s="253"/>
      <c r="K491" s="251"/>
      <c r="L491" s="255"/>
      <c r="M491" s="258"/>
      <c r="N491" s="257"/>
      <c r="O491" s="258"/>
      <c r="P491" s="257"/>
      <c r="Q491" s="258"/>
      <c r="R491" s="257"/>
      <c r="S491" s="258"/>
      <c r="T491" s="257"/>
      <c r="U491" s="258"/>
      <c r="V491" s="257"/>
      <c r="W491" s="258"/>
      <c r="X491" s="257"/>
      <c r="Y491" s="258"/>
      <c r="Z491" s="257"/>
    </row>
    <row r="492" spans="1:26" ht="25.5">
      <c r="A492" s="250">
        <f>A489+1</f>
        <v>140</v>
      </c>
      <c r="B492" s="251"/>
      <c r="C492" s="647" t="s">
        <v>2358</v>
      </c>
      <c r="D492" s="526" t="s">
        <v>495</v>
      </c>
      <c r="E492" s="251" t="s">
        <v>1898</v>
      </c>
      <c r="F492" s="252">
        <f>M492+O492+Q492+S492+U492+W492+Y492</f>
        <v>0</v>
      </c>
      <c r="G492" s="253">
        <f>L492</f>
        <v>4.17</v>
      </c>
      <c r="H492" s="254">
        <f>INT(F492*G492*100+0.5)/100</f>
        <v>0</v>
      </c>
      <c r="I492" s="253">
        <f>N492+P492+R492+T492+V492+X492+Z492</f>
        <v>0</v>
      </c>
      <c r="J492" s="253"/>
      <c r="K492" s="251" t="s">
        <v>1898</v>
      </c>
      <c r="L492" s="255">
        <v>4.17</v>
      </c>
      <c r="M492" s="258">
        <f>M130</f>
        <v>0</v>
      </c>
      <c r="N492" s="257">
        <f>INT($L492*M492*100+0.5)/100</f>
        <v>0</v>
      </c>
      <c r="O492" s="258">
        <f>O130</f>
        <v>0</v>
      </c>
      <c r="P492" s="257">
        <f>INT($L492*O492*100+0.5)/100</f>
        <v>0</v>
      </c>
      <c r="Q492" s="258">
        <f>Q130</f>
        <v>0</v>
      </c>
      <c r="R492" s="257">
        <f>INT($L492*Q492*100+0.5)/100</f>
        <v>0</v>
      </c>
      <c r="S492" s="258">
        <f>S130</f>
        <v>0</v>
      </c>
      <c r="T492" s="257">
        <f>INT($L492*S492*100+0.5)/100</f>
        <v>0</v>
      </c>
      <c r="U492" s="258">
        <f>U130</f>
        <v>0</v>
      </c>
      <c r="V492" s="257">
        <f>INT($L492*U492*100+0.5)/100</f>
        <v>0</v>
      </c>
      <c r="W492" s="258">
        <f>W130</f>
        <v>0</v>
      </c>
      <c r="X492" s="257">
        <f>INT($L492*W492*100+0.5)/100</f>
        <v>0</v>
      </c>
      <c r="Y492" s="258">
        <f>Y130</f>
        <v>0</v>
      </c>
      <c r="Z492" s="257">
        <f>INT($L492*Y492*100+0.5)/100</f>
        <v>0</v>
      </c>
    </row>
    <row r="493" spans="1:26" ht="25.5">
      <c r="A493" s="250"/>
      <c r="B493" s="251"/>
      <c r="C493" s="647"/>
      <c r="D493" s="526" t="s">
        <v>494</v>
      </c>
      <c r="E493" s="251"/>
      <c r="F493" s="252"/>
      <c r="G493" s="253"/>
      <c r="H493" s="254"/>
      <c r="I493" s="253"/>
      <c r="J493" s="253"/>
      <c r="K493" s="251"/>
      <c r="L493" s="255"/>
      <c r="M493" s="258"/>
      <c r="N493" s="257"/>
      <c r="O493" s="258"/>
      <c r="P493" s="257"/>
      <c r="Q493" s="258"/>
      <c r="R493" s="257"/>
      <c r="S493" s="258"/>
      <c r="T493" s="257"/>
      <c r="U493" s="258"/>
      <c r="V493" s="257"/>
      <c r="W493" s="258"/>
      <c r="X493" s="257"/>
      <c r="Y493" s="258"/>
      <c r="Z493" s="257"/>
    </row>
    <row r="494" spans="1:26" ht="15">
      <c r="A494" s="250"/>
      <c r="B494" s="251"/>
      <c r="C494" s="647"/>
      <c r="D494" s="292"/>
      <c r="E494" s="251"/>
      <c r="F494" s="252"/>
      <c r="G494" s="253"/>
      <c r="H494" s="254"/>
      <c r="I494" s="253"/>
      <c r="J494" s="253"/>
      <c r="K494" s="251"/>
      <c r="L494" s="255"/>
      <c r="M494" s="258"/>
      <c r="N494" s="257"/>
      <c r="O494" s="258"/>
      <c r="P494" s="257"/>
      <c r="Q494" s="258"/>
      <c r="R494" s="257"/>
      <c r="S494" s="258"/>
      <c r="T494" s="257"/>
      <c r="U494" s="258"/>
      <c r="V494" s="257"/>
      <c r="W494" s="258"/>
      <c r="X494" s="257"/>
      <c r="Y494" s="258"/>
      <c r="Z494" s="257"/>
    </row>
    <row r="495" spans="1:26" ht="15" customHeight="1">
      <c r="A495" s="250">
        <f>A492+1</f>
        <v>141</v>
      </c>
      <c r="B495" s="251"/>
      <c r="C495" s="647" t="s">
        <v>1791</v>
      </c>
      <c r="D495" s="526" t="s">
        <v>1793</v>
      </c>
      <c r="E495" s="251" t="s">
        <v>2461</v>
      </c>
      <c r="F495" s="252">
        <f>M495+O495+Q495+S495+U495+W495+Y495</f>
        <v>0</v>
      </c>
      <c r="G495" s="253">
        <f>L495</f>
        <v>7.49</v>
      </c>
      <c r="H495" s="244">
        <f>INT(F495*G495*100+0.5)/100</f>
        <v>0</v>
      </c>
      <c r="I495" s="253">
        <f>N495+P495+R495+T495+V495+X495+Z495</f>
        <v>0</v>
      </c>
      <c r="J495" s="240"/>
      <c r="K495" s="251" t="s">
        <v>2461</v>
      </c>
      <c r="L495" s="255">
        <v>7.49</v>
      </c>
      <c r="M495" s="289">
        <v>0</v>
      </c>
      <c r="N495" s="245">
        <f>INT($L495*M495*100+0.5)/100</f>
        <v>0</v>
      </c>
      <c r="O495" s="289">
        <v>0</v>
      </c>
      <c r="P495" s="245">
        <f>INT($L495*O495*100+0.5)/100</f>
        <v>0</v>
      </c>
      <c r="Q495" s="289">
        <v>0</v>
      </c>
      <c r="R495" s="245">
        <f>INT($L495*Q495*100+0.5)/100</f>
        <v>0</v>
      </c>
      <c r="S495" s="289">
        <v>0</v>
      </c>
      <c r="T495" s="245">
        <f>INT($L495*S495*100+0.5)/100</f>
        <v>0</v>
      </c>
      <c r="U495" s="289">
        <v>0</v>
      </c>
      <c r="V495" s="245">
        <f>INT($L495*U495*100+0.5)/100</f>
        <v>0</v>
      </c>
      <c r="W495" s="289">
        <v>0</v>
      </c>
      <c r="X495" s="245">
        <f>INT($L495*W495*100+0.5)/100</f>
        <v>0</v>
      </c>
      <c r="Y495" s="289">
        <v>0</v>
      </c>
      <c r="Z495" s="245">
        <f>INT($L495*Y495*100+0.5)/100</f>
        <v>0</v>
      </c>
    </row>
    <row r="496" spans="1:26" ht="15" customHeight="1">
      <c r="A496" s="250"/>
      <c r="B496" s="251"/>
      <c r="C496" s="647"/>
      <c r="D496" s="526" t="s">
        <v>1792</v>
      </c>
      <c r="E496" s="251"/>
      <c r="F496" s="252"/>
      <c r="G496" s="253"/>
      <c r="H496" s="254"/>
      <c r="I496" s="253"/>
      <c r="J496" s="253"/>
      <c r="K496" s="251"/>
      <c r="L496" s="255"/>
      <c r="M496" s="258"/>
      <c r="N496" s="257"/>
      <c r="O496" s="258"/>
      <c r="P496" s="257"/>
      <c r="Q496" s="258"/>
      <c r="R496" s="257"/>
      <c r="S496" s="258"/>
      <c r="T496" s="257"/>
      <c r="U496" s="258"/>
      <c r="V496" s="257"/>
      <c r="W496" s="258"/>
      <c r="X496" s="257"/>
      <c r="Y496" s="258"/>
      <c r="Z496" s="257"/>
    </row>
    <row r="497" spans="1:26" ht="15" customHeight="1">
      <c r="A497" s="250"/>
      <c r="B497" s="251"/>
      <c r="C497" s="647"/>
      <c r="D497" s="292"/>
      <c r="E497" s="251"/>
      <c r="F497" s="252"/>
      <c r="G497" s="253"/>
      <c r="H497" s="254"/>
      <c r="I497" s="253"/>
      <c r="J497" s="253"/>
      <c r="K497" s="251"/>
      <c r="L497" s="255"/>
      <c r="M497" s="258"/>
      <c r="N497" s="257"/>
      <c r="O497" s="258"/>
      <c r="P497" s="257"/>
      <c r="Q497" s="258"/>
      <c r="R497" s="257"/>
      <c r="S497" s="258"/>
      <c r="T497" s="257"/>
      <c r="U497" s="258"/>
      <c r="V497" s="257"/>
      <c r="W497" s="258"/>
      <c r="X497" s="257"/>
      <c r="Y497" s="258"/>
      <c r="Z497" s="257"/>
    </row>
    <row r="498" spans="1:26" ht="15" customHeight="1">
      <c r="A498" s="250">
        <f>A495+1</f>
        <v>142</v>
      </c>
      <c r="B498" s="251"/>
      <c r="C498" s="647" t="s">
        <v>683</v>
      </c>
      <c r="D498" s="526" t="s">
        <v>2359</v>
      </c>
      <c r="E498" s="251" t="s">
        <v>591</v>
      </c>
      <c r="F498" s="252">
        <f>M498+O498+Q498+S498+U498+W498+Y498</f>
        <v>6929.6515200000013</v>
      </c>
      <c r="G498" s="253">
        <f>L498</f>
        <v>3.52</v>
      </c>
      <c r="H498" s="244">
        <f>INT(F498*G498*100+0.5)/100</f>
        <v>24392.37</v>
      </c>
      <c r="I498" s="253">
        <f>N498+P498+R498+T498+V498+X498+Z498</f>
        <v>24392.36</v>
      </c>
      <c r="J498" s="240"/>
      <c r="K498" s="251" t="s">
        <v>591</v>
      </c>
      <c r="L498" s="255">
        <v>3.52</v>
      </c>
      <c r="M498" s="289">
        <f>M245*0.66*1.8</f>
        <v>541.72800000000007</v>
      </c>
      <c r="N498" s="245">
        <f>INT($L498*M498*100+0.5)/100</f>
        <v>1906.88</v>
      </c>
      <c r="O498" s="289">
        <f>O245*0.66*1.8</f>
        <v>1418.4720000000002</v>
      </c>
      <c r="P498" s="245">
        <f>INT($L498*O498*100+0.5)/100</f>
        <v>4993.0200000000004</v>
      </c>
      <c r="Q498" s="289">
        <f>Q245*0.66*1.8</f>
        <v>916.83900000000006</v>
      </c>
      <c r="R498" s="245">
        <f>INT($L498*Q498*100+0.5)/100</f>
        <v>3227.27</v>
      </c>
      <c r="S498" s="289">
        <f>S245*0.66*1.8</f>
        <v>51.321600000000011</v>
      </c>
      <c r="T498" s="245">
        <f>INT($L498*S498*100+0.5)/100</f>
        <v>180.65</v>
      </c>
      <c r="U498" s="289">
        <f>U245*0.66*1.8</f>
        <v>1079.5356000000002</v>
      </c>
      <c r="V498" s="245">
        <f>INT($L498*U498*100+0.5)/100</f>
        <v>3799.97</v>
      </c>
      <c r="W498" s="289">
        <f>W245*0.66*1.8</f>
        <v>90.097920000000002</v>
      </c>
      <c r="X498" s="245">
        <f>INT($L498*W498*100+0.5)/100</f>
        <v>317.14</v>
      </c>
      <c r="Y498" s="289">
        <f>Y245*0.66*1.8</f>
        <v>2831.6574000000005</v>
      </c>
      <c r="Z498" s="245">
        <f>INT($L498*Y498*100+0.5)/100</f>
        <v>9967.43</v>
      </c>
    </row>
    <row r="499" spans="1:26" ht="38.25">
      <c r="A499" s="250"/>
      <c r="B499" s="251"/>
      <c r="C499" s="526"/>
      <c r="D499" s="526" t="s">
        <v>2374</v>
      </c>
      <c r="E499" s="251"/>
      <c r="F499" s="252"/>
      <c r="G499" s="253"/>
      <c r="H499" s="254"/>
      <c r="I499" s="253"/>
      <c r="J499" s="253"/>
      <c r="K499" s="251"/>
      <c r="L499" s="255"/>
      <c r="M499" s="258"/>
      <c r="N499" s="257"/>
      <c r="O499" s="258"/>
      <c r="P499" s="257"/>
      <c r="Q499" s="258"/>
      <c r="R499" s="257"/>
      <c r="S499" s="258"/>
      <c r="T499" s="257"/>
      <c r="U499" s="258"/>
      <c r="V499" s="257"/>
      <c r="W499" s="258"/>
      <c r="X499" s="257"/>
      <c r="Y499" s="258"/>
      <c r="Z499" s="257"/>
    </row>
    <row r="500" spans="1:26" ht="15" customHeight="1">
      <c r="A500" s="250"/>
      <c r="B500" s="251"/>
      <c r="C500" s="526"/>
      <c r="D500" s="292"/>
      <c r="E500" s="251"/>
      <c r="F500" s="252"/>
      <c r="G500" s="253"/>
      <c r="H500" s="254"/>
      <c r="I500" s="253"/>
      <c r="J500" s="253"/>
      <c r="K500" s="251"/>
      <c r="L500" s="255"/>
      <c r="M500" s="258"/>
      <c r="N500" s="257"/>
      <c r="O500" s="258"/>
      <c r="P500" s="257"/>
      <c r="Q500" s="258"/>
      <c r="R500" s="257"/>
      <c r="S500" s="258"/>
      <c r="T500" s="257"/>
      <c r="U500" s="258"/>
      <c r="V500" s="257"/>
      <c r="W500" s="258"/>
      <c r="X500" s="257"/>
      <c r="Y500" s="258"/>
      <c r="Z500" s="257"/>
    </row>
    <row r="501" spans="1:26" ht="15" customHeight="1">
      <c r="A501" s="250">
        <f>A498+1</f>
        <v>143</v>
      </c>
      <c r="B501" s="251"/>
      <c r="C501" s="647" t="s">
        <v>2375</v>
      </c>
      <c r="D501" s="526" t="s">
        <v>2360</v>
      </c>
      <c r="E501" s="251" t="s">
        <v>591</v>
      </c>
      <c r="F501" s="252">
        <f>M501+O501+Q501+S501+U501+W501+Y501</f>
        <v>3355.0229400000003</v>
      </c>
      <c r="G501" s="253">
        <f>L501</f>
        <v>1.66</v>
      </c>
      <c r="H501" s="244">
        <f>INT(F501*G501*100+0.5)/100</f>
        <v>5569.34</v>
      </c>
      <c r="I501" s="253">
        <f>N501+P501+R501+T501+V501+X501+Z501</f>
        <v>5569.33</v>
      </c>
      <c r="J501" s="240"/>
      <c r="K501" s="251" t="s">
        <v>591</v>
      </c>
      <c r="L501" s="255">
        <v>1.66</v>
      </c>
      <c r="M501" s="289">
        <f>M245*0.33*1.7</f>
        <v>255.81600000000003</v>
      </c>
      <c r="N501" s="245">
        <f>INT($L501*M501*100+0.5)/100</f>
        <v>424.65</v>
      </c>
      <c r="O501" s="289">
        <f>O245*0.33*1.7</f>
        <v>669.83400000000006</v>
      </c>
      <c r="P501" s="245">
        <f>INT($L501*O501*100+0.5)/100</f>
        <v>1111.92</v>
      </c>
      <c r="Q501" s="289">
        <f>Q245*0.33*1.7</f>
        <v>432.95175</v>
      </c>
      <c r="R501" s="245">
        <f>INT($L501*Q501*100+0.5)/100</f>
        <v>718.7</v>
      </c>
      <c r="S501" s="289">
        <f>S245*0.33*1.7</f>
        <v>24.235200000000003</v>
      </c>
      <c r="T501" s="245">
        <f>INT($L501*S501*100+0.5)/100</f>
        <v>40.229999999999997</v>
      </c>
      <c r="U501" s="289">
        <f>U245*0.33*1.7+U171*0.3*0.15*2.5*50/100</f>
        <v>592.46820000000002</v>
      </c>
      <c r="V501" s="245">
        <f>INT($L501*U501*100+0.5)/100</f>
        <v>983.5</v>
      </c>
      <c r="W501" s="289">
        <f>W245*0.33*1.7</f>
        <v>42.546239999999997</v>
      </c>
      <c r="X501" s="245">
        <f>INT($L501*W501*100+0.5)/100</f>
        <v>70.63</v>
      </c>
      <c r="Y501" s="289">
        <f>Y245*0.33*1.7</f>
        <v>1337.1715500000003</v>
      </c>
      <c r="Z501" s="245">
        <f>INT($L501*Y501*100+0.5)/100</f>
        <v>2219.6999999999998</v>
      </c>
    </row>
    <row r="502" spans="1:26" ht="38.25">
      <c r="A502" s="250"/>
      <c r="B502" s="251"/>
      <c r="C502" s="526"/>
      <c r="D502" s="526" t="s">
        <v>2377</v>
      </c>
      <c r="E502" s="251"/>
      <c r="F502" s="252"/>
      <c r="G502" s="253"/>
      <c r="H502" s="254"/>
      <c r="I502" s="253"/>
      <c r="J502" s="253"/>
      <c r="K502" s="251"/>
      <c r="L502" s="255"/>
      <c r="M502" s="258"/>
      <c r="N502" s="257"/>
      <c r="O502" s="258"/>
      <c r="P502" s="257"/>
      <c r="Q502" s="258"/>
      <c r="R502" s="257"/>
      <c r="S502" s="258"/>
      <c r="T502" s="257"/>
      <c r="U502" s="258"/>
      <c r="V502" s="257"/>
      <c r="W502" s="258"/>
      <c r="X502" s="257"/>
      <c r="Y502" s="258"/>
      <c r="Z502" s="257"/>
    </row>
    <row r="503" spans="1:26" ht="15" customHeight="1">
      <c r="A503" s="250"/>
      <c r="B503" s="251"/>
      <c r="C503" s="526"/>
      <c r="D503" s="292"/>
      <c r="E503" s="251"/>
      <c r="F503" s="252"/>
      <c r="G503" s="253"/>
      <c r="H503" s="254"/>
      <c r="I503" s="253"/>
      <c r="J503" s="253"/>
      <c r="K503" s="251"/>
      <c r="L503" s="255"/>
      <c r="M503" s="258"/>
      <c r="N503" s="257"/>
      <c r="O503" s="258"/>
      <c r="P503" s="257"/>
      <c r="Q503" s="258"/>
      <c r="R503" s="257"/>
      <c r="S503" s="258"/>
      <c r="T503" s="257"/>
      <c r="U503" s="258"/>
      <c r="V503" s="257"/>
      <c r="W503" s="258"/>
      <c r="X503" s="257"/>
      <c r="Y503" s="258"/>
      <c r="Z503" s="257"/>
    </row>
    <row r="504" spans="1:26" ht="15">
      <c r="A504" s="250">
        <f>A501+1</f>
        <v>144</v>
      </c>
      <c r="B504" s="251"/>
      <c r="C504" s="647" t="s">
        <v>2376</v>
      </c>
      <c r="D504" s="677" t="s">
        <v>2361</v>
      </c>
      <c r="E504" s="251" t="s">
        <v>591</v>
      </c>
      <c r="F504" s="252">
        <f>M504+O504+Q504+S504+U504+W504+Y504</f>
        <v>153</v>
      </c>
      <c r="G504" s="253">
        <f>L504</f>
        <v>7.53</v>
      </c>
      <c r="H504" s="244">
        <f>INT(F504*G504*100+0.5)/100</f>
        <v>1152.0899999999999</v>
      </c>
      <c r="I504" s="253">
        <f>N504+P504+R504+T504+V504+X504+Z504</f>
        <v>1152.0899999999999</v>
      </c>
      <c r="J504" s="240"/>
      <c r="K504" s="251" t="s">
        <v>591</v>
      </c>
      <c r="L504" s="255">
        <v>7.53</v>
      </c>
      <c r="M504" s="464">
        <v>50</v>
      </c>
      <c r="N504" s="245">
        <f>INT($L504*M504*100+0.5)/100</f>
        <v>376.5</v>
      </c>
      <c r="O504" s="464">
        <v>60</v>
      </c>
      <c r="P504" s="245">
        <f>INT($L504*O504*100+0.5)/100</f>
        <v>451.8</v>
      </c>
      <c r="Q504" s="464">
        <v>25</v>
      </c>
      <c r="R504" s="245">
        <f>INT($L504*Q504*100+0.5)/100</f>
        <v>188.25</v>
      </c>
      <c r="S504" s="289">
        <v>0</v>
      </c>
      <c r="T504" s="245">
        <f>INT($L504*S504*100+0.5)/100</f>
        <v>0</v>
      </c>
      <c r="U504" s="464">
        <v>6</v>
      </c>
      <c r="V504" s="245">
        <f>INT($L504*U504*100+0.5)/100</f>
        <v>45.18</v>
      </c>
      <c r="W504" s="289">
        <v>0</v>
      </c>
      <c r="X504" s="245">
        <f>INT($L504*W504*100+0.5)/100</f>
        <v>0</v>
      </c>
      <c r="Y504" s="464">
        <v>12</v>
      </c>
      <c r="Z504" s="245">
        <f>INT($L504*Y504*100+0.5)/100</f>
        <v>90.36</v>
      </c>
    </row>
    <row r="505" spans="1:26" ht="38.25">
      <c r="A505" s="250"/>
      <c r="B505" s="251"/>
      <c r="C505" s="526"/>
      <c r="D505" s="526" t="s">
        <v>1949</v>
      </c>
      <c r="E505" s="251"/>
      <c r="F505" s="252"/>
      <c r="G505" s="253"/>
      <c r="H505" s="254"/>
      <c r="I505" s="253"/>
      <c r="J505" s="253"/>
      <c r="K505" s="251"/>
      <c r="L505" s="255"/>
      <c r="M505" s="258"/>
      <c r="N505" s="257"/>
      <c r="O505" s="258"/>
      <c r="P505" s="257"/>
      <c r="Q505" s="258"/>
      <c r="R505" s="257"/>
      <c r="S505" s="258"/>
      <c r="T505" s="257"/>
      <c r="U505" s="258"/>
      <c r="V505" s="257"/>
      <c r="W505" s="258"/>
      <c r="X505" s="257"/>
      <c r="Y505" s="258"/>
      <c r="Z505" s="257"/>
    </row>
    <row r="506" spans="1:26" s="247" customFormat="1" ht="15" customHeight="1">
      <c r="A506" s="284"/>
      <c r="B506" s="237"/>
      <c r="C506" s="532"/>
      <c r="D506" s="238"/>
      <c r="E506" s="237"/>
      <c r="F506" s="304"/>
      <c r="G506" s="253"/>
      <c r="H506" s="244"/>
      <c r="I506" s="240"/>
      <c r="J506" s="240"/>
      <c r="K506" s="237"/>
      <c r="L506" s="306"/>
      <c r="M506" s="289"/>
      <c r="N506" s="245"/>
      <c r="O506" s="289"/>
      <c r="P506" s="245"/>
      <c r="Q506" s="289"/>
      <c r="R506" s="245"/>
      <c r="S506" s="289"/>
      <c r="T506" s="245"/>
      <c r="U506" s="289"/>
      <c r="V506" s="245"/>
      <c r="W506" s="289"/>
      <c r="X506" s="245"/>
      <c r="Y506" s="289"/>
      <c r="Z506" s="245"/>
    </row>
    <row r="507" spans="1:26" ht="15" customHeight="1">
      <c r="A507" s="250">
        <f>A504+1</f>
        <v>145</v>
      </c>
      <c r="B507" s="251"/>
      <c r="C507" s="647" t="s">
        <v>1950</v>
      </c>
      <c r="D507" s="677" t="s">
        <v>2362</v>
      </c>
      <c r="E507" s="251" t="s">
        <v>591</v>
      </c>
      <c r="F507" s="252">
        <f>M507+O507+Q507+S507+U507+W507+Y507</f>
        <v>1532.7314999999999</v>
      </c>
      <c r="G507" s="253">
        <f>L507</f>
        <v>8.61</v>
      </c>
      <c r="H507" s="244">
        <f>INT(F507*G507*100+0.5)/100</f>
        <v>13196.82</v>
      </c>
      <c r="I507" s="253">
        <f>N507+P507+R507+T507+V507+X507+Z507</f>
        <v>13196.8</v>
      </c>
      <c r="J507" s="240"/>
      <c r="K507" s="251" t="s">
        <v>591</v>
      </c>
      <c r="L507" s="255">
        <v>8.61</v>
      </c>
      <c r="M507" s="289">
        <f>M380*23*8/1000+M393*23*15/1000</f>
        <v>71.760000000000005</v>
      </c>
      <c r="N507" s="245">
        <f>INT($L507*M507*100+0.5)/100</f>
        <v>617.85</v>
      </c>
      <c r="O507" s="289">
        <f>O380*23*8/1000+O393*23*15/1000</f>
        <v>265.029</v>
      </c>
      <c r="P507" s="245">
        <f>INT($L507*O507*100+0.5)/100</f>
        <v>2281.9</v>
      </c>
      <c r="Q507" s="289">
        <f>Q380*23*8/1000+Q393*23*15/1000</f>
        <v>198.78899999999999</v>
      </c>
      <c r="R507" s="245">
        <f>INT($L507*Q507*100+0.5)/100</f>
        <v>1711.57</v>
      </c>
      <c r="S507" s="289">
        <f>S380*23*8/1000+S393*23*15/1000</f>
        <v>0</v>
      </c>
      <c r="T507" s="245">
        <f>INT($L507*S507*100+0.5)/100</f>
        <v>0</v>
      </c>
      <c r="U507" s="289">
        <f>U380*23*8/1000</f>
        <v>494.08416</v>
      </c>
      <c r="V507" s="245">
        <f>INT($L507*U507*100+0.5)/100</f>
        <v>4254.0600000000004</v>
      </c>
      <c r="W507" s="289">
        <f>W380*23*8/1000+W393*23*15/1000</f>
        <v>20.931840000000001</v>
      </c>
      <c r="X507" s="245">
        <f>INT($L507*W507*100+0.5)/100</f>
        <v>180.22</v>
      </c>
      <c r="Y507" s="289">
        <f>Y380*23*8/1000+Y393*23*15/1000</f>
        <v>482.13749999999999</v>
      </c>
      <c r="Z507" s="245">
        <f>INT($L507*Y507*100+0.5)/100</f>
        <v>4151.2</v>
      </c>
    </row>
    <row r="508" spans="1:26" ht="25.5">
      <c r="A508" s="250"/>
      <c r="B508" s="251"/>
      <c r="C508" s="526"/>
      <c r="D508" s="526" t="s">
        <v>1951</v>
      </c>
      <c r="E508" s="251"/>
      <c r="F508" s="252"/>
      <c r="G508" s="253"/>
      <c r="H508" s="254"/>
      <c r="I508" s="253"/>
      <c r="J508" s="253"/>
      <c r="K508" s="251"/>
      <c r="L508" s="255"/>
      <c r="M508" s="258"/>
      <c r="N508" s="257"/>
      <c r="O508" s="258"/>
      <c r="P508" s="257"/>
      <c r="Q508" s="258"/>
      <c r="R508" s="257"/>
      <c r="S508" s="258"/>
      <c r="T508" s="257"/>
      <c r="U508" s="258"/>
      <c r="V508" s="257"/>
      <c r="W508" s="258"/>
      <c r="X508" s="257"/>
      <c r="Y508" s="258"/>
      <c r="Z508" s="257"/>
    </row>
    <row r="509" spans="1:26" s="247" customFormat="1" ht="15" customHeight="1">
      <c r="A509" s="284"/>
      <c r="B509" s="237"/>
      <c r="C509" s="654"/>
      <c r="D509" s="238"/>
      <c r="E509" s="237"/>
      <c r="F509" s="304"/>
      <c r="G509" s="253"/>
      <c r="H509" s="244"/>
      <c r="I509" s="240"/>
      <c r="J509" s="240"/>
      <c r="K509" s="237"/>
      <c r="L509" s="306"/>
      <c r="M509" s="289"/>
      <c r="N509" s="245"/>
      <c r="O509" s="289"/>
      <c r="P509" s="245"/>
      <c r="Q509" s="289"/>
      <c r="R509" s="245"/>
      <c r="S509" s="289"/>
      <c r="T509" s="245"/>
      <c r="U509" s="289"/>
      <c r="V509" s="245"/>
      <c r="W509" s="289"/>
      <c r="X509" s="245"/>
      <c r="Y509" s="289"/>
      <c r="Z509" s="245"/>
    </row>
    <row r="510" spans="1:26" ht="25.5">
      <c r="A510" s="250">
        <f>A507+1</f>
        <v>146</v>
      </c>
      <c r="B510" s="251"/>
      <c r="C510" s="647" t="s">
        <v>1952</v>
      </c>
      <c r="D510" s="526" t="s">
        <v>2363</v>
      </c>
      <c r="E510" s="251" t="s">
        <v>591</v>
      </c>
      <c r="F510" s="252">
        <f>M510+O510+Q510+S510+U510+W510+Y510</f>
        <v>8.5</v>
      </c>
      <c r="G510" s="253">
        <f>L510</f>
        <v>42.8</v>
      </c>
      <c r="H510" s="244">
        <f>INT(F510*G510*100+0.5)/100</f>
        <v>363.8</v>
      </c>
      <c r="I510" s="253">
        <f>N510+P510+R510+T510+V510+X510+Z510</f>
        <v>363.79999999999995</v>
      </c>
      <c r="J510" s="240"/>
      <c r="K510" s="251" t="s">
        <v>591</v>
      </c>
      <c r="L510" s="255">
        <v>42.8</v>
      </c>
      <c r="M510" s="464">
        <v>2.5</v>
      </c>
      <c r="N510" s="245">
        <f>INT($L510*M510*100+0.5)/100</f>
        <v>107</v>
      </c>
      <c r="O510" s="464">
        <v>3</v>
      </c>
      <c r="P510" s="245">
        <f>INT($L510*O510*100+0.5)/100</f>
        <v>128.4</v>
      </c>
      <c r="Q510" s="464">
        <v>1</v>
      </c>
      <c r="R510" s="245">
        <f>INT($L510*Q510*100+0.5)/100</f>
        <v>42.8</v>
      </c>
      <c r="S510" s="289">
        <v>0</v>
      </c>
      <c r="T510" s="245">
        <f>INT($L510*S510*100+0.5)/100</f>
        <v>0</v>
      </c>
      <c r="U510" s="289">
        <v>0</v>
      </c>
      <c r="V510" s="245">
        <f>INT($L510*U510*100+0.5)/100</f>
        <v>0</v>
      </c>
      <c r="W510" s="289">
        <v>0</v>
      </c>
      <c r="X510" s="245">
        <f>INT($L510*W510*100+0.5)/100</f>
        <v>0</v>
      </c>
      <c r="Y510" s="464">
        <v>2</v>
      </c>
      <c r="Z510" s="245">
        <f>INT($L510*Y510*100+0.5)/100</f>
        <v>85.6</v>
      </c>
    </row>
    <row r="511" spans="1:26" ht="25.5">
      <c r="A511" s="250"/>
      <c r="B511" s="251"/>
      <c r="C511" s="526"/>
      <c r="D511" s="526" t="s">
        <v>1953</v>
      </c>
      <c r="E511" s="251"/>
      <c r="F511" s="252"/>
      <c r="G511" s="253"/>
      <c r="H511" s="254"/>
      <c r="I511" s="253"/>
      <c r="J511" s="253"/>
      <c r="K511" s="251"/>
      <c r="L511" s="255"/>
      <c r="M511" s="458"/>
      <c r="N511" s="257"/>
      <c r="O511" s="458"/>
      <c r="P511" s="257"/>
      <c r="Q511" s="458"/>
      <c r="R511" s="257"/>
      <c r="S511" s="258"/>
      <c r="T511" s="257"/>
      <c r="U511" s="258"/>
      <c r="V511" s="257"/>
      <c r="W511" s="258"/>
      <c r="X511" s="257"/>
      <c r="Y511" s="458"/>
      <c r="Z511" s="257"/>
    </row>
    <row r="512" spans="1:26" ht="15" customHeight="1">
      <c r="A512" s="250"/>
      <c r="B512" s="251"/>
      <c r="C512" s="526"/>
      <c r="D512" s="292"/>
      <c r="E512" s="251"/>
      <c r="F512" s="252"/>
      <c r="G512" s="253"/>
      <c r="H512" s="254"/>
      <c r="I512" s="253"/>
      <c r="J512" s="253"/>
      <c r="K512" s="251"/>
      <c r="L512" s="255"/>
      <c r="M512" s="458"/>
      <c r="N512" s="257"/>
      <c r="O512" s="458"/>
      <c r="P512" s="257"/>
      <c r="Q512" s="458"/>
      <c r="R512" s="257"/>
      <c r="S512" s="258"/>
      <c r="T512" s="257"/>
      <c r="U512" s="258"/>
      <c r="V512" s="257"/>
      <c r="W512" s="258"/>
      <c r="X512" s="257"/>
      <c r="Y512" s="458"/>
      <c r="Z512" s="257"/>
    </row>
    <row r="513" spans="1:26" ht="25.5">
      <c r="A513" s="250">
        <f>A510+1</f>
        <v>147</v>
      </c>
      <c r="B513" s="251"/>
      <c r="C513" s="647" t="s">
        <v>1954</v>
      </c>
      <c r="D513" s="526" t="s">
        <v>2364</v>
      </c>
      <c r="E513" s="251" t="s">
        <v>591</v>
      </c>
      <c r="F513" s="252">
        <f>M513+O513+Q513+S513+U513+W513+Y513</f>
        <v>8.5</v>
      </c>
      <c r="G513" s="253">
        <f>L513</f>
        <v>58.7</v>
      </c>
      <c r="H513" s="244">
        <f>INT(F513*G513*100+0.5)/100</f>
        <v>498.95</v>
      </c>
      <c r="I513" s="253">
        <f>N513+P513+R513+T513+V513+X513+Z513</f>
        <v>498.95000000000005</v>
      </c>
      <c r="J513" s="240"/>
      <c r="K513" s="251" t="s">
        <v>591</v>
      </c>
      <c r="L513" s="255">
        <v>58.7</v>
      </c>
      <c r="M513" s="464">
        <v>2.5</v>
      </c>
      <c r="N513" s="245">
        <f>INT($L513*M513*100+0.5)/100</f>
        <v>146.75</v>
      </c>
      <c r="O513" s="464">
        <v>3</v>
      </c>
      <c r="P513" s="245">
        <f>INT($L513*O513*100+0.5)/100</f>
        <v>176.1</v>
      </c>
      <c r="Q513" s="464">
        <v>1</v>
      </c>
      <c r="R513" s="245">
        <f>INT($L513*Q513*100+0.5)/100</f>
        <v>58.7</v>
      </c>
      <c r="S513" s="289">
        <v>0</v>
      </c>
      <c r="T513" s="245">
        <f>INT($L513*S513*100+0.5)/100</f>
        <v>0</v>
      </c>
      <c r="U513" s="289">
        <v>0</v>
      </c>
      <c r="V513" s="245">
        <f>INT($L513*U513*100+0.5)/100</f>
        <v>0</v>
      </c>
      <c r="W513" s="289">
        <v>0</v>
      </c>
      <c r="X513" s="245">
        <f>INT($L513*W513*100+0.5)/100</f>
        <v>0</v>
      </c>
      <c r="Y513" s="464">
        <v>2</v>
      </c>
      <c r="Z513" s="245">
        <f>INT($L513*Y513*100+0.5)/100</f>
        <v>117.4</v>
      </c>
    </row>
    <row r="514" spans="1:26" ht="25.5">
      <c r="A514" s="250"/>
      <c r="B514" s="251"/>
      <c r="C514" s="526"/>
      <c r="D514" s="526" t="s">
        <v>1955</v>
      </c>
      <c r="E514" s="251"/>
      <c r="F514" s="252"/>
      <c r="G514" s="253"/>
      <c r="H514" s="254"/>
      <c r="I514" s="253"/>
      <c r="J514" s="253"/>
      <c r="K514" s="251"/>
      <c r="L514" s="255"/>
      <c r="M514" s="458"/>
      <c r="N514" s="257"/>
      <c r="O514" s="458"/>
      <c r="P514" s="257"/>
      <c r="Q514" s="458"/>
      <c r="R514" s="257"/>
      <c r="S514" s="258"/>
      <c r="T514" s="257"/>
      <c r="U514" s="258"/>
      <c r="V514" s="257"/>
      <c r="W514" s="258"/>
      <c r="X514" s="257"/>
      <c r="Y514" s="458"/>
      <c r="Z514" s="257"/>
    </row>
    <row r="515" spans="1:26" ht="15" customHeight="1">
      <c r="A515" s="250"/>
      <c r="B515" s="251"/>
      <c r="C515" s="526"/>
      <c r="D515" s="292"/>
      <c r="E515" s="251"/>
      <c r="F515" s="252"/>
      <c r="G515" s="253"/>
      <c r="H515" s="254"/>
      <c r="I515" s="253"/>
      <c r="J515" s="253"/>
      <c r="K515" s="251"/>
      <c r="L515" s="255"/>
      <c r="M515" s="458"/>
      <c r="N515" s="257"/>
      <c r="O515" s="458"/>
      <c r="P515" s="257"/>
      <c r="Q515" s="458"/>
      <c r="R515" s="257"/>
      <c r="S515" s="258"/>
      <c r="T515" s="257"/>
      <c r="U515" s="258"/>
      <c r="V515" s="257"/>
      <c r="W515" s="258"/>
      <c r="X515" s="257"/>
      <c r="Y515" s="458"/>
      <c r="Z515" s="257"/>
    </row>
    <row r="516" spans="1:26" ht="25.5">
      <c r="A516" s="250">
        <f>A513+1</f>
        <v>148</v>
      </c>
      <c r="B516" s="251"/>
      <c r="C516" s="647" t="s">
        <v>1956</v>
      </c>
      <c r="D516" s="526" t="s">
        <v>2365</v>
      </c>
      <c r="E516" s="251" t="s">
        <v>591</v>
      </c>
      <c r="F516" s="252">
        <f>M516+O516+Q516+S516+U516+W516+Y516</f>
        <v>8.5</v>
      </c>
      <c r="G516" s="253">
        <f>L516</f>
        <v>192.48</v>
      </c>
      <c r="H516" s="244">
        <f>INT(F516*G516*100+0.5)/100</f>
        <v>1636.08</v>
      </c>
      <c r="I516" s="253">
        <f>N516+P516+R516+T516+V516+X516+Z516</f>
        <v>1636.0800000000002</v>
      </c>
      <c r="J516" s="240"/>
      <c r="K516" s="251" t="s">
        <v>591</v>
      </c>
      <c r="L516" s="255">
        <v>192.48</v>
      </c>
      <c r="M516" s="464">
        <v>2.5</v>
      </c>
      <c r="N516" s="245">
        <f>INT($L516*M516*100+0.5)/100</f>
        <v>481.2</v>
      </c>
      <c r="O516" s="464">
        <v>3</v>
      </c>
      <c r="P516" s="245">
        <f>INT($L516*O516*100+0.5)/100</f>
        <v>577.44000000000005</v>
      </c>
      <c r="Q516" s="464">
        <v>1</v>
      </c>
      <c r="R516" s="245">
        <f>INT($L516*Q516*100+0.5)/100</f>
        <v>192.48</v>
      </c>
      <c r="S516" s="289">
        <v>0</v>
      </c>
      <c r="T516" s="245">
        <f>INT($L516*S516*100+0.5)/100</f>
        <v>0</v>
      </c>
      <c r="U516" s="289">
        <v>0</v>
      </c>
      <c r="V516" s="245">
        <f>INT($L516*U516*100+0.5)/100</f>
        <v>0</v>
      </c>
      <c r="W516" s="289">
        <v>0</v>
      </c>
      <c r="X516" s="245">
        <f>INT($L516*W516*100+0.5)/100</f>
        <v>0</v>
      </c>
      <c r="Y516" s="464">
        <v>2</v>
      </c>
      <c r="Z516" s="245">
        <f>INT($L516*Y516*100+0.5)/100</f>
        <v>384.96</v>
      </c>
    </row>
    <row r="517" spans="1:26" ht="38.25">
      <c r="A517" s="250"/>
      <c r="B517" s="251"/>
      <c r="C517" s="526"/>
      <c r="D517" s="526" t="s">
        <v>1957</v>
      </c>
      <c r="E517" s="251"/>
      <c r="F517" s="252"/>
      <c r="G517" s="253"/>
      <c r="H517" s="254"/>
      <c r="I517" s="253"/>
      <c r="J517" s="253"/>
      <c r="K517" s="251"/>
      <c r="L517" s="255"/>
      <c r="M517" s="458"/>
      <c r="N517" s="257"/>
      <c r="O517" s="458"/>
      <c r="P517" s="257"/>
      <c r="Q517" s="458"/>
      <c r="R517" s="257"/>
      <c r="S517" s="258"/>
      <c r="T517" s="257"/>
      <c r="U517" s="258"/>
      <c r="V517" s="257"/>
      <c r="W517" s="258"/>
      <c r="X517" s="257"/>
      <c r="Y517" s="458"/>
      <c r="Z517" s="257"/>
    </row>
    <row r="518" spans="1:26" ht="15" customHeight="1">
      <c r="A518" s="250"/>
      <c r="B518" s="251"/>
      <c r="C518" s="526"/>
      <c r="D518" s="292"/>
      <c r="E518" s="251"/>
      <c r="F518" s="252"/>
      <c r="G518" s="253"/>
      <c r="H518" s="254"/>
      <c r="I518" s="253"/>
      <c r="J518" s="253"/>
      <c r="K518" s="251"/>
      <c r="L518" s="255"/>
      <c r="M518" s="458"/>
      <c r="N518" s="257"/>
      <c r="O518" s="258"/>
      <c r="P518" s="257"/>
      <c r="Q518" s="258"/>
      <c r="R518" s="257"/>
      <c r="S518" s="258"/>
      <c r="T518" s="257"/>
      <c r="U518" s="258"/>
      <c r="V518" s="257"/>
      <c r="W518" s="258"/>
      <c r="X518" s="257"/>
      <c r="Y518" s="458"/>
      <c r="Z518" s="257"/>
    </row>
    <row r="519" spans="1:26" ht="25.5">
      <c r="A519" s="250">
        <f>A516+1</f>
        <v>149</v>
      </c>
      <c r="B519" s="251"/>
      <c r="C519" s="647" t="s">
        <v>1958</v>
      </c>
      <c r="D519" s="526" t="s">
        <v>2366</v>
      </c>
      <c r="E519" s="251" t="s">
        <v>591</v>
      </c>
      <c r="F519" s="252">
        <f>M519+O519+Q519+S519+U519+W519+Y519</f>
        <v>4</v>
      </c>
      <c r="G519" s="253">
        <f>L519</f>
        <v>136.96</v>
      </c>
      <c r="H519" s="244">
        <f>INT(F519*G519*100+0.5)/100</f>
        <v>547.84</v>
      </c>
      <c r="I519" s="253">
        <f>N519+P519+R519+T519+V519+X519+Z519</f>
        <v>547.84</v>
      </c>
      <c r="J519" s="240"/>
      <c r="K519" s="251" t="s">
        <v>591</v>
      </c>
      <c r="L519" s="255">
        <v>136.96</v>
      </c>
      <c r="M519" s="464">
        <v>1</v>
      </c>
      <c r="N519" s="245">
        <f>INT($L519*M519*100+0.5)/100</f>
        <v>136.96</v>
      </c>
      <c r="O519" s="464">
        <v>1</v>
      </c>
      <c r="P519" s="245">
        <f>INT($L519*O519*100+0.5)/100</f>
        <v>136.96</v>
      </c>
      <c r="Q519" s="464">
        <v>1</v>
      </c>
      <c r="R519" s="245">
        <f>INT($L519*Q519*100+0.5)/100</f>
        <v>136.96</v>
      </c>
      <c r="S519" s="289">
        <v>0</v>
      </c>
      <c r="T519" s="245">
        <f>INT($L519*S519*100+0.5)/100</f>
        <v>0</v>
      </c>
      <c r="U519" s="289">
        <v>0</v>
      </c>
      <c r="V519" s="245">
        <f>INT($L519*U519*100+0.5)/100</f>
        <v>0</v>
      </c>
      <c r="W519" s="289">
        <v>0</v>
      </c>
      <c r="X519" s="245">
        <f>INT($L519*W519*100+0.5)/100</f>
        <v>0</v>
      </c>
      <c r="Y519" s="464">
        <v>1</v>
      </c>
      <c r="Z519" s="245">
        <f>INT($L519*Y519*100+0.5)/100</f>
        <v>136.96</v>
      </c>
    </row>
    <row r="520" spans="1:26" ht="25.5">
      <c r="A520" s="250"/>
      <c r="B520" s="251"/>
      <c r="C520" s="526"/>
      <c r="D520" s="526" t="s">
        <v>1959</v>
      </c>
      <c r="E520" s="251"/>
      <c r="F520" s="252"/>
      <c r="G520" s="253"/>
      <c r="H520" s="254"/>
      <c r="I520" s="253"/>
      <c r="J520" s="253"/>
      <c r="K520" s="251"/>
      <c r="L520" s="255"/>
      <c r="M520" s="458"/>
      <c r="N520" s="257"/>
      <c r="O520" s="258"/>
      <c r="P520" s="257"/>
      <c r="Q520" s="258"/>
      <c r="R520" s="257"/>
      <c r="S520" s="258"/>
      <c r="T520" s="257"/>
      <c r="U520" s="258"/>
      <c r="V520" s="257"/>
      <c r="W520" s="258"/>
      <c r="X520" s="257"/>
      <c r="Y520" s="258"/>
      <c r="Z520" s="257"/>
    </row>
    <row r="521" spans="1:26" ht="15" customHeight="1">
      <c r="A521" s="250"/>
      <c r="B521" s="251"/>
      <c r="C521" s="526"/>
      <c r="D521" s="292"/>
      <c r="E521" s="251"/>
      <c r="F521" s="252"/>
      <c r="G521" s="253"/>
      <c r="H521" s="254"/>
      <c r="I521" s="253"/>
      <c r="J521" s="253"/>
      <c r="K521" s="251"/>
      <c r="L521" s="255"/>
      <c r="M521" s="258"/>
      <c r="N521" s="257"/>
      <c r="O521" s="258"/>
      <c r="P521" s="257"/>
      <c r="Q521" s="258"/>
      <c r="R521" s="257"/>
      <c r="S521" s="258"/>
      <c r="T521" s="257"/>
      <c r="U521" s="258"/>
      <c r="V521" s="257"/>
      <c r="W521" s="258"/>
      <c r="X521" s="257"/>
      <c r="Y521" s="258"/>
      <c r="Z521" s="257"/>
    </row>
    <row r="522" spans="1:26" ht="25.5">
      <c r="A522" s="250">
        <f>A519+1</f>
        <v>150</v>
      </c>
      <c r="B522" s="251"/>
      <c r="C522" s="647" t="s">
        <v>1960</v>
      </c>
      <c r="D522" s="526" t="s">
        <v>2367</v>
      </c>
      <c r="E522" s="251" t="s">
        <v>591</v>
      </c>
      <c r="F522" s="252">
        <f>M522+O522+Q522+S522+U522+W522+Y522</f>
        <v>3</v>
      </c>
      <c r="G522" s="253">
        <f>L522</f>
        <v>39.130000000000003</v>
      </c>
      <c r="H522" s="244">
        <f>INT(F522*G522*100+0.5)/100</f>
        <v>117.39</v>
      </c>
      <c r="I522" s="253">
        <f>N522+P522+R522+T522+V522+X522+Z522</f>
        <v>117.39000000000001</v>
      </c>
      <c r="J522" s="240"/>
      <c r="K522" s="251" t="s">
        <v>591</v>
      </c>
      <c r="L522" s="255">
        <v>39.130000000000003</v>
      </c>
      <c r="M522" s="289">
        <v>1</v>
      </c>
      <c r="N522" s="245">
        <f>INT($L522*M522*100+0.5)/100</f>
        <v>39.130000000000003</v>
      </c>
      <c r="O522" s="289">
        <v>1</v>
      </c>
      <c r="P522" s="245">
        <f>INT($L522*O522*100+0.5)/100</f>
        <v>39.130000000000003</v>
      </c>
      <c r="Q522" s="289">
        <v>1</v>
      </c>
      <c r="R522" s="245">
        <f>INT($L522*Q522*100+0.5)/100</f>
        <v>39.130000000000003</v>
      </c>
      <c r="S522" s="289">
        <v>0</v>
      </c>
      <c r="T522" s="245">
        <f>INT($L522*S522*100+0.5)/100</f>
        <v>0</v>
      </c>
      <c r="U522" s="289">
        <v>0</v>
      </c>
      <c r="V522" s="245">
        <f>INT($L522*U522*100+0.5)/100</f>
        <v>0</v>
      </c>
      <c r="W522" s="289">
        <v>0</v>
      </c>
      <c r="X522" s="245">
        <f>INT($L522*W522*100+0.5)/100</f>
        <v>0</v>
      </c>
      <c r="Y522" s="289">
        <v>0</v>
      </c>
      <c r="Z522" s="245">
        <f>INT($L522*Y522*100+0.5)/100</f>
        <v>0</v>
      </c>
    </row>
    <row r="523" spans="1:26" ht="38.25">
      <c r="A523" s="250"/>
      <c r="B523" s="251"/>
      <c r="C523" s="526"/>
      <c r="D523" s="526" t="s">
        <v>2503</v>
      </c>
      <c r="E523" s="251"/>
      <c r="F523" s="252"/>
      <c r="G523" s="253"/>
      <c r="H523" s="254"/>
      <c r="I523" s="253"/>
      <c r="J523" s="253"/>
      <c r="K523" s="251"/>
      <c r="L523" s="255"/>
      <c r="M523" s="258"/>
      <c r="N523" s="257"/>
      <c r="O523" s="258"/>
      <c r="P523" s="257"/>
      <c r="Q523" s="258"/>
      <c r="R523" s="257"/>
      <c r="S523" s="258"/>
      <c r="T523" s="257"/>
      <c r="U523" s="258"/>
      <c r="V523" s="257"/>
      <c r="W523" s="258"/>
      <c r="X523" s="257"/>
      <c r="Y523" s="258"/>
      <c r="Z523" s="257"/>
    </row>
    <row r="524" spans="1:26" ht="15" customHeight="1">
      <c r="A524" s="250"/>
      <c r="B524" s="251"/>
      <c r="C524" s="526"/>
      <c r="D524" s="292"/>
      <c r="E524" s="251"/>
      <c r="F524" s="252"/>
      <c r="G524" s="253"/>
      <c r="H524" s="254"/>
      <c r="I524" s="253"/>
      <c r="J524" s="253"/>
      <c r="K524" s="251"/>
      <c r="L524" s="255"/>
      <c r="M524" s="258"/>
      <c r="N524" s="257"/>
      <c r="O524" s="258"/>
      <c r="P524" s="257"/>
      <c r="Q524" s="258"/>
      <c r="R524" s="257"/>
      <c r="S524" s="258"/>
      <c r="T524" s="257"/>
      <c r="U524" s="258"/>
      <c r="V524" s="257"/>
      <c r="W524" s="258"/>
      <c r="X524" s="257"/>
      <c r="Y524" s="258"/>
      <c r="Z524" s="257"/>
    </row>
    <row r="525" spans="1:26" ht="15">
      <c r="A525" s="250">
        <f>A522+1</f>
        <v>151</v>
      </c>
      <c r="B525" s="251"/>
      <c r="C525" s="647" t="s">
        <v>1962</v>
      </c>
      <c r="D525" s="526" t="s">
        <v>2368</v>
      </c>
      <c r="E525" s="251" t="s">
        <v>591</v>
      </c>
      <c r="F525" s="252">
        <f>M525+O525+Q525+S525+U525+W525+Y525</f>
        <v>4</v>
      </c>
      <c r="G525" s="253">
        <f>L525</f>
        <v>0</v>
      </c>
      <c r="H525" s="244">
        <f>INT(F525*G525*100+0.5)/100</f>
        <v>0</v>
      </c>
      <c r="I525" s="253">
        <f>N525+P525+R525+T525+V525+X525+Z525</f>
        <v>0</v>
      </c>
      <c r="J525" s="240"/>
      <c r="K525" s="251" t="s">
        <v>591</v>
      </c>
      <c r="L525" s="255">
        <v>0</v>
      </c>
      <c r="M525" s="289">
        <v>1</v>
      </c>
      <c r="N525" s="245">
        <f>INT($L525*M525*100+0.5)/100</f>
        <v>0</v>
      </c>
      <c r="O525" s="289">
        <v>2</v>
      </c>
      <c r="P525" s="245">
        <f>INT($L525*O525*100+0.5)/100</f>
        <v>0</v>
      </c>
      <c r="Q525" s="289">
        <v>1</v>
      </c>
      <c r="R525" s="245">
        <f>INT($L525*Q525*100+0.5)/100</f>
        <v>0</v>
      </c>
      <c r="S525" s="289">
        <v>0</v>
      </c>
      <c r="T525" s="245">
        <f>INT($L525*S525*100+0.5)/100</f>
        <v>0</v>
      </c>
      <c r="U525" s="289">
        <v>0</v>
      </c>
      <c r="V525" s="245">
        <f>INT($L525*U525*100+0.5)/100</f>
        <v>0</v>
      </c>
      <c r="W525" s="289">
        <v>0</v>
      </c>
      <c r="X525" s="245">
        <f>INT($L525*W525*100+0.5)/100</f>
        <v>0</v>
      </c>
      <c r="Y525" s="289">
        <v>0</v>
      </c>
      <c r="Z525" s="245">
        <f>INT($L525*Y525*100+0.5)/100</f>
        <v>0</v>
      </c>
    </row>
    <row r="526" spans="1:26" ht="25.5">
      <c r="A526" s="250"/>
      <c r="B526" s="251"/>
      <c r="C526" s="526"/>
      <c r="D526" s="526" t="s">
        <v>1963</v>
      </c>
      <c r="E526" s="251"/>
      <c r="F526" s="252"/>
      <c r="G526" s="253"/>
      <c r="H526" s="254"/>
      <c r="I526" s="253"/>
      <c r="J526" s="253"/>
      <c r="K526" s="251"/>
      <c r="L526" s="255"/>
      <c r="M526" s="258"/>
      <c r="N526" s="257"/>
      <c r="O526" s="258"/>
      <c r="P526" s="257"/>
      <c r="Q526" s="258"/>
      <c r="R526" s="257"/>
      <c r="S526" s="258"/>
      <c r="T526" s="257"/>
      <c r="U526" s="258"/>
      <c r="V526" s="257"/>
      <c r="W526" s="258"/>
      <c r="X526" s="257"/>
      <c r="Y526" s="258"/>
      <c r="Z526" s="257"/>
    </row>
    <row r="527" spans="1:26" ht="15" customHeight="1">
      <c r="A527" s="250"/>
      <c r="B527" s="251"/>
      <c r="C527" s="728"/>
      <c r="D527" s="292"/>
      <c r="E527" s="251"/>
      <c r="F527" s="252"/>
      <c r="G527" s="253"/>
      <c r="H527" s="254"/>
      <c r="I527" s="253"/>
      <c r="J527" s="253"/>
      <c r="K527" s="251"/>
      <c r="L527" s="255"/>
      <c r="M527" s="258"/>
      <c r="N527" s="257"/>
      <c r="O527" s="258"/>
      <c r="P527" s="257"/>
      <c r="Q527" s="258"/>
      <c r="R527" s="257"/>
      <c r="S527" s="258"/>
      <c r="T527" s="257"/>
      <c r="U527" s="258"/>
      <c r="V527" s="257"/>
      <c r="W527" s="258"/>
      <c r="X527" s="257"/>
      <c r="Y527" s="258"/>
      <c r="Z527" s="257"/>
    </row>
    <row r="528" spans="1:26" s="303" customFormat="1" ht="30">
      <c r="A528" s="298"/>
      <c r="B528" s="299"/>
      <c r="C528" s="267" t="s">
        <v>1448</v>
      </c>
      <c r="D528" s="333" t="s">
        <v>1449</v>
      </c>
      <c r="E528" s="299"/>
      <c r="F528" s="301"/>
      <c r="G528" s="273"/>
      <c r="H528" s="273"/>
      <c r="I528" s="272">
        <f>N528+P528+R528+T528+V528+X528+Z528</f>
        <v>392321.39</v>
      </c>
      <c r="J528" s="269">
        <f>SUM(N528:Z528)</f>
        <v>392321.39</v>
      </c>
      <c r="K528" s="299"/>
      <c r="L528" s="314"/>
      <c r="M528" s="273"/>
      <c r="N528" s="273">
        <f>SUM(N215:N527)</f>
        <v>64489.119999999988</v>
      </c>
      <c r="O528" s="273"/>
      <c r="P528" s="273">
        <f>SUM(P215:P527)</f>
        <v>85667.200000000026</v>
      </c>
      <c r="Q528" s="273"/>
      <c r="R528" s="273">
        <f>SUM(R215:R527)</f>
        <v>58477.53</v>
      </c>
      <c r="S528" s="273"/>
      <c r="T528" s="273">
        <f>SUM(T215:T527)</f>
        <v>1015.3799999999999</v>
      </c>
      <c r="U528" s="273"/>
      <c r="V528" s="273">
        <f>SUM(V215:V527)</f>
        <v>68727.95</v>
      </c>
      <c r="W528" s="273"/>
      <c r="X528" s="273">
        <f>SUM(X215:X527)</f>
        <v>9671.0099999999984</v>
      </c>
      <c r="Y528" s="273"/>
      <c r="Z528" s="273">
        <f>SUM(Z215:Z527)</f>
        <v>104273.20000000003</v>
      </c>
    </row>
    <row r="529" spans="1:26" ht="15" customHeight="1">
      <c r="A529" s="250"/>
      <c r="B529" s="251"/>
      <c r="C529" s="453"/>
      <c r="D529" s="330"/>
      <c r="E529" s="251"/>
      <c r="F529" s="252"/>
      <c r="G529" s="253"/>
      <c r="H529" s="254"/>
      <c r="I529" s="694">
        <f>I528/'CompSolo Wolf'!I516</f>
        <v>0.77135486570781375</v>
      </c>
      <c r="J529" s="253"/>
      <c r="K529" s="251"/>
      <c r="L529" s="255"/>
      <c r="M529" s="258"/>
      <c r="N529" s="494">
        <f>N528/$N$1941</f>
        <v>0.46625349396656557</v>
      </c>
      <c r="O529" s="258"/>
      <c r="P529" s="257"/>
      <c r="Q529" s="258"/>
      <c r="R529" s="257"/>
      <c r="S529" s="258"/>
      <c r="T529" s="257"/>
      <c r="U529" s="258"/>
      <c r="V529" s="257"/>
      <c r="W529" s="258"/>
      <c r="X529" s="257"/>
      <c r="Y529" s="258"/>
      <c r="Z529" s="257"/>
    </row>
    <row r="530" spans="1:26" ht="25.5">
      <c r="A530" s="250"/>
      <c r="B530" s="251"/>
      <c r="C530" s="453" t="s">
        <v>1450</v>
      </c>
      <c r="D530" s="330" t="s">
        <v>1451</v>
      </c>
      <c r="E530" s="251"/>
      <c r="F530" s="252"/>
      <c r="G530" s="253"/>
      <c r="H530" s="254"/>
      <c r="I530" s="253"/>
      <c r="J530" s="253"/>
      <c r="K530" s="251"/>
      <c r="L530" s="255"/>
      <c r="M530" s="258"/>
      <c r="N530" s="257"/>
      <c r="O530" s="258"/>
      <c r="P530" s="257"/>
      <c r="Q530" s="258"/>
      <c r="R530" s="257"/>
      <c r="S530" s="258"/>
      <c r="T530" s="257"/>
      <c r="U530" s="258"/>
      <c r="V530" s="257"/>
      <c r="W530" s="258"/>
      <c r="X530" s="257"/>
      <c r="Y530" s="258"/>
      <c r="Z530" s="257"/>
    </row>
    <row r="531" spans="1:26" ht="15">
      <c r="A531" s="250">
        <f>A525+1</f>
        <v>152</v>
      </c>
      <c r="B531" s="251"/>
      <c r="C531" s="526" t="s">
        <v>2369</v>
      </c>
      <c r="D531" s="526" t="s">
        <v>1795</v>
      </c>
      <c r="E531" s="251" t="s">
        <v>2475</v>
      </c>
      <c r="F531" s="252"/>
      <c r="G531" s="253"/>
      <c r="H531" s="254"/>
      <c r="I531" s="253"/>
      <c r="J531" s="253"/>
      <c r="K531" s="251" t="s">
        <v>2475</v>
      </c>
      <c r="L531" s="255"/>
      <c r="M531" s="258"/>
      <c r="N531" s="257"/>
      <c r="O531" s="258"/>
      <c r="P531" s="257"/>
      <c r="Q531" s="258"/>
      <c r="R531" s="257"/>
      <c r="S531" s="258"/>
      <c r="T531" s="257"/>
      <c r="U531" s="258"/>
      <c r="V531" s="257"/>
      <c r="W531" s="258"/>
      <c r="X531" s="257"/>
      <c r="Y531" s="258"/>
      <c r="Z531" s="257"/>
    </row>
    <row r="532" spans="1:26" ht="15" customHeight="1">
      <c r="A532" s="250"/>
      <c r="B532" s="251"/>
      <c r="C532" s="251"/>
      <c r="D532" s="526" t="s">
        <v>1794</v>
      </c>
      <c r="E532" s="251"/>
      <c r="F532" s="252"/>
      <c r="G532" s="253"/>
      <c r="H532" s="254"/>
      <c r="I532" s="253"/>
      <c r="J532" s="253"/>
      <c r="K532" s="251"/>
      <c r="L532" s="255"/>
      <c r="M532" s="258"/>
      <c r="N532" s="257"/>
      <c r="O532" s="258"/>
      <c r="P532" s="257"/>
      <c r="Q532" s="258"/>
      <c r="R532" s="257"/>
      <c r="S532" s="258"/>
      <c r="T532" s="257"/>
      <c r="U532" s="258"/>
      <c r="V532" s="257"/>
      <c r="W532" s="258"/>
      <c r="X532" s="257"/>
      <c r="Y532" s="258"/>
      <c r="Z532" s="257"/>
    </row>
    <row r="533" spans="1:26" ht="15" customHeight="1">
      <c r="A533" s="250"/>
      <c r="B533" s="251"/>
      <c r="C533" s="251"/>
      <c r="D533" s="292" t="s">
        <v>1964</v>
      </c>
      <c r="E533" s="251"/>
      <c r="F533" s="252">
        <f>M533+O533+Q533+S533+U533+W533+Y533</f>
        <v>0</v>
      </c>
      <c r="G533" s="253">
        <f>L533</f>
        <v>19.100000000000001</v>
      </c>
      <c r="H533" s="254">
        <f>INT(F533*G533*100+0.5)/100</f>
        <v>0</v>
      </c>
      <c r="I533" s="253">
        <f>N533+P533+R533+T533+V533+X533+Z533</f>
        <v>0</v>
      </c>
      <c r="J533" s="253"/>
      <c r="K533" s="251"/>
      <c r="L533" s="255">
        <v>19.100000000000001</v>
      </c>
      <c r="M533" s="258">
        <v>0</v>
      </c>
      <c r="N533" s="257">
        <f>INT($L533*M533*100+0.5)/100</f>
        <v>0</v>
      </c>
      <c r="O533" s="258">
        <v>0</v>
      </c>
      <c r="P533" s="257">
        <f>INT($L533*O533*100+0.5)/100</f>
        <v>0</v>
      </c>
      <c r="Q533" s="258">
        <v>0</v>
      </c>
      <c r="R533" s="257">
        <f>INT($L533*Q533*100+0.5)/100</f>
        <v>0</v>
      </c>
      <c r="S533" s="258">
        <v>0</v>
      </c>
      <c r="T533" s="257">
        <f>INT($L533*S533*100+0.5)/100</f>
        <v>0</v>
      </c>
      <c r="U533" s="258">
        <v>0</v>
      </c>
      <c r="V533" s="257">
        <f>INT($L533*U533*100+0.5)/100</f>
        <v>0</v>
      </c>
      <c r="W533" s="258">
        <v>0</v>
      </c>
      <c r="X533" s="257">
        <f>INT($L533*W533*100+0.5)/100</f>
        <v>0</v>
      </c>
      <c r="Y533" s="258">
        <v>0</v>
      </c>
      <c r="Z533" s="257">
        <f>INT($L533*Y533*100+0.5)/100</f>
        <v>0</v>
      </c>
    </row>
    <row r="534" spans="1:26" ht="15" customHeight="1">
      <c r="A534" s="250"/>
      <c r="B534" s="251"/>
      <c r="C534" s="251"/>
      <c r="D534" s="292"/>
      <c r="E534" s="251"/>
      <c r="F534" s="252"/>
      <c r="G534" s="253"/>
      <c r="H534" s="254"/>
      <c r="I534" s="253"/>
      <c r="J534" s="253"/>
      <c r="K534" s="251"/>
      <c r="L534" s="261"/>
      <c r="M534" s="258"/>
      <c r="N534" s="257"/>
      <c r="O534" s="258"/>
      <c r="P534" s="257"/>
      <c r="Q534" s="258"/>
      <c r="R534" s="257"/>
      <c r="S534" s="258"/>
      <c r="T534" s="257"/>
      <c r="U534" s="258"/>
      <c r="V534" s="257"/>
      <c r="W534" s="258"/>
      <c r="X534" s="257"/>
      <c r="Y534" s="258"/>
      <c r="Z534" s="257"/>
    </row>
    <row r="535" spans="1:26" ht="15" customHeight="1">
      <c r="A535" s="250">
        <f>A531+1</f>
        <v>153</v>
      </c>
      <c r="B535" s="251"/>
      <c r="C535" s="647" t="s">
        <v>2370</v>
      </c>
      <c r="D535" s="532" t="s">
        <v>1322</v>
      </c>
      <c r="E535" s="251" t="s">
        <v>2475</v>
      </c>
      <c r="F535" s="252">
        <f>M535+O535+Q535+S535+U535+W535+Y535</f>
        <v>0</v>
      </c>
      <c r="G535" s="253">
        <f>L535</f>
        <v>21.08</v>
      </c>
      <c r="H535" s="254"/>
      <c r="I535" s="253">
        <f>N535+P535+R535+T535+V535+X535+Z535</f>
        <v>0</v>
      </c>
      <c r="J535" s="253"/>
      <c r="K535" s="251" t="s">
        <v>2475</v>
      </c>
      <c r="L535" s="255">
        <v>21.08</v>
      </c>
      <c r="M535" s="258">
        <v>0</v>
      </c>
      <c r="N535" s="257">
        <f>INT($L535*M535*100+0.5)/100</f>
        <v>0</v>
      </c>
      <c r="O535" s="258">
        <v>0</v>
      </c>
      <c r="P535" s="257">
        <f>INT($L535*O535*100+0.5)/100</f>
        <v>0</v>
      </c>
      <c r="Q535" s="258">
        <v>0</v>
      </c>
      <c r="R535" s="257">
        <f>INT($L535*Q535*100+0.5)/100</f>
        <v>0</v>
      </c>
      <c r="S535" s="258">
        <v>0</v>
      </c>
      <c r="T535" s="257">
        <f>INT($L535*S535*100+0.5)/100</f>
        <v>0</v>
      </c>
      <c r="U535" s="258">
        <v>0</v>
      </c>
      <c r="V535" s="257">
        <f>INT($L535*U535*100+0.5)/100</f>
        <v>0</v>
      </c>
      <c r="W535" s="258">
        <v>0</v>
      </c>
      <c r="X535" s="257">
        <f>INT($L535*W535*100+0.5)/100</f>
        <v>0</v>
      </c>
      <c r="Y535" s="258">
        <v>0</v>
      </c>
      <c r="Z535" s="257">
        <f>INT($L535*Y535*100+0.5)/100</f>
        <v>0</v>
      </c>
    </row>
    <row r="536" spans="1:26" ht="25.5">
      <c r="A536" s="250"/>
      <c r="B536" s="251"/>
      <c r="C536" s="648"/>
      <c r="D536" s="532" t="s">
        <v>1037</v>
      </c>
      <c r="E536" s="251"/>
      <c r="F536" s="252"/>
      <c r="G536" s="253"/>
      <c r="H536" s="254"/>
      <c r="I536" s="253"/>
      <c r="J536" s="253"/>
      <c r="K536" s="251"/>
      <c r="L536" s="255"/>
      <c r="M536" s="258"/>
      <c r="N536" s="257"/>
      <c r="O536" s="258"/>
      <c r="P536" s="257"/>
      <c r="Q536" s="258"/>
      <c r="R536" s="257"/>
      <c r="S536" s="258"/>
      <c r="T536" s="257"/>
      <c r="U536" s="258"/>
      <c r="V536" s="257"/>
      <c r="W536" s="258"/>
      <c r="X536" s="257"/>
      <c r="Y536" s="258"/>
      <c r="Z536" s="257"/>
    </row>
    <row r="537" spans="1:26" ht="15" customHeight="1">
      <c r="A537" s="250"/>
      <c r="B537" s="251"/>
      <c r="C537" s="648"/>
      <c r="D537" s="292"/>
      <c r="E537" s="251"/>
      <c r="F537" s="252"/>
      <c r="G537" s="253"/>
      <c r="H537" s="254"/>
      <c r="I537" s="253"/>
      <c r="J537" s="253"/>
      <c r="K537" s="251"/>
      <c r="L537" s="255"/>
      <c r="M537" s="258"/>
      <c r="N537" s="257"/>
      <c r="O537" s="258"/>
      <c r="P537" s="257"/>
      <c r="Q537" s="258"/>
      <c r="R537" s="257"/>
      <c r="S537" s="258"/>
      <c r="T537" s="257"/>
      <c r="U537" s="258"/>
      <c r="V537" s="257"/>
      <c r="W537" s="258"/>
      <c r="X537" s="257"/>
      <c r="Y537" s="258"/>
      <c r="Z537" s="257"/>
    </row>
    <row r="538" spans="1:26" ht="25.5">
      <c r="A538" s="250">
        <f>A535+1</f>
        <v>154</v>
      </c>
      <c r="B538" s="251"/>
      <c r="C538" s="647" t="s">
        <v>2371</v>
      </c>
      <c r="D538" s="526" t="s">
        <v>1965</v>
      </c>
      <c r="E538" s="251" t="s">
        <v>2475</v>
      </c>
      <c r="F538" s="252">
        <f>M538+O538+Q538+S538+U538+W538+Y538</f>
        <v>540</v>
      </c>
      <c r="G538" s="253">
        <f>L538</f>
        <v>12.07</v>
      </c>
      <c r="H538" s="254">
        <f>INT(F538*G538*100+0.5)/100</f>
        <v>6517.8</v>
      </c>
      <c r="I538" s="253">
        <f>N538+P538+R538+T538+V538+X538+Z538</f>
        <v>6517.8</v>
      </c>
      <c r="J538" s="253"/>
      <c r="K538" s="251" t="s">
        <v>2475</v>
      </c>
      <c r="L538" s="255">
        <v>12.07</v>
      </c>
      <c r="M538" s="258">
        <v>540</v>
      </c>
      <c r="N538" s="257">
        <f>INT($L538*M538*100+0.5)/100</f>
        <v>6517.8</v>
      </c>
      <c r="O538" s="258">
        <v>0</v>
      </c>
      <c r="P538" s="257">
        <f>INT($L538*O538*100+0.5)/100</f>
        <v>0</v>
      </c>
      <c r="Q538" s="258">
        <v>0</v>
      </c>
      <c r="R538" s="257">
        <f>INT($L538*Q538*100+0.5)/100</f>
        <v>0</v>
      </c>
      <c r="S538" s="258">
        <v>0</v>
      </c>
      <c r="T538" s="257">
        <f>INT($L538*S538*100+0.5)/100</f>
        <v>0</v>
      </c>
      <c r="U538" s="258">
        <v>0</v>
      </c>
      <c r="V538" s="257">
        <f>INT($L538*U538*100+0.5)/100</f>
        <v>0</v>
      </c>
      <c r="W538" s="258">
        <v>0</v>
      </c>
      <c r="X538" s="257">
        <f>INT($L538*W538*100+0.5)/100</f>
        <v>0</v>
      </c>
      <c r="Y538" s="258">
        <v>0</v>
      </c>
      <c r="Z538" s="257">
        <f>INT($L538*Y538*100+0.5)/100</f>
        <v>0</v>
      </c>
    </row>
    <row r="539" spans="1:26" ht="15">
      <c r="A539" s="250"/>
      <c r="B539" s="251"/>
      <c r="C539" s="647"/>
      <c r="D539" s="526" t="s">
        <v>1966</v>
      </c>
      <c r="E539" s="251"/>
      <c r="F539" s="252"/>
      <c r="G539" s="253"/>
      <c r="H539" s="254"/>
      <c r="I539" s="253"/>
      <c r="J539" s="253"/>
      <c r="K539" s="251"/>
      <c r="L539" s="261"/>
      <c r="M539" s="258"/>
      <c r="N539" s="257"/>
      <c r="O539" s="258"/>
      <c r="P539" s="257"/>
      <c r="Q539" s="258"/>
      <c r="R539" s="257"/>
      <c r="S539" s="258"/>
      <c r="T539" s="257"/>
      <c r="U539" s="258"/>
      <c r="V539" s="257"/>
      <c r="W539" s="258"/>
      <c r="X539" s="257"/>
      <c r="Y539" s="258"/>
      <c r="Z539" s="257"/>
    </row>
    <row r="540" spans="1:26" ht="15" customHeight="1">
      <c r="A540" s="250"/>
      <c r="B540" s="251"/>
      <c r="C540" s="647"/>
      <c r="D540" s="292"/>
      <c r="E540" s="251"/>
      <c r="F540" s="252"/>
      <c r="G540" s="253"/>
      <c r="H540" s="254"/>
      <c r="I540" s="253"/>
      <c r="J540" s="253"/>
      <c r="K540" s="251"/>
      <c r="L540" s="261"/>
      <c r="M540" s="258"/>
      <c r="N540" s="257"/>
      <c r="O540" s="258"/>
      <c r="P540" s="257"/>
      <c r="Q540" s="258"/>
      <c r="R540" s="257"/>
      <c r="S540" s="258"/>
      <c r="T540" s="257"/>
      <c r="U540" s="258"/>
      <c r="V540" s="257"/>
      <c r="W540" s="258"/>
      <c r="X540" s="257"/>
      <c r="Y540" s="258"/>
      <c r="Z540" s="257"/>
    </row>
    <row r="541" spans="1:26" ht="25.5">
      <c r="A541" s="250">
        <f>A538+1</f>
        <v>155</v>
      </c>
      <c r="B541" s="251"/>
      <c r="C541" s="647" t="s">
        <v>2372</v>
      </c>
      <c r="D541" s="526" t="s">
        <v>465</v>
      </c>
      <c r="E541" s="251" t="s">
        <v>2475</v>
      </c>
      <c r="F541" s="252">
        <f>M541+O541+Q541+S541+U541+W541+Y541</f>
        <v>0</v>
      </c>
      <c r="G541" s="253">
        <f>L541</f>
        <v>15.61</v>
      </c>
      <c r="H541" s="254">
        <f>INT(F541*G541*100+0.5)/100</f>
        <v>0</v>
      </c>
      <c r="I541" s="253">
        <f>N541+P541+R541+T541+V541+X541+Z541</f>
        <v>0</v>
      </c>
      <c r="J541" s="253"/>
      <c r="K541" s="251" t="s">
        <v>2475</v>
      </c>
      <c r="L541" s="255">
        <v>15.61</v>
      </c>
      <c r="M541" s="258">
        <v>0</v>
      </c>
      <c r="N541" s="257">
        <f>INT($L541*M541*100+0.5)/100</f>
        <v>0</v>
      </c>
      <c r="O541" s="258">
        <v>0</v>
      </c>
      <c r="P541" s="257">
        <f>INT($L541*O541*100+0.5)/100</f>
        <v>0</v>
      </c>
      <c r="Q541" s="258">
        <v>0</v>
      </c>
      <c r="R541" s="257">
        <f>INT($L541*Q541*100+0.5)/100</f>
        <v>0</v>
      </c>
      <c r="S541" s="258">
        <v>0</v>
      </c>
      <c r="T541" s="257">
        <f>INT($L541*S541*100+0.5)/100</f>
        <v>0</v>
      </c>
      <c r="U541" s="258">
        <v>0</v>
      </c>
      <c r="V541" s="257">
        <f>INT($L541*U541*100+0.5)/100</f>
        <v>0</v>
      </c>
      <c r="W541" s="258">
        <v>0</v>
      </c>
      <c r="X541" s="257">
        <f>INT($L541*W541*100+0.5)/100</f>
        <v>0</v>
      </c>
      <c r="Y541" s="258">
        <v>0</v>
      </c>
      <c r="Z541" s="257">
        <f>INT($L541*Y541*100+0.5)/100</f>
        <v>0</v>
      </c>
    </row>
    <row r="542" spans="1:26" ht="15">
      <c r="A542" s="250"/>
      <c r="B542" s="251"/>
      <c r="C542" s="647"/>
      <c r="D542" s="526" t="s">
        <v>464</v>
      </c>
      <c r="E542" s="251"/>
      <c r="F542" s="252"/>
      <c r="G542" s="253"/>
      <c r="H542" s="254"/>
      <c r="I542" s="253"/>
      <c r="J542" s="253"/>
      <c r="K542" s="251"/>
      <c r="L542" s="261"/>
      <c r="M542" s="258"/>
      <c r="N542" s="257"/>
      <c r="O542" s="258"/>
      <c r="P542" s="257"/>
      <c r="Q542" s="258"/>
      <c r="R542" s="257"/>
      <c r="S542" s="258"/>
      <c r="T542" s="257"/>
      <c r="U542" s="258"/>
      <c r="V542" s="257"/>
      <c r="W542" s="258"/>
      <c r="X542" s="257"/>
      <c r="Y542" s="258"/>
      <c r="Z542" s="257"/>
    </row>
    <row r="543" spans="1:26" ht="15" customHeight="1">
      <c r="A543" s="250"/>
      <c r="B543" s="251"/>
      <c r="C543" s="647"/>
      <c r="D543" s="292"/>
      <c r="E543" s="251"/>
      <c r="F543" s="252"/>
      <c r="G543" s="253"/>
      <c r="H543" s="254"/>
      <c r="I543" s="253"/>
      <c r="J543" s="253"/>
      <c r="K543" s="251"/>
      <c r="L543" s="261"/>
      <c r="M543" s="258"/>
      <c r="N543" s="257"/>
      <c r="O543" s="258"/>
      <c r="P543" s="257"/>
      <c r="Q543" s="258"/>
      <c r="R543" s="257"/>
      <c r="S543" s="258"/>
      <c r="T543" s="257"/>
      <c r="U543" s="258"/>
      <c r="V543" s="257"/>
      <c r="W543" s="258"/>
      <c r="X543" s="257"/>
      <c r="Y543" s="258"/>
      <c r="Z543" s="257"/>
    </row>
    <row r="544" spans="1:26" ht="25.5">
      <c r="A544" s="250">
        <f>A541+1</f>
        <v>156</v>
      </c>
      <c r="B544" s="251"/>
      <c r="C544" s="647" t="s">
        <v>2373</v>
      </c>
      <c r="D544" s="526" t="s">
        <v>1967</v>
      </c>
      <c r="E544" s="251" t="s">
        <v>2475</v>
      </c>
      <c r="F544" s="252">
        <f>M544+O544+Q544+S544+U544+W544+Y544</f>
        <v>10</v>
      </c>
      <c r="G544" s="253">
        <f>L544</f>
        <v>23.08</v>
      </c>
      <c r="H544" s="254">
        <f>INT(F544*G544*100+0.5)/100</f>
        <v>230.8</v>
      </c>
      <c r="I544" s="253">
        <f>N544+P544+R544+T544+V544+X544+Z544</f>
        <v>230.8</v>
      </c>
      <c r="J544" s="253"/>
      <c r="K544" s="251" t="s">
        <v>2475</v>
      </c>
      <c r="L544" s="255">
        <v>23.08</v>
      </c>
      <c r="M544" s="258">
        <v>10</v>
      </c>
      <c r="N544" s="257">
        <f>INT($L544*M544*100+0.5)/100</f>
        <v>230.8</v>
      </c>
      <c r="O544" s="258">
        <v>0</v>
      </c>
      <c r="P544" s="257">
        <f>INT($L544*O544*100+0.5)/100</f>
        <v>0</v>
      </c>
      <c r="Q544" s="258">
        <v>0</v>
      </c>
      <c r="R544" s="257">
        <f>INT($L544*Q544*100+0.5)/100</f>
        <v>0</v>
      </c>
      <c r="S544" s="258">
        <v>0</v>
      </c>
      <c r="T544" s="257">
        <f>INT($L544*S544*100+0.5)/100</f>
        <v>0</v>
      </c>
      <c r="U544" s="258">
        <v>0</v>
      </c>
      <c r="V544" s="257">
        <f>INT($L544*U544*100+0.5)/100</f>
        <v>0</v>
      </c>
      <c r="W544" s="258">
        <v>0</v>
      </c>
      <c r="X544" s="257">
        <f>INT($L544*W544*100+0.5)/100</f>
        <v>0</v>
      </c>
      <c r="Y544" s="258">
        <v>0</v>
      </c>
      <c r="Z544" s="257">
        <f>INT($L544*Y544*100+0.5)/100</f>
        <v>0</v>
      </c>
    </row>
    <row r="545" spans="1:26" ht="15">
      <c r="A545" s="250"/>
      <c r="B545" s="251"/>
      <c r="C545" s="526"/>
      <c r="D545" s="526" t="s">
        <v>1968</v>
      </c>
      <c r="E545" s="251"/>
      <c r="F545" s="252"/>
      <c r="G545" s="253"/>
      <c r="H545" s="254"/>
      <c r="I545" s="253"/>
      <c r="J545" s="253"/>
      <c r="K545" s="251"/>
      <c r="L545" s="261"/>
      <c r="M545" s="258"/>
      <c r="N545" s="257"/>
      <c r="O545" s="258"/>
      <c r="P545" s="257"/>
      <c r="Q545" s="258"/>
      <c r="R545" s="257"/>
      <c r="S545" s="258"/>
      <c r="T545" s="257"/>
      <c r="U545" s="258"/>
      <c r="V545" s="257"/>
      <c r="W545" s="258"/>
      <c r="X545" s="257"/>
      <c r="Y545" s="258"/>
      <c r="Z545" s="257"/>
    </row>
    <row r="546" spans="1:26" ht="15" customHeight="1">
      <c r="A546" s="250"/>
      <c r="B546" s="251"/>
      <c r="C546" s="526"/>
      <c r="D546" s="526"/>
      <c r="E546" s="251"/>
      <c r="F546" s="252"/>
      <c r="G546" s="253"/>
      <c r="H546" s="254"/>
      <c r="I546" s="253"/>
      <c r="J546" s="253"/>
      <c r="K546" s="251"/>
      <c r="L546" s="261"/>
      <c r="M546" s="258"/>
      <c r="N546" s="257"/>
      <c r="O546" s="258"/>
      <c r="P546" s="257"/>
      <c r="Q546" s="258"/>
      <c r="R546" s="257"/>
      <c r="S546" s="258"/>
      <c r="T546" s="257"/>
      <c r="U546" s="258"/>
      <c r="V546" s="257"/>
      <c r="W546" s="258"/>
      <c r="X546" s="257"/>
      <c r="Y546" s="258"/>
      <c r="Z546" s="257"/>
    </row>
    <row r="547" spans="1:26" s="303" customFormat="1" ht="45">
      <c r="A547" s="298"/>
      <c r="B547" s="299"/>
      <c r="C547" s="267" t="s">
        <v>1450</v>
      </c>
      <c r="D547" s="333" t="s">
        <v>1451</v>
      </c>
      <c r="E547" s="299"/>
      <c r="F547" s="301"/>
      <c r="G547" s="273"/>
      <c r="H547" s="273"/>
      <c r="I547" s="272">
        <f>N547+P547+R547+T547+V547+X547+Z547</f>
        <v>6748.6</v>
      </c>
      <c r="J547" s="269">
        <f>SUM(N547:Z547)</f>
        <v>6748.6</v>
      </c>
      <c r="K547" s="299"/>
      <c r="L547" s="271"/>
      <c r="M547" s="273"/>
      <c r="N547" s="273">
        <f>SUM(N531:N546)</f>
        <v>6748.6</v>
      </c>
      <c r="O547" s="273"/>
      <c r="P547" s="273">
        <f>SUM(P531:P546)</f>
        <v>0</v>
      </c>
      <c r="Q547" s="273"/>
      <c r="R547" s="273">
        <f>SUM(R531:R546)</f>
        <v>0</v>
      </c>
      <c r="S547" s="273"/>
      <c r="T547" s="273">
        <f>SUM(T531:T546)</f>
        <v>0</v>
      </c>
      <c r="U547" s="273"/>
      <c r="V547" s="273">
        <f>SUM(V531:V546)</f>
        <v>0</v>
      </c>
      <c r="W547" s="273"/>
      <c r="X547" s="273">
        <f>SUM(X531:X546)</f>
        <v>0</v>
      </c>
      <c r="Y547" s="273"/>
      <c r="Z547" s="273">
        <f>SUM(Z531:Z546)</f>
        <v>0</v>
      </c>
    </row>
    <row r="548" spans="1:26" ht="15" customHeight="1">
      <c r="A548" s="250"/>
      <c r="B548" s="251"/>
      <c r="C548" s="453"/>
      <c r="D548" s="330"/>
      <c r="E548" s="251"/>
      <c r="F548" s="252"/>
      <c r="G548" s="253"/>
      <c r="H548" s="254"/>
      <c r="I548" s="694">
        <f>I547/'CompSolo Wolf'!I535</f>
        <v>0.60832176531035365</v>
      </c>
      <c r="J548" s="253"/>
      <c r="K548" s="251"/>
      <c r="L548" s="261"/>
      <c r="M548" s="258"/>
      <c r="N548" s="494">
        <f>N547/$N$1941</f>
        <v>4.8792080421980723E-2</v>
      </c>
      <c r="O548" s="258"/>
      <c r="P548" s="257"/>
      <c r="Q548" s="258"/>
      <c r="R548" s="257"/>
      <c r="S548" s="258"/>
      <c r="T548" s="257"/>
      <c r="U548" s="258"/>
      <c r="V548" s="257"/>
      <c r="W548" s="258"/>
      <c r="X548" s="257"/>
      <c r="Y548" s="258"/>
      <c r="Z548" s="257"/>
    </row>
    <row r="549" spans="1:26" ht="38.25">
      <c r="A549" s="250"/>
      <c r="B549" s="251"/>
      <c r="C549" s="453" t="s">
        <v>1452</v>
      </c>
      <c r="D549" s="330" t="s">
        <v>1552</v>
      </c>
      <c r="E549" s="251"/>
      <c r="F549" s="252"/>
      <c r="G549" s="253"/>
      <c r="H549" s="254"/>
      <c r="I549" s="253"/>
      <c r="J549" s="253"/>
      <c r="K549" s="251"/>
      <c r="L549" s="261"/>
      <c r="M549" s="258"/>
      <c r="N549" s="257"/>
      <c r="O549" s="258"/>
      <c r="P549" s="257"/>
      <c r="Q549" s="258"/>
      <c r="R549" s="257"/>
      <c r="S549" s="258"/>
      <c r="T549" s="257"/>
      <c r="U549" s="258"/>
      <c r="V549" s="257"/>
      <c r="W549" s="258"/>
      <c r="X549" s="257"/>
      <c r="Y549" s="258"/>
      <c r="Z549" s="257"/>
    </row>
    <row r="550" spans="1:26" ht="25.5">
      <c r="A550" s="250">
        <f>A544+1</f>
        <v>157</v>
      </c>
      <c r="B550" s="251"/>
      <c r="C550" s="661" t="s">
        <v>684</v>
      </c>
      <c r="D550" s="532" t="s">
        <v>685</v>
      </c>
      <c r="E550" s="251" t="s">
        <v>539</v>
      </c>
      <c r="F550" s="252">
        <f>M550+O550+Q550+S550+U550+W550+Y550</f>
        <v>0</v>
      </c>
      <c r="G550" s="253">
        <f>L550</f>
        <v>2500</v>
      </c>
      <c r="H550" s="254">
        <f>INT(F550*G550*100+0.5)/100</f>
        <v>0</v>
      </c>
      <c r="I550" s="253">
        <f>N550+P550+R550+T550+V550+X550+Z550</f>
        <v>0</v>
      </c>
      <c r="J550" s="253"/>
      <c r="K550" s="251" t="s">
        <v>539</v>
      </c>
      <c r="L550" s="255">
        <v>2500</v>
      </c>
      <c r="M550" s="258">
        <v>0</v>
      </c>
      <c r="N550" s="257">
        <f>INT($L550*M550*100+0.5)/100</f>
        <v>0</v>
      </c>
      <c r="O550" s="258">
        <v>0</v>
      </c>
      <c r="P550" s="257">
        <f>INT($L550*O550*100+0.5)/100</f>
        <v>0</v>
      </c>
      <c r="Q550" s="258">
        <v>0</v>
      </c>
      <c r="R550" s="257">
        <f>INT($L550*Q550*100+0.5)/100</f>
        <v>0</v>
      </c>
      <c r="S550" s="258">
        <v>0</v>
      </c>
      <c r="T550" s="257">
        <f>INT($L550*S550*100+0.5)/100</f>
        <v>0</v>
      </c>
      <c r="U550" s="258">
        <v>0</v>
      </c>
      <c r="V550" s="257">
        <f>INT($L550*U550*100+0.5)/100</f>
        <v>0</v>
      </c>
      <c r="W550" s="258">
        <v>0</v>
      </c>
      <c r="X550" s="257">
        <f>INT($L550*W550*100+0.5)/100</f>
        <v>0</v>
      </c>
      <c r="Y550" s="258">
        <v>0</v>
      </c>
      <c r="Z550" s="257">
        <f>INT($L550*Y550*100+0.5)/100</f>
        <v>0</v>
      </c>
    </row>
    <row r="551" spans="1:26" ht="15">
      <c r="A551" s="250"/>
      <c r="B551" s="251"/>
      <c r="C551" s="661"/>
      <c r="D551" s="678" t="s">
        <v>686</v>
      </c>
      <c r="E551" s="251"/>
      <c r="F551" s="252"/>
      <c r="G551" s="253"/>
      <c r="H551" s="254"/>
      <c r="I551" s="253"/>
      <c r="J551" s="253"/>
      <c r="K551" s="251"/>
      <c r="L551" s="255"/>
      <c r="M551" s="258"/>
      <c r="N551" s="257"/>
      <c r="O551" s="258"/>
      <c r="P551" s="257"/>
      <c r="Q551" s="258"/>
      <c r="R551" s="257"/>
      <c r="S551" s="258"/>
      <c r="T551" s="257"/>
      <c r="U551" s="258"/>
      <c r="V551" s="257"/>
      <c r="W551" s="258"/>
      <c r="X551" s="257"/>
      <c r="Y551" s="258"/>
      <c r="Z551" s="257"/>
    </row>
    <row r="552" spans="1:26" ht="15" customHeight="1">
      <c r="A552" s="250"/>
      <c r="B552" s="251"/>
      <c r="C552" s="661"/>
      <c r="D552" s="292"/>
      <c r="E552" s="251"/>
      <c r="F552" s="252"/>
      <c r="G552" s="253"/>
      <c r="H552" s="254"/>
      <c r="I552" s="253"/>
      <c r="J552" s="253"/>
      <c r="K552" s="251"/>
      <c r="L552" s="255"/>
      <c r="M552" s="258"/>
      <c r="N552" s="257"/>
      <c r="O552" s="258"/>
      <c r="P552" s="257"/>
      <c r="Q552" s="258"/>
      <c r="R552" s="257"/>
      <c r="S552" s="258"/>
      <c r="T552" s="257"/>
      <c r="U552" s="258"/>
      <c r="V552" s="257"/>
      <c r="W552" s="258"/>
      <c r="X552" s="257"/>
      <c r="Y552" s="258"/>
      <c r="Z552" s="257"/>
    </row>
    <row r="553" spans="1:26" ht="15" customHeight="1">
      <c r="A553" s="250">
        <f>A550+1</f>
        <v>158</v>
      </c>
      <c r="B553" s="251"/>
      <c r="C553" s="661" t="s">
        <v>687</v>
      </c>
      <c r="D553" s="532" t="s">
        <v>1853</v>
      </c>
      <c r="E553" s="251" t="s">
        <v>2475</v>
      </c>
      <c r="F553" s="252">
        <f>M553+O553+Q553+S553+U553+W553+Y553</f>
        <v>0</v>
      </c>
      <c r="G553" s="253">
        <f>L553</f>
        <v>63</v>
      </c>
      <c r="H553" s="254">
        <f>INT(F553*G553*100+0.5)/100</f>
        <v>0</v>
      </c>
      <c r="I553" s="253">
        <f>N553+P553+R553+T553+V553+X553+Z553</f>
        <v>0</v>
      </c>
      <c r="J553" s="253"/>
      <c r="K553" s="251" t="s">
        <v>2475</v>
      </c>
      <c r="L553" s="255">
        <v>63</v>
      </c>
      <c r="M553" s="258">
        <v>0</v>
      </c>
      <c r="N553" s="257">
        <f>INT($L553*M553*100+0.5)/100</f>
        <v>0</v>
      </c>
      <c r="O553" s="258">
        <v>0</v>
      </c>
      <c r="P553" s="257">
        <f>INT($L553*O553*100+0.5)/100</f>
        <v>0</v>
      </c>
      <c r="Q553" s="258">
        <v>0</v>
      </c>
      <c r="R553" s="257">
        <f>INT($L553*Q553*100+0.5)/100</f>
        <v>0</v>
      </c>
      <c r="S553" s="258">
        <v>0</v>
      </c>
      <c r="T553" s="257">
        <f>INT($L553*S553*100+0.5)/100</f>
        <v>0</v>
      </c>
      <c r="U553" s="258">
        <v>0</v>
      </c>
      <c r="V553" s="257">
        <f>INT($L553*U553*100+0.5)/100</f>
        <v>0</v>
      </c>
      <c r="W553" s="258">
        <v>0</v>
      </c>
      <c r="X553" s="257">
        <f>INT($L553*W553*100+0.5)/100</f>
        <v>0</v>
      </c>
      <c r="Y553" s="258">
        <v>0</v>
      </c>
      <c r="Z553" s="257">
        <f>INT($L553*Y553*100+0.5)/100</f>
        <v>0</v>
      </c>
    </row>
    <row r="554" spans="1:26" ht="15">
      <c r="A554" s="250"/>
      <c r="B554" s="251"/>
      <c r="C554" s="661"/>
      <c r="D554" s="532" t="s">
        <v>1852</v>
      </c>
      <c r="E554" s="251"/>
      <c r="F554" s="252"/>
      <c r="G554" s="253"/>
      <c r="H554" s="254"/>
      <c r="I554" s="253"/>
      <c r="J554" s="253"/>
      <c r="K554" s="251"/>
      <c r="L554" s="255"/>
      <c r="M554" s="258"/>
      <c r="N554" s="257"/>
      <c r="O554" s="258"/>
      <c r="P554" s="257"/>
      <c r="Q554" s="258"/>
      <c r="R554" s="257"/>
      <c r="S554" s="258"/>
      <c r="T554" s="257"/>
      <c r="U554" s="258"/>
      <c r="V554" s="257"/>
      <c r="W554" s="258"/>
      <c r="X554" s="257"/>
      <c r="Y554" s="258"/>
      <c r="Z554" s="257"/>
    </row>
    <row r="555" spans="1:26" ht="15" customHeight="1">
      <c r="A555" s="250"/>
      <c r="B555" s="251"/>
      <c r="C555" s="661"/>
      <c r="D555" s="292"/>
      <c r="E555" s="251"/>
      <c r="F555" s="252"/>
      <c r="G555" s="253"/>
      <c r="H555" s="254"/>
      <c r="I555" s="253"/>
      <c r="J555" s="253"/>
      <c r="K555" s="251"/>
      <c r="L555" s="255"/>
      <c r="M555" s="258"/>
      <c r="N555" s="257"/>
      <c r="O555" s="258"/>
      <c r="P555" s="257"/>
      <c r="Q555" s="258"/>
      <c r="R555" s="257"/>
      <c r="S555" s="258"/>
      <c r="T555" s="257"/>
      <c r="U555" s="258"/>
      <c r="V555" s="257"/>
      <c r="W555" s="258"/>
      <c r="X555" s="257"/>
      <c r="Y555" s="258"/>
      <c r="Z555" s="257"/>
    </row>
    <row r="556" spans="1:26" ht="15">
      <c r="A556" s="250">
        <f>A553+1</f>
        <v>159</v>
      </c>
      <c r="B556" s="251"/>
      <c r="C556" s="661" t="s">
        <v>688</v>
      </c>
      <c r="D556" s="532" t="s">
        <v>1857</v>
      </c>
      <c r="E556" s="251" t="s">
        <v>2461</v>
      </c>
      <c r="F556" s="252">
        <f>M556+O556+Q556+S556+U556+W556+Y556</f>
        <v>0</v>
      </c>
      <c r="G556" s="253">
        <f>L556</f>
        <v>192.3</v>
      </c>
      <c r="H556" s="254">
        <f>INT(F556*G556*100+0.5)/100</f>
        <v>0</v>
      </c>
      <c r="I556" s="253">
        <f>N556+P556+R556+T556+V556+X556+Z556</f>
        <v>0</v>
      </c>
      <c r="J556" s="253"/>
      <c r="K556" s="251" t="s">
        <v>2461</v>
      </c>
      <c r="L556" s="255">
        <v>192.3</v>
      </c>
      <c r="M556" s="258">
        <v>0</v>
      </c>
      <c r="N556" s="257">
        <f>INT($L556*M556*100+0.5)/100</f>
        <v>0</v>
      </c>
      <c r="O556" s="258">
        <v>0</v>
      </c>
      <c r="P556" s="257">
        <f>INT($L556*O556*100+0.5)/100</f>
        <v>0</v>
      </c>
      <c r="Q556" s="258">
        <v>0</v>
      </c>
      <c r="R556" s="257">
        <f>INT($L556*Q556*100+0.5)/100</f>
        <v>0</v>
      </c>
      <c r="S556" s="258">
        <v>0</v>
      </c>
      <c r="T556" s="257">
        <f>INT($L556*S556*100+0.5)/100</f>
        <v>0</v>
      </c>
      <c r="U556" s="258">
        <v>0</v>
      </c>
      <c r="V556" s="257">
        <f>INT($L556*U556*100+0.5)/100</f>
        <v>0</v>
      </c>
      <c r="W556" s="258">
        <v>0</v>
      </c>
      <c r="X556" s="257">
        <f>INT($L556*W556*100+0.5)/100</f>
        <v>0</v>
      </c>
      <c r="Y556" s="258">
        <v>0</v>
      </c>
      <c r="Z556" s="257">
        <f>INT($L556*Y556*100+0.5)/100</f>
        <v>0</v>
      </c>
    </row>
    <row r="557" spans="1:26" ht="15" customHeight="1">
      <c r="A557" s="250"/>
      <c r="B557" s="251"/>
      <c r="C557" s="661"/>
      <c r="D557" s="532" t="s">
        <v>1856</v>
      </c>
      <c r="E557" s="251"/>
      <c r="F557" s="252"/>
      <c r="G557" s="253"/>
      <c r="H557" s="254"/>
      <c r="I557" s="253"/>
      <c r="J557" s="253"/>
      <c r="K557" s="251"/>
      <c r="L557" s="261"/>
      <c r="M557" s="258"/>
      <c r="N557" s="257"/>
      <c r="O557" s="258"/>
      <c r="P557" s="257"/>
      <c r="Q557" s="258"/>
      <c r="R557" s="257"/>
      <c r="S557" s="258"/>
      <c r="T557" s="257"/>
      <c r="U557" s="258"/>
      <c r="V557" s="257"/>
      <c r="W557" s="258"/>
      <c r="X557" s="257"/>
      <c r="Y557" s="258"/>
      <c r="Z557" s="257"/>
    </row>
    <row r="558" spans="1:26" ht="15">
      <c r="A558" s="250"/>
      <c r="B558" s="251"/>
      <c r="C558" s="661"/>
      <c r="D558" s="292"/>
      <c r="E558" s="251"/>
      <c r="F558" s="252"/>
      <c r="G558" s="253"/>
      <c r="H558" s="254"/>
      <c r="I558" s="253"/>
      <c r="J558" s="253"/>
      <c r="K558" s="251"/>
      <c r="L558" s="261"/>
      <c r="M558" s="258"/>
      <c r="N558" s="257"/>
      <c r="O558" s="258"/>
      <c r="P558" s="257"/>
      <c r="Q558" s="258"/>
      <c r="R558" s="257"/>
      <c r="S558" s="258"/>
      <c r="T558" s="257"/>
      <c r="U558" s="258"/>
      <c r="V558" s="257"/>
      <c r="W558" s="258"/>
      <c r="X558" s="257"/>
      <c r="Y558" s="258"/>
      <c r="Z558" s="257"/>
    </row>
    <row r="559" spans="1:26" ht="15">
      <c r="A559" s="250">
        <f>A556+1</f>
        <v>160</v>
      </c>
      <c r="B559" s="251"/>
      <c r="C559" s="661" t="s">
        <v>689</v>
      </c>
      <c r="D559" s="532" t="s">
        <v>1855</v>
      </c>
      <c r="E559" s="251" t="s">
        <v>1439</v>
      </c>
      <c r="F559" s="252">
        <f>M559+O559+Q559+S559+U559+W559+Y559</f>
        <v>0</v>
      </c>
      <c r="G559" s="253">
        <f>L559</f>
        <v>1.65</v>
      </c>
      <c r="H559" s="254">
        <f>INT(F559*G559*100+0.5)/100</f>
        <v>0</v>
      </c>
      <c r="I559" s="253">
        <f>N559+P559+R559+T559+V559+X559+Z559</f>
        <v>0</v>
      </c>
      <c r="J559" s="253"/>
      <c r="K559" s="251" t="s">
        <v>1439</v>
      </c>
      <c r="L559" s="255">
        <v>1.65</v>
      </c>
      <c r="M559" s="258">
        <v>0</v>
      </c>
      <c r="N559" s="257">
        <f>INT($L559*M559*100+0.5)/100</f>
        <v>0</v>
      </c>
      <c r="O559" s="258">
        <v>0</v>
      </c>
      <c r="P559" s="257">
        <f>INT($L559*O559*100+0.5)/100</f>
        <v>0</v>
      </c>
      <c r="Q559" s="258">
        <v>0</v>
      </c>
      <c r="R559" s="257">
        <f>INT($L559*Q559*100+0.5)/100</f>
        <v>0</v>
      </c>
      <c r="S559" s="258">
        <v>0</v>
      </c>
      <c r="T559" s="257">
        <f>INT($L559*S559*100+0.5)/100</f>
        <v>0</v>
      </c>
      <c r="U559" s="258">
        <v>0</v>
      </c>
      <c r="V559" s="257">
        <f>INT($L559*U559*100+0.5)/100</f>
        <v>0</v>
      </c>
      <c r="W559" s="258">
        <v>0</v>
      </c>
      <c r="X559" s="257">
        <f>INT($L559*W559*100+0.5)/100</f>
        <v>0</v>
      </c>
      <c r="Y559" s="258">
        <v>0</v>
      </c>
      <c r="Z559" s="257">
        <f>INT($L559*Y559*100+0.5)/100</f>
        <v>0</v>
      </c>
    </row>
    <row r="560" spans="1:26" ht="15">
      <c r="A560" s="250"/>
      <c r="B560" s="251"/>
      <c r="C560" s="661"/>
      <c r="D560" s="532" t="s">
        <v>1854</v>
      </c>
      <c r="E560" s="251"/>
      <c r="F560" s="252"/>
      <c r="G560" s="253"/>
      <c r="H560" s="254"/>
      <c r="I560" s="253"/>
      <c r="J560" s="253"/>
      <c r="K560" s="251"/>
      <c r="L560" s="261"/>
      <c r="M560" s="258"/>
      <c r="N560" s="257"/>
      <c r="O560" s="258"/>
      <c r="P560" s="257"/>
      <c r="Q560" s="258"/>
      <c r="R560" s="257"/>
      <c r="S560" s="258"/>
      <c r="T560" s="257"/>
      <c r="U560" s="258"/>
      <c r="V560" s="257"/>
      <c r="W560" s="258"/>
      <c r="X560" s="257"/>
      <c r="Y560" s="258"/>
      <c r="Z560" s="257"/>
    </row>
    <row r="561" spans="1:26" ht="15" customHeight="1">
      <c r="A561" s="250"/>
      <c r="B561" s="251"/>
      <c r="C561" s="661"/>
      <c r="D561" s="292"/>
      <c r="E561" s="251"/>
      <c r="F561" s="252"/>
      <c r="G561" s="253"/>
      <c r="H561" s="254"/>
      <c r="I561" s="253"/>
      <c r="J561" s="253"/>
      <c r="K561" s="251"/>
      <c r="L561" s="261"/>
      <c r="M561" s="258"/>
      <c r="N561" s="257"/>
      <c r="O561" s="258"/>
      <c r="P561" s="257"/>
      <c r="Q561" s="258"/>
      <c r="R561" s="257"/>
      <c r="S561" s="258"/>
      <c r="T561" s="257"/>
      <c r="U561" s="258"/>
      <c r="V561" s="257"/>
      <c r="W561" s="258"/>
      <c r="X561" s="257"/>
      <c r="Y561" s="258"/>
      <c r="Z561" s="257"/>
    </row>
    <row r="562" spans="1:26" ht="15">
      <c r="A562" s="250">
        <f>A559+1</f>
        <v>161</v>
      </c>
      <c r="B562" s="251"/>
      <c r="C562" s="661" t="s">
        <v>690</v>
      </c>
      <c r="D562" s="532" t="s">
        <v>1052</v>
      </c>
      <c r="E562" s="251" t="s">
        <v>2461</v>
      </c>
      <c r="F562" s="252">
        <f>M562+O562+Q562+S562+U562+W562+Y562</f>
        <v>0</v>
      </c>
      <c r="G562" s="253">
        <f>L562</f>
        <v>205.25</v>
      </c>
      <c r="H562" s="254">
        <f>INT(F562*G562*100+0.5)/100</f>
        <v>0</v>
      </c>
      <c r="I562" s="253">
        <f>N562+P562+R562+T562+V562+X562+Z562</f>
        <v>0</v>
      </c>
      <c r="J562" s="253"/>
      <c r="K562" s="251" t="s">
        <v>2461</v>
      </c>
      <c r="L562" s="255">
        <v>205.25</v>
      </c>
      <c r="M562" s="258">
        <v>0</v>
      </c>
      <c r="N562" s="257">
        <f>INT($L562*M562*100+0.5)/100</f>
        <v>0</v>
      </c>
      <c r="O562" s="258">
        <v>0</v>
      </c>
      <c r="P562" s="257">
        <f>INT($L562*O562*100+0.5)/100</f>
        <v>0</v>
      </c>
      <c r="Q562" s="258">
        <v>0</v>
      </c>
      <c r="R562" s="257">
        <f>INT($L562*Q562*100+0.5)/100</f>
        <v>0</v>
      </c>
      <c r="S562" s="258">
        <v>0</v>
      </c>
      <c r="T562" s="257">
        <f>INT($L562*S562*100+0.5)/100</f>
        <v>0</v>
      </c>
      <c r="U562" s="258">
        <v>0</v>
      </c>
      <c r="V562" s="257">
        <f>INT($L562*U562*100+0.5)/100</f>
        <v>0</v>
      </c>
      <c r="W562" s="258">
        <v>0</v>
      </c>
      <c r="X562" s="257">
        <f>INT($L562*W562*100+0.5)/100</f>
        <v>0</v>
      </c>
      <c r="Y562" s="258">
        <v>0</v>
      </c>
      <c r="Z562" s="257">
        <f>INT($L562*Y562*100+0.5)/100</f>
        <v>0</v>
      </c>
    </row>
    <row r="563" spans="1:26" ht="15" customHeight="1">
      <c r="A563" s="250"/>
      <c r="B563" s="251"/>
      <c r="C563" s="540"/>
      <c r="D563" s="532" t="s">
        <v>1053</v>
      </c>
      <c r="E563" s="251"/>
      <c r="F563" s="252"/>
      <c r="G563" s="253"/>
      <c r="H563" s="254"/>
      <c r="I563" s="253"/>
      <c r="J563" s="253"/>
      <c r="K563" s="251"/>
      <c r="L563" s="261"/>
      <c r="M563" s="258"/>
      <c r="N563" s="257"/>
      <c r="O563" s="258"/>
      <c r="P563" s="257"/>
      <c r="Q563" s="258"/>
      <c r="R563" s="257"/>
      <c r="S563" s="258"/>
      <c r="T563" s="257"/>
      <c r="U563" s="258"/>
      <c r="V563" s="257"/>
      <c r="W563" s="258"/>
      <c r="X563" s="257"/>
      <c r="Y563" s="258"/>
      <c r="Z563" s="257"/>
    </row>
    <row r="564" spans="1:26" ht="15" customHeight="1">
      <c r="A564" s="250"/>
      <c r="B564" s="251"/>
      <c r="C564" s="540"/>
      <c r="D564" s="532"/>
      <c r="E564" s="251"/>
      <c r="F564" s="252"/>
      <c r="G564" s="253"/>
      <c r="H564" s="254"/>
      <c r="I564" s="225"/>
      <c r="J564" s="225"/>
      <c r="K564" s="251"/>
      <c r="L564" s="261"/>
      <c r="M564" s="258"/>
      <c r="N564" s="257"/>
      <c r="O564" s="258"/>
      <c r="P564" s="257"/>
      <c r="Q564" s="258"/>
      <c r="R564" s="257"/>
      <c r="S564" s="258"/>
      <c r="T564" s="257"/>
      <c r="U564" s="258"/>
      <c r="V564" s="257"/>
      <c r="W564" s="258"/>
      <c r="X564" s="257"/>
      <c r="Y564" s="258"/>
      <c r="Z564" s="257"/>
    </row>
    <row r="565" spans="1:26" s="303" customFormat="1" ht="15" customHeight="1">
      <c r="A565" s="298"/>
      <c r="B565" s="299"/>
      <c r="C565" s="267" t="s">
        <v>1452</v>
      </c>
      <c r="D565" s="333" t="s">
        <v>1552</v>
      </c>
      <c r="E565" s="299"/>
      <c r="F565" s="301"/>
      <c r="G565" s="273"/>
      <c r="H565" s="273"/>
      <c r="I565" s="272">
        <f>N565+P565+R565+T565+V565+X565+Z565</f>
        <v>0</v>
      </c>
      <c r="J565" s="269">
        <f>SUM(N565:Z565)</f>
        <v>0</v>
      </c>
      <c r="K565" s="299"/>
      <c r="L565" s="271"/>
      <c r="M565" s="273"/>
      <c r="N565" s="273">
        <f>SUM(N553:N564)</f>
        <v>0</v>
      </c>
      <c r="O565" s="273"/>
      <c r="P565" s="273">
        <f>SUM(P553:P564)</f>
        <v>0</v>
      </c>
      <c r="Q565" s="273"/>
      <c r="R565" s="273">
        <f>SUM(R553:R564)</f>
        <v>0</v>
      </c>
      <c r="S565" s="273"/>
      <c r="T565" s="273">
        <f>SUM(T553:T564)</f>
        <v>0</v>
      </c>
      <c r="U565" s="273"/>
      <c r="V565" s="273">
        <f>SUM(V553:V564)</f>
        <v>0</v>
      </c>
      <c r="W565" s="273"/>
      <c r="X565" s="273">
        <f>SUM(X553:X564)</f>
        <v>0</v>
      </c>
      <c r="Y565" s="273"/>
      <c r="Z565" s="273">
        <f>SUM(Z553:Z564)</f>
        <v>0</v>
      </c>
    </row>
    <row r="566" spans="1:26" ht="15" customHeight="1">
      <c r="A566" s="250"/>
      <c r="B566" s="251"/>
      <c r="C566" s="453"/>
      <c r="D566" s="330"/>
      <c r="E566" s="251"/>
      <c r="F566" s="252"/>
      <c r="G566" s="253"/>
      <c r="H566" s="254"/>
      <c r="I566" s="676"/>
      <c r="J566" s="225"/>
      <c r="K566" s="251"/>
      <c r="L566" s="261"/>
      <c r="M566" s="258"/>
      <c r="N566" s="494">
        <f>N565/$N$1941</f>
        <v>0</v>
      </c>
      <c r="O566" s="258"/>
      <c r="P566" s="257"/>
      <c r="Q566" s="258"/>
      <c r="R566" s="257"/>
      <c r="S566" s="258"/>
      <c r="T566" s="257"/>
      <c r="U566" s="258"/>
      <c r="V566" s="257"/>
      <c r="W566" s="258"/>
      <c r="X566" s="257"/>
      <c r="Y566" s="258"/>
      <c r="Z566" s="257"/>
    </row>
    <row r="567" spans="1:26" ht="25.5">
      <c r="A567" s="250"/>
      <c r="B567" s="251"/>
      <c r="C567" s="541" t="s">
        <v>2032</v>
      </c>
      <c r="D567" s="330" t="s">
        <v>1553</v>
      </c>
      <c r="E567" s="251"/>
      <c r="F567" s="252"/>
      <c r="G567" s="253"/>
      <c r="H567" s="254"/>
      <c r="I567" s="225"/>
      <c r="J567" s="225"/>
      <c r="K567" s="251"/>
      <c r="L567" s="261"/>
      <c r="M567" s="258"/>
      <c r="N567" s="257"/>
      <c r="O567" s="258"/>
      <c r="P567" s="257"/>
      <c r="Q567" s="258"/>
      <c r="R567" s="257"/>
      <c r="S567" s="258"/>
      <c r="T567" s="257"/>
      <c r="U567" s="258"/>
      <c r="V567" s="257"/>
      <c r="W567" s="258"/>
      <c r="X567" s="257"/>
      <c r="Y567" s="258"/>
      <c r="Z567" s="257"/>
    </row>
    <row r="568" spans="1:26" ht="25.5">
      <c r="A568" s="250">
        <f>A562+1</f>
        <v>162</v>
      </c>
      <c r="B568" s="251"/>
      <c r="C568" s="661" t="s">
        <v>691</v>
      </c>
      <c r="D568" s="529" t="s">
        <v>33</v>
      </c>
      <c r="E568" s="251" t="s">
        <v>1898</v>
      </c>
      <c r="F568" s="252">
        <f>M568+O568+Q568+S568+U568+W568+Y568</f>
        <v>114</v>
      </c>
      <c r="G568" s="253">
        <f>L568</f>
        <v>17.79</v>
      </c>
      <c r="H568" s="254">
        <f>INT(F568*G568*100+0.5)/100</f>
        <v>2028.06</v>
      </c>
      <c r="I568" s="253">
        <f>N568+P568+R568+T568+V568+X568+Z568</f>
        <v>2028.06</v>
      </c>
      <c r="J568" s="253"/>
      <c r="K568" s="251" t="s">
        <v>1898</v>
      </c>
      <c r="L568" s="255">
        <v>17.79</v>
      </c>
      <c r="M568" s="258">
        <f>2*6*0.5</f>
        <v>6</v>
      </c>
      <c r="N568" s="257">
        <f>INT($L568*M568*100+0.5)/100</f>
        <v>106.74</v>
      </c>
      <c r="O568" s="258">
        <v>0</v>
      </c>
      <c r="P568" s="257">
        <f>INT($L568*O568*100+0.5)/100</f>
        <v>0</v>
      </c>
      <c r="Q568" s="258">
        <v>0</v>
      </c>
      <c r="R568" s="257">
        <f>INT($L568*Q568*100+0.5)/100</f>
        <v>0</v>
      </c>
      <c r="S568" s="258">
        <f>(6+6)*1*4</f>
        <v>48</v>
      </c>
      <c r="T568" s="257">
        <f>INT($L568*S568*100+0.5)/100</f>
        <v>853.92</v>
      </c>
      <c r="U568" s="258">
        <f>120*0.5</f>
        <v>60</v>
      </c>
      <c r="V568" s="257">
        <f>INT($L568*U568*100+0.5)/100</f>
        <v>1067.4000000000001</v>
      </c>
      <c r="W568" s="258">
        <v>0</v>
      </c>
      <c r="X568" s="257">
        <f>INT($L568*W568*100+0.5)/100</f>
        <v>0</v>
      </c>
      <c r="Y568" s="258">
        <v>0</v>
      </c>
      <c r="Z568" s="257">
        <f>INT($L568*Y568*100+0.5)/100</f>
        <v>0</v>
      </c>
    </row>
    <row r="569" spans="1:26" ht="15" customHeight="1">
      <c r="A569" s="250"/>
      <c r="B569" s="251"/>
      <c r="C569" s="661"/>
      <c r="D569" s="532" t="s">
        <v>32</v>
      </c>
      <c r="E569" s="251"/>
      <c r="F569" s="252"/>
      <c r="G569" s="253"/>
      <c r="H569" s="254"/>
      <c r="I569" s="253"/>
      <c r="J569" s="253"/>
      <c r="K569" s="251"/>
      <c r="L569" s="261"/>
      <c r="M569" s="258"/>
      <c r="N569" s="257"/>
      <c r="O569" s="258"/>
      <c r="P569" s="257"/>
      <c r="Q569" s="258"/>
      <c r="R569" s="257"/>
      <c r="S569" s="258"/>
      <c r="T569" s="257"/>
      <c r="U569" s="258"/>
      <c r="V569" s="257"/>
      <c r="W569" s="258"/>
      <c r="X569" s="257"/>
      <c r="Y569" s="258"/>
      <c r="Z569" s="257"/>
    </row>
    <row r="570" spans="1:26" ht="15" customHeight="1">
      <c r="A570" s="250"/>
      <c r="B570" s="251"/>
      <c r="C570" s="661"/>
      <c r="D570" s="532"/>
      <c r="E570" s="251"/>
      <c r="F570" s="252"/>
      <c r="G570" s="253"/>
      <c r="H570" s="254"/>
      <c r="I570" s="253"/>
      <c r="J570" s="253"/>
      <c r="K570" s="251"/>
      <c r="L570" s="261"/>
      <c r="M570" s="258"/>
      <c r="N570" s="257"/>
      <c r="O570" s="258"/>
      <c r="P570" s="257"/>
      <c r="Q570" s="258"/>
      <c r="R570" s="257"/>
      <c r="S570" s="258"/>
      <c r="T570" s="257"/>
      <c r="U570" s="258"/>
      <c r="V570" s="257"/>
      <c r="W570" s="258"/>
      <c r="X570" s="257"/>
      <c r="Y570" s="258"/>
      <c r="Z570" s="257"/>
    </row>
    <row r="571" spans="1:26" ht="15" customHeight="1">
      <c r="A571" s="250">
        <f>A568+1</f>
        <v>163</v>
      </c>
      <c r="B571" s="251"/>
      <c r="C571" s="661" t="s">
        <v>692</v>
      </c>
      <c r="D571" s="529"/>
      <c r="E571" s="251" t="s">
        <v>1898</v>
      </c>
      <c r="F571" s="252">
        <f>M571+O571+Q571+S571+U571+W571+Y571</f>
        <v>100</v>
      </c>
      <c r="G571" s="253">
        <f>L571</f>
        <v>17.61</v>
      </c>
      <c r="H571" s="254">
        <f>INT(F571*G571*100+0.5)/100</f>
        <v>1761</v>
      </c>
      <c r="I571" s="253">
        <f>N571+P571+R571+T571+V571+X571+Z571</f>
        <v>1761</v>
      </c>
      <c r="J571" s="253"/>
      <c r="K571" s="251" t="s">
        <v>1898</v>
      </c>
      <c r="L571" s="255">
        <v>17.61</v>
      </c>
      <c r="M571" s="258">
        <v>40</v>
      </c>
      <c r="N571" s="257">
        <f>INT($L571*M571*100+0.5)/100</f>
        <v>704.4</v>
      </c>
      <c r="O571" s="258">
        <v>0</v>
      </c>
      <c r="P571" s="257">
        <f>INT($L571*O571*100+0.5)/100</f>
        <v>0</v>
      </c>
      <c r="Q571" s="258">
        <v>0</v>
      </c>
      <c r="R571" s="257">
        <f>INT($L571*Q571*100+0.5)/100</f>
        <v>0</v>
      </c>
      <c r="S571" s="258">
        <v>0</v>
      </c>
      <c r="T571" s="257">
        <f>INT($L571*S571*100+0.5)/100</f>
        <v>0</v>
      </c>
      <c r="U571" s="258">
        <v>60</v>
      </c>
      <c r="V571" s="257">
        <f>INT($L571*U571*100+0.5)/100</f>
        <v>1056.5999999999999</v>
      </c>
      <c r="W571" s="258">
        <v>0</v>
      </c>
      <c r="X571" s="257">
        <f>INT($L571*W571*100+0.5)/100</f>
        <v>0</v>
      </c>
      <c r="Y571" s="258">
        <v>0</v>
      </c>
      <c r="Z571" s="257">
        <f>INT($L571*Y571*100+0.5)/100</f>
        <v>0</v>
      </c>
    </row>
    <row r="572" spans="1:26" ht="25.5">
      <c r="A572" s="250"/>
      <c r="B572" s="251"/>
      <c r="C572" s="661"/>
      <c r="D572" s="532" t="s">
        <v>1969</v>
      </c>
      <c r="E572" s="251"/>
      <c r="F572" s="252"/>
      <c r="G572" s="253"/>
      <c r="H572" s="254"/>
      <c r="I572" s="253"/>
      <c r="J572" s="253"/>
      <c r="K572" s="251"/>
      <c r="L572" s="261"/>
      <c r="M572" s="258"/>
      <c r="N572" s="257"/>
      <c r="O572" s="258"/>
      <c r="P572" s="257"/>
      <c r="Q572" s="258"/>
      <c r="R572" s="257"/>
      <c r="S572" s="258"/>
      <c r="T572" s="257"/>
      <c r="U572" s="258"/>
      <c r="V572" s="257"/>
      <c r="W572" s="258"/>
      <c r="X572" s="257"/>
      <c r="Y572" s="258"/>
      <c r="Z572" s="257"/>
    </row>
    <row r="573" spans="1:26" ht="15" customHeight="1">
      <c r="A573" s="250"/>
      <c r="B573" s="251"/>
      <c r="C573" s="661"/>
      <c r="D573" s="532"/>
      <c r="E573" s="251"/>
      <c r="F573" s="252"/>
      <c r="G573" s="253"/>
      <c r="H573" s="254"/>
      <c r="I573" s="253"/>
      <c r="J573" s="253"/>
      <c r="K573" s="251"/>
      <c r="L573" s="261"/>
      <c r="M573" s="258"/>
      <c r="N573" s="257"/>
      <c r="O573" s="258"/>
      <c r="P573" s="257"/>
      <c r="Q573" s="258"/>
      <c r="R573" s="257"/>
      <c r="S573" s="258"/>
      <c r="T573" s="257"/>
      <c r="U573" s="258"/>
      <c r="V573" s="257"/>
      <c r="W573" s="258"/>
      <c r="X573" s="257"/>
      <c r="Y573" s="258"/>
      <c r="Z573" s="257"/>
    </row>
    <row r="574" spans="1:26" ht="15" customHeight="1">
      <c r="A574" s="250">
        <f>A571+1</f>
        <v>164</v>
      </c>
      <c r="B574" s="251"/>
      <c r="C574" s="654" t="s">
        <v>693</v>
      </c>
      <c r="D574" s="532"/>
      <c r="E574" s="251" t="s">
        <v>1898</v>
      </c>
      <c r="F574" s="252">
        <f>M574+O574+Q574+S574+U574+W574+Y574</f>
        <v>0</v>
      </c>
      <c r="G574" s="253">
        <f>L574</f>
        <v>19.86</v>
      </c>
      <c r="H574" s="254">
        <f>$H$559</f>
        <v>0</v>
      </c>
      <c r="I574" s="253">
        <f>N574+P574+R574+T574+V574+X574+Z574</f>
        <v>0</v>
      </c>
      <c r="J574" s="253"/>
      <c r="K574" s="251" t="s">
        <v>1898</v>
      </c>
      <c r="L574" s="255">
        <v>19.86</v>
      </c>
      <c r="M574" s="258">
        <v>0</v>
      </c>
      <c r="N574" s="257">
        <f>INT($L574*M574*100+0.5)/100</f>
        <v>0</v>
      </c>
      <c r="O574" s="258">
        <v>0</v>
      </c>
      <c r="P574" s="257">
        <f>INT($L574*O574*100+0.5)/100</f>
        <v>0</v>
      </c>
      <c r="Q574" s="258">
        <v>0</v>
      </c>
      <c r="R574" s="257">
        <f>INT($L574*Q574*100+0.5)/100</f>
        <v>0</v>
      </c>
      <c r="S574" s="258">
        <v>0</v>
      </c>
      <c r="T574" s="257">
        <f>INT($L574*S574*100+0.5)/100</f>
        <v>0</v>
      </c>
      <c r="U574" s="258">
        <v>0</v>
      </c>
      <c r="V574" s="257">
        <f>INT($L574*U574*100+0.5)/100</f>
        <v>0</v>
      </c>
      <c r="W574" s="258">
        <v>0</v>
      </c>
      <c r="X574" s="257">
        <f>INT($L574*W574*100+0.5)/100</f>
        <v>0</v>
      </c>
      <c r="Y574" s="258">
        <v>0</v>
      </c>
      <c r="Z574" s="257">
        <f>INT($L574*Y574*100+0.5)/100</f>
        <v>0</v>
      </c>
    </row>
    <row r="575" spans="1:26" ht="15" customHeight="1">
      <c r="A575" s="250"/>
      <c r="B575" s="251"/>
      <c r="C575" s="532"/>
      <c r="D575" s="532" t="s">
        <v>1946</v>
      </c>
      <c r="E575" s="251"/>
      <c r="F575" s="252"/>
      <c r="G575" s="253"/>
      <c r="H575" s="254"/>
      <c r="I575" s="253"/>
      <c r="J575" s="253"/>
      <c r="K575" s="251"/>
      <c r="L575" s="261"/>
      <c r="M575" s="258"/>
      <c r="N575" s="257"/>
      <c r="O575" s="258"/>
      <c r="P575" s="257"/>
      <c r="Q575" s="258"/>
      <c r="R575" s="257"/>
      <c r="S575" s="258"/>
      <c r="T575" s="257"/>
      <c r="U575" s="258"/>
      <c r="V575" s="257"/>
      <c r="W575" s="258"/>
      <c r="X575" s="257"/>
      <c r="Y575" s="258"/>
      <c r="Z575" s="257"/>
    </row>
    <row r="576" spans="1:26" ht="15" customHeight="1">
      <c r="A576" s="250"/>
      <c r="B576" s="251"/>
      <c r="C576" s="540"/>
      <c r="D576" s="532"/>
      <c r="E576" s="251"/>
      <c r="F576" s="252"/>
      <c r="G576" s="253"/>
      <c r="H576" s="254"/>
      <c r="I576" s="253"/>
      <c r="J576" s="253"/>
      <c r="K576" s="251"/>
      <c r="L576" s="261"/>
      <c r="M576" s="258"/>
      <c r="N576" s="257"/>
      <c r="O576" s="258"/>
      <c r="P576" s="257"/>
      <c r="Q576" s="258"/>
      <c r="R576" s="257"/>
      <c r="S576" s="258"/>
      <c r="T576" s="257"/>
      <c r="U576" s="258"/>
      <c r="V576" s="257"/>
      <c r="W576" s="258"/>
      <c r="X576" s="257"/>
      <c r="Y576" s="258"/>
      <c r="Z576" s="257"/>
    </row>
    <row r="577" spans="1:26" ht="25.5">
      <c r="A577" s="250">
        <f>A574+1</f>
        <v>165</v>
      </c>
      <c r="B577" s="251"/>
      <c r="C577" s="662" t="s">
        <v>694</v>
      </c>
      <c r="D577" s="532" t="s">
        <v>30</v>
      </c>
      <c r="E577" s="251" t="s">
        <v>1898</v>
      </c>
      <c r="F577" s="252"/>
      <c r="G577" s="253"/>
      <c r="H577" s="254"/>
      <c r="I577" s="253"/>
      <c r="J577" s="253"/>
      <c r="K577" s="251" t="s">
        <v>1898</v>
      </c>
      <c r="L577" s="255"/>
      <c r="M577" s="258"/>
      <c r="N577" s="257"/>
      <c r="O577" s="258"/>
      <c r="P577" s="257"/>
      <c r="Q577" s="258"/>
      <c r="R577" s="257"/>
      <c r="S577" s="258"/>
      <c r="T577" s="257"/>
      <c r="U577" s="258"/>
      <c r="V577" s="257"/>
      <c r="W577" s="258"/>
      <c r="X577" s="257"/>
      <c r="Y577" s="258"/>
      <c r="Z577" s="257"/>
    </row>
    <row r="578" spans="1:26" ht="25.5">
      <c r="A578" s="250"/>
      <c r="B578" s="251"/>
      <c r="C578" s="532"/>
      <c r="D578" s="532" t="s">
        <v>31</v>
      </c>
      <c r="E578" s="251"/>
      <c r="F578" s="252"/>
      <c r="G578" s="253"/>
      <c r="H578" s="254"/>
      <c r="I578" s="253"/>
      <c r="J578" s="253"/>
      <c r="K578" s="251"/>
      <c r="L578" s="261"/>
      <c r="M578" s="258"/>
      <c r="N578" s="257"/>
      <c r="O578" s="258"/>
      <c r="P578" s="257"/>
      <c r="Q578" s="258"/>
      <c r="R578" s="257"/>
      <c r="S578" s="258"/>
      <c r="T578" s="257"/>
      <c r="U578" s="258"/>
      <c r="V578" s="257"/>
      <c r="W578" s="258"/>
      <c r="X578" s="257"/>
      <c r="Y578" s="258"/>
      <c r="Z578" s="257"/>
    </row>
    <row r="579" spans="1:26" ht="15" customHeight="1">
      <c r="A579" s="250"/>
      <c r="B579" s="251"/>
      <c r="C579" s="540"/>
      <c r="D579" s="532" t="s">
        <v>29</v>
      </c>
      <c r="E579" s="251"/>
      <c r="F579" s="252">
        <f>M579+O579+Q579+S579+U579+W579+Y579</f>
        <v>48</v>
      </c>
      <c r="G579" s="253">
        <f>L579</f>
        <v>31.62</v>
      </c>
      <c r="H579" s="254">
        <f>$H$559</f>
        <v>0</v>
      </c>
      <c r="I579" s="253">
        <f>N579+P579+R579+T579+V579+X579+Z579</f>
        <v>1517.76</v>
      </c>
      <c r="J579" s="253"/>
      <c r="K579" s="251"/>
      <c r="L579" s="255">
        <v>31.62</v>
      </c>
      <c r="M579" s="258">
        <v>0</v>
      </c>
      <c r="N579" s="257">
        <f>INT($L579*M579*100+0.5)/100</f>
        <v>0</v>
      </c>
      <c r="O579" s="258">
        <v>0</v>
      </c>
      <c r="P579" s="257">
        <f>INT($L579*O579*100+0.5)/100</f>
        <v>0</v>
      </c>
      <c r="Q579" s="258">
        <v>0</v>
      </c>
      <c r="R579" s="257">
        <f>INT($L579*Q579*100+0.5)/100</f>
        <v>0</v>
      </c>
      <c r="S579" s="258">
        <f>12*(4*1*1)</f>
        <v>48</v>
      </c>
      <c r="T579" s="257">
        <f>INT($L579*S579*100+0.5)/100</f>
        <v>1517.76</v>
      </c>
      <c r="U579" s="258">
        <v>0</v>
      </c>
      <c r="V579" s="257">
        <f>INT($L579*U579*100+0.5)/100</f>
        <v>0</v>
      </c>
      <c r="W579" s="258">
        <v>0</v>
      </c>
      <c r="X579" s="257">
        <f>INT($L579*W579*100+0.5)/100</f>
        <v>0</v>
      </c>
      <c r="Y579" s="258">
        <v>0</v>
      </c>
      <c r="Z579" s="257">
        <f>INT($L579*Y579*100+0.5)/100</f>
        <v>0</v>
      </c>
    </row>
    <row r="580" spans="1:26" ht="15" customHeight="1">
      <c r="A580" s="250"/>
      <c r="B580" s="251"/>
      <c r="C580" s="540"/>
      <c r="D580" s="532"/>
      <c r="E580" s="251"/>
      <c r="F580" s="252"/>
      <c r="G580" s="253"/>
      <c r="H580" s="254"/>
      <c r="I580" s="253"/>
      <c r="J580" s="253"/>
      <c r="K580" s="251"/>
      <c r="L580" s="261"/>
      <c r="M580" s="258"/>
      <c r="N580" s="257"/>
      <c r="O580" s="258"/>
      <c r="P580" s="257"/>
      <c r="Q580" s="258"/>
      <c r="R580" s="257"/>
      <c r="S580" s="258"/>
      <c r="T580" s="257"/>
      <c r="U580" s="258"/>
      <c r="V580" s="257"/>
      <c r="W580" s="258"/>
      <c r="X580" s="257"/>
      <c r="Y580" s="258"/>
      <c r="Z580" s="257"/>
    </row>
    <row r="581" spans="1:26" ht="15" customHeight="1">
      <c r="A581" s="250">
        <f>A574+1</f>
        <v>165</v>
      </c>
      <c r="B581" s="251"/>
      <c r="C581" s="647" t="s">
        <v>696</v>
      </c>
      <c r="D581" s="526" t="s">
        <v>2505</v>
      </c>
      <c r="E581" s="251" t="s">
        <v>2461</v>
      </c>
      <c r="F581" s="252"/>
      <c r="G581" s="253"/>
      <c r="H581" s="254"/>
      <c r="I581" s="253"/>
      <c r="J581" s="253"/>
      <c r="K581" s="251" t="s">
        <v>2461</v>
      </c>
      <c r="L581" s="261"/>
      <c r="M581" s="258"/>
      <c r="N581" s="257"/>
      <c r="O581" s="258"/>
      <c r="P581" s="257"/>
      <c r="Q581" s="258"/>
      <c r="R581" s="257"/>
      <c r="S581" s="258"/>
      <c r="T581" s="257"/>
      <c r="U581" s="258"/>
      <c r="V581" s="257"/>
      <c r="W581" s="258"/>
      <c r="X581" s="257"/>
      <c r="Y581" s="258"/>
      <c r="Z581" s="257"/>
    </row>
    <row r="582" spans="1:26" ht="25.5">
      <c r="A582" s="250"/>
      <c r="B582" s="251"/>
      <c r="C582" s="526"/>
      <c r="D582" s="526" t="s">
        <v>326</v>
      </c>
      <c r="E582" s="251"/>
      <c r="F582" s="252"/>
      <c r="G582" s="253"/>
      <c r="H582" s="254"/>
      <c r="I582" s="253"/>
      <c r="J582" s="253"/>
      <c r="K582" s="251"/>
      <c r="L582" s="261"/>
      <c r="M582" s="258"/>
      <c r="N582" s="257"/>
      <c r="O582" s="258"/>
      <c r="P582" s="257"/>
      <c r="Q582" s="258"/>
      <c r="R582" s="257"/>
      <c r="S582" s="258"/>
      <c r="T582" s="257"/>
      <c r="U582" s="258"/>
      <c r="V582" s="257"/>
      <c r="W582" s="258"/>
      <c r="X582" s="257"/>
      <c r="Y582" s="258"/>
      <c r="Z582" s="257"/>
    </row>
    <row r="583" spans="1:26" ht="15" customHeight="1">
      <c r="A583" s="250"/>
      <c r="B583" s="251"/>
      <c r="C583" s="526"/>
      <c r="D583" s="292" t="s">
        <v>1970</v>
      </c>
      <c r="E583" s="251"/>
      <c r="F583" s="252"/>
      <c r="G583" s="253"/>
      <c r="H583" s="254"/>
      <c r="I583" s="253"/>
      <c r="J583" s="253"/>
      <c r="K583" s="251"/>
      <c r="L583" s="261"/>
      <c r="M583" s="258">
        <f>6*1.5*0.5</f>
        <v>4.5</v>
      </c>
      <c r="N583" s="257"/>
      <c r="O583" s="258">
        <v>0</v>
      </c>
      <c r="P583" s="257"/>
      <c r="Q583" s="258">
        <v>0</v>
      </c>
      <c r="R583" s="257"/>
      <c r="S583" s="258">
        <v>0</v>
      </c>
      <c r="T583" s="257"/>
      <c r="U583" s="258">
        <v>0</v>
      </c>
      <c r="V583" s="257"/>
      <c r="W583" s="258">
        <v>0</v>
      </c>
      <c r="X583" s="257"/>
      <c r="Y583" s="258">
        <v>0</v>
      </c>
      <c r="Z583" s="257"/>
    </row>
    <row r="584" spans="1:26" ht="15" customHeight="1">
      <c r="A584" s="250"/>
      <c r="B584" s="251"/>
      <c r="C584" s="526"/>
      <c r="D584" s="238" t="s">
        <v>1899</v>
      </c>
      <c r="E584" s="251"/>
      <c r="F584" s="252"/>
      <c r="G584" s="253"/>
      <c r="H584" s="254"/>
      <c r="I584" s="253"/>
      <c r="J584" s="253"/>
      <c r="K584" s="251"/>
      <c r="L584" s="261"/>
      <c r="M584" s="293">
        <v>0</v>
      </c>
      <c r="N584" s="294"/>
      <c r="O584" s="293">
        <v>0</v>
      </c>
      <c r="P584" s="294"/>
      <c r="Q584" s="293">
        <v>0</v>
      </c>
      <c r="R584" s="294"/>
      <c r="S584" s="293">
        <v>0</v>
      </c>
      <c r="T584" s="294"/>
      <c r="U584" s="293">
        <v>0</v>
      </c>
      <c r="V584" s="294"/>
      <c r="W584" s="293">
        <v>0</v>
      </c>
      <c r="X584" s="294"/>
      <c r="Y584" s="293">
        <v>0</v>
      </c>
      <c r="Z584" s="294"/>
    </row>
    <row r="585" spans="1:26" ht="12.75" customHeight="1">
      <c r="A585" s="250"/>
      <c r="B585" s="251"/>
      <c r="C585" s="526"/>
      <c r="D585" s="292" t="s">
        <v>575</v>
      </c>
      <c r="E585" s="251"/>
      <c r="F585" s="252">
        <f>M585+O585+Q585+S585+U585+W585+Y585</f>
        <v>4.5</v>
      </c>
      <c r="G585" s="253">
        <f>L585</f>
        <v>104.19</v>
      </c>
      <c r="H585" s="254">
        <f>INT(F585*G585*100+0.5)/100</f>
        <v>468.86</v>
      </c>
      <c r="I585" s="253">
        <f>N585+P585+R585+T585+V585+X585+Z585</f>
        <v>468.86</v>
      </c>
      <c r="J585" s="253"/>
      <c r="K585" s="251"/>
      <c r="L585" s="255">
        <v>104.19</v>
      </c>
      <c r="M585" s="258">
        <f>INT(SUM(M583:M584)*100+0.5)/100</f>
        <v>4.5</v>
      </c>
      <c r="N585" s="257">
        <f>INT($L585*M585*100+0.5)/100</f>
        <v>468.86</v>
      </c>
      <c r="O585" s="258">
        <f>INT(SUM(O583:O584)*100+0.5)/100</f>
        <v>0</v>
      </c>
      <c r="P585" s="257">
        <f>INT($L585*O585*100+0.5)/100</f>
        <v>0</v>
      </c>
      <c r="Q585" s="258">
        <f>INT(SUM(Q583:Q584)*100+0.5)/100</f>
        <v>0</v>
      </c>
      <c r="R585" s="257">
        <f>INT($L585*Q585*100+0.5)/100</f>
        <v>0</v>
      </c>
      <c r="S585" s="258">
        <f>INT(SUM(S583:S584)*100+0.5)/100</f>
        <v>0</v>
      </c>
      <c r="T585" s="257">
        <f>INT($L585*S585*100+0.5)/100</f>
        <v>0</v>
      </c>
      <c r="U585" s="258">
        <f>INT(SUM(U583:U584)*100+0.5)/100</f>
        <v>0</v>
      </c>
      <c r="V585" s="257">
        <f>INT($L585*U585*100+0.5)/100</f>
        <v>0</v>
      </c>
      <c r="W585" s="258">
        <f>INT(SUM(W583:W584)*100+0.5)/100</f>
        <v>0</v>
      </c>
      <c r="X585" s="257">
        <f>INT($L585*W585*100+0.5)/100</f>
        <v>0</v>
      </c>
      <c r="Y585" s="258">
        <f>INT(SUM(Y583:Y584)*100+0.5)/100</f>
        <v>0</v>
      </c>
      <c r="Z585" s="257">
        <f>INT($L585*Y585*100+0.5)/100</f>
        <v>0</v>
      </c>
    </row>
    <row r="586" spans="1:26" ht="12.75" customHeight="1">
      <c r="A586" s="250"/>
      <c r="B586" s="251"/>
      <c r="C586" s="526"/>
      <c r="D586" s="292"/>
      <c r="E586" s="251"/>
      <c r="F586" s="252"/>
      <c r="G586" s="253"/>
      <c r="H586" s="254"/>
      <c r="I586" s="253"/>
      <c r="J586" s="253"/>
      <c r="K586" s="251"/>
      <c r="L586" s="261"/>
      <c r="M586" s="258"/>
      <c r="N586" s="257"/>
      <c r="O586" s="258"/>
      <c r="P586" s="257"/>
      <c r="Q586" s="258"/>
      <c r="R586" s="257"/>
      <c r="S586" s="258"/>
      <c r="T586" s="257"/>
      <c r="U586" s="258"/>
      <c r="V586" s="257"/>
      <c r="W586" s="258"/>
      <c r="X586" s="257"/>
      <c r="Y586" s="258"/>
      <c r="Z586" s="257"/>
    </row>
    <row r="587" spans="1:26" ht="15" customHeight="1">
      <c r="A587" s="250">
        <f>A581+1</f>
        <v>166</v>
      </c>
      <c r="B587" s="251"/>
      <c r="C587" s="647" t="s">
        <v>697</v>
      </c>
      <c r="D587" s="526" t="s">
        <v>2504</v>
      </c>
      <c r="E587" s="251" t="s">
        <v>2461</v>
      </c>
      <c r="F587" s="252"/>
      <c r="G587" s="253"/>
      <c r="H587" s="254"/>
      <c r="I587" s="253"/>
      <c r="J587" s="253"/>
      <c r="K587" s="251" t="s">
        <v>2461</v>
      </c>
      <c r="L587" s="261"/>
      <c r="M587" s="258"/>
      <c r="N587" s="257"/>
      <c r="O587" s="258"/>
      <c r="P587" s="257"/>
      <c r="Q587" s="258"/>
      <c r="R587" s="257"/>
      <c r="S587" s="258"/>
      <c r="T587" s="257"/>
      <c r="U587" s="258"/>
      <c r="V587" s="257"/>
      <c r="W587" s="258"/>
      <c r="X587" s="257"/>
      <c r="Y587" s="258"/>
      <c r="Z587" s="257"/>
    </row>
    <row r="588" spans="1:26" ht="15">
      <c r="A588" s="250"/>
      <c r="B588" s="251"/>
      <c r="C588" s="526"/>
      <c r="D588" s="526" t="s">
        <v>325</v>
      </c>
      <c r="E588" s="251"/>
      <c r="F588" s="252"/>
      <c r="G588" s="253"/>
      <c r="H588" s="254"/>
      <c r="I588" s="253"/>
      <c r="J588" s="253"/>
      <c r="K588" s="251"/>
      <c r="L588" s="261"/>
      <c r="M588" s="258"/>
      <c r="N588" s="257"/>
      <c r="O588" s="258"/>
      <c r="P588" s="257"/>
      <c r="Q588" s="258"/>
      <c r="R588" s="257"/>
      <c r="S588" s="258"/>
      <c r="T588" s="257"/>
      <c r="U588" s="258"/>
      <c r="V588" s="257"/>
      <c r="W588" s="258"/>
      <c r="X588" s="257"/>
      <c r="Y588" s="258"/>
      <c r="Z588" s="257"/>
    </row>
    <row r="589" spans="1:26" ht="15" customHeight="1">
      <c r="A589" s="250"/>
      <c r="B589" s="251"/>
      <c r="C589" s="526"/>
      <c r="D589" s="292" t="s">
        <v>1970</v>
      </c>
      <c r="E589" s="251"/>
      <c r="F589" s="252"/>
      <c r="G589" s="253"/>
      <c r="H589" s="254"/>
      <c r="I589" s="253"/>
      <c r="J589" s="253"/>
      <c r="K589" s="251"/>
      <c r="L589" s="261"/>
      <c r="M589" s="258">
        <f>6*0.3*3</f>
        <v>5.3999999999999995</v>
      </c>
      <c r="N589" s="257"/>
      <c r="O589" s="258">
        <v>0</v>
      </c>
      <c r="P589" s="257"/>
      <c r="Q589" s="258">
        <v>0</v>
      </c>
      <c r="R589" s="257"/>
      <c r="S589" s="258">
        <v>0</v>
      </c>
      <c r="T589" s="257"/>
      <c r="U589" s="258">
        <v>0</v>
      </c>
      <c r="V589" s="257"/>
      <c r="W589" s="258">
        <v>0</v>
      </c>
      <c r="X589" s="257"/>
      <c r="Y589" s="258">
        <v>0</v>
      </c>
      <c r="Z589" s="257"/>
    </row>
    <row r="590" spans="1:26" ht="15" customHeight="1">
      <c r="A590" s="250"/>
      <c r="B590" s="251"/>
      <c r="C590" s="526"/>
      <c r="D590" s="292" t="s">
        <v>34</v>
      </c>
      <c r="E590" s="251"/>
      <c r="F590" s="252"/>
      <c r="G590" s="253"/>
      <c r="H590" s="254"/>
      <c r="I590" s="253"/>
      <c r="J590" s="253"/>
      <c r="K590" s="251"/>
      <c r="L590" s="261"/>
      <c r="M590" s="258">
        <v>0</v>
      </c>
      <c r="N590" s="257"/>
      <c r="O590" s="258">
        <v>0</v>
      </c>
      <c r="P590" s="257"/>
      <c r="Q590" s="258">
        <v>0</v>
      </c>
      <c r="R590" s="257"/>
      <c r="S590" s="258">
        <v>12</v>
      </c>
      <c r="T590" s="257"/>
      <c r="U590" s="258"/>
      <c r="V590" s="257"/>
      <c r="W590" s="258"/>
      <c r="X590" s="257"/>
      <c r="Y590" s="258"/>
      <c r="Z590" s="257"/>
    </row>
    <row r="591" spans="1:26" ht="15" customHeight="1">
      <c r="A591" s="250"/>
      <c r="B591" s="251"/>
      <c r="C591" s="526"/>
      <c r="D591" s="238" t="s">
        <v>1899</v>
      </c>
      <c r="E591" s="251"/>
      <c r="F591" s="252"/>
      <c r="G591" s="253"/>
      <c r="H591" s="254"/>
      <c r="I591" s="253"/>
      <c r="J591" s="253"/>
      <c r="K591" s="251"/>
      <c r="L591" s="261"/>
      <c r="M591" s="293">
        <v>0</v>
      </c>
      <c r="N591" s="294"/>
      <c r="O591" s="293">
        <v>0</v>
      </c>
      <c r="P591" s="294"/>
      <c r="Q591" s="293">
        <v>0</v>
      </c>
      <c r="R591" s="294"/>
      <c r="S591" s="293">
        <v>0</v>
      </c>
      <c r="T591" s="294"/>
      <c r="U591" s="293">
        <v>18</v>
      </c>
      <c r="V591" s="294"/>
      <c r="W591" s="293">
        <v>0</v>
      </c>
      <c r="X591" s="294"/>
      <c r="Y591" s="293">
        <v>0</v>
      </c>
      <c r="Z591" s="294"/>
    </row>
    <row r="592" spans="1:26" ht="12.75" customHeight="1">
      <c r="A592" s="250"/>
      <c r="B592" s="251"/>
      <c r="C592" s="526"/>
      <c r="D592" s="292" t="s">
        <v>575</v>
      </c>
      <c r="E592" s="251"/>
      <c r="F592" s="252">
        <f>M592+O592+Q592+S592+U592+W592+Y592</f>
        <v>35.4</v>
      </c>
      <c r="G592" s="253">
        <f>L592</f>
        <v>122.29</v>
      </c>
      <c r="H592" s="254">
        <f>INT(F592*G592*100+0.5)/100</f>
        <v>4329.07</v>
      </c>
      <c r="I592" s="253">
        <f>N592+P592+R592+T592+V592+X592+Z592</f>
        <v>4329.07</v>
      </c>
      <c r="J592" s="253"/>
      <c r="K592" s="251"/>
      <c r="L592" s="255">
        <v>122.29</v>
      </c>
      <c r="M592" s="258">
        <f>INT(SUM(M589:M591)*100+0.5)/100</f>
        <v>5.4</v>
      </c>
      <c r="N592" s="257">
        <f>INT($L592*M592*100+0.5)/100</f>
        <v>660.37</v>
      </c>
      <c r="O592" s="258">
        <f>INT(SUM(O589:O591)*100+0.5)/100</f>
        <v>0</v>
      </c>
      <c r="P592" s="257">
        <f>INT($L592*O592*100+0.5)/100</f>
        <v>0</v>
      </c>
      <c r="Q592" s="258">
        <f>INT(SUM(Q589:Q591)*100+0.5)/100</f>
        <v>0</v>
      </c>
      <c r="R592" s="257">
        <f>INT($L592*Q592*100+0.5)/100</f>
        <v>0</v>
      </c>
      <c r="S592" s="258">
        <f>INT(SUM(S589:S591)*100+0.5)/100</f>
        <v>12</v>
      </c>
      <c r="T592" s="257">
        <f>INT($L592*S592*100+0.5)/100</f>
        <v>1467.48</v>
      </c>
      <c r="U592" s="258">
        <f>INT(SUM(U589:U591)*100+0.5)/100</f>
        <v>18</v>
      </c>
      <c r="V592" s="257">
        <f>INT($L592*U592*100+0.5)/100</f>
        <v>2201.2199999999998</v>
      </c>
      <c r="W592" s="258">
        <f>INT(SUM(W589:W591)*100+0.5)/100</f>
        <v>0</v>
      </c>
      <c r="X592" s="257">
        <f>INT($L592*W592*100+0.5)/100</f>
        <v>0</v>
      </c>
      <c r="Y592" s="258">
        <f>INT(SUM(Y589:Y591)*100+0.5)/100</f>
        <v>0</v>
      </c>
      <c r="Z592" s="257">
        <f>INT($L592*Y592*100+0.5)/100</f>
        <v>0</v>
      </c>
    </row>
    <row r="593" spans="1:26" ht="12.75" customHeight="1">
      <c r="A593" s="250"/>
      <c r="B593" s="251"/>
      <c r="C593" s="526"/>
      <c r="D593" s="292"/>
      <c r="E593" s="251"/>
      <c r="F593" s="252"/>
      <c r="G593" s="253"/>
      <c r="H593" s="254"/>
      <c r="I593" s="253"/>
      <c r="J593" s="253"/>
      <c r="K593" s="251"/>
      <c r="L593" s="261"/>
      <c r="M593" s="258"/>
      <c r="N593" s="257"/>
      <c r="O593" s="258"/>
      <c r="P593" s="257"/>
      <c r="Q593" s="258"/>
      <c r="R593" s="257"/>
      <c r="S593" s="258"/>
      <c r="T593" s="257"/>
      <c r="U593" s="258"/>
      <c r="V593" s="257"/>
      <c r="W593" s="258"/>
      <c r="X593" s="257"/>
      <c r="Y593" s="258"/>
      <c r="Z593" s="257"/>
    </row>
    <row r="594" spans="1:26" ht="25.5">
      <c r="A594" s="250">
        <f>A587+1</f>
        <v>167</v>
      </c>
      <c r="B594" s="251"/>
      <c r="C594" s="657" t="s">
        <v>698</v>
      </c>
      <c r="D594" s="532" t="s">
        <v>1811</v>
      </c>
      <c r="E594" s="251" t="s">
        <v>2461</v>
      </c>
      <c r="F594" s="252">
        <f>M594+O594+Q594+S594+U594+W594+Y594</f>
        <v>0</v>
      </c>
      <c r="G594" s="253">
        <f>L594</f>
        <v>4.2</v>
      </c>
      <c r="H594" s="254">
        <f>INT(F594*G594*100+0.5)/100</f>
        <v>0</v>
      </c>
      <c r="I594" s="253">
        <f>N594+P594+R594+T594+V594+X594+Z594</f>
        <v>0</v>
      </c>
      <c r="J594" s="253"/>
      <c r="K594" s="251" t="s">
        <v>2461</v>
      </c>
      <c r="L594" s="262">
        <v>4.2</v>
      </c>
      <c r="M594" s="258">
        <v>0</v>
      </c>
      <c r="N594" s="257">
        <f>INT($L594*M594*100+0.5)/100</f>
        <v>0</v>
      </c>
      <c r="O594" s="258">
        <v>0</v>
      </c>
      <c r="P594" s="257">
        <f>INT($L594*O594*100+0.5)/100</f>
        <v>0</v>
      </c>
      <c r="Q594" s="258">
        <v>0</v>
      </c>
      <c r="R594" s="257">
        <f>INT($L594*Q594*100+0.5)/100</f>
        <v>0</v>
      </c>
      <c r="S594" s="258">
        <v>0</v>
      </c>
      <c r="T594" s="257">
        <f>INT($L594*S594*100+0.5)/100</f>
        <v>0</v>
      </c>
      <c r="U594" s="258">
        <v>0</v>
      </c>
      <c r="V594" s="257">
        <f>INT($L594*U594*100+0.5)/100</f>
        <v>0</v>
      </c>
      <c r="W594" s="258">
        <v>0</v>
      </c>
      <c r="X594" s="257">
        <f>INT($L594*W594*100+0.5)/100</f>
        <v>0</v>
      </c>
      <c r="Y594" s="258">
        <v>0</v>
      </c>
      <c r="Z594" s="257">
        <f>INT($L594*Y594*100+0.5)/100</f>
        <v>0</v>
      </c>
    </row>
    <row r="595" spans="1:26" ht="25.5">
      <c r="A595" s="250"/>
      <c r="B595" s="251"/>
      <c r="C595" s="647"/>
      <c r="D595" s="532" t="s">
        <v>1810</v>
      </c>
      <c r="E595" s="251"/>
      <c r="F595" s="252"/>
      <c r="G595" s="253"/>
      <c r="H595" s="254"/>
      <c r="I595" s="253"/>
      <c r="J595" s="253"/>
      <c r="K595" s="251"/>
      <c r="L595" s="261"/>
      <c r="M595" s="316"/>
      <c r="N595" s="259"/>
      <c r="O595" s="316"/>
      <c r="P595" s="259"/>
      <c r="Q595" s="316"/>
      <c r="R595" s="259"/>
      <c r="S595" s="316"/>
      <c r="T595" s="257"/>
      <c r="U595" s="316"/>
      <c r="V595" s="257"/>
      <c r="W595" s="316"/>
      <c r="X595" s="257"/>
      <c r="Y595" s="316"/>
      <c r="Z595" s="257"/>
    </row>
    <row r="596" spans="1:26" ht="15" customHeight="1">
      <c r="A596" s="250"/>
      <c r="B596" s="251"/>
      <c r="C596" s="647"/>
      <c r="D596" s="292"/>
      <c r="E596" s="251"/>
      <c r="F596" s="252"/>
      <c r="G596" s="253"/>
      <c r="H596" s="254"/>
      <c r="I596" s="253"/>
      <c r="J596" s="253"/>
      <c r="K596" s="251"/>
      <c r="L596" s="261"/>
      <c r="M596" s="316"/>
      <c r="N596" s="259"/>
      <c r="O596" s="316"/>
      <c r="P596" s="259"/>
      <c r="Q596" s="316"/>
      <c r="R596" s="259"/>
      <c r="S596" s="316"/>
      <c r="T596" s="257"/>
      <c r="U596" s="316"/>
      <c r="V596" s="257"/>
      <c r="W596" s="316"/>
      <c r="X596" s="257"/>
      <c r="Y596" s="316"/>
      <c r="Z596" s="257"/>
    </row>
    <row r="597" spans="1:26" ht="15" customHeight="1">
      <c r="A597" s="250">
        <f>A594+1</f>
        <v>168</v>
      </c>
      <c r="B597" s="251"/>
      <c r="C597" s="657" t="s">
        <v>1554</v>
      </c>
      <c r="D597" s="532" t="s">
        <v>1872</v>
      </c>
      <c r="E597" s="251" t="s">
        <v>1898</v>
      </c>
      <c r="F597" s="252"/>
      <c r="G597" s="253"/>
      <c r="H597" s="254"/>
      <c r="I597" s="225"/>
      <c r="J597" s="225"/>
      <c r="K597" s="251" t="s">
        <v>1898</v>
      </c>
      <c r="L597" s="261"/>
      <c r="M597" s="316"/>
      <c r="N597" s="259"/>
      <c r="O597" s="316"/>
      <c r="P597" s="259"/>
      <c r="Q597" s="316"/>
      <c r="R597" s="259"/>
      <c r="S597" s="316"/>
      <c r="T597" s="257"/>
      <c r="U597" s="316"/>
      <c r="V597" s="257"/>
      <c r="W597" s="316"/>
      <c r="X597" s="257"/>
      <c r="Y597" s="316"/>
      <c r="Z597" s="257"/>
    </row>
    <row r="598" spans="1:26" ht="15" customHeight="1">
      <c r="A598" s="250"/>
      <c r="B598" s="251"/>
      <c r="C598" s="647"/>
      <c r="D598" s="532" t="s">
        <v>1871</v>
      </c>
      <c r="E598" s="251"/>
      <c r="F598" s="252"/>
      <c r="G598" s="253"/>
      <c r="H598" s="254"/>
      <c r="I598" s="253"/>
      <c r="J598" s="253"/>
      <c r="K598" s="251"/>
      <c r="L598" s="261"/>
      <c r="M598" s="316"/>
      <c r="N598" s="259"/>
      <c r="O598" s="316"/>
      <c r="P598" s="259"/>
      <c r="Q598" s="316"/>
      <c r="R598" s="259"/>
      <c r="S598" s="316"/>
      <c r="T598" s="257"/>
      <c r="U598" s="316"/>
      <c r="V598" s="257"/>
      <c r="W598" s="316"/>
      <c r="X598" s="257"/>
      <c r="Y598" s="316"/>
      <c r="Z598" s="257"/>
    </row>
    <row r="599" spans="1:26" ht="15" customHeight="1">
      <c r="A599" s="250"/>
      <c r="B599" s="251"/>
      <c r="C599" s="647"/>
      <c r="D599" s="292"/>
      <c r="E599" s="251"/>
      <c r="F599" s="252"/>
      <c r="G599" s="253"/>
      <c r="H599" s="254"/>
      <c r="I599" s="253"/>
      <c r="J599" s="253"/>
      <c r="K599" s="251"/>
      <c r="L599" s="261"/>
      <c r="M599" s="316">
        <v>0</v>
      </c>
      <c r="N599" s="259"/>
      <c r="O599" s="316">
        <v>0</v>
      </c>
      <c r="P599" s="259"/>
      <c r="Q599" s="316">
        <v>0</v>
      </c>
      <c r="R599" s="259"/>
      <c r="S599" s="316">
        <v>0</v>
      </c>
      <c r="T599" s="257"/>
      <c r="U599" s="316">
        <v>0</v>
      </c>
      <c r="V599" s="257"/>
      <c r="W599" s="316">
        <v>0</v>
      </c>
      <c r="X599" s="257"/>
      <c r="Y599" s="316">
        <v>0</v>
      </c>
      <c r="Z599" s="257"/>
    </row>
    <row r="600" spans="1:26" ht="15" customHeight="1">
      <c r="A600" s="250"/>
      <c r="B600" s="251"/>
      <c r="C600" s="647"/>
      <c r="D600" s="292" t="s">
        <v>1899</v>
      </c>
      <c r="E600" s="251"/>
      <c r="F600" s="252"/>
      <c r="G600" s="253"/>
      <c r="H600" s="254"/>
      <c r="I600" s="253"/>
      <c r="J600" s="253"/>
      <c r="K600" s="251"/>
      <c r="L600" s="261"/>
      <c r="M600" s="317">
        <v>0</v>
      </c>
      <c r="N600" s="295"/>
      <c r="O600" s="317">
        <v>0</v>
      </c>
      <c r="P600" s="295"/>
      <c r="Q600" s="317">
        <v>0</v>
      </c>
      <c r="R600" s="295"/>
      <c r="S600" s="317">
        <v>0</v>
      </c>
      <c r="T600" s="294"/>
      <c r="U600" s="317">
        <v>0</v>
      </c>
      <c r="V600" s="294"/>
      <c r="W600" s="317">
        <v>0</v>
      </c>
      <c r="X600" s="294"/>
      <c r="Y600" s="317">
        <v>0</v>
      </c>
      <c r="Z600" s="294"/>
    </row>
    <row r="601" spans="1:26" ht="15" customHeight="1">
      <c r="A601" s="250"/>
      <c r="B601" s="251"/>
      <c r="C601" s="647"/>
      <c r="D601" s="292" t="s">
        <v>575</v>
      </c>
      <c r="E601" s="251"/>
      <c r="F601" s="252">
        <f>M601+O601+Q601+S601+U601+W601+Y601</f>
        <v>0</v>
      </c>
      <c r="G601" s="253">
        <f>L601</f>
        <v>18.899999999999999</v>
      </c>
      <c r="H601" s="254">
        <f>INT(F601*G601*100+0.5)/100</f>
        <v>0</v>
      </c>
      <c r="I601" s="253">
        <f>N601+P601+R601+T601+V601+X601+Z601</f>
        <v>0</v>
      </c>
      <c r="J601" s="253"/>
      <c r="K601" s="251"/>
      <c r="L601" s="262">
        <v>18.899999999999999</v>
      </c>
      <c r="M601" s="316">
        <f>SUM(M599:M600)</f>
        <v>0</v>
      </c>
      <c r="N601" s="259">
        <f>INT($L601*M601*100+0.5)/100</f>
        <v>0</v>
      </c>
      <c r="O601" s="316">
        <v>0</v>
      </c>
      <c r="P601" s="259">
        <f>INT($L601*O601*100+0.5)/100</f>
        <v>0</v>
      </c>
      <c r="Q601" s="316">
        <v>0</v>
      </c>
      <c r="R601" s="259">
        <f>INT($L601*Q601*100+0.5)/100</f>
        <v>0</v>
      </c>
      <c r="S601" s="316">
        <v>0</v>
      </c>
      <c r="T601" s="257">
        <f>INT($L601*S601*100+0.5)/100</f>
        <v>0</v>
      </c>
      <c r="U601" s="316">
        <v>0</v>
      </c>
      <c r="V601" s="257">
        <f>INT($L601*U601*100+0.5)/100</f>
        <v>0</v>
      </c>
      <c r="W601" s="316">
        <v>0</v>
      </c>
      <c r="X601" s="257">
        <f>INT($L601*W601*100+0.5)/100</f>
        <v>0</v>
      </c>
      <c r="Y601" s="316">
        <v>0</v>
      </c>
      <c r="Z601" s="257">
        <f>INT($L601*Y601*100+0.5)/100</f>
        <v>0</v>
      </c>
    </row>
    <row r="602" spans="1:26" ht="15" customHeight="1">
      <c r="A602" s="250"/>
      <c r="B602" s="251"/>
      <c r="C602" s="647"/>
      <c r="D602" s="292"/>
      <c r="E602" s="251"/>
      <c r="F602" s="252"/>
      <c r="G602" s="253"/>
      <c r="H602" s="254"/>
      <c r="I602" s="253"/>
      <c r="J602" s="253"/>
      <c r="K602" s="251"/>
      <c r="L602" s="261"/>
      <c r="M602" s="316"/>
      <c r="N602" s="259"/>
      <c r="O602" s="316"/>
      <c r="P602" s="259"/>
      <c r="Q602" s="316"/>
      <c r="R602" s="259"/>
      <c r="S602" s="316"/>
      <c r="T602" s="257"/>
      <c r="U602" s="316"/>
      <c r="V602" s="257"/>
      <c r="W602" s="316"/>
      <c r="X602" s="257"/>
      <c r="Y602" s="316"/>
      <c r="Z602" s="257"/>
    </row>
    <row r="603" spans="1:26" ht="15" customHeight="1">
      <c r="A603" s="250">
        <f>A597+1</f>
        <v>169</v>
      </c>
      <c r="B603" s="251"/>
      <c r="C603" s="647" t="s">
        <v>699</v>
      </c>
      <c r="D603" s="526" t="s">
        <v>290</v>
      </c>
      <c r="E603" s="251" t="s">
        <v>1439</v>
      </c>
      <c r="F603" s="252"/>
      <c r="G603" s="253"/>
      <c r="H603" s="254"/>
      <c r="I603" s="253"/>
      <c r="J603" s="253"/>
      <c r="K603" s="251" t="s">
        <v>1439</v>
      </c>
      <c r="L603" s="261"/>
      <c r="M603" s="316"/>
      <c r="N603" s="259"/>
      <c r="O603" s="316"/>
      <c r="P603" s="259"/>
      <c r="Q603" s="316"/>
      <c r="R603" s="259"/>
      <c r="S603" s="316"/>
      <c r="T603" s="257"/>
      <c r="U603" s="316"/>
      <c r="V603" s="257"/>
      <c r="W603" s="316"/>
      <c r="X603" s="257"/>
      <c r="Y603" s="316"/>
      <c r="Z603" s="257"/>
    </row>
    <row r="604" spans="1:26" ht="15" customHeight="1">
      <c r="A604" s="250"/>
      <c r="B604" s="251"/>
      <c r="C604" s="526"/>
      <c r="D604" s="526" t="s">
        <v>291</v>
      </c>
      <c r="E604" s="251"/>
      <c r="F604" s="252"/>
      <c r="G604" s="253"/>
      <c r="H604" s="254"/>
      <c r="I604" s="253"/>
      <c r="J604" s="253"/>
      <c r="K604" s="251"/>
      <c r="L604" s="261"/>
      <c r="M604" s="316"/>
      <c r="N604" s="259"/>
      <c r="O604" s="316"/>
      <c r="P604" s="259"/>
      <c r="Q604" s="316"/>
      <c r="R604" s="259"/>
      <c r="S604" s="316"/>
      <c r="T604" s="257"/>
      <c r="U604" s="316"/>
      <c r="V604" s="257"/>
      <c r="W604" s="316"/>
      <c r="X604" s="257"/>
      <c r="Y604" s="316"/>
      <c r="Z604" s="257"/>
    </row>
    <row r="605" spans="1:26" ht="15" customHeight="1">
      <c r="A605" s="250"/>
      <c r="B605" s="251"/>
      <c r="C605" s="526"/>
      <c r="D605" s="292" t="s">
        <v>2268</v>
      </c>
      <c r="E605" s="251"/>
      <c r="F605" s="252">
        <f>M605+O605+Q605+S605+U605+W605+Y605</f>
        <v>1560</v>
      </c>
      <c r="G605" s="253">
        <f>L605</f>
        <v>0.97</v>
      </c>
      <c r="H605" s="254">
        <f>INT(F605*G605*100+0.5)/100</f>
        <v>1513.2</v>
      </c>
      <c r="I605" s="253">
        <f>N605+P605+R605+T605+V605+X605+Z605</f>
        <v>1513.1999999999998</v>
      </c>
      <c r="J605" s="253"/>
      <c r="K605" s="251"/>
      <c r="L605" s="255">
        <v>0.97</v>
      </c>
      <c r="M605" s="316">
        <v>120</v>
      </c>
      <c r="N605" s="257">
        <f>INT($L605*M605*100+0.5)/100</f>
        <v>116.4</v>
      </c>
      <c r="O605" s="258">
        <v>0</v>
      </c>
      <c r="P605" s="257">
        <f>INT($L605*O605*100+0.5)/100</f>
        <v>0</v>
      </c>
      <c r="Q605" s="258">
        <v>0</v>
      </c>
      <c r="R605" s="257">
        <f>INT($L605*Q605*100+0.5)/100</f>
        <v>0</v>
      </c>
      <c r="S605" s="258">
        <f>(10+10)*0.6*1*1*1*30</f>
        <v>360</v>
      </c>
      <c r="T605" s="257">
        <f>INT($L605*S605*100+0.5)/100</f>
        <v>349.2</v>
      </c>
      <c r="U605" s="258">
        <f>U592*60</f>
        <v>1080</v>
      </c>
      <c r="V605" s="257">
        <f>INT($L605*U605*100+0.5)/100</f>
        <v>1047.5999999999999</v>
      </c>
      <c r="W605" s="258">
        <v>0</v>
      </c>
      <c r="X605" s="257">
        <f>INT($L605*W605*100+0.5)/100</f>
        <v>0</v>
      </c>
      <c r="Y605" s="258">
        <v>0</v>
      </c>
      <c r="Z605" s="257">
        <f>INT($L605*Y605*100+0.5)/100</f>
        <v>0</v>
      </c>
    </row>
    <row r="606" spans="1:26" ht="15" customHeight="1">
      <c r="A606" s="250"/>
      <c r="B606" s="251"/>
      <c r="C606" s="526"/>
      <c r="D606" s="292"/>
      <c r="E606" s="251"/>
      <c r="F606" s="252"/>
      <c r="G606" s="253"/>
      <c r="H606" s="254"/>
      <c r="I606" s="253"/>
      <c r="J606" s="253"/>
      <c r="K606" s="251"/>
      <c r="L606" s="261"/>
      <c r="M606" s="258"/>
      <c r="N606" s="257"/>
      <c r="O606" s="258"/>
      <c r="P606" s="257"/>
      <c r="Q606" s="258"/>
      <c r="R606" s="257"/>
      <c r="S606" s="258"/>
      <c r="T606" s="257"/>
      <c r="U606" s="258"/>
      <c r="V606" s="257"/>
      <c r="W606" s="258"/>
      <c r="X606" s="257"/>
      <c r="Y606" s="258"/>
      <c r="Z606" s="257"/>
    </row>
    <row r="607" spans="1:26" ht="15" customHeight="1">
      <c r="A607" s="250">
        <f>A603+1</f>
        <v>170</v>
      </c>
      <c r="B607" s="251"/>
      <c r="C607" s="647" t="s">
        <v>700</v>
      </c>
      <c r="D607" s="526" t="s">
        <v>1947</v>
      </c>
      <c r="E607" s="251" t="s">
        <v>1439</v>
      </c>
      <c r="F607" s="252"/>
      <c r="G607" s="253"/>
      <c r="H607" s="254"/>
      <c r="I607" s="253"/>
      <c r="J607" s="253"/>
      <c r="K607" s="251" t="s">
        <v>1439</v>
      </c>
      <c r="L607" s="261"/>
      <c r="M607" s="316"/>
      <c r="N607" s="259"/>
      <c r="O607" s="316"/>
      <c r="P607" s="259"/>
      <c r="Q607" s="316"/>
      <c r="R607" s="259"/>
      <c r="S607" s="316"/>
      <c r="T607" s="257"/>
      <c r="U607" s="316"/>
      <c r="V607" s="257"/>
      <c r="W607" s="316"/>
      <c r="X607" s="257"/>
      <c r="Y607" s="316"/>
      <c r="Z607" s="257"/>
    </row>
    <row r="608" spans="1:26" ht="15" customHeight="1">
      <c r="A608" s="250"/>
      <c r="B608" s="251"/>
      <c r="C608" s="526"/>
      <c r="D608" s="526" t="s">
        <v>1054</v>
      </c>
      <c r="E608" s="251"/>
      <c r="F608" s="252"/>
      <c r="G608" s="253"/>
      <c r="H608" s="254"/>
      <c r="I608" s="253"/>
      <c r="J608" s="253"/>
      <c r="K608" s="251"/>
      <c r="L608" s="261"/>
      <c r="M608" s="316"/>
      <c r="N608" s="259"/>
      <c r="O608" s="316"/>
      <c r="P608" s="259"/>
      <c r="Q608" s="316"/>
      <c r="R608" s="259"/>
      <c r="S608" s="316"/>
      <c r="T608" s="257"/>
      <c r="U608" s="316"/>
      <c r="V608" s="257"/>
      <c r="W608" s="316"/>
      <c r="X608" s="257"/>
      <c r="Y608" s="316"/>
      <c r="Z608" s="257"/>
    </row>
    <row r="609" spans="1:26" ht="15" customHeight="1">
      <c r="A609" s="250"/>
      <c r="B609" s="251"/>
      <c r="C609" s="526"/>
      <c r="D609" s="292"/>
      <c r="E609" s="251"/>
      <c r="F609" s="252">
        <f>M609+O609+Q609+S609+U609+W609+Y609</f>
        <v>1200</v>
      </c>
      <c r="G609" s="253">
        <f>L609</f>
        <v>0.94</v>
      </c>
      <c r="H609" s="254">
        <f>INT(F609*G609*100+0.5)/100</f>
        <v>1128</v>
      </c>
      <c r="I609" s="253">
        <f>N609+P609+R609+T609+V609+X609+Z609</f>
        <v>1128</v>
      </c>
      <c r="J609" s="253"/>
      <c r="K609" s="251"/>
      <c r="L609" s="255">
        <v>0.94</v>
      </c>
      <c r="M609" s="316">
        <v>120</v>
      </c>
      <c r="N609" s="257">
        <f>INT($L609*M609*100+0.5)/100</f>
        <v>112.8</v>
      </c>
      <c r="O609" s="258">
        <v>0</v>
      </c>
      <c r="P609" s="257">
        <f>INT($L609*O609*100+0.5)/100</f>
        <v>0</v>
      </c>
      <c r="Q609" s="258">
        <v>0</v>
      </c>
      <c r="R609" s="257">
        <f>INT($L609*Q609*100+0.5)/100</f>
        <v>0</v>
      </c>
      <c r="S609" s="258">
        <v>0</v>
      </c>
      <c r="T609" s="257">
        <f>INT($L609*S609*100+0.5)/100</f>
        <v>0</v>
      </c>
      <c r="U609" s="258">
        <f>U592*60</f>
        <v>1080</v>
      </c>
      <c r="V609" s="257">
        <f>INT($L609*U609*100+0.5)/100</f>
        <v>1015.2</v>
      </c>
      <c r="W609" s="258">
        <v>0</v>
      </c>
      <c r="X609" s="257">
        <f>INT($L609*W609*100+0.5)/100</f>
        <v>0</v>
      </c>
      <c r="Y609" s="258">
        <v>0</v>
      </c>
      <c r="Z609" s="257">
        <f>INT($L609*Y609*100+0.5)/100</f>
        <v>0</v>
      </c>
    </row>
    <row r="610" spans="1:26" ht="15" customHeight="1">
      <c r="A610" s="250"/>
      <c r="B610" s="251"/>
      <c r="C610" s="526"/>
      <c r="D610" s="292"/>
      <c r="E610" s="251"/>
      <c r="F610" s="252"/>
      <c r="G610" s="253"/>
      <c r="H610" s="254"/>
      <c r="I610" s="253"/>
      <c r="J610" s="253"/>
      <c r="K610" s="251"/>
      <c r="L610" s="255"/>
      <c r="M610" s="316"/>
      <c r="N610" s="257"/>
      <c r="O610" s="258"/>
      <c r="P610" s="257"/>
      <c r="Q610" s="258"/>
      <c r="R610" s="257"/>
      <c r="S610" s="258"/>
      <c r="T610" s="257"/>
      <c r="U610" s="258"/>
      <c r="V610" s="257"/>
      <c r="W610" s="258"/>
      <c r="X610" s="257"/>
      <c r="Y610" s="258"/>
      <c r="Z610" s="257"/>
    </row>
    <row r="611" spans="1:26" s="325" customFormat="1" ht="45">
      <c r="A611" s="318"/>
      <c r="B611" s="319"/>
      <c r="C611" s="320" t="s">
        <v>2032</v>
      </c>
      <c r="D611" s="421" t="s">
        <v>1553</v>
      </c>
      <c r="E611" s="319"/>
      <c r="F611" s="321"/>
      <c r="G611" s="323"/>
      <c r="H611" s="323"/>
      <c r="I611" s="272">
        <f>N611+P611+R611+T611+V611+X611+Z611</f>
        <v>12745.95</v>
      </c>
      <c r="J611" s="269">
        <f>SUM(N611:Z611)</f>
        <v>12745.95</v>
      </c>
      <c r="K611" s="319"/>
      <c r="L611" s="324"/>
      <c r="M611" s="323"/>
      <c r="N611" s="323">
        <f>SUM(N568:N610)</f>
        <v>2169.5700000000002</v>
      </c>
      <c r="O611" s="323"/>
      <c r="P611" s="323">
        <f>SUM(P568:P610)</f>
        <v>0</v>
      </c>
      <c r="Q611" s="323"/>
      <c r="R611" s="323">
        <f>SUM(R568:R610)</f>
        <v>0</v>
      </c>
      <c r="S611" s="323"/>
      <c r="T611" s="323">
        <f>SUM(T568:T610)</f>
        <v>4188.3599999999997</v>
      </c>
      <c r="U611" s="323"/>
      <c r="V611" s="323">
        <f>SUM(V568:V610)</f>
        <v>6388.0199999999995</v>
      </c>
      <c r="W611" s="323"/>
      <c r="X611" s="323">
        <f>SUM(X568:X610)</f>
        <v>0</v>
      </c>
      <c r="Y611" s="323"/>
      <c r="Z611" s="323">
        <f>SUM(Z568:Z610)</f>
        <v>0</v>
      </c>
    </row>
    <row r="612" spans="1:26" ht="15" customHeight="1">
      <c r="A612" s="250"/>
      <c r="B612" s="251"/>
      <c r="C612" s="541"/>
      <c r="D612" s="330"/>
      <c r="E612" s="251"/>
      <c r="F612" s="252"/>
      <c r="G612" s="253"/>
      <c r="H612" s="254"/>
      <c r="I612" s="694">
        <f>I611/'CompSolo Wolf'!I599</f>
        <v>0.60333458929917105</v>
      </c>
      <c r="J612" s="253"/>
      <c r="K612" s="251"/>
      <c r="L612" s="261"/>
      <c r="M612" s="258"/>
      <c r="N612" s="494">
        <f>N611/$N$1941</f>
        <v>1.5685895433292345E-2</v>
      </c>
      <c r="O612" s="258"/>
      <c r="P612" s="257"/>
      <c r="Q612" s="258"/>
      <c r="R612" s="257"/>
      <c r="S612" s="258"/>
      <c r="T612" s="257"/>
      <c r="U612" s="258"/>
      <c r="V612" s="257"/>
      <c r="W612" s="258"/>
      <c r="X612" s="257"/>
      <c r="Y612" s="258"/>
      <c r="Z612" s="257"/>
    </row>
    <row r="613" spans="1:26" ht="25.5">
      <c r="A613" s="250"/>
      <c r="B613" s="251"/>
      <c r="C613" s="453" t="s">
        <v>1555</v>
      </c>
      <c r="D613" s="330" t="s">
        <v>1556</v>
      </c>
      <c r="E613" s="251"/>
      <c r="F613" s="252"/>
      <c r="G613" s="253"/>
      <c r="H613" s="254"/>
      <c r="I613" s="253"/>
      <c r="J613" s="253"/>
      <c r="K613" s="251"/>
      <c r="L613" s="261"/>
      <c r="M613" s="258"/>
      <c r="N613" s="257"/>
      <c r="O613" s="258"/>
      <c r="P613" s="257"/>
      <c r="Q613" s="258"/>
      <c r="R613" s="257"/>
      <c r="S613" s="258"/>
      <c r="T613" s="257"/>
      <c r="U613" s="258"/>
      <c r="V613" s="257"/>
      <c r="W613" s="258"/>
      <c r="X613" s="257"/>
      <c r="Y613" s="258"/>
      <c r="Z613" s="257"/>
    </row>
    <row r="614" spans="1:26" ht="25.5">
      <c r="A614" s="250">
        <f>A607+1</f>
        <v>171</v>
      </c>
      <c r="B614" s="251"/>
      <c r="C614" s="647" t="s">
        <v>701</v>
      </c>
      <c r="D614" s="526" t="s">
        <v>1797</v>
      </c>
      <c r="E614" s="251" t="s">
        <v>2461</v>
      </c>
      <c r="F614" s="252">
        <f>M614+O614+Q614+S614+U614+W614+Y614</f>
        <v>0</v>
      </c>
      <c r="G614" s="253">
        <f>L614</f>
        <v>283.70999999999998</v>
      </c>
      <c r="H614" s="254">
        <f>INT(F614*G614*100+0.5)/100</f>
        <v>0</v>
      </c>
      <c r="I614" s="253">
        <f>N614+P614+R614+T614+V614+X614+Z614</f>
        <v>0</v>
      </c>
      <c r="J614" s="253"/>
      <c r="K614" s="251" t="s">
        <v>2461</v>
      </c>
      <c r="L614" s="255">
        <v>283.70999999999998</v>
      </c>
      <c r="M614" s="258">
        <v>0</v>
      </c>
      <c r="N614" s="257">
        <f>INT($L614*M614*100+0.5)/100</f>
        <v>0</v>
      </c>
      <c r="O614" s="258">
        <v>0</v>
      </c>
      <c r="P614" s="257">
        <f>INT($L614*O614*100+0.5)/100</f>
        <v>0</v>
      </c>
      <c r="Q614" s="258">
        <v>0</v>
      </c>
      <c r="R614" s="257">
        <f>INT($L614*Q614*100+0.5)/100</f>
        <v>0</v>
      </c>
      <c r="S614" s="258">
        <v>0</v>
      </c>
      <c r="T614" s="257">
        <f>INT($L614*S614*100+0.5)/100</f>
        <v>0</v>
      </c>
      <c r="U614" s="258">
        <v>0</v>
      </c>
      <c r="V614" s="257">
        <f>INT($L614*U614*100+0.5)/100</f>
        <v>0</v>
      </c>
      <c r="W614" s="258">
        <v>0</v>
      </c>
      <c r="X614" s="257">
        <f>INT($L614*W614*100+0.5)/100</f>
        <v>0</v>
      </c>
      <c r="Y614" s="258">
        <v>0</v>
      </c>
      <c r="Z614" s="257">
        <f>INT($L614*Y614*100+0.5)/100</f>
        <v>0</v>
      </c>
    </row>
    <row r="615" spans="1:26" ht="25.5">
      <c r="A615" s="250"/>
      <c r="B615" s="251"/>
      <c r="C615" s="526"/>
      <c r="D615" s="526" t="s">
        <v>1796</v>
      </c>
      <c r="E615" s="251"/>
      <c r="F615" s="252"/>
      <c r="G615" s="253"/>
      <c r="H615" s="254"/>
      <c r="I615" s="253"/>
      <c r="J615" s="253"/>
      <c r="K615" s="251"/>
      <c r="L615" s="261"/>
      <c r="M615" s="258"/>
      <c r="N615" s="257"/>
      <c r="O615" s="258"/>
      <c r="P615" s="257"/>
      <c r="Q615" s="258"/>
      <c r="R615" s="257"/>
      <c r="S615" s="258"/>
      <c r="T615" s="257"/>
      <c r="U615" s="258"/>
      <c r="V615" s="257"/>
      <c r="W615" s="258"/>
      <c r="X615" s="257"/>
      <c r="Y615" s="258"/>
      <c r="Z615" s="257"/>
    </row>
    <row r="616" spans="1:26" ht="15" customHeight="1">
      <c r="A616" s="250"/>
      <c r="B616" s="251"/>
      <c r="C616" s="526"/>
      <c r="D616" s="292"/>
      <c r="E616" s="251"/>
      <c r="F616" s="252"/>
      <c r="G616" s="253"/>
      <c r="H616" s="254"/>
      <c r="I616" s="253"/>
      <c r="J616" s="253"/>
      <c r="K616" s="251"/>
      <c r="L616" s="261"/>
      <c r="M616" s="258"/>
      <c r="N616" s="257"/>
      <c r="O616" s="258"/>
      <c r="P616" s="257"/>
      <c r="Q616" s="258"/>
      <c r="R616" s="257"/>
      <c r="S616" s="258"/>
      <c r="T616" s="257"/>
      <c r="U616" s="258"/>
      <c r="V616" s="257"/>
      <c r="W616" s="258"/>
      <c r="X616" s="257"/>
      <c r="Y616" s="258"/>
      <c r="Z616" s="257"/>
    </row>
    <row r="617" spans="1:26" ht="15" customHeight="1">
      <c r="A617" s="250">
        <f>A614+1</f>
        <v>172</v>
      </c>
      <c r="B617" s="251"/>
      <c r="C617" s="647" t="s">
        <v>702</v>
      </c>
      <c r="D617" s="526" t="s">
        <v>1799</v>
      </c>
      <c r="E617" s="251" t="s">
        <v>2461</v>
      </c>
      <c r="F617" s="252"/>
      <c r="G617" s="253"/>
      <c r="H617" s="254"/>
      <c r="I617" s="253"/>
      <c r="J617" s="253"/>
      <c r="K617" s="251" t="s">
        <v>2461</v>
      </c>
      <c r="L617" s="261"/>
      <c r="M617" s="258"/>
      <c r="N617" s="257"/>
      <c r="O617" s="258"/>
      <c r="P617" s="257"/>
      <c r="Q617" s="258"/>
      <c r="R617" s="257"/>
      <c r="S617" s="258"/>
      <c r="T617" s="257"/>
      <c r="U617" s="258"/>
      <c r="V617" s="257"/>
      <c r="W617" s="258"/>
      <c r="X617" s="257"/>
      <c r="Y617" s="258"/>
      <c r="Z617" s="257"/>
    </row>
    <row r="618" spans="1:26" ht="15" customHeight="1">
      <c r="A618" s="250"/>
      <c r="B618" s="251"/>
      <c r="C618" s="526"/>
      <c r="D618" s="526" t="s">
        <v>1798</v>
      </c>
      <c r="E618" s="251"/>
      <c r="F618" s="252"/>
      <c r="G618" s="253"/>
      <c r="H618" s="254"/>
      <c r="I618" s="253"/>
      <c r="J618" s="253"/>
      <c r="K618" s="251"/>
      <c r="L618" s="261"/>
      <c r="M618" s="258"/>
      <c r="N618" s="257"/>
      <c r="O618" s="258"/>
      <c r="P618" s="257"/>
      <c r="Q618" s="258"/>
      <c r="R618" s="257"/>
      <c r="S618" s="258"/>
      <c r="T618" s="257"/>
      <c r="U618" s="258"/>
      <c r="V618" s="257"/>
      <c r="W618" s="258"/>
      <c r="X618" s="257"/>
      <c r="Y618" s="258"/>
      <c r="Z618" s="257"/>
    </row>
    <row r="619" spans="1:26" ht="15" customHeight="1">
      <c r="A619" s="250"/>
      <c r="B619" s="251"/>
      <c r="C619" s="526"/>
      <c r="D619" s="292" t="s">
        <v>589</v>
      </c>
      <c r="E619" s="251"/>
      <c r="F619" s="252"/>
      <c r="G619" s="253"/>
      <c r="H619" s="254"/>
      <c r="I619" s="253"/>
      <c r="J619" s="253"/>
      <c r="K619" s="251"/>
      <c r="L619" s="261"/>
      <c r="M619" s="258">
        <v>0</v>
      </c>
      <c r="N619" s="257"/>
      <c r="O619" s="258">
        <v>0</v>
      </c>
      <c r="P619" s="257"/>
      <c r="Q619" s="258">
        <v>0</v>
      </c>
      <c r="R619" s="257"/>
      <c r="S619" s="258">
        <v>0</v>
      </c>
      <c r="T619" s="257"/>
      <c r="U619" s="258">
        <v>0</v>
      </c>
      <c r="V619" s="257"/>
      <c r="W619" s="258">
        <v>0</v>
      </c>
      <c r="X619" s="257"/>
      <c r="Y619" s="258">
        <v>0</v>
      </c>
      <c r="Z619" s="257"/>
    </row>
    <row r="620" spans="1:26" ht="15" customHeight="1">
      <c r="A620" s="250"/>
      <c r="B620" s="251"/>
      <c r="C620" s="526"/>
      <c r="D620" s="292" t="s">
        <v>385</v>
      </c>
      <c r="E620" s="251"/>
      <c r="F620" s="252"/>
      <c r="G620" s="253"/>
      <c r="H620" s="254"/>
      <c r="I620" s="253"/>
      <c r="J620" s="253"/>
      <c r="K620" s="251"/>
      <c r="L620" s="261"/>
      <c r="M620" s="293">
        <v>0</v>
      </c>
      <c r="N620" s="294"/>
      <c r="O620" s="293">
        <v>0</v>
      </c>
      <c r="P620" s="294"/>
      <c r="Q620" s="293">
        <v>0</v>
      </c>
      <c r="R620" s="294"/>
      <c r="S620" s="293">
        <v>0</v>
      </c>
      <c r="T620" s="294"/>
      <c r="U620" s="293">
        <v>0</v>
      </c>
      <c r="V620" s="294"/>
      <c r="W620" s="293">
        <v>0</v>
      </c>
      <c r="X620" s="294"/>
      <c r="Y620" s="293">
        <v>0</v>
      </c>
      <c r="Z620" s="294"/>
    </row>
    <row r="621" spans="1:26" ht="15" customHeight="1">
      <c r="A621" s="250"/>
      <c r="B621" s="251"/>
      <c r="C621" s="526"/>
      <c r="D621" s="292" t="s">
        <v>1900</v>
      </c>
      <c r="E621" s="251"/>
      <c r="F621" s="252">
        <f>M621+O621+Q621+S621+U621+W621+Y621</f>
        <v>0</v>
      </c>
      <c r="G621" s="253">
        <f>L621</f>
        <v>74.69</v>
      </c>
      <c r="H621" s="254">
        <f>INT(F621*G621*100+0.5)/100</f>
        <v>0</v>
      </c>
      <c r="I621" s="253">
        <f>N621+P621+R621+T621+V621+X621+Z621</f>
        <v>0</v>
      </c>
      <c r="J621" s="253"/>
      <c r="K621" s="251"/>
      <c r="L621" s="255">
        <v>74.69</v>
      </c>
      <c r="M621" s="258">
        <f>SUM(M619:M620)</f>
        <v>0</v>
      </c>
      <c r="N621" s="257">
        <f>INT($L621*M621*100+0.5)/100</f>
        <v>0</v>
      </c>
      <c r="O621" s="258">
        <f>SUM(O619:O620)</f>
        <v>0</v>
      </c>
      <c r="P621" s="257">
        <f>INT($L621*O621*100+0.5)/100</f>
        <v>0</v>
      </c>
      <c r="Q621" s="258">
        <f>SUM(Q619:Q620)</f>
        <v>0</v>
      </c>
      <c r="R621" s="257">
        <f>INT($L621*Q621*100+0.5)/100</f>
        <v>0</v>
      </c>
      <c r="S621" s="258">
        <f>SUM(S619:S620)</f>
        <v>0</v>
      </c>
      <c r="T621" s="257">
        <f>INT($L621*S621*100+0.5)/100</f>
        <v>0</v>
      </c>
      <c r="U621" s="258">
        <f>SUM(U619:U620)</f>
        <v>0</v>
      </c>
      <c r="V621" s="257">
        <f>INT($L621*U621*100+0.5)/100</f>
        <v>0</v>
      </c>
      <c r="W621" s="258">
        <f>SUM(W619:W620)</f>
        <v>0</v>
      </c>
      <c r="X621" s="257">
        <f>INT($L621*W621*100+0.5)/100</f>
        <v>0</v>
      </c>
      <c r="Y621" s="258">
        <f>SUM(Y619:Y620)</f>
        <v>0</v>
      </c>
      <c r="Z621" s="257">
        <f>INT($L621*Y621*100+0.5)/100</f>
        <v>0</v>
      </c>
    </row>
    <row r="622" spans="1:26" ht="15" customHeight="1">
      <c r="A622" s="250"/>
      <c r="B622" s="251"/>
      <c r="C622" s="526"/>
      <c r="D622" s="292"/>
      <c r="E622" s="251"/>
      <c r="F622" s="252"/>
      <c r="G622" s="253"/>
      <c r="H622" s="254"/>
      <c r="I622" s="253"/>
      <c r="J622" s="253"/>
      <c r="K622" s="251"/>
      <c r="L622" s="261"/>
      <c r="M622" s="258"/>
      <c r="N622" s="257"/>
      <c r="O622" s="258"/>
      <c r="P622" s="257"/>
      <c r="Q622" s="258"/>
      <c r="R622" s="257"/>
      <c r="S622" s="258"/>
      <c r="T622" s="257"/>
      <c r="U622" s="258"/>
      <c r="V622" s="257"/>
      <c r="W622" s="258"/>
      <c r="X622" s="257"/>
      <c r="Y622" s="258"/>
      <c r="Z622" s="257"/>
    </row>
    <row r="623" spans="1:26" ht="25.5">
      <c r="A623" s="250">
        <f>A617+1</f>
        <v>173</v>
      </c>
      <c r="B623" s="251"/>
      <c r="C623" s="654" t="s">
        <v>703</v>
      </c>
      <c r="D623" s="532" t="s">
        <v>1055</v>
      </c>
      <c r="E623" s="251" t="s">
        <v>2461</v>
      </c>
      <c r="F623" s="252">
        <f>M623+O623+Q623+S623+U623+W623+Y623</f>
        <v>0</v>
      </c>
      <c r="G623" s="253">
        <f>L623</f>
        <v>249.59</v>
      </c>
      <c r="H623" s="254">
        <f>INT(F623*G623*100+0.5)/100</f>
        <v>0</v>
      </c>
      <c r="I623" s="253">
        <f>N623+P623+R623+T623+V623+X623+Z623</f>
        <v>0</v>
      </c>
      <c r="J623" s="253"/>
      <c r="K623" s="251" t="s">
        <v>2461</v>
      </c>
      <c r="L623" s="255">
        <v>249.59</v>
      </c>
      <c r="M623" s="258">
        <v>0</v>
      </c>
      <c r="N623" s="257">
        <f>INT($L623*M623*100+0.5)/100</f>
        <v>0</v>
      </c>
      <c r="O623" s="258">
        <v>0</v>
      </c>
      <c r="P623" s="257">
        <f>INT($L623*O623*100+0.5)/100</f>
        <v>0</v>
      </c>
      <c r="Q623" s="258">
        <v>0</v>
      </c>
      <c r="R623" s="257">
        <f>INT($L623*Q623*100+0.5)/100</f>
        <v>0</v>
      </c>
      <c r="S623" s="258">
        <v>0</v>
      </c>
      <c r="T623" s="257">
        <f>INT($L623*S623*100+0.5)/100</f>
        <v>0</v>
      </c>
      <c r="U623" s="258">
        <v>0</v>
      </c>
      <c r="V623" s="257">
        <f>INT($L623*U623*100+0.5)/100</f>
        <v>0</v>
      </c>
      <c r="W623" s="258">
        <v>0</v>
      </c>
      <c r="X623" s="257">
        <f>INT($L623*W623*100+0.5)/100</f>
        <v>0</v>
      </c>
      <c r="Y623" s="258">
        <v>0</v>
      </c>
      <c r="Z623" s="257">
        <f>INT($L623*Y623*100+0.5)/100</f>
        <v>0</v>
      </c>
    </row>
    <row r="624" spans="1:26" ht="25.5">
      <c r="A624" s="250"/>
      <c r="B624" s="251"/>
      <c r="C624" s="526"/>
      <c r="D624" s="532" t="s">
        <v>1165</v>
      </c>
      <c r="E624" s="251"/>
      <c r="F624" s="252"/>
      <c r="G624" s="253"/>
      <c r="H624" s="254"/>
      <c r="I624" s="253"/>
      <c r="J624" s="253"/>
      <c r="K624" s="251"/>
      <c r="L624" s="255"/>
      <c r="M624" s="258"/>
      <c r="N624" s="257"/>
      <c r="O624" s="258"/>
      <c r="P624" s="257"/>
      <c r="Q624" s="258"/>
      <c r="R624" s="257"/>
      <c r="S624" s="258"/>
      <c r="T624" s="257"/>
      <c r="U624" s="258"/>
      <c r="V624" s="257"/>
      <c r="W624" s="258"/>
      <c r="X624" s="257"/>
      <c r="Y624" s="258"/>
      <c r="Z624" s="257"/>
    </row>
    <row r="625" spans="1:26" ht="15">
      <c r="A625" s="250"/>
      <c r="B625" s="251"/>
      <c r="C625" s="526"/>
      <c r="D625" s="292"/>
      <c r="E625" s="251"/>
      <c r="F625" s="252"/>
      <c r="G625" s="253"/>
      <c r="H625" s="254"/>
      <c r="I625" s="253"/>
      <c r="J625" s="253"/>
      <c r="K625" s="251"/>
      <c r="L625" s="255"/>
      <c r="M625" s="258"/>
      <c r="N625" s="257"/>
      <c r="O625" s="258"/>
      <c r="P625" s="257"/>
      <c r="Q625" s="258"/>
      <c r="R625" s="257"/>
      <c r="S625" s="258"/>
      <c r="T625" s="257"/>
      <c r="U625" s="258"/>
      <c r="V625" s="257"/>
      <c r="W625" s="258"/>
      <c r="X625" s="257"/>
      <c r="Y625" s="258"/>
      <c r="Z625" s="257"/>
    </row>
    <row r="626" spans="1:26" ht="25.5">
      <c r="A626" s="250">
        <f>A623+1</f>
        <v>174</v>
      </c>
      <c r="B626" s="251"/>
      <c r="C626" s="654" t="s">
        <v>704</v>
      </c>
      <c r="D626" s="532" t="s">
        <v>1163</v>
      </c>
      <c r="E626" s="251" t="s">
        <v>2461</v>
      </c>
      <c r="F626" s="252">
        <f>M626+O626+Q626+S626+U626+W626+Y626</f>
        <v>0</v>
      </c>
      <c r="G626" s="253">
        <f>L626</f>
        <v>234.74</v>
      </c>
      <c r="H626" s="254">
        <f>INT(F626*G626*100+0.5)/100</f>
        <v>0</v>
      </c>
      <c r="I626" s="253">
        <f>N626+P626+R626+T626+V626+X626+Z626</f>
        <v>0</v>
      </c>
      <c r="J626" s="253"/>
      <c r="K626" s="251" t="s">
        <v>2461</v>
      </c>
      <c r="L626" s="255">
        <v>234.74</v>
      </c>
      <c r="M626" s="258">
        <v>0</v>
      </c>
      <c r="N626" s="257">
        <f>INT($L626*M626*100+0.5)/100</f>
        <v>0</v>
      </c>
      <c r="O626" s="258">
        <v>0</v>
      </c>
      <c r="P626" s="257">
        <f>INT($L626*O626*100+0.5)/100</f>
        <v>0</v>
      </c>
      <c r="Q626" s="258">
        <v>0</v>
      </c>
      <c r="R626" s="257">
        <f>INT($L626*Q626*100+0.5)/100</f>
        <v>0</v>
      </c>
      <c r="S626" s="258">
        <v>0</v>
      </c>
      <c r="T626" s="257">
        <f>INT($L626*S626*100+0.5)/100</f>
        <v>0</v>
      </c>
      <c r="U626" s="258">
        <v>0</v>
      </c>
      <c r="V626" s="257">
        <f>INT($L626*U626*100+0.5)/100</f>
        <v>0</v>
      </c>
      <c r="W626" s="258">
        <v>0</v>
      </c>
      <c r="X626" s="257">
        <f>INT($L626*W626*100+0.5)/100</f>
        <v>0</v>
      </c>
      <c r="Y626" s="258">
        <v>0</v>
      </c>
      <c r="Z626" s="257">
        <f>INT($L626*Y626*100+0.5)/100</f>
        <v>0</v>
      </c>
    </row>
    <row r="627" spans="1:26" ht="25.5">
      <c r="A627" s="250"/>
      <c r="B627" s="251"/>
      <c r="C627" s="647"/>
      <c r="D627" s="532" t="s">
        <v>1164</v>
      </c>
      <c r="E627" s="251"/>
      <c r="F627" s="252"/>
      <c r="G627" s="253"/>
      <c r="H627" s="254"/>
      <c r="I627" s="253"/>
      <c r="J627" s="253"/>
      <c r="K627" s="251"/>
      <c r="L627" s="255"/>
      <c r="M627" s="258"/>
      <c r="N627" s="257"/>
      <c r="O627" s="258"/>
      <c r="P627" s="257"/>
      <c r="Q627" s="258"/>
      <c r="R627" s="257"/>
      <c r="S627" s="258"/>
      <c r="T627" s="257"/>
      <c r="U627" s="258"/>
      <c r="V627" s="257"/>
      <c r="W627" s="258"/>
      <c r="X627" s="257"/>
      <c r="Y627" s="258"/>
      <c r="Z627" s="257"/>
    </row>
    <row r="628" spans="1:26" ht="15">
      <c r="A628" s="250"/>
      <c r="B628" s="251"/>
      <c r="C628" s="647"/>
      <c r="D628" s="292"/>
      <c r="E628" s="251"/>
      <c r="F628" s="252"/>
      <c r="G628" s="253"/>
      <c r="H628" s="254"/>
      <c r="I628" s="253"/>
      <c r="J628" s="253"/>
      <c r="K628" s="251"/>
      <c r="L628" s="255"/>
      <c r="M628" s="258"/>
      <c r="N628" s="257"/>
      <c r="O628" s="258"/>
      <c r="P628" s="257"/>
      <c r="Q628" s="258"/>
      <c r="R628" s="257"/>
      <c r="S628" s="258"/>
      <c r="T628" s="257"/>
      <c r="U628" s="258"/>
      <c r="V628" s="257"/>
      <c r="W628" s="258"/>
      <c r="X628" s="257"/>
      <c r="Y628" s="258"/>
      <c r="Z628" s="257"/>
    </row>
    <row r="629" spans="1:26" ht="25.5">
      <c r="A629" s="250">
        <f>A626+1</f>
        <v>175</v>
      </c>
      <c r="B629" s="251"/>
      <c r="C629" s="647" t="s">
        <v>705</v>
      </c>
      <c r="D629" s="526" t="s">
        <v>2269</v>
      </c>
      <c r="E629" s="251" t="s">
        <v>2461</v>
      </c>
      <c r="F629" s="252">
        <f>M629+O629+Q629+S629+U629+W629+Y629</f>
        <v>0</v>
      </c>
      <c r="G629" s="253">
        <f>L629</f>
        <v>216.19</v>
      </c>
      <c r="H629" s="254">
        <f>INT(F629*G629*100+0.5)/100</f>
        <v>0</v>
      </c>
      <c r="I629" s="253">
        <f>N629+P629+R629+T629+V629+X629+Z629</f>
        <v>0</v>
      </c>
      <c r="J629" s="253"/>
      <c r="K629" s="251" t="s">
        <v>2461</v>
      </c>
      <c r="L629" s="255">
        <v>216.19</v>
      </c>
      <c r="M629" s="258">
        <v>0</v>
      </c>
      <c r="N629" s="257">
        <f>INT($L629*M629*100+0.5)/100</f>
        <v>0</v>
      </c>
      <c r="O629" s="258">
        <v>0</v>
      </c>
      <c r="P629" s="257">
        <f>INT($L629*O629*100+0.5)/100</f>
        <v>0</v>
      </c>
      <c r="Q629" s="258">
        <v>0</v>
      </c>
      <c r="R629" s="257">
        <f>INT($L629*Q629*100+0.5)/100</f>
        <v>0</v>
      </c>
      <c r="S629" s="258">
        <v>0</v>
      </c>
      <c r="T629" s="257">
        <f>INT($L629*S629*100+0.5)/100</f>
        <v>0</v>
      </c>
      <c r="U629" s="258">
        <v>0</v>
      </c>
      <c r="V629" s="257">
        <f>INT($L629*U629*100+0.5)/100</f>
        <v>0</v>
      </c>
      <c r="W629" s="258">
        <v>0</v>
      </c>
      <c r="X629" s="257">
        <f>INT($L629*W629*100+0.5)/100</f>
        <v>0</v>
      </c>
      <c r="Y629" s="258">
        <v>0</v>
      </c>
      <c r="Z629" s="257">
        <f>INT($L629*Y629*100+0.5)/100</f>
        <v>0</v>
      </c>
    </row>
    <row r="630" spans="1:26" ht="25.5">
      <c r="A630" s="250"/>
      <c r="B630" s="251"/>
      <c r="C630" s="647"/>
      <c r="D630" s="526" t="s">
        <v>2270</v>
      </c>
      <c r="E630" s="251"/>
      <c r="F630" s="252"/>
      <c r="G630" s="253"/>
      <c r="H630" s="254"/>
      <c r="I630" s="253"/>
      <c r="J630" s="253"/>
      <c r="K630" s="251"/>
      <c r="L630" s="261"/>
      <c r="M630" s="258"/>
      <c r="N630" s="257"/>
      <c r="O630" s="258"/>
      <c r="P630" s="257"/>
      <c r="Q630" s="258"/>
      <c r="R630" s="257"/>
      <c r="S630" s="258"/>
      <c r="T630" s="257"/>
      <c r="U630" s="258"/>
      <c r="V630" s="257"/>
      <c r="W630" s="258"/>
      <c r="X630" s="257"/>
      <c r="Y630" s="258"/>
      <c r="Z630" s="257"/>
    </row>
    <row r="631" spans="1:26" ht="15" customHeight="1">
      <c r="A631" s="250"/>
      <c r="B631" s="251"/>
      <c r="C631" s="647"/>
      <c r="D631" s="292"/>
      <c r="E631" s="251"/>
      <c r="F631" s="252"/>
      <c r="G631" s="253"/>
      <c r="H631" s="254"/>
      <c r="I631" s="253"/>
      <c r="J631" s="253"/>
      <c r="K631" s="251"/>
      <c r="L631" s="261"/>
      <c r="M631" s="258"/>
      <c r="N631" s="257"/>
      <c r="O631" s="258"/>
      <c r="P631" s="257"/>
      <c r="Q631" s="258"/>
      <c r="R631" s="257"/>
      <c r="S631" s="258"/>
      <c r="T631" s="257"/>
      <c r="U631" s="258"/>
      <c r="V631" s="257"/>
      <c r="W631" s="258"/>
      <c r="X631" s="257"/>
      <c r="Y631" s="258"/>
      <c r="Z631" s="257"/>
    </row>
    <row r="632" spans="1:26" ht="25.5">
      <c r="A632" s="250">
        <f>A629+1</f>
        <v>176</v>
      </c>
      <c r="B632" s="251"/>
      <c r="C632" s="647" t="s">
        <v>706</v>
      </c>
      <c r="D632" s="526" t="s">
        <v>2271</v>
      </c>
      <c r="E632" s="251" t="s">
        <v>2461</v>
      </c>
      <c r="F632" s="252">
        <f>M632+O632+Q632+S632+U632+W632+Y632</f>
        <v>0</v>
      </c>
      <c r="G632" s="253">
        <f>L632</f>
        <v>206.28</v>
      </c>
      <c r="H632" s="254">
        <f>INT(F632*G632*100+0.5)/100</f>
        <v>0</v>
      </c>
      <c r="I632" s="253">
        <f>N632+P632+R632+T632+V632+X632+Z632</f>
        <v>0</v>
      </c>
      <c r="J632" s="253"/>
      <c r="K632" s="251" t="s">
        <v>2461</v>
      </c>
      <c r="L632" s="255">
        <v>206.28</v>
      </c>
      <c r="M632" s="258">
        <v>0</v>
      </c>
      <c r="N632" s="257">
        <f>INT($L632*M632*100+0.5)/100</f>
        <v>0</v>
      </c>
      <c r="O632" s="258">
        <v>0</v>
      </c>
      <c r="P632" s="257">
        <f>INT($L632*O632*100+0.5)/100</f>
        <v>0</v>
      </c>
      <c r="Q632" s="258">
        <v>0</v>
      </c>
      <c r="R632" s="257">
        <f>INT($L632*Q632*100+0.5)/100</f>
        <v>0</v>
      </c>
      <c r="S632" s="258">
        <v>0</v>
      </c>
      <c r="T632" s="257">
        <f>INT($L632*S632*100+0.5)/100</f>
        <v>0</v>
      </c>
      <c r="U632" s="258">
        <v>0</v>
      </c>
      <c r="V632" s="257">
        <f>INT($L632*U632*100+0.5)/100</f>
        <v>0</v>
      </c>
      <c r="W632" s="258">
        <v>0</v>
      </c>
      <c r="X632" s="257">
        <f>INT($L632*W632*100+0.5)/100</f>
        <v>0</v>
      </c>
      <c r="Y632" s="258">
        <v>0</v>
      </c>
      <c r="Z632" s="257">
        <f>INT($L632*Y632*100+0.5)/100</f>
        <v>0</v>
      </c>
    </row>
    <row r="633" spans="1:26" ht="25.5">
      <c r="A633" s="250"/>
      <c r="B633" s="251"/>
      <c r="C633" s="647"/>
      <c r="D633" s="526" t="s">
        <v>2272</v>
      </c>
      <c r="E633" s="251"/>
      <c r="F633" s="252"/>
      <c r="G633" s="253"/>
      <c r="H633" s="254"/>
      <c r="I633" s="253"/>
      <c r="J633" s="253"/>
      <c r="K633" s="251"/>
      <c r="L633" s="261"/>
      <c r="M633" s="258"/>
      <c r="N633" s="257"/>
      <c r="O633" s="258"/>
      <c r="P633" s="257"/>
      <c r="Q633" s="258"/>
      <c r="R633" s="257"/>
      <c r="S633" s="258"/>
      <c r="T633" s="257"/>
      <c r="U633" s="258"/>
      <c r="V633" s="257"/>
      <c r="W633" s="258"/>
      <c r="X633" s="257"/>
      <c r="Y633" s="258"/>
      <c r="Z633" s="257"/>
    </row>
    <row r="634" spans="1:26" ht="15" customHeight="1">
      <c r="A634" s="250"/>
      <c r="B634" s="251"/>
      <c r="C634" s="647"/>
      <c r="D634" s="526"/>
      <c r="E634" s="251"/>
      <c r="F634" s="252"/>
      <c r="G634" s="253"/>
      <c r="H634" s="254"/>
      <c r="I634" s="253"/>
      <c r="J634" s="253"/>
      <c r="K634" s="251"/>
      <c r="L634" s="261"/>
      <c r="M634" s="258"/>
      <c r="N634" s="257"/>
      <c r="O634" s="258"/>
      <c r="P634" s="257"/>
      <c r="Q634" s="258"/>
      <c r="R634" s="257"/>
      <c r="S634" s="258"/>
      <c r="T634" s="257"/>
      <c r="U634" s="258"/>
      <c r="V634" s="257"/>
      <c r="W634" s="258"/>
      <c r="X634" s="257"/>
      <c r="Y634" s="258"/>
      <c r="Z634" s="257"/>
    </row>
    <row r="635" spans="1:26" ht="25.5">
      <c r="A635" s="250">
        <f>A632+1</f>
        <v>177</v>
      </c>
      <c r="B635" s="251"/>
      <c r="C635" s="647" t="s">
        <v>707</v>
      </c>
      <c r="D635" s="526" t="s">
        <v>2273</v>
      </c>
      <c r="E635" s="251" t="s">
        <v>2461</v>
      </c>
      <c r="F635" s="252">
        <f>M635+O635+Q635+S635+U635+W635+Y635</f>
        <v>0.6</v>
      </c>
      <c r="G635" s="253">
        <f>L635</f>
        <v>356.69</v>
      </c>
      <c r="H635" s="254">
        <f>INT(F635*G635*100+0.5)/100</f>
        <v>214.01</v>
      </c>
      <c r="I635" s="253">
        <f>N635+P635+R635+T635+V635+X635+Z635</f>
        <v>214.01</v>
      </c>
      <c r="J635" s="253"/>
      <c r="K635" s="251" t="s">
        <v>2461</v>
      </c>
      <c r="L635" s="255">
        <v>356.69</v>
      </c>
      <c r="M635" s="258">
        <v>0.6</v>
      </c>
      <c r="N635" s="257">
        <f>INT($L635*M635*100+0.5)/100</f>
        <v>214.01</v>
      </c>
      <c r="O635" s="258">
        <v>0</v>
      </c>
      <c r="P635" s="257">
        <f>INT($L635*O635*100+0.5)/100</f>
        <v>0</v>
      </c>
      <c r="Q635" s="258">
        <v>0</v>
      </c>
      <c r="R635" s="257">
        <f>INT($L635*Q635*100+0.5)/100</f>
        <v>0</v>
      </c>
      <c r="S635" s="258">
        <v>0</v>
      </c>
      <c r="T635" s="257">
        <f>INT($L635*S635*100+0.5)/100</f>
        <v>0</v>
      </c>
      <c r="U635" s="258">
        <v>0</v>
      </c>
      <c r="V635" s="257">
        <f>INT($L635*U635*100+0.5)/100</f>
        <v>0</v>
      </c>
      <c r="W635" s="258">
        <v>0</v>
      </c>
      <c r="X635" s="257">
        <f>INT($L635*W635*100+0.5)/100</f>
        <v>0</v>
      </c>
      <c r="Y635" s="258">
        <v>0</v>
      </c>
      <c r="Z635" s="257">
        <f>INT($L635*Y635*100+0.5)/100</f>
        <v>0</v>
      </c>
    </row>
    <row r="636" spans="1:26" ht="38.25">
      <c r="A636" s="250"/>
      <c r="B636" s="251"/>
      <c r="C636" s="526"/>
      <c r="D636" s="526" t="s">
        <v>2274</v>
      </c>
      <c r="E636" s="251"/>
      <c r="F636" s="252"/>
      <c r="G636" s="253"/>
      <c r="H636" s="254"/>
      <c r="I636" s="253"/>
      <c r="J636" s="253"/>
      <c r="K636" s="251"/>
      <c r="L636" s="261"/>
      <c r="M636" s="258"/>
      <c r="N636" s="257"/>
      <c r="O636" s="258"/>
      <c r="P636" s="257"/>
      <c r="Q636" s="258"/>
      <c r="R636" s="257"/>
      <c r="S636" s="258"/>
      <c r="T636" s="257"/>
      <c r="U636" s="258"/>
      <c r="V636" s="257"/>
      <c r="W636" s="258"/>
      <c r="X636" s="257"/>
      <c r="Y636" s="258"/>
      <c r="Z636" s="257"/>
    </row>
    <row r="637" spans="1:26" ht="15" customHeight="1">
      <c r="A637" s="250"/>
      <c r="B637" s="251"/>
      <c r="C637" s="526"/>
      <c r="D637" s="292"/>
      <c r="E637" s="251"/>
      <c r="F637" s="252"/>
      <c r="G637" s="253"/>
      <c r="H637" s="254"/>
      <c r="I637" s="253"/>
      <c r="J637" s="253"/>
      <c r="K637" s="251"/>
      <c r="L637" s="261"/>
      <c r="M637" s="258"/>
      <c r="N637" s="257"/>
      <c r="O637" s="258"/>
      <c r="P637" s="257"/>
      <c r="Q637" s="258"/>
      <c r="R637" s="257"/>
      <c r="S637" s="258"/>
      <c r="T637" s="257"/>
      <c r="U637" s="258"/>
      <c r="V637" s="257"/>
      <c r="W637" s="258"/>
      <c r="X637" s="257"/>
      <c r="Y637" s="258"/>
      <c r="Z637" s="257"/>
    </row>
    <row r="638" spans="1:26" ht="25.5">
      <c r="A638" s="250">
        <f>A635+1</f>
        <v>178</v>
      </c>
      <c r="B638" s="251"/>
      <c r="C638" s="647" t="s">
        <v>708</v>
      </c>
      <c r="D638" s="526" t="s">
        <v>2275</v>
      </c>
      <c r="E638" s="251" t="s">
        <v>2461</v>
      </c>
      <c r="F638" s="252">
        <f>M638+O638+Q638+S638+U638+W638+Y638</f>
        <v>0.6</v>
      </c>
      <c r="G638" s="253">
        <f>L638</f>
        <v>345.89</v>
      </c>
      <c r="H638" s="254">
        <f>INT(F638*G638*100+0.5)/100</f>
        <v>207.53</v>
      </c>
      <c r="I638" s="253">
        <f>N638+P638+R638+T638+V638+X638+Z638</f>
        <v>207.53</v>
      </c>
      <c r="J638" s="253"/>
      <c r="K638" s="251" t="s">
        <v>2461</v>
      </c>
      <c r="L638" s="255">
        <v>345.89</v>
      </c>
      <c r="M638" s="258">
        <v>0.6</v>
      </c>
      <c r="N638" s="257">
        <f>INT($L638*M638*100+0.5)/100</f>
        <v>207.53</v>
      </c>
      <c r="O638" s="258">
        <v>0</v>
      </c>
      <c r="P638" s="257">
        <f>INT($L638*O638*100+0.5)/100</f>
        <v>0</v>
      </c>
      <c r="Q638" s="258">
        <v>0</v>
      </c>
      <c r="R638" s="257">
        <f>INT($L638*Q638*100+0.5)/100</f>
        <v>0</v>
      </c>
      <c r="S638" s="258">
        <v>0</v>
      </c>
      <c r="T638" s="257">
        <f>INT($L638*S638*100+0.5)/100</f>
        <v>0</v>
      </c>
      <c r="U638" s="258">
        <v>0</v>
      </c>
      <c r="V638" s="257">
        <f>INT($L638*U638*100+0.5)/100</f>
        <v>0</v>
      </c>
      <c r="W638" s="258">
        <v>0</v>
      </c>
      <c r="X638" s="257">
        <f>INT($L638*W638*100+0.5)/100</f>
        <v>0</v>
      </c>
      <c r="Y638" s="258">
        <v>0</v>
      </c>
      <c r="Z638" s="257">
        <f>INT($L638*Y638*100+0.5)/100</f>
        <v>0</v>
      </c>
    </row>
    <row r="639" spans="1:26" ht="38.25">
      <c r="A639" s="250"/>
      <c r="B639" s="251"/>
      <c r="C639" s="526"/>
      <c r="D639" s="526" t="s">
        <v>2276</v>
      </c>
      <c r="E639" s="251"/>
      <c r="F639" s="252"/>
      <c r="G639" s="253"/>
      <c r="H639" s="254"/>
      <c r="I639" s="253"/>
      <c r="J639" s="253"/>
      <c r="K639" s="251"/>
      <c r="L639" s="261"/>
      <c r="M639" s="258"/>
      <c r="N639" s="257"/>
      <c r="O639" s="258"/>
      <c r="P639" s="257"/>
      <c r="Q639" s="258"/>
      <c r="R639" s="257"/>
      <c r="S639" s="258"/>
      <c r="T639" s="257"/>
      <c r="U639" s="258"/>
      <c r="V639" s="257"/>
      <c r="W639" s="258"/>
      <c r="X639" s="257"/>
      <c r="Y639" s="258"/>
      <c r="Z639" s="257"/>
    </row>
    <row r="640" spans="1:26" ht="15">
      <c r="A640" s="250"/>
      <c r="B640" s="251"/>
      <c r="C640" s="526"/>
      <c r="D640" s="526"/>
      <c r="E640" s="251"/>
      <c r="F640" s="252"/>
      <c r="G640" s="253"/>
      <c r="H640" s="254"/>
      <c r="I640" s="253"/>
      <c r="J640" s="253"/>
      <c r="K640" s="251"/>
      <c r="L640" s="261"/>
      <c r="M640" s="258"/>
      <c r="N640" s="257"/>
      <c r="O640" s="258"/>
      <c r="P640" s="257"/>
      <c r="Q640" s="258"/>
      <c r="R640" s="257"/>
      <c r="S640" s="258"/>
      <c r="T640" s="257"/>
      <c r="U640" s="258"/>
      <c r="V640" s="257"/>
      <c r="W640" s="258"/>
      <c r="X640" s="257"/>
      <c r="Y640" s="258"/>
      <c r="Z640" s="257"/>
    </row>
    <row r="641" spans="1:26" s="303" customFormat="1" ht="30">
      <c r="A641" s="298"/>
      <c r="B641" s="299"/>
      <c r="C641" s="267" t="s">
        <v>1555</v>
      </c>
      <c r="D641" s="333" t="s">
        <v>1556</v>
      </c>
      <c r="E641" s="299"/>
      <c r="F641" s="301"/>
      <c r="G641" s="273"/>
      <c r="H641" s="273"/>
      <c r="I641" s="272">
        <f>N641+P641+R641+T641+V641+X641+Z641</f>
        <v>421.53999999999996</v>
      </c>
      <c r="J641" s="269">
        <f>SUM(N641:Z641)</f>
        <v>421.53999999999996</v>
      </c>
      <c r="K641" s="299"/>
      <c r="L641" s="271"/>
      <c r="M641" s="273"/>
      <c r="N641" s="273">
        <f>SUM(N614:N640)</f>
        <v>421.53999999999996</v>
      </c>
      <c r="O641" s="273"/>
      <c r="P641" s="273">
        <f>SUM(P614:P640)</f>
        <v>0</v>
      </c>
      <c r="Q641" s="273"/>
      <c r="R641" s="273">
        <f>SUM(R614:R640)</f>
        <v>0</v>
      </c>
      <c r="S641" s="273"/>
      <c r="T641" s="273">
        <f>SUM(T614:T640)</f>
        <v>0</v>
      </c>
      <c r="U641" s="273"/>
      <c r="V641" s="273">
        <f>SUM(V614:V640)</f>
        <v>0</v>
      </c>
      <c r="W641" s="273"/>
      <c r="X641" s="273">
        <f>SUM(X614:X640)</f>
        <v>0</v>
      </c>
      <c r="Y641" s="273"/>
      <c r="Z641" s="273">
        <f>SUM(Z614:Z640)</f>
        <v>0</v>
      </c>
    </row>
    <row r="642" spans="1:26" ht="15" customHeight="1">
      <c r="A642" s="250"/>
      <c r="B642" s="251"/>
      <c r="C642" s="453"/>
      <c r="D642" s="330"/>
      <c r="E642" s="251"/>
      <c r="F642" s="252"/>
      <c r="G642" s="253"/>
      <c r="H642" s="254"/>
      <c r="I642" s="694">
        <f>I641/'CompSolo Wolf'!I629</f>
        <v>0.59998861339633924</v>
      </c>
      <c r="J642" s="253"/>
      <c r="K642" s="251"/>
      <c r="L642" s="261"/>
      <c r="M642" s="258"/>
      <c r="N642" s="494">
        <f>N641/$N$1941</f>
        <v>3.047715612287252E-3</v>
      </c>
      <c r="O642" s="258"/>
      <c r="P642" s="257"/>
      <c r="Q642" s="258"/>
      <c r="R642" s="257"/>
      <c r="S642" s="258"/>
      <c r="T642" s="257"/>
      <c r="U642" s="258"/>
      <c r="V642" s="257"/>
      <c r="W642" s="258"/>
      <c r="X642" s="257"/>
      <c r="Y642" s="258"/>
      <c r="Z642" s="257"/>
    </row>
    <row r="643" spans="1:26" ht="25.5">
      <c r="A643" s="250"/>
      <c r="B643" s="251"/>
      <c r="C643" s="453" t="s">
        <v>1557</v>
      </c>
      <c r="D643" s="330" t="s">
        <v>1560</v>
      </c>
      <c r="E643" s="251"/>
      <c r="F643" s="252"/>
      <c r="G643" s="253"/>
      <c r="H643" s="254"/>
      <c r="I643" s="253"/>
      <c r="J643" s="253"/>
      <c r="K643" s="251"/>
      <c r="L643" s="261"/>
      <c r="M643" s="258"/>
      <c r="N643" s="257"/>
      <c r="O643" s="258"/>
      <c r="P643" s="257"/>
      <c r="Q643" s="258"/>
      <c r="R643" s="257"/>
      <c r="S643" s="258"/>
      <c r="T643" s="257"/>
      <c r="U643" s="258"/>
      <c r="V643" s="257"/>
      <c r="W643" s="258"/>
      <c r="X643" s="257"/>
      <c r="Y643" s="258"/>
      <c r="Z643" s="257"/>
    </row>
    <row r="644" spans="1:26" ht="29.25" customHeight="1">
      <c r="A644" s="250">
        <f>A638+1</f>
        <v>179</v>
      </c>
      <c r="B644" s="251"/>
      <c r="C644" s="654" t="s">
        <v>709</v>
      </c>
      <c r="D644" s="526" t="s">
        <v>1558</v>
      </c>
      <c r="E644" s="251" t="s">
        <v>1898</v>
      </c>
      <c r="F644" s="252"/>
      <c r="G644" s="253"/>
      <c r="H644" s="254"/>
      <c r="I644" s="253"/>
      <c r="J644" s="253"/>
      <c r="K644" s="251" t="s">
        <v>1898</v>
      </c>
      <c r="L644" s="261"/>
      <c r="M644" s="258"/>
      <c r="N644" s="257"/>
      <c r="O644" s="258"/>
      <c r="P644" s="257"/>
      <c r="Q644" s="258"/>
      <c r="R644" s="257"/>
      <c r="S644" s="258"/>
      <c r="T644" s="257"/>
      <c r="U644" s="258"/>
      <c r="V644" s="257"/>
      <c r="W644" s="258"/>
      <c r="X644" s="257"/>
      <c r="Y644" s="258"/>
      <c r="Z644" s="257"/>
    </row>
    <row r="645" spans="1:26" ht="38.25">
      <c r="A645" s="250"/>
      <c r="B645" s="251"/>
      <c r="C645" s="526"/>
      <c r="D645" s="532" t="s">
        <v>1559</v>
      </c>
      <c r="E645" s="251"/>
      <c r="F645" s="252"/>
      <c r="G645" s="253"/>
      <c r="H645" s="254"/>
      <c r="I645" s="253"/>
      <c r="J645" s="253"/>
      <c r="K645" s="251"/>
      <c r="L645" s="261"/>
      <c r="M645" s="258"/>
      <c r="N645" s="257"/>
      <c r="O645" s="258"/>
      <c r="P645" s="257"/>
      <c r="Q645" s="258"/>
      <c r="R645" s="257"/>
      <c r="S645" s="258"/>
      <c r="T645" s="257"/>
      <c r="U645" s="258"/>
      <c r="V645" s="257"/>
      <c r="W645" s="258"/>
      <c r="X645" s="257"/>
      <c r="Y645" s="258"/>
      <c r="Z645" s="257"/>
    </row>
    <row r="646" spans="1:26" ht="15" customHeight="1">
      <c r="A646" s="250"/>
      <c r="B646" s="251"/>
      <c r="C646" s="526"/>
      <c r="D646" s="292"/>
      <c r="E646" s="251"/>
      <c r="F646" s="252">
        <f>M646+O646+Q646+S646+U646+W646+Y646</f>
        <v>300</v>
      </c>
      <c r="G646" s="253">
        <f>L646</f>
        <v>16.579999999999998</v>
      </c>
      <c r="H646" s="254">
        <f>INT(F646*G646*100+0.5)/100</f>
        <v>4974</v>
      </c>
      <c r="I646" s="253">
        <f>N646+P646+R646+T646+V646+X646+Z646</f>
        <v>4974</v>
      </c>
      <c r="J646" s="253"/>
      <c r="K646" s="251"/>
      <c r="L646" s="255">
        <v>16.579999999999998</v>
      </c>
      <c r="M646" s="258">
        <v>0</v>
      </c>
      <c r="N646" s="257">
        <f>INT($L646*M646*100+0.5)/100</f>
        <v>0</v>
      </c>
      <c r="O646" s="258">
        <v>0</v>
      </c>
      <c r="P646" s="257">
        <f>INT($L646*O646*100+0.5)/100</f>
        <v>0</v>
      </c>
      <c r="Q646" s="258">
        <v>0</v>
      </c>
      <c r="R646" s="257">
        <f>INT($L646*Q646*100+0.5)/100</f>
        <v>0</v>
      </c>
      <c r="S646" s="258">
        <v>0</v>
      </c>
      <c r="T646" s="257">
        <f>INT($L646*S646*100+0.5)/100</f>
        <v>0</v>
      </c>
      <c r="U646" s="258">
        <v>300</v>
      </c>
      <c r="V646" s="257">
        <f>INT($L646*U646*100+0.5)/100</f>
        <v>4974</v>
      </c>
      <c r="W646" s="258">
        <v>0</v>
      </c>
      <c r="X646" s="257">
        <f>INT($L646*W646*100+0.5)/100</f>
        <v>0</v>
      </c>
      <c r="Y646" s="258">
        <v>0</v>
      </c>
      <c r="Z646" s="257">
        <f>INT($L646*Y646*100+0.5)/100</f>
        <v>0</v>
      </c>
    </row>
    <row r="647" spans="1:26" ht="15" customHeight="1">
      <c r="A647" s="250"/>
      <c r="B647" s="251"/>
      <c r="C647" s="526"/>
      <c r="D647" s="292"/>
      <c r="E647" s="251"/>
      <c r="F647" s="252"/>
      <c r="G647" s="253"/>
      <c r="H647" s="254"/>
      <c r="I647" s="253"/>
      <c r="J647" s="253"/>
      <c r="K647" s="251"/>
      <c r="L647" s="261"/>
      <c r="M647" s="258"/>
      <c r="N647" s="257"/>
      <c r="O647" s="258"/>
      <c r="P647" s="257"/>
      <c r="Q647" s="258"/>
      <c r="R647" s="257"/>
      <c r="S647" s="258"/>
      <c r="T647" s="257"/>
      <c r="U647" s="258"/>
      <c r="V647" s="257"/>
      <c r="W647" s="258"/>
      <c r="X647" s="257"/>
      <c r="Y647" s="258"/>
      <c r="Z647" s="257"/>
    </row>
    <row r="648" spans="1:26" ht="15" customHeight="1">
      <c r="A648" s="250">
        <f>A644+1</f>
        <v>180</v>
      </c>
      <c r="B648" s="251"/>
      <c r="C648" s="654" t="s">
        <v>711</v>
      </c>
      <c r="D648" s="532" t="s">
        <v>712</v>
      </c>
      <c r="E648" s="251" t="s">
        <v>1898</v>
      </c>
      <c r="F648" s="252"/>
      <c r="G648" s="253"/>
      <c r="H648" s="254"/>
      <c r="I648" s="253"/>
      <c r="J648" s="253"/>
      <c r="K648" s="251" t="s">
        <v>1898</v>
      </c>
      <c r="L648" s="261"/>
      <c r="M648" s="258"/>
      <c r="N648" s="257"/>
      <c r="O648" s="258"/>
      <c r="P648" s="257"/>
      <c r="Q648" s="258"/>
      <c r="R648" s="257"/>
      <c r="S648" s="258"/>
      <c r="T648" s="257"/>
      <c r="U648" s="258"/>
      <c r="V648" s="257"/>
      <c r="W648" s="258"/>
      <c r="X648" s="257"/>
      <c r="Y648" s="258"/>
      <c r="Z648" s="257"/>
    </row>
    <row r="649" spans="1:26" ht="15" customHeight="1">
      <c r="A649" s="250"/>
      <c r="B649" s="251"/>
      <c r="C649" s="647"/>
      <c r="D649" s="532" t="s">
        <v>713</v>
      </c>
      <c r="E649" s="251"/>
      <c r="F649" s="252"/>
      <c r="G649" s="253"/>
      <c r="H649" s="254"/>
      <c r="I649" s="253"/>
      <c r="J649" s="253"/>
      <c r="K649" s="251"/>
      <c r="L649" s="261"/>
      <c r="M649" s="258"/>
      <c r="N649" s="257"/>
      <c r="O649" s="258"/>
      <c r="P649" s="257"/>
      <c r="Q649" s="258"/>
      <c r="R649" s="257"/>
      <c r="S649" s="258"/>
      <c r="T649" s="257"/>
      <c r="U649" s="258"/>
      <c r="V649" s="257"/>
      <c r="W649" s="258"/>
      <c r="X649" s="257"/>
      <c r="Y649" s="258"/>
      <c r="Z649" s="257"/>
    </row>
    <row r="650" spans="1:26" ht="15" customHeight="1">
      <c r="A650" s="250"/>
      <c r="B650" s="251"/>
      <c r="C650" s="647"/>
      <c r="D650" s="292"/>
      <c r="E650" s="251"/>
      <c r="F650" s="252">
        <f>M650+O650+Q650+S650+U650+W650+Y650</f>
        <v>300</v>
      </c>
      <c r="G650" s="253">
        <f>L650</f>
        <v>5.9</v>
      </c>
      <c r="H650" s="254"/>
      <c r="I650" s="253">
        <f>N650+P650+R650+T650+V650+X650+Z650</f>
        <v>1770</v>
      </c>
      <c r="J650" s="253"/>
      <c r="K650" s="251"/>
      <c r="L650" s="255">
        <v>5.9</v>
      </c>
      <c r="M650" s="258">
        <v>0</v>
      </c>
      <c r="N650" s="257">
        <f>INT($L650*M650*100+0.5)/100</f>
        <v>0</v>
      </c>
      <c r="O650" s="258">
        <v>0</v>
      </c>
      <c r="P650" s="257">
        <f>INT($L650*O650*100+0.5)/100</f>
        <v>0</v>
      </c>
      <c r="Q650" s="258">
        <v>0</v>
      </c>
      <c r="R650" s="257">
        <f>INT($L650*Q650*100+0.5)/100</f>
        <v>0</v>
      </c>
      <c r="S650" s="258">
        <v>0</v>
      </c>
      <c r="T650" s="257">
        <f>INT($L650*S650*100+0.5)/100</f>
        <v>0</v>
      </c>
      <c r="U650" s="258">
        <v>300</v>
      </c>
      <c r="V650" s="257">
        <f>INT($L650*U650*100+0.5)/100</f>
        <v>1770</v>
      </c>
      <c r="W650" s="258">
        <v>0</v>
      </c>
      <c r="X650" s="257">
        <f>INT($L650*W650*100+0.5)/100</f>
        <v>0</v>
      </c>
      <c r="Y650" s="258">
        <v>0</v>
      </c>
      <c r="Z650" s="257">
        <f>INT($L650*Y650*100+0.5)/100</f>
        <v>0</v>
      </c>
    </row>
    <row r="651" spans="1:26" ht="15" customHeight="1">
      <c r="A651" s="250"/>
      <c r="B651" s="251"/>
      <c r="C651" s="647"/>
      <c r="D651" s="292"/>
      <c r="E651" s="251"/>
      <c r="F651" s="252"/>
      <c r="G651" s="253"/>
      <c r="H651" s="254"/>
      <c r="I651" s="253"/>
      <c r="J651" s="253"/>
      <c r="K651" s="251"/>
      <c r="L651" s="261"/>
      <c r="M651" s="258"/>
      <c r="N651" s="257"/>
      <c r="O651" s="258"/>
      <c r="P651" s="257"/>
      <c r="Q651" s="258"/>
      <c r="R651" s="257"/>
      <c r="S651" s="258"/>
      <c r="T651" s="257"/>
      <c r="U651" s="258"/>
      <c r="V651" s="257"/>
      <c r="W651" s="258"/>
      <c r="X651" s="257"/>
      <c r="Y651" s="258"/>
      <c r="Z651" s="257"/>
    </row>
    <row r="652" spans="1:26" ht="15" customHeight="1">
      <c r="A652" s="250">
        <f>A648+1</f>
        <v>181</v>
      </c>
      <c r="B652" s="251"/>
      <c r="C652" s="654" t="s">
        <v>710</v>
      </c>
      <c r="D652" s="532" t="s">
        <v>1815</v>
      </c>
      <c r="E652" s="251" t="s">
        <v>1898</v>
      </c>
      <c r="F652" s="252">
        <f>M652+O652+Q652+S652+U652+W652+Y652</f>
        <v>0</v>
      </c>
      <c r="G652" s="253">
        <f>L652</f>
        <v>3.53</v>
      </c>
      <c r="H652" s="254"/>
      <c r="I652" s="253">
        <f>N652+P652+R652+T652+V652+X652+Z652</f>
        <v>0</v>
      </c>
      <c r="J652" s="253"/>
      <c r="K652" s="251" t="s">
        <v>1898</v>
      </c>
      <c r="L652" s="255">
        <v>3.53</v>
      </c>
      <c r="M652" s="258">
        <v>0</v>
      </c>
      <c r="N652" s="257">
        <f>INT($L652*M652*100+0.5)/100</f>
        <v>0</v>
      </c>
      <c r="O652" s="258">
        <v>0</v>
      </c>
      <c r="P652" s="257">
        <f>INT($L652*O652*100+0.5)/100</f>
        <v>0</v>
      </c>
      <c r="Q652" s="258">
        <v>0</v>
      </c>
      <c r="R652" s="257">
        <f>INT($L652*Q652*100+0.5)/100</f>
        <v>0</v>
      </c>
      <c r="S652" s="258">
        <v>0</v>
      </c>
      <c r="T652" s="257">
        <f>INT($L652*S652*100+0.5)/100</f>
        <v>0</v>
      </c>
      <c r="U652" s="258">
        <v>0</v>
      </c>
      <c r="V652" s="257">
        <f>INT($L652*U652*100+0.5)/100</f>
        <v>0</v>
      </c>
      <c r="W652" s="258">
        <v>0</v>
      </c>
      <c r="X652" s="257">
        <f>INT($L652*W652*100+0.5)/100</f>
        <v>0</v>
      </c>
      <c r="Y652" s="258">
        <v>0</v>
      </c>
      <c r="Z652" s="257">
        <f>INT($L652*Y652*100+0.5)/100</f>
        <v>0</v>
      </c>
    </row>
    <row r="653" spans="1:26" ht="15" customHeight="1">
      <c r="A653" s="250"/>
      <c r="B653" s="251"/>
      <c r="C653" s="526"/>
      <c r="D653" s="532" t="s">
        <v>1814</v>
      </c>
      <c r="E653" s="251"/>
      <c r="F653" s="252"/>
      <c r="G653" s="253"/>
      <c r="H653" s="254"/>
      <c r="I653" s="253"/>
      <c r="J653" s="253"/>
      <c r="K653" s="251"/>
      <c r="L653" s="261"/>
      <c r="M653" s="258"/>
      <c r="N653" s="257"/>
      <c r="O653" s="258"/>
      <c r="P653" s="257"/>
      <c r="Q653" s="258"/>
      <c r="R653" s="257"/>
      <c r="S653" s="258"/>
      <c r="T653" s="257"/>
      <c r="U653" s="258"/>
      <c r="V653" s="257"/>
      <c r="W653" s="258"/>
      <c r="X653" s="257"/>
      <c r="Y653" s="258"/>
      <c r="Z653" s="257"/>
    </row>
    <row r="654" spans="1:26" ht="15" customHeight="1">
      <c r="A654" s="250"/>
      <c r="B654" s="251"/>
      <c r="C654" s="526"/>
      <c r="D654" s="292"/>
      <c r="E654" s="251"/>
      <c r="F654" s="252"/>
      <c r="G654" s="253"/>
      <c r="H654" s="254"/>
      <c r="I654" s="253"/>
      <c r="J654" s="253"/>
      <c r="K654" s="251"/>
      <c r="L654" s="261"/>
      <c r="M654" s="258"/>
      <c r="N654" s="257"/>
      <c r="O654" s="258"/>
      <c r="P654" s="257"/>
      <c r="Q654" s="258"/>
      <c r="R654" s="257"/>
      <c r="S654" s="258"/>
      <c r="T654" s="257"/>
      <c r="U654" s="258"/>
      <c r="V654" s="257"/>
      <c r="W654" s="258"/>
      <c r="X654" s="257"/>
      <c r="Y654" s="258"/>
      <c r="Z654" s="257"/>
    </row>
    <row r="655" spans="1:26" ht="25.5">
      <c r="A655" s="250">
        <f>A652+1</f>
        <v>182</v>
      </c>
      <c r="B655" s="251"/>
      <c r="C655" s="654" t="s">
        <v>714</v>
      </c>
      <c r="D655" s="532" t="s">
        <v>2464</v>
      </c>
      <c r="E655" s="251" t="s">
        <v>2461</v>
      </c>
      <c r="F655" s="252">
        <f>M655+O655+Q655+S655+U655+W655+Y655</f>
        <v>0</v>
      </c>
      <c r="G655" s="253">
        <f>L655</f>
        <v>191.82</v>
      </c>
      <c r="H655" s="254">
        <f>INT(F655*G655*100+0.5)/100</f>
        <v>0</v>
      </c>
      <c r="I655" s="253">
        <f>N655+P655+R655+T655+V655+X655+Z655</f>
        <v>0</v>
      </c>
      <c r="J655" s="253"/>
      <c r="K655" s="251" t="s">
        <v>2461</v>
      </c>
      <c r="L655" s="255">
        <v>191.82</v>
      </c>
      <c r="M655" s="258">
        <v>0</v>
      </c>
      <c r="N655" s="257">
        <f>INT($L655*M655*100+0.5)/100</f>
        <v>0</v>
      </c>
      <c r="O655" s="258">
        <v>0</v>
      </c>
      <c r="P655" s="257">
        <f>INT($L655*O655*100+0.5)/100</f>
        <v>0</v>
      </c>
      <c r="Q655" s="258">
        <v>0</v>
      </c>
      <c r="R655" s="257">
        <f>INT($L655*Q655*100+0.5)/100</f>
        <v>0</v>
      </c>
      <c r="S655" s="258">
        <v>0</v>
      </c>
      <c r="T655" s="257">
        <f>INT($L655*S655*100+0.5)/100</f>
        <v>0</v>
      </c>
      <c r="U655" s="258">
        <v>0</v>
      </c>
      <c r="V655" s="257">
        <f>INT($L655*U655*100+0.5)/100</f>
        <v>0</v>
      </c>
      <c r="W655" s="258">
        <v>0</v>
      </c>
      <c r="X655" s="257">
        <f>INT($L655*W655*100+0.5)/100</f>
        <v>0</v>
      </c>
      <c r="Y655" s="258">
        <v>0</v>
      </c>
      <c r="Z655" s="257">
        <f>INT($L655*Y655*100+0.5)/100</f>
        <v>0</v>
      </c>
    </row>
    <row r="656" spans="1:26" ht="25.5">
      <c r="A656" s="250"/>
      <c r="B656" s="251"/>
      <c r="C656" s="526"/>
      <c r="D656" s="532" t="s">
        <v>1816</v>
      </c>
      <c r="E656" s="251"/>
      <c r="F656" s="252"/>
      <c r="G656" s="253"/>
      <c r="H656" s="254"/>
      <c r="I656" s="253"/>
      <c r="J656" s="253"/>
      <c r="K656" s="251"/>
      <c r="L656" s="261"/>
      <c r="M656" s="258"/>
      <c r="N656" s="257"/>
      <c r="O656" s="258"/>
      <c r="P656" s="257"/>
      <c r="Q656" s="258"/>
      <c r="R656" s="257"/>
      <c r="S656" s="258"/>
      <c r="T656" s="257"/>
      <c r="U656" s="258"/>
      <c r="V656" s="257"/>
      <c r="W656" s="258"/>
      <c r="X656" s="257"/>
      <c r="Y656" s="258"/>
      <c r="Z656" s="257"/>
    </row>
    <row r="657" spans="1:26" ht="15" customHeight="1">
      <c r="A657" s="250"/>
      <c r="B657" s="251"/>
      <c r="C657" s="526"/>
      <c r="D657" s="532"/>
      <c r="E657" s="251"/>
      <c r="F657" s="252"/>
      <c r="G657" s="253"/>
      <c r="H657" s="254"/>
      <c r="I657" s="253"/>
      <c r="J657" s="253"/>
      <c r="K657" s="251"/>
      <c r="L657" s="261"/>
      <c r="M657" s="258"/>
      <c r="N657" s="257"/>
      <c r="O657" s="258"/>
      <c r="P657" s="257"/>
      <c r="Q657" s="258"/>
      <c r="R657" s="257"/>
      <c r="S657" s="258"/>
      <c r="T657" s="257"/>
      <c r="U657" s="258"/>
      <c r="V657" s="257"/>
      <c r="W657" s="258"/>
      <c r="X657" s="257"/>
      <c r="Y657" s="258"/>
      <c r="Z657" s="257"/>
    </row>
    <row r="658" spans="1:26" s="303" customFormat="1" ht="30">
      <c r="A658" s="298"/>
      <c r="B658" s="299"/>
      <c r="C658" s="267" t="s">
        <v>1557</v>
      </c>
      <c r="D658" s="333" t="s">
        <v>1560</v>
      </c>
      <c r="E658" s="299"/>
      <c r="F658" s="301"/>
      <c r="G658" s="273"/>
      <c r="H658" s="273"/>
      <c r="I658" s="272">
        <f>N658+P658+R658+T658+V658+X658+Z658</f>
        <v>6744</v>
      </c>
      <c r="J658" s="269">
        <f>SUM(N658:Z658)</f>
        <v>6744</v>
      </c>
      <c r="K658" s="299"/>
      <c r="L658" s="271"/>
      <c r="M658" s="273"/>
      <c r="N658" s="273">
        <f>SUM(N646:N657)</f>
        <v>0</v>
      </c>
      <c r="O658" s="273"/>
      <c r="P658" s="273">
        <f>SUM(P646:P657)</f>
        <v>0</v>
      </c>
      <c r="Q658" s="273"/>
      <c r="R658" s="273">
        <f>SUM(R646:R657)</f>
        <v>0</v>
      </c>
      <c r="S658" s="273"/>
      <c r="T658" s="273">
        <f>SUM(T646:T657)</f>
        <v>0</v>
      </c>
      <c r="U658" s="273"/>
      <c r="V658" s="273">
        <f>SUM(V646:V657)</f>
        <v>6744</v>
      </c>
      <c r="W658" s="273"/>
      <c r="X658" s="273">
        <f>SUM(X646:X657)</f>
        <v>0</v>
      </c>
      <c r="Y658" s="273"/>
      <c r="Z658" s="273">
        <f>SUM(Z646:Z657)</f>
        <v>0</v>
      </c>
    </row>
    <row r="659" spans="1:26" ht="15" customHeight="1">
      <c r="A659" s="250"/>
      <c r="B659" s="251"/>
      <c r="C659" s="453"/>
      <c r="D659" s="330"/>
      <c r="E659" s="251"/>
      <c r="F659" s="252"/>
      <c r="G659" s="253"/>
      <c r="H659" s="254"/>
      <c r="I659" s="694">
        <f>I658/'CompSolo Wolf'!I647</f>
        <v>0.6</v>
      </c>
      <c r="J659" s="253"/>
      <c r="K659" s="251"/>
      <c r="L659" s="261"/>
      <c r="M659" s="258"/>
      <c r="N659" s="494">
        <f>N658/$N$1941</f>
        <v>0</v>
      </c>
      <c r="O659" s="258"/>
      <c r="P659" s="257"/>
      <c r="Q659" s="258"/>
      <c r="R659" s="257"/>
      <c r="S659" s="258"/>
      <c r="T659" s="257"/>
      <c r="U659" s="258"/>
      <c r="V659" s="257"/>
      <c r="W659" s="258"/>
      <c r="X659" s="257"/>
      <c r="Y659" s="258"/>
      <c r="Z659" s="257"/>
    </row>
    <row r="660" spans="1:26" ht="15">
      <c r="A660" s="250"/>
      <c r="B660" s="251"/>
      <c r="C660" s="453" t="s">
        <v>1561</v>
      </c>
      <c r="D660" s="330" t="s">
        <v>1562</v>
      </c>
      <c r="E660" s="251"/>
      <c r="F660" s="252"/>
      <c r="G660" s="253"/>
      <c r="H660" s="254"/>
      <c r="I660" s="253"/>
      <c r="J660" s="253"/>
      <c r="K660" s="251"/>
      <c r="L660" s="261"/>
      <c r="M660" s="258"/>
      <c r="N660" s="257"/>
      <c r="O660" s="258"/>
      <c r="P660" s="257"/>
      <c r="Q660" s="258"/>
      <c r="R660" s="257"/>
      <c r="S660" s="258"/>
      <c r="T660" s="257"/>
      <c r="U660" s="258"/>
      <c r="V660" s="257"/>
      <c r="W660" s="258"/>
      <c r="X660" s="257"/>
      <c r="Y660" s="258"/>
      <c r="Z660" s="257"/>
    </row>
    <row r="661" spans="1:26" ht="25.5">
      <c r="A661" s="250">
        <f>A655+1</f>
        <v>183</v>
      </c>
      <c r="B661" s="251"/>
      <c r="C661" s="647" t="s">
        <v>715</v>
      </c>
      <c r="D661" s="526" t="s">
        <v>386</v>
      </c>
      <c r="E661" s="251" t="s">
        <v>1898</v>
      </c>
      <c r="F661" s="252"/>
      <c r="G661" s="253"/>
      <c r="H661" s="254"/>
      <c r="I661" s="253"/>
      <c r="J661" s="253"/>
      <c r="K661" s="251" t="s">
        <v>1898</v>
      </c>
      <c r="L661" s="261"/>
      <c r="M661" s="258"/>
      <c r="N661" s="257"/>
      <c r="O661" s="258"/>
      <c r="P661" s="257"/>
      <c r="Q661" s="258"/>
      <c r="R661" s="257"/>
      <c r="S661" s="258"/>
      <c r="T661" s="257"/>
      <c r="U661" s="258"/>
      <c r="V661" s="257"/>
      <c r="W661" s="258"/>
      <c r="X661" s="257"/>
      <c r="Y661" s="258"/>
      <c r="Z661" s="257"/>
    </row>
    <row r="662" spans="1:26" ht="25.5">
      <c r="A662" s="250"/>
      <c r="B662" s="251"/>
      <c r="C662" s="647"/>
      <c r="D662" s="526" t="s">
        <v>274</v>
      </c>
      <c r="E662" s="251"/>
      <c r="F662" s="252"/>
      <c r="G662" s="253"/>
      <c r="H662" s="254"/>
      <c r="I662" s="253"/>
      <c r="J662" s="253"/>
      <c r="K662" s="251"/>
      <c r="L662" s="261"/>
      <c r="M662" s="258"/>
      <c r="N662" s="257"/>
      <c r="O662" s="258"/>
      <c r="P662" s="257"/>
      <c r="Q662" s="258"/>
      <c r="R662" s="257"/>
      <c r="S662" s="258"/>
      <c r="T662" s="257"/>
      <c r="U662" s="258"/>
      <c r="V662" s="257"/>
      <c r="W662" s="258"/>
      <c r="X662" s="257"/>
      <c r="Y662" s="258"/>
      <c r="Z662" s="257"/>
    </row>
    <row r="663" spans="1:26" ht="15">
      <c r="A663" s="250"/>
      <c r="B663" s="251"/>
      <c r="C663" s="647"/>
      <c r="D663" s="292"/>
      <c r="E663" s="251"/>
      <c r="F663" s="252"/>
      <c r="G663" s="253"/>
      <c r="H663" s="254"/>
      <c r="I663" s="253"/>
      <c r="J663" s="253"/>
      <c r="K663" s="251"/>
      <c r="L663" s="261"/>
      <c r="M663" s="258"/>
      <c r="N663" s="257"/>
      <c r="O663" s="258"/>
      <c r="P663" s="257"/>
      <c r="Q663" s="258"/>
      <c r="R663" s="257"/>
      <c r="S663" s="258"/>
      <c r="T663" s="257"/>
      <c r="U663" s="258"/>
      <c r="V663" s="257"/>
      <c r="W663" s="258"/>
      <c r="X663" s="257"/>
      <c r="Y663" s="258"/>
      <c r="Z663" s="257"/>
    </row>
    <row r="664" spans="1:26" ht="15">
      <c r="A664" s="250"/>
      <c r="B664" s="251"/>
      <c r="C664" s="647"/>
      <c r="D664" s="292" t="s">
        <v>1330</v>
      </c>
      <c r="E664" s="251"/>
      <c r="F664" s="252"/>
      <c r="G664" s="253"/>
      <c r="H664" s="254"/>
      <c r="I664" s="253"/>
      <c r="J664" s="253"/>
      <c r="K664" s="251"/>
      <c r="L664" s="261"/>
      <c r="M664" s="293"/>
      <c r="N664" s="294"/>
      <c r="O664" s="293"/>
      <c r="P664" s="294"/>
      <c r="Q664" s="293"/>
      <c r="R664" s="294"/>
      <c r="S664" s="293"/>
      <c r="T664" s="294"/>
      <c r="U664" s="293"/>
      <c r="V664" s="294"/>
      <c r="W664" s="293"/>
      <c r="X664" s="294"/>
      <c r="Y664" s="293"/>
      <c r="Z664" s="294"/>
    </row>
    <row r="665" spans="1:26" ht="15">
      <c r="A665" s="250"/>
      <c r="B665" s="251"/>
      <c r="C665" s="647"/>
      <c r="D665" s="292" t="s">
        <v>575</v>
      </c>
      <c r="E665" s="251"/>
      <c r="F665" s="252">
        <f>M665+O665+Q665+S665+U665+W665+Y665</f>
        <v>0</v>
      </c>
      <c r="G665" s="253">
        <f>L665</f>
        <v>24.49</v>
      </c>
      <c r="H665" s="254">
        <f>INT(F665*G665*100+0.5)/100</f>
        <v>0</v>
      </c>
      <c r="I665" s="253">
        <f>N665+P665+R665+T665+V665+X665+Z665</f>
        <v>0</v>
      </c>
      <c r="J665" s="253"/>
      <c r="K665" s="251"/>
      <c r="L665" s="255">
        <v>24.49</v>
      </c>
      <c r="M665" s="258">
        <v>0</v>
      </c>
      <c r="N665" s="257">
        <f>INT($L665*M665*100+0.5)/100</f>
        <v>0</v>
      </c>
      <c r="O665" s="258">
        <v>0</v>
      </c>
      <c r="P665" s="257">
        <f>INT($L665*O665*100+0.5)/100</f>
        <v>0</v>
      </c>
      <c r="Q665" s="258">
        <v>0</v>
      </c>
      <c r="R665" s="257">
        <f>INT($L665*Q665*100+0.5)/100</f>
        <v>0</v>
      </c>
      <c r="S665" s="258">
        <v>0</v>
      </c>
      <c r="T665" s="257">
        <f>INT($L665*S665*100+0.5)/100</f>
        <v>0</v>
      </c>
      <c r="U665" s="258">
        <v>0</v>
      </c>
      <c r="V665" s="257">
        <f>INT($L665*U665*100+0.5)/100</f>
        <v>0</v>
      </c>
      <c r="W665" s="258">
        <v>0</v>
      </c>
      <c r="X665" s="257">
        <f>INT($L665*W665*100+0.5)/100</f>
        <v>0</v>
      </c>
      <c r="Y665" s="258">
        <v>0</v>
      </c>
      <c r="Z665" s="257">
        <f>INT($L665*Y665*100+0.5)/100</f>
        <v>0</v>
      </c>
    </row>
    <row r="666" spans="1:26" s="247" customFormat="1" ht="15">
      <c r="A666" s="284"/>
      <c r="B666" s="237"/>
      <c r="C666" s="654"/>
      <c r="D666" s="238"/>
      <c r="E666" s="237"/>
      <c r="F666" s="304"/>
      <c r="G666" s="253"/>
      <c r="H666" s="244"/>
      <c r="I666" s="240"/>
      <c r="J666" s="240"/>
      <c r="K666" s="237"/>
      <c r="L666" s="243"/>
      <c r="M666" s="289"/>
      <c r="N666" s="245"/>
      <c r="O666" s="289"/>
      <c r="P666" s="245"/>
      <c r="Q666" s="289"/>
      <c r="R666" s="245"/>
      <c r="S666" s="289"/>
      <c r="T666" s="245"/>
      <c r="U666" s="289"/>
      <c r="V666" s="245"/>
      <c r="W666" s="289"/>
      <c r="X666" s="245"/>
      <c r="Y666" s="289"/>
      <c r="Z666" s="245"/>
    </row>
    <row r="667" spans="1:26" ht="15">
      <c r="A667" s="250">
        <f>A661+1</f>
        <v>184</v>
      </c>
      <c r="B667" s="251"/>
      <c r="C667" s="647" t="s">
        <v>716</v>
      </c>
      <c r="D667" s="532" t="s">
        <v>391</v>
      </c>
      <c r="E667" s="251" t="s">
        <v>1898</v>
      </c>
      <c r="F667" s="252">
        <f>M667+O667+Q667+S667+U667+W667+Y667</f>
        <v>0</v>
      </c>
      <c r="G667" s="253">
        <f>L667</f>
        <v>3.33</v>
      </c>
      <c r="H667" s="254">
        <f>INT(F667*G667*100+0.5)/100</f>
        <v>0</v>
      </c>
      <c r="I667" s="253">
        <f>N667+P667+R667+T667+V667+X667+Z667</f>
        <v>0</v>
      </c>
      <c r="J667" s="253"/>
      <c r="K667" s="251" t="s">
        <v>1898</v>
      </c>
      <c r="L667" s="255">
        <v>3.33</v>
      </c>
      <c r="M667" s="258">
        <v>0</v>
      </c>
      <c r="N667" s="257">
        <f>INT($L667*M667*100+0.5)/100</f>
        <v>0</v>
      </c>
      <c r="O667" s="258">
        <v>0</v>
      </c>
      <c r="P667" s="257">
        <f>INT($L667*O667*100+0.5)/100</f>
        <v>0</v>
      </c>
      <c r="Q667" s="258">
        <v>0</v>
      </c>
      <c r="R667" s="257">
        <f>INT($L667*Q667*100+0.5)/100</f>
        <v>0</v>
      </c>
      <c r="S667" s="258">
        <v>0</v>
      </c>
      <c r="T667" s="257">
        <f>INT($L667*S667*100+0.5)/100</f>
        <v>0</v>
      </c>
      <c r="U667" s="258">
        <v>0</v>
      </c>
      <c r="V667" s="257">
        <f>INT($L667*U667*100+0.5)/100</f>
        <v>0</v>
      </c>
      <c r="W667" s="258">
        <v>0</v>
      </c>
      <c r="X667" s="257">
        <f>INT($L667*W667*100+0.5)/100</f>
        <v>0</v>
      </c>
      <c r="Y667" s="258">
        <v>0</v>
      </c>
      <c r="Z667" s="257">
        <f>INT($L667*Y667*100+0.5)/100</f>
        <v>0</v>
      </c>
    </row>
    <row r="668" spans="1:26" ht="25.5">
      <c r="A668" s="250"/>
      <c r="B668" s="251"/>
      <c r="C668" s="647"/>
      <c r="D668" s="532" t="s">
        <v>392</v>
      </c>
      <c r="E668" s="251"/>
      <c r="F668" s="252"/>
      <c r="G668" s="253"/>
      <c r="H668" s="254"/>
      <c r="I668" s="253"/>
      <c r="J668" s="253"/>
      <c r="K668" s="251"/>
      <c r="L668" s="261"/>
      <c r="M668" s="258"/>
      <c r="N668" s="257"/>
      <c r="O668" s="258"/>
      <c r="P668" s="257"/>
      <c r="Q668" s="258"/>
      <c r="R668" s="257"/>
      <c r="S668" s="258"/>
      <c r="T668" s="257"/>
      <c r="U668" s="258"/>
      <c r="V668" s="257"/>
      <c r="W668" s="258"/>
      <c r="X668" s="257"/>
      <c r="Y668" s="258"/>
      <c r="Z668" s="257"/>
    </row>
    <row r="669" spans="1:26" ht="15">
      <c r="A669" s="250"/>
      <c r="B669" s="251"/>
      <c r="C669" s="647"/>
      <c r="D669" s="292"/>
      <c r="E669" s="251"/>
      <c r="F669" s="252"/>
      <c r="G669" s="253"/>
      <c r="H669" s="254"/>
      <c r="I669" s="253"/>
      <c r="J669" s="253"/>
      <c r="K669" s="251"/>
      <c r="L669" s="261"/>
      <c r="M669" s="258"/>
      <c r="N669" s="257"/>
      <c r="O669" s="258"/>
      <c r="P669" s="257"/>
      <c r="Q669" s="258"/>
      <c r="R669" s="257"/>
      <c r="S669" s="258"/>
      <c r="T669" s="257"/>
      <c r="U669" s="258"/>
      <c r="V669" s="257"/>
      <c r="W669" s="258"/>
      <c r="X669" s="257"/>
      <c r="Y669" s="258"/>
      <c r="Z669" s="257"/>
    </row>
    <row r="670" spans="1:26" ht="38.25">
      <c r="A670" s="250">
        <f>A667+1</f>
        <v>185</v>
      </c>
      <c r="B670" s="251"/>
      <c r="C670" s="647" t="s">
        <v>717</v>
      </c>
      <c r="D670" s="238" t="s">
        <v>394</v>
      </c>
      <c r="E670" s="251" t="s">
        <v>1898</v>
      </c>
      <c r="F670" s="252"/>
      <c r="G670" s="253"/>
      <c r="H670" s="254"/>
      <c r="I670" s="253"/>
      <c r="J670" s="253"/>
      <c r="K670" s="251" t="s">
        <v>1898</v>
      </c>
      <c r="L670" s="261"/>
      <c r="M670" s="258"/>
      <c r="N670" s="257"/>
      <c r="O670" s="258"/>
      <c r="P670" s="257"/>
      <c r="Q670" s="258"/>
      <c r="R670" s="257"/>
      <c r="S670" s="258"/>
      <c r="T670" s="257"/>
      <c r="U670" s="258"/>
      <c r="V670" s="257"/>
      <c r="W670" s="258"/>
      <c r="X670" s="257"/>
      <c r="Y670" s="258"/>
      <c r="Z670" s="257"/>
    </row>
    <row r="671" spans="1:26" ht="38.25">
      <c r="A671" s="250"/>
      <c r="B671" s="251"/>
      <c r="C671" s="647"/>
      <c r="D671" s="238" t="s">
        <v>393</v>
      </c>
      <c r="E671" s="251"/>
      <c r="F671" s="252"/>
      <c r="G671" s="253"/>
      <c r="H671" s="254"/>
      <c r="I671" s="253"/>
      <c r="J671" s="253"/>
      <c r="K671" s="251"/>
      <c r="L671" s="261"/>
      <c r="M671" s="258"/>
      <c r="N671" s="257"/>
      <c r="O671" s="258"/>
      <c r="P671" s="257"/>
      <c r="Q671" s="258"/>
      <c r="R671" s="257"/>
      <c r="S671" s="258"/>
      <c r="T671" s="257"/>
      <c r="U671" s="258"/>
      <c r="V671" s="257"/>
      <c r="W671" s="258"/>
      <c r="X671" s="257"/>
      <c r="Y671" s="258"/>
      <c r="Z671" s="257"/>
    </row>
    <row r="672" spans="1:26" ht="15">
      <c r="A672" s="250"/>
      <c r="B672" s="251"/>
      <c r="C672" s="647"/>
      <c r="D672" s="292"/>
      <c r="E672" s="251"/>
      <c r="F672" s="252"/>
      <c r="G672" s="253"/>
      <c r="H672" s="254"/>
      <c r="I672" s="253"/>
      <c r="J672" s="253"/>
      <c r="K672" s="251"/>
      <c r="L672" s="261"/>
      <c r="M672" s="258"/>
      <c r="N672" s="257"/>
      <c r="O672" s="258"/>
      <c r="P672" s="257"/>
      <c r="Q672" s="258"/>
      <c r="R672" s="257"/>
      <c r="S672" s="258"/>
      <c r="T672" s="257"/>
      <c r="U672" s="258"/>
      <c r="V672" s="257"/>
      <c r="W672" s="258"/>
      <c r="X672" s="257"/>
      <c r="Y672" s="258"/>
      <c r="Z672" s="257"/>
    </row>
    <row r="673" spans="1:26" ht="15">
      <c r="A673" s="250"/>
      <c r="B673" s="251"/>
      <c r="C673" s="647"/>
      <c r="D673" s="292" t="s">
        <v>1330</v>
      </c>
      <c r="E673" s="251"/>
      <c r="F673" s="252"/>
      <c r="G673" s="253"/>
      <c r="H673" s="254"/>
      <c r="I673" s="253"/>
      <c r="J673" s="253"/>
      <c r="K673" s="251"/>
      <c r="L673" s="261"/>
      <c r="M673" s="293"/>
      <c r="N673" s="294"/>
      <c r="O673" s="293"/>
      <c r="P673" s="294"/>
      <c r="Q673" s="293"/>
      <c r="R673" s="294"/>
      <c r="S673" s="293"/>
      <c r="T673" s="294"/>
      <c r="U673" s="293"/>
      <c r="V673" s="294"/>
      <c r="W673" s="293"/>
      <c r="X673" s="294"/>
      <c r="Y673" s="293"/>
      <c r="Z673" s="294"/>
    </row>
    <row r="674" spans="1:26" s="247" customFormat="1" ht="15">
      <c r="A674" s="284"/>
      <c r="B674" s="237"/>
      <c r="C674" s="654"/>
      <c r="D674" s="238" t="s">
        <v>575</v>
      </c>
      <c r="E674" s="237"/>
      <c r="F674" s="252">
        <f>M674+O674+Q674+S674+U674+W674+Y674</f>
        <v>0</v>
      </c>
      <c r="G674" s="253">
        <f>L674</f>
        <v>7.71</v>
      </c>
      <c r="H674" s="244">
        <f>INT(F674*G674*100+0.5)/100</f>
        <v>0</v>
      </c>
      <c r="I674" s="253">
        <f>N674+P674+R674+T674+V674+X674+Z674</f>
        <v>0</v>
      </c>
      <c r="J674" s="240"/>
      <c r="K674" s="237"/>
      <c r="L674" s="306">
        <v>7.71</v>
      </c>
      <c r="M674" s="289">
        <v>0</v>
      </c>
      <c r="N674" s="245">
        <f>INT($L674*M674*100+0.5)/100</f>
        <v>0</v>
      </c>
      <c r="O674" s="289">
        <v>0</v>
      </c>
      <c r="P674" s="245">
        <f>INT($L674*O674*100+0.5)/100</f>
        <v>0</v>
      </c>
      <c r="Q674" s="289">
        <v>0</v>
      </c>
      <c r="R674" s="245">
        <f>INT($L674*Q674*100+0.5)/100</f>
        <v>0</v>
      </c>
      <c r="S674" s="289">
        <v>0</v>
      </c>
      <c r="T674" s="245">
        <f>INT($L674*S674*100+0.5)/100</f>
        <v>0</v>
      </c>
      <c r="U674" s="289">
        <v>0</v>
      </c>
      <c r="V674" s="245">
        <f>INT($L674*U674*100+0.5)/100</f>
        <v>0</v>
      </c>
      <c r="W674" s="289">
        <v>0</v>
      </c>
      <c r="X674" s="245">
        <f>INT($L674*W674*100+0.5)/100</f>
        <v>0</v>
      </c>
      <c r="Y674" s="289">
        <v>0</v>
      </c>
      <c r="Z674" s="245">
        <f>INT($L674*Y674*100+0.5)/100</f>
        <v>0</v>
      </c>
    </row>
    <row r="675" spans="1:26" ht="15">
      <c r="A675" s="250"/>
      <c r="B675" s="251"/>
      <c r="C675" s="647"/>
      <c r="D675" s="292"/>
      <c r="E675" s="251"/>
      <c r="F675" s="252"/>
      <c r="G675" s="253"/>
      <c r="H675" s="254"/>
      <c r="I675" s="253"/>
      <c r="J675" s="253"/>
      <c r="K675" s="251"/>
      <c r="L675" s="261"/>
      <c r="M675" s="258"/>
      <c r="N675" s="257"/>
      <c r="O675" s="258"/>
      <c r="P675" s="257"/>
      <c r="Q675" s="258"/>
      <c r="R675" s="257"/>
      <c r="S675" s="258"/>
      <c r="T675" s="257"/>
      <c r="U675" s="258"/>
      <c r="V675" s="257"/>
      <c r="W675" s="258"/>
      <c r="X675" s="257"/>
      <c r="Y675" s="258"/>
      <c r="Z675" s="257"/>
    </row>
    <row r="676" spans="1:26" ht="25.5">
      <c r="A676" s="250">
        <f>A670+1</f>
        <v>186</v>
      </c>
      <c r="B676" s="251"/>
      <c r="C676" s="657" t="s">
        <v>1574</v>
      </c>
      <c r="D676" s="526" t="s">
        <v>388</v>
      </c>
      <c r="E676" s="251" t="s">
        <v>1898</v>
      </c>
      <c r="F676" s="252"/>
      <c r="G676" s="253"/>
      <c r="H676" s="254"/>
      <c r="I676" s="253"/>
      <c r="J676" s="253"/>
      <c r="K676" s="251" t="s">
        <v>1898</v>
      </c>
      <c r="L676" s="261"/>
      <c r="M676" s="258"/>
      <c r="N676" s="257"/>
      <c r="O676" s="258"/>
      <c r="P676" s="257"/>
      <c r="Q676" s="258"/>
      <c r="R676" s="257"/>
      <c r="S676" s="258"/>
      <c r="T676" s="257"/>
      <c r="U676" s="258"/>
      <c r="V676" s="257"/>
      <c r="W676" s="258"/>
      <c r="X676" s="257"/>
      <c r="Y676" s="258"/>
      <c r="Z676" s="257"/>
    </row>
    <row r="677" spans="1:26" ht="25.5">
      <c r="A677" s="250"/>
      <c r="B677" s="251"/>
      <c r="C677" s="526"/>
      <c r="D677" s="526" t="s">
        <v>387</v>
      </c>
      <c r="E677" s="251"/>
      <c r="F677" s="252"/>
      <c r="G677" s="253"/>
      <c r="H677" s="254"/>
      <c r="I677" s="253"/>
      <c r="J677" s="253"/>
      <c r="K677" s="251"/>
      <c r="L677" s="261"/>
      <c r="M677" s="258"/>
      <c r="N677" s="257"/>
      <c r="O677" s="258"/>
      <c r="P677" s="257"/>
      <c r="Q677" s="258"/>
      <c r="R677" s="257"/>
      <c r="S677" s="258"/>
      <c r="T677" s="257"/>
      <c r="U677" s="258"/>
      <c r="V677" s="257"/>
      <c r="W677" s="258"/>
      <c r="X677" s="257"/>
      <c r="Y677" s="258"/>
      <c r="Z677" s="257"/>
    </row>
    <row r="678" spans="1:26" ht="15">
      <c r="A678" s="250"/>
      <c r="B678" s="251"/>
      <c r="C678" s="526"/>
      <c r="D678" s="292"/>
      <c r="E678" s="251"/>
      <c r="F678" s="252"/>
      <c r="G678" s="253"/>
      <c r="H678" s="254"/>
      <c r="I678" s="253"/>
      <c r="J678" s="253"/>
      <c r="K678" s="251"/>
      <c r="L678" s="261"/>
      <c r="M678" s="258">
        <v>0</v>
      </c>
      <c r="N678" s="257"/>
      <c r="O678" s="258">
        <v>0</v>
      </c>
      <c r="P678" s="257"/>
      <c r="Q678" s="258">
        <v>0</v>
      </c>
      <c r="R678" s="257"/>
      <c r="S678" s="258">
        <v>0</v>
      </c>
      <c r="T678" s="257"/>
      <c r="U678" s="258">
        <v>0</v>
      </c>
      <c r="V678" s="257"/>
      <c r="W678" s="258">
        <v>0</v>
      </c>
      <c r="X678" s="257"/>
      <c r="Y678" s="258">
        <v>0</v>
      </c>
      <c r="Z678" s="257"/>
    </row>
    <row r="679" spans="1:26" ht="15">
      <c r="A679" s="250"/>
      <c r="B679" s="251"/>
      <c r="C679" s="526"/>
      <c r="D679" s="292" t="s">
        <v>1899</v>
      </c>
      <c r="E679" s="251"/>
      <c r="F679" s="252"/>
      <c r="G679" s="253"/>
      <c r="H679" s="254"/>
      <c r="I679" s="253"/>
      <c r="J679" s="253"/>
      <c r="K679" s="251"/>
      <c r="L679" s="261"/>
      <c r="M679" s="293">
        <v>0</v>
      </c>
      <c r="N679" s="294"/>
      <c r="O679" s="293">
        <v>0</v>
      </c>
      <c r="P679" s="294"/>
      <c r="Q679" s="293">
        <v>0</v>
      </c>
      <c r="R679" s="294"/>
      <c r="S679" s="293">
        <v>0</v>
      </c>
      <c r="T679" s="294"/>
      <c r="U679" s="293">
        <v>0</v>
      </c>
      <c r="V679" s="294"/>
      <c r="W679" s="293">
        <v>0</v>
      </c>
      <c r="X679" s="294"/>
      <c r="Y679" s="293">
        <v>0</v>
      </c>
      <c r="Z679" s="294"/>
    </row>
    <row r="680" spans="1:26" ht="15">
      <c r="A680" s="250"/>
      <c r="B680" s="251"/>
      <c r="C680" s="526"/>
      <c r="D680" s="292" t="s">
        <v>1900</v>
      </c>
      <c r="E680" s="251"/>
      <c r="F680" s="252">
        <f>M680+O680+Q680+S680+U680+W680+Y680</f>
        <v>0</v>
      </c>
      <c r="G680" s="253">
        <f>L680</f>
        <v>24.15</v>
      </c>
      <c r="H680" s="254">
        <f>INT(F680*G680*100+0.5)/100</f>
        <v>0</v>
      </c>
      <c r="I680" s="253">
        <f>N680+P680+R680+T680+V680+X680+Z680</f>
        <v>0</v>
      </c>
      <c r="J680" s="253"/>
      <c r="K680" s="251"/>
      <c r="L680" s="262">
        <v>24.15</v>
      </c>
      <c r="M680" s="258">
        <f>SUM(M678:M679)</f>
        <v>0</v>
      </c>
      <c r="N680" s="257">
        <f>INT($L680*M680*100+0.5)/100</f>
        <v>0</v>
      </c>
      <c r="O680" s="258">
        <f>SUM(O678:O679)</f>
        <v>0</v>
      </c>
      <c r="P680" s="257">
        <f>INT($L680*O680*100+0.5)/100</f>
        <v>0</v>
      </c>
      <c r="Q680" s="258">
        <f>SUM(Q678:Q679)</f>
        <v>0</v>
      </c>
      <c r="R680" s="257">
        <f>INT($L680*Q680*100+0.5)/100</f>
        <v>0</v>
      </c>
      <c r="S680" s="258">
        <f>SUM(S678:S679)</f>
        <v>0</v>
      </c>
      <c r="T680" s="257">
        <f>INT($L680*S680*100+0.5)/100</f>
        <v>0</v>
      </c>
      <c r="U680" s="258">
        <f>SUM(U678:U679)</f>
        <v>0</v>
      </c>
      <c r="V680" s="257">
        <f>INT($L680*U680*100+0.5)/100</f>
        <v>0</v>
      </c>
      <c r="W680" s="258">
        <f>SUM(W678:W679)</f>
        <v>0</v>
      </c>
      <c r="X680" s="257">
        <f>INT($L680*W680*100+0.5)/100</f>
        <v>0</v>
      </c>
      <c r="Y680" s="258">
        <f>SUM(Y678:Y679)</f>
        <v>0</v>
      </c>
      <c r="Z680" s="257">
        <f>INT($L680*Y680*100+0.5)/100</f>
        <v>0</v>
      </c>
    </row>
    <row r="681" spans="1:26" ht="15">
      <c r="A681" s="250"/>
      <c r="B681" s="251"/>
      <c r="C681" s="526"/>
      <c r="D681" s="292"/>
      <c r="E681" s="251"/>
      <c r="F681" s="252"/>
      <c r="G681" s="253"/>
      <c r="H681" s="254"/>
      <c r="I681" s="253"/>
      <c r="J681" s="253"/>
      <c r="K681" s="251"/>
      <c r="L681" s="262"/>
      <c r="M681" s="258"/>
      <c r="N681" s="257"/>
      <c r="O681" s="258"/>
      <c r="P681" s="257"/>
      <c r="Q681" s="258"/>
      <c r="R681" s="257"/>
      <c r="S681" s="258"/>
      <c r="T681" s="257"/>
      <c r="U681" s="258"/>
      <c r="V681" s="257"/>
      <c r="W681" s="258"/>
      <c r="X681" s="257"/>
      <c r="Y681" s="258"/>
      <c r="Z681" s="257"/>
    </row>
    <row r="682" spans="1:26" s="303" customFormat="1" ht="15" customHeight="1">
      <c r="A682" s="298"/>
      <c r="B682" s="299"/>
      <c r="C682" s="267" t="s">
        <v>1561</v>
      </c>
      <c r="D682" s="333" t="s">
        <v>1562</v>
      </c>
      <c r="E682" s="299"/>
      <c r="F682" s="301"/>
      <c r="G682" s="273"/>
      <c r="H682" s="273"/>
      <c r="I682" s="272">
        <f>N682+P682+R682+T682+V682+X682+Z682</f>
        <v>0</v>
      </c>
      <c r="J682" s="269">
        <f>SUM(N682:Z682)</f>
        <v>0</v>
      </c>
      <c r="K682" s="299"/>
      <c r="L682" s="271"/>
      <c r="M682" s="273"/>
      <c r="N682" s="273">
        <f>SUM(N661:N681)</f>
        <v>0</v>
      </c>
      <c r="O682" s="273"/>
      <c r="P682" s="273">
        <f>SUM(P661:P681)</f>
        <v>0</v>
      </c>
      <c r="Q682" s="273"/>
      <c r="R682" s="273">
        <f>SUM(R661:R681)</f>
        <v>0</v>
      </c>
      <c r="S682" s="273"/>
      <c r="T682" s="273">
        <f>SUM(T661:T681)</f>
        <v>0</v>
      </c>
      <c r="U682" s="273"/>
      <c r="V682" s="273">
        <f>SUM(V661:V681)</f>
        <v>0</v>
      </c>
      <c r="W682" s="273"/>
      <c r="X682" s="273">
        <f>SUM(X661:X681)</f>
        <v>0</v>
      </c>
      <c r="Y682" s="273"/>
      <c r="Z682" s="273">
        <f>SUM(Z661:Z681)</f>
        <v>0</v>
      </c>
    </row>
    <row r="683" spans="1:26" ht="15" customHeight="1">
      <c r="A683" s="250"/>
      <c r="B683" s="251"/>
      <c r="C683" s="453"/>
      <c r="D683" s="330"/>
      <c r="E683" s="251"/>
      <c r="F683" s="252"/>
      <c r="G683" s="253"/>
      <c r="H683" s="254"/>
      <c r="I683" s="253"/>
      <c r="J683" s="253"/>
      <c r="K683" s="251"/>
      <c r="L683" s="261"/>
      <c r="M683" s="258"/>
      <c r="N683" s="494">
        <f>N682/$N$1941</f>
        <v>0</v>
      </c>
      <c r="O683" s="258"/>
      <c r="P683" s="257"/>
      <c r="Q683" s="258"/>
      <c r="R683" s="257"/>
      <c r="S683" s="258"/>
      <c r="T683" s="257"/>
      <c r="U683" s="258"/>
      <c r="V683" s="257"/>
      <c r="W683" s="258"/>
      <c r="X683" s="257"/>
      <c r="Y683" s="258"/>
      <c r="Z683" s="257"/>
    </row>
    <row r="684" spans="1:26" ht="15" customHeight="1">
      <c r="A684" s="250"/>
      <c r="B684" s="251"/>
      <c r="C684" s="453" t="s">
        <v>1570</v>
      </c>
      <c r="D684" s="330" t="s">
        <v>1571</v>
      </c>
      <c r="E684" s="251"/>
      <c r="F684" s="252"/>
      <c r="G684" s="253"/>
      <c r="H684" s="254"/>
      <c r="I684" s="253"/>
      <c r="J684" s="253"/>
      <c r="K684" s="251"/>
      <c r="L684" s="261"/>
      <c r="M684" s="258"/>
      <c r="N684" s="257"/>
      <c r="O684" s="258"/>
      <c r="P684" s="257"/>
      <c r="Q684" s="258"/>
      <c r="R684" s="257"/>
      <c r="S684" s="258"/>
      <c r="T684" s="257"/>
      <c r="U684" s="258"/>
      <c r="V684" s="257"/>
      <c r="W684" s="258"/>
      <c r="X684" s="257"/>
      <c r="Y684" s="258"/>
      <c r="Z684" s="257"/>
    </row>
    <row r="685" spans="1:26" ht="25.5" hidden="1">
      <c r="A685" s="250"/>
      <c r="B685" s="251"/>
      <c r="C685" s="326"/>
      <c r="D685" s="532" t="s">
        <v>398</v>
      </c>
      <c r="E685" s="251"/>
      <c r="F685" s="252"/>
      <c r="G685" s="253"/>
      <c r="H685" s="254"/>
      <c r="I685" s="253"/>
      <c r="J685" s="253"/>
      <c r="K685" s="251"/>
      <c r="L685" s="261"/>
      <c r="M685" s="258"/>
      <c r="N685" s="257"/>
      <c r="O685" s="258"/>
      <c r="P685" s="257"/>
      <c r="Q685" s="258"/>
      <c r="R685" s="257"/>
      <c r="S685" s="258"/>
      <c r="T685" s="257"/>
      <c r="U685" s="258"/>
      <c r="V685" s="257"/>
      <c r="W685" s="258"/>
      <c r="X685" s="257"/>
      <c r="Y685" s="258"/>
      <c r="Z685" s="257"/>
    </row>
    <row r="686" spans="1:26" ht="25.5" hidden="1">
      <c r="A686" s="250"/>
      <c r="B686" s="251"/>
      <c r="C686" s="532"/>
      <c r="D686" s="532" t="s">
        <v>397</v>
      </c>
      <c r="E686" s="251"/>
      <c r="F686" s="252"/>
      <c r="G686" s="253"/>
      <c r="H686" s="254"/>
      <c r="I686" s="253"/>
      <c r="J686" s="253"/>
      <c r="K686" s="251"/>
      <c r="L686" s="261"/>
      <c r="M686" s="258"/>
      <c r="N686" s="257"/>
      <c r="O686" s="258"/>
      <c r="P686" s="257"/>
      <c r="Q686" s="258"/>
      <c r="R686" s="257"/>
      <c r="S686" s="258"/>
      <c r="T686" s="257"/>
      <c r="U686" s="258"/>
      <c r="V686" s="257"/>
      <c r="W686" s="258"/>
      <c r="X686" s="257"/>
      <c r="Y686" s="258"/>
      <c r="Z686" s="257"/>
    </row>
    <row r="687" spans="1:26" ht="15" hidden="1">
      <c r="A687" s="250">
        <f>A676+1</f>
        <v>187</v>
      </c>
      <c r="B687" s="251"/>
      <c r="C687" s="654" t="s">
        <v>718</v>
      </c>
      <c r="D687" s="526" t="s">
        <v>396</v>
      </c>
      <c r="E687" s="251" t="s">
        <v>1898</v>
      </c>
      <c r="F687" s="252">
        <f>M687+O687+Q687+S687+U687+W687+Y687</f>
        <v>0</v>
      </c>
      <c r="G687" s="253">
        <f>L687</f>
        <v>7.93</v>
      </c>
      <c r="H687" s="254">
        <f>INT(F687*G687*100+0.5)/100</f>
        <v>0</v>
      </c>
      <c r="I687" s="253">
        <f>N687+P687+R687+T687+V687+X687+Z687</f>
        <v>0</v>
      </c>
      <c r="J687" s="253"/>
      <c r="K687" s="251" t="s">
        <v>1898</v>
      </c>
      <c r="L687" s="255">
        <v>7.93</v>
      </c>
      <c r="M687" s="258">
        <v>0</v>
      </c>
      <c r="N687" s="257">
        <f>INT($L687*M687*100+0.5)/100</f>
        <v>0</v>
      </c>
      <c r="O687" s="258">
        <v>0</v>
      </c>
      <c r="P687" s="257">
        <f>INT($L687*O687*100+0.5)/100</f>
        <v>0</v>
      </c>
      <c r="Q687" s="258">
        <v>0</v>
      </c>
      <c r="R687" s="257">
        <f>INT($L687*Q687*100+0.5)/100</f>
        <v>0</v>
      </c>
      <c r="S687" s="258">
        <v>0</v>
      </c>
      <c r="T687" s="257">
        <f>INT($L687*S687*100+0.5)/100</f>
        <v>0</v>
      </c>
      <c r="U687" s="258">
        <v>0</v>
      </c>
      <c r="V687" s="257">
        <f>INT($L687*U687*100+0.5)/100</f>
        <v>0</v>
      </c>
      <c r="W687" s="258">
        <v>0</v>
      </c>
      <c r="X687" s="257">
        <f>INT($L687*W687*100+0.5)/100</f>
        <v>0</v>
      </c>
      <c r="Y687" s="258">
        <v>0</v>
      </c>
      <c r="Z687" s="257">
        <f>INT($L687*Y687*100+0.5)/100</f>
        <v>0</v>
      </c>
    </row>
    <row r="688" spans="1:26" ht="15" hidden="1">
      <c r="A688" s="250"/>
      <c r="B688" s="251"/>
      <c r="C688" s="526"/>
      <c r="D688" s="526" t="s">
        <v>395</v>
      </c>
      <c r="E688" s="251"/>
      <c r="F688" s="252"/>
      <c r="G688" s="253"/>
      <c r="H688" s="254"/>
      <c r="I688" s="253"/>
      <c r="J688" s="253"/>
      <c r="K688" s="251"/>
      <c r="L688" s="255"/>
      <c r="M688" s="258"/>
      <c r="N688" s="257"/>
      <c r="O688" s="258"/>
      <c r="P688" s="257"/>
      <c r="Q688" s="258"/>
      <c r="R688" s="257"/>
      <c r="S688" s="258"/>
      <c r="T688" s="257"/>
      <c r="U688" s="258"/>
      <c r="V688" s="257"/>
      <c r="W688" s="258"/>
      <c r="X688" s="257"/>
      <c r="Y688" s="258"/>
      <c r="Z688" s="257"/>
    </row>
    <row r="689" spans="1:26" ht="15" hidden="1" customHeight="1">
      <c r="A689" s="250"/>
      <c r="B689" s="251"/>
      <c r="C689" s="526"/>
      <c r="D689" s="292"/>
      <c r="E689" s="251"/>
      <c r="F689" s="252"/>
      <c r="G689" s="253"/>
      <c r="H689" s="254"/>
      <c r="I689" s="253"/>
      <c r="J689" s="253"/>
      <c r="K689" s="251"/>
      <c r="L689" s="255"/>
      <c r="M689" s="258"/>
      <c r="N689" s="257"/>
      <c r="O689" s="258"/>
      <c r="P689" s="257"/>
      <c r="Q689" s="258"/>
      <c r="R689" s="257"/>
      <c r="S689" s="258"/>
      <c r="T689" s="257"/>
      <c r="U689" s="258"/>
      <c r="V689" s="257"/>
      <c r="W689" s="258"/>
      <c r="X689" s="257"/>
      <c r="Y689" s="258"/>
      <c r="Z689" s="257"/>
    </row>
    <row r="690" spans="1:26" ht="15" hidden="1" customHeight="1">
      <c r="A690" s="250">
        <f>A687+1</f>
        <v>188</v>
      </c>
      <c r="B690" s="251"/>
      <c r="C690" s="654" t="s">
        <v>719</v>
      </c>
      <c r="D690" s="532" t="s">
        <v>1809</v>
      </c>
      <c r="E690" s="251" t="s">
        <v>1898</v>
      </c>
      <c r="F690" s="252">
        <f>M690+O690+Q690+S690+U690+W690+Y690</f>
        <v>0</v>
      </c>
      <c r="G690" s="253">
        <f>L690</f>
        <v>0.35</v>
      </c>
      <c r="H690" s="254">
        <f>INT(F690*G690*100+0.5)/100</f>
        <v>0</v>
      </c>
      <c r="I690" s="253">
        <f>N690+P690+R690+T690+V690+X690+Z690</f>
        <v>0</v>
      </c>
      <c r="J690" s="253"/>
      <c r="K690" s="251" t="s">
        <v>1898</v>
      </c>
      <c r="L690" s="255">
        <v>0.35</v>
      </c>
      <c r="M690" s="258">
        <v>0</v>
      </c>
      <c r="N690" s="257">
        <f>INT($L690*M690*100+0.5)/100</f>
        <v>0</v>
      </c>
      <c r="O690" s="258">
        <v>0</v>
      </c>
      <c r="P690" s="257">
        <f>INT($L690*O690*100+0.5)/100</f>
        <v>0</v>
      </c>
      <c r="Q690" s="258">
        <v>0</v>
      </c>
      <c r="R690" s="257">
        <f>INT($L690*Q690*100+0.5)/100</f>
        <v>0</v>
      </c>
      <c r="S690" s="258">
        <v>0</v>
      </c>
      <c r="T690" s="257">
        <f>INT($L690*S690*100+0.5)/100</f>
        <v>0</v>
      </c>
      <c r="U690" s="258">
        <v>0</v>
      </c>
      <c r="V690" s="257">
        <f>INT($L690*U690*100+0.5)/100</f>
        <v>0</v>
      </c>
      <c r="W690" s="258">
        <v>0</v>
      </c>
      <c r="X690" s="257">
        <f>INT($L690*W690*100+0.5)/100</f>
        <v>0</v>
      </c>
      <c r="Y690" s="258">
        <v>0</v>
      </c>
      <c r="Z690" s="257">
        <f>INT($L690*Y690*100+0.5)/100</f>
        <v>0</v>
      </c>
    </row>
    <row r="691" spans="1:26" ht="15" hidden="1" customHeight="1">
      <c r="A691" s="250"/>
      <c r="B691" s="251"/>
      <c r="C691" s="526"/>
      <c r="D691" s="532" t="s">
        <v>1808</v>
      </c>
      <c r="E691" s="251"/>
      <c r="F691" s="252"/>
      <c r="G691" s="253"/>
      <c r="H691" s="254"/>
      <c r="I691" s="253"/>
      <c r="J691" s="253"/>
      <c r="K691" s="251"/>
      <c r="L691" s="261"/>
      <c r="M691" s="258"/>
      <c r="N691" s="257"/>
      <c r="O691" s="258"/>
      <c r="P691" s="257"/>
      <c r="Q691" s="258"/>
      <c r="R691" s="257"/>
      <c r="S691" s="258"/>
      <c r="T691" s="257"/>
      <c r="U691" s="258"/>
      <c r="V691" s="257"/>
      <c r="W691" s="258"/>
      <c r="X691" s="257"/>
      <c r="Y691" s="258"/>
      <c r="Z691" s="257"/>
    </row>
    <row r="692" spans="1:26" ht="15" hidden="1" customHeight="1">
      <c r="A692" s="250"/>
      <c r="B692" s="251"/>
      <c r="C692" s="526"/>
      <c r="D692" s="292"/>
      <c r="E692" s="251"/>
      <c r="F692" s="252"/>
      <c r="G692" s="253"/>
      <c r="H692" s="254"/>
      <c r="I692" s="253"/>
      <c r="J692" s="253"/>
      <c r="K692" s="251"/>
      <c r="L692" s="261"/>
      <c r="M692" s="258"/>
      <c r="N692" s="257"/>
      <c r="O692" s="258"/>
      <c r="P692" s="257"/>
      <c r="Q692" s="258"/>
      <c r="R692" s="257"/>
      <c r="S692" s="258"/>
      <c r="T692" s="257"/>
      <c r="U692" s="258"/>
      <c r="V692" s="257"/>
      <c r="W692" s="258"/>
      <c r="X692" s="257"/>
      <c r="Y692" s="258"/>
      <c r="Z692" s="257"/>
    </row>
    <row r="693" spans="1:26" ht="25.5" hidden="1">
      <c r="A693" s="250"/>
      <c r="B693" s="251"/>
      <c r="C693" s="307"/>
      <c r="D693" s="532" t="s">
        <v>467</v>
      </c>
      <c r="E693" s="251"/>
      <c r="F693" s="252"/>
      <c r="G693" s="253"/>
      <c r="H693" s="254"/>
      <c r="I693" s="253"/>
      <c r="J693" s="253"/>
      <c r="K693" s="251"/>
      <c r="L693" s="261"/>
      <c r="M693" s="258"/>
      <c r="N693" s="257"/>
      <c r="O693" s="258"/>
      <c r="P693" s="257"/>
      <c r="Q693" s="258"/>
      <c r="R693" s="257"/>
      <c r="S693" s="258"/>
      <c r="T693" s="257"/>
      <c r="U693" s="258"/>
      <c r="V693" s="257"/>
      <c r="W693" s="258"/>
      <c r="X693" s="257"/>
      <c r="Y693" s="258"/>
      <c r="Z693" s="257"/>
    </row>
    <row r="694" spans="1:26" ht="25.5" hidden="1">
      <c r="A694" s="250"/>
      <c r="B694" s="251"/>
      <c r="C694" s="526"/>
      <c r="D694" s="532" t="s">
        <v>399</v>
      </c>
      <c r="E694" s="251"/>
      <c r="F694" s="252"/>
      <c r="G694" s="253"/>
      <c r="H694" s="254"/>
      <c r="I694" s="253"/>
      <c r="J694" s="253"/>
      <c r="K694" s="251"/>
      <c r="L694" s="261"/>
      <c r="M694" s="258"/>
      <c r="N694" s="257"/>
      <c r="O694" s="258"/>
      <c r="P694" s="257"/>
      <c r="Q694" s="258"/>
      <c r="R694" s="257"/>
      <c r="S694" s="258"/>
      <c r="T694" s="257"/>
      <c r="U694" s="258"/>
      <c r="V694" s="257"/>
      <c r="W694" s="258"/>
      <c r="X694" s="257"/>
      <c r="Y694" s="258"/>
      <c r="Z694" s="257"/>
    </row>
    <row r="695" spans="1:26" ht="25.5" hidden="1">
      <c r="A695" s="250">
        <f>A690+1</f>
        <v>189</v>
      </c>
      <c r="B695" s="251"/>
      <c r="C695" s="654" t="s">
        <v>720</v>
      </c>
      <c r="D695" s="532" t="s">
        <v>469</v>
      </c>
      <c r="E695" s="251" t="s">
        <v>1898</v>
      </c>
      <c r="F695" s="252">
        <f>M695+O695+Q695+S695+U695+W695+Y695</f>
        <v>0</v>
      </c>
      <c r="G695" s="253">
        <f>L695</f>
        <v>11.28</v>
      </c>
      <c r="H695" s="254">
        <f>INT(F695*G695*100+0.5)/100</f>
        <v>0</v>
      </c>
      <c r="I695" s="253">
        <f>N695+P695+R695+T695+V695+X695+Z695</f>
        <v>0</v>
      </c>
      <c r="J695" s="253"/>
      <c r="K695" s="251" t="s">
        <v>1898</v>
      </c>
      <c r="L695" s="255">
        <v>11.28</v>
      </c>
      <c r="M695" s="258">
        <v>0</v>
      </c>
      <c r="N695" s="257">
        <f>INT($L695*M695*100+0.5)/100</f>
        <v>0</v>
      </c>
      <c r="O695" s="258">
        <v>0</v>
      </c>
      <c r="P695" s="257">
        <f>INT($L695*O695*100+0.5)/100</f>
        <v>0</v>
      </c>
      <c r="Q695" s="258">
        <v>0</v>
      </c>
      <c r="R695" s="257">
        <f>INT($L695*Q695*100+0.5)/100</f>
        <v>0</v>
      </c>
      <c r="S695" s="258">
        <v>0</v>
      </c>
      <c r="T695" s="257">
        <f>INT($L695*S695*100+0.5)/100</f>
        <v>0</v>
      </c>
      <c r="U695" s="258">
        <v>0</v>
      </c>
      <c r="V695" s="257">
        <f>INT($L695*U695*100+0.5)/100</f>
        <v>0</v>
      </c>
      <c r="W695" s="258">
        <v>0</v>
      </c>
      <c r="X695" s="257">
        <f>INT($L695*W695*100+0.5)/100</f>
        <v>0</v>
      </c>
      <c r="Y695" s="258">
        <v>0</v>
      </c>
      <c r="Z695" s="257">
        <f>INT($L695*Y695*100+0.5)/100</f>
        <v>0</v>
      </c>
    </row>
    <row r="696" spans="1:26" ht="25.5" hidden="1">
      <c r="A696" s="250"/>
      <c r="B696" s="251"/>
      <c r="C696" s="647"/>
      <c r="D696" s="532" t="s">
        <v>468</v>
      </c>
      <c r="E696" s="251"/>
      <c r="F696" s="252"/>
      <c r="G696" s="253"/>
      <c r="H696" s="254"/>
      <c r="I696" s="253"/>
      <c r="J696" s="253"/>
      <c r="K696" s="251"/>
      <c r="L696" s="255"/>
      <c r="M696" s="258"/>
      <c r="N696" s="257"/>
      <c r="O696" s="258"/>
      <c r="P696" s="257"/>
      <c r="Q696" s="258"/>
      <c r="R696" s="257"/>
      <c r="S696" s="258"/>
      <c r="T696" s="257"/>
      <c r="U696" s="258"/>
      <c r="V696" s="257"/>
      <c r="W696" s="258"/>
      <c r="X696" s="257"/>
      <c r="Y696" s="258"/>
      <c r="Z696" s="257"/>
    </row>
    <row r="697" spans="1:26" ht="15" hidden="1">
      <c r="A697" s="250"/>
      <c r="B697" s="251"/>
      <c r="C697" s="647"/>
      <c r="D697" s="292"/>
      <c r="E697" s="251"/>
      <c r="F697" s="252"/>
      <c r="G697" s="253"/>
      <c r="H697" s="254"/>
      <c r="I697" s="253"/>
      <c r="J697" s="253"/>
      <c r="K697" s="251"/>
      <c r="L697" s="255"/>
      <c r="M697" s="258"/>
      <c r="N697" s="257"/>
      <c r="O697" s="258"/>
      <c r="P697" s="257"/>
      <c r="Q697" s="258"/>
      <c r="R697" s="257"/>
      <c r="S697" s="258"/>
      <c r="T697" s="257"/>
      <c r="U697" s="258"/>
      <c r="V697" s="257"/>
      <c r="W697" s="258"/>
      <c r="X697" s="257"/>
      <c r="Y697" s="258"/>
      <c r="Z697" s="257"/>
    </row>
    <row r="698" spans="1:26" ht="15" hidden="1" customHeight="1">
      <c r="A698" s="250">
        <f>A695+1</f>
        <v>190</v>
      </c>
      <c r="B698" s="251"/>
      <c r="C698" s="654" t="s">
        <v>721</v>
      </c>
      <c r="D698" s="532" t="s">
        <v>273</v>
      </c>
      <c r="E698" s="251" t="s">
        <v>1898</v>
      </c>
      <c r="F698" s="252">
        <f>M698+O698+Q698+S698+U698+W698+Y698</f>
        <v>0</v>
      </c>
      <c r="G698" s="253">
        <f>L698</f>
        <v>0.43</v>
      </c>
      <c r="H698" s="254">
        <f>INT(F698*G698*100+0.5)/100</f>
        <v>0</v>
      </c>
      <c r="I698" s="253">
        <f>N698+P698+R698+T698+V698+X698+Z698</f>
        <v>0</v>
      </c>
      <c r="J698" s="253"/>
      <c r="K698" s="251" t="s">
        <v>1898</v>
      </c>
      <c r="L698" s="255">
        <v>0.43</v>
      </c>
      <c r="M698" s="258">
        <v>0</v>
      </c>
      <c r="N698" s="257">
        <f>INT($L698*M698*100+0.5)/100</f>
        <v>0</v>
      </c>
      <c r="O698" s="258">
        <v>0</v>
      </c>
      <c r="P698" s="257">
        <f>INT($L698*O698*100+0.5)/100</f>
        <v>0</v>
      </c>
      <c r="Q698" s="258">
        <v>0</v>
      </c>
      <c r="R698" s="257">
        <f>INT($L698*Q698*100+0.5)/100</f>
        <v>0</v>
      </c>
      <c r="S698" s="258">
        <v>0</v>
      </c>
      <c r="T698" s="257">
        <f>INT($L698*S698*100+0.5)/100</f>
        <v>0</v>
      </c>
      <c r="U698" s="258">
        <v>0</v>
      </c>
      <c r="V698" s="257">
        <f>INT($L698*U698*100+0.5)/100</f>
        <v>0</v>
      </c>
      <c r="W698" s="258">
        <v>0</v>
      </c>
      <c r="X698" s="257">
        <f>INT($L698*W698*100+0.5)/100</f>
        <v>0</v>
      </c>
      <c r="Y698" s="258">
        <v>0</v>
      </c>
      <c r="Z698" s="257">
        <f>INT($L698*Y698*100+0.5)/100</f>
        <v>0</v>
      </c>
    </row>
    <row r="699" spans="1:26" ht="15" hidden="1">
      <c r="A699" s="250"/>
      <c r="B699" s="251"/>
      <c r="C699" s="647"/>
      <c r="D699" s="532" t="s">
        <v>272</v>
      </c>
      <c r="E699" s="251"/>
      <c r="F699" s="252"/>
      <c r="G699" s="253"/>
      <c r="H699" s="254"/>
      <c r="I699" s="253"/>
      <c r="J699" s="253"/>
      <c r="K699" s="251"/>
      <c r="L699" s="261"/>
      <c r="M699" s="258"/>
      <c r="N699" s="257"/>
      <c r="O699" s="258"/>
      <c r="P699" s="257"/>
      <c r="Q699" s="258"/>
      <c r="R699" s="257"/>
      <c r="S699" s="258"/>
      <c r="T699" s="257"/>
      <c r="U699" s="258"/>
      <c r="V699" s="257"/>
      <c r="W699" s="258"/>
      <c r="X699" s="257"/>
      <c r="Y699" s="258"/>
      <c r="Z699" s="257"/>
    </row>
    <row r="700" spans="1:26" ht="15" hidden="1" customHeight="1">
      <c r="A700" s="250"/>
      <c r="B700" s="251"/>
      <c r="C700" s="526"/>
      <c r="D700" s="292"/>
      <c r="E700" s="251"/>
      <c r="F700" s="252"/>
      <c r="G700" s="253"/>
      <c r="H700" s="254"/>
      <c r="I700" s="253"/>
      <c r="J700" s="253"/>
      <c r="K700" s="251"/>
      <c r="L700" s="261"/>
      <c r="M700" s="258"/>
      <c r="N700" s="257"/>
      <c r="O700" s="258"/>
      <c r="P700" s="257"/>
      <c r="Q700" s="258"/>
      <c r="R700" s="257"/>
      <c r="S700" s="258"/>
      <c r="T700" s="257"/>
      <c r="U700" s="258"/>
      <c r="V700" s="257"/>
      <c r="W700" s="258"/>
      <c r="X700" s="257"/>
      <c r="Y700" s="258"/>
      <c r="Z700" s="257"/>
    </row>
    <row r="701" spans="1:26" ht="15" hidden="1" customHeight="1">
      <c r="A701" s="250">
        <f>A698+1</f>
        <v>191</v>
      </c>
      <c r="B701" s="251"/>
      <c r="C701" s="654" t="s">
        <v>722</v>
      </c>
      <c r="D701" s="532" t="s">
        <v>1813</v>
      </c>
      <c r="E701" s="251" t="s">
        <v>1898</v>
      </c>
      <c r="F701" s="252">
        <f>M701+O701+Q701+S701+U701+W701+Y701</f>
        <v>0</v>
      </c>
      <c r="G701" s="253">
        <f>L701</f>
        <v>1.49</v>
      </c>
      <c r="H701" s="254">
        <f>INT(F701*G701*100+0.5)/100</f>
        <v>0</v>
      </c>
      <c r="I701" s="253">
        <f>N701+P701+R701+T701+V701+X701+Z701</f>
        <v>0</v>
      </c>
      <c r="J701" s="253"/>
      <c r="K701" s="251" t="s">
        <v>1898</v>
      </c>
      <c r="L701" s="255">
        <v>1.49</v>
      </c>
      <c r="M701" s="258">
        <v>0</v>
      </c>
      <c r="N701" s="257">
        <f>INT($L701*M701*100+0.5)/100</f>
        <v>0</v>
      </c>
      <c r="O701" s="258">
        <v>0</v>
      </c>
      <c r="P701" s="257">
        <f>INT($L701*O701*100+0.5)/100</f>
        <v>0</v>
      </c>
      <c r="Q701" s="258">
        <v>0</v>
      </c>
      <c r="R701" s="257">
        <f>INT($L701*Q701*100+0.5)/100</f>
        <v>0</v>
      </c>
      <c r="S701" s="258">
        <v>0</v>
      </c>
      <c r="T701" s="257">
        <f>INT($L701*S701*100+0.5)/100</f>
        <v>0</v>
      </c>
      <c r="U701" s="258">
        <v>0</v>
      </c>
      <c r="V701" s="257">
        <f>INT($L701*U701*100+0.5)/100</f>
        <v>0</v>
      </c>
      <c r="W701" s="258">
        <v>0</v>
      </c>
      <c r="X701" s="257">
        <f>INT($L701*W701*100+0.5)/100</f>
        <v>0</v>
      </c>
      <c r="Y701" s="258">
        <v>0</v>
      </c>
      <c r="Z701" s="257">
        <f>INT($L701*Y701*100+0.5)/100</f>
        <v>0</v>
      </c>
    </row>
    <row r="702" spans="1:26" ht="15" hidden="1" customHeight="1">
      <c r="A702" s="250"/>
      <c r="B702" s="251"/>
      <c r="C702" s="526"/>
      <c r="D702" s="532" t="s">
        <v>1812</v>
      </c>
      <c r="E702" s="251"/>
      <c r="F702" s="252"/>
      <c r="G702" s="253"/>
      <c r="H702" s="254"/>
      <c r="I702" s="253"/>
      <c r="J702" s="253"/>
      <c r="K702" s="251"/>
      <c r="L702" s="261"/>
      <c r="M702" s="258"/>
      <c r="N702" s="257"/>
      <c r="O702" s="258"/>
      <c r="P702" s="257"/>
      <c r="Q702" s="258"/>
      <c r="R702" s="257"/>
      <c r="S702" s="258"/>
      <c r="T702" s="257"/>
      <c r="U702" s="258"/>
      <c r="V702" s="257"/>
      <c r="W702" s="258"/>
      <c r="X702" s="257"/>
      <c r="Y702" s="258"/>
      <c r="Z702" s="257"/>
    </row>
    <row r="703" spans="1:26" ht="15" hidden="1" customHeight="1">
      <c r="A703" s="250"/>
      <c r="B703" s="251"/>
      <c r="C703" s="526"/>
      <c r="D703" s="292"/>
      <c r="E703" s="251"/>
      <c r="F703" s="252"/>
      <c r="G703" s="253"/>
      <c r="H703" s="254"/>
      <c r="I703" s="253"/>
      <c r="J703" s="253"/>
      <c r="K703" s="251"/>
      <c r="L703" s="261"/>
      <c r="M703" s="258"/>
      <c r="N703" s="257"/>
      <c r="O703" s="258"/>
      <c r="P703" s="257"/>
      <c r="Q703" s="258"/>
      <c r="R703" s="257"/>
      <c r="S703" s="258"/>
      <c r="T703" s="257"/>
      <c r="U703" s="258"/>
      <c r="V703" s="257"/>
      <c r="W703" s="258"/>
      <c r="X703" s="257"/>
      <c r="Y703" s="258"/>
      <c r="Z703" s="257"/>
    </row>
    <row r="704" spans="1:26" ht="15" hidden="1" customHeight="1">
      <c r="A704" s="250">
        <f>A701+1</f>
        <v>192</v>
      </c>
      <c r="B704" s="251"/>
      <c r="C704" s="661" t="s">
        <v>909</v>
      </c>
      <c r="D704" s="526" t="s">
        <v>1375</v>
      </c>
      <c r="E704" s="251" t="s">
        <v>2475</v>
      </c>
      <c r="F704" s="252"/>
      <c r="G704" s="253"/>
      <c r="H704" s="254"/>
      <c r="I704" s="253"/>
      <c r="J704" s="253"/>
      <c r="K704" s="251" t="s">
        <v>2475</v>
      </c>
      <c r="L704" s="261"/>
      <c r="M704" s="258"/>
      <c r="N704" s="257"/>
      <c r="O704" s="258"/>
      <c r="P704" s="257"/>
      <c r="Q704" s="258"/>
      <c r="R704" s="257"/>
      <c r="S704" s="258"/>
      <c r="T704" s="257"/>
      <c r="U704" s="258"/>
      <c r="V704" s="257"/>
      <c r="W704" s="258"/>
      <c r="X704" s="257"/>
      <c r="Y704" s="258"/>
      <c r="Z704" s="257"/>
    </row>
    <row r="705" spans="1:26" ht="15" hidden="1" customHeight="1">
      <c r="A705" s="250"/>
      <c r="B705" s="251"/>
      <c r="C705" s="540"/>
      <c r="D705" s="526" t="s">
        <v>917</v>
      </c>
      <c r="E705" s="251"/>
      <c r="F705" s="252"/>
      <c r="G705" s="253"/>
      <c r="H705" s="254"/>
      <c r="I705" s="253"/>
      <c r="J705" s="253"/>
      <c r="K705" s="251"/>
      <c r="L705" s="261"/>
      <c r="M705" s="258"/>
      <c r="N705" s="257"/>
      <c r="O705" s="258"/>
      <c r="P705" s="257"/>
      <c r="Q705" s="258"/>
      <c r="R705" s="257"/>
      <c r="S705" s="258"/>
      <c r="T705" s="257"/>
      <c r="U705" s="258"/>
      <c r="V705" s="257"/>
      <c r="W705" s="258"/>
      <c r="X705" s="257"/>
      <c r="Y705" s="258"/>
      <c r="Z705" s="257"/>
    </row>
    <row r="706" spans="1:26" ht="15" hidden="1" customHeight="1">
      <c r="A706" s="250" t="s">
        <v>726</v>
      </c>
      <c r="B706" s="251"/>
      <c r="C706" s="661" t="s">
        <v>723</v>
      </c>
      <c r="D706" s="292" t="s">
        <v>910</v>
      </c>
      <c r="E706" s="251"/>
      <c r="F706" s="252">
        <f>M706+O706+Q706+S706+U706+W706+Y706</f>
        <v>0</v>
      </c>
      <c r="G706" s="253">
        <f>L706</f>
        <v>97.02</v>
      </c>
      <c r="H706" s="254">
        <f>F706*G706</f>
        <v>0</v>
      </c>
      <c r="I706" s="253">
        <f>N706+P706+R706+T706+V706+X706+Z706</f>
        <v>0</v>
      </c>
      <c r="J706" s="253"/>
      <c r="K706" s="251"/>
      <c r="L706" s="255">
        <v>97.02</v>
      </c>
      <c r="M706" s="258">
        <v>0</v>
      </c>
      <c r="N706" s="257">
        <f>INT($L706*M706*100+0.5)/100</f>
        <v>0</v>
      </c>
      <c r="O706" s="258">
        <v>0</v>
      </c>
      <c r="P706" s="257">
        <f>INT($L706*O706*100+0.5)/100</f>
        <v>0</v>
      </c>
      <c r="Q706" s="258">
        <v>0</v>
      </c>
      <c r="R706" s="257">
        <f>INT($L706*Q706*100+0.5)/100</f>
        <v>0</v>
      </c>
      <c r="S706" s="258">
        <v>0</v>
      </c>
      <c r="T706" s="257">
        <f>INT($L706*S706*100+0.5)/100</f>
        <v>0</v>
      </c>
      <c r="U706" s="258">
        <v>0</v>
      </c>
      <c r="V706" s="257">
        <f>INT($L706*U706*100+0.5)/100</f>
        <v>0</v>
      </c>
      <c r="W706" s="258">
        <v>0</v>
      </c>
      <c r="X706" s="257">
        <f>INT($L706*W706*100+0.5)/100</f>
        <v>0</v>
      </c>
      <c r="Y706" s="258">
        <v>0</v>
      </c>
      <c r="Z706" s="257">
        <f>INT($L706*Y706*100+0.5)/100</f>
        <v>0</v>
      </c>
    </row>
    <row r="707" spans="1:26" ht="15" hidden="1" customHeight="1">
      <c r="A707" s="250" t="s">
        <v>727</v>
      </c>
      <c r="B707" s="251"/>
      <c r="C707" s="661" t="s">
        <v>724</v>
      </c>
      <c r="D707" s="292" t="s">
        <v>911</v>
      </c>
      <c r="E707" s="251"/>
      <c r="F707" s="252">
        <f>M707+O707+Q707+S707+U707+W707+Y707</f>
        <v>0</v>
      </c>
      <c r="G707" s="253">
        <f>L707</f>
        <v>135.68</v>
      </c>
      <c r="H707" s="254">
        <f>F707*G707</f>
        <v>0</v>
      </c>
      <c r="I707" s="253">
        <f>N707+P707+R707+T707+V707+X707+Z707</f>
        <v>0</v>
      </c>
      <c r="J707" s="253"/>
      <c r="K707" s="251"/>
      <c r="L707" s="255">
        <v>135.68</v>
      </c>
      <c r="M707" s="258">
        <v>0</v>
      </c>
      <c r="N707" s="257">
        <f>INT($L707*M707*100+0.5)/100</f>
        <v>0</v>
      </c>
      <c r="O707" s="258">
        <v>0</v>
      </c>
      <c r="P707" s="257">
        <f>INT($L707*O707*100+0.5)/100</f>
        <v>0</v>
      </c>
      <c r="Q707" s="258">
        <v>0</v>
      </c>
      <c r="R707" s="257">
        <f>INT($L707*Q707*100+0.5)/100</f>
        <v>0</v>
      </c>
      <c r="S707" s="258">
        <v>0</v>
      </c>
      <c r="T707" s="257">
        <f>INT($L707*S707*100+0.5)/100</f>
        <v>0</v>
      </c>
      <c r="U707" s="258">
        <v>0</v>
      </c>
      <c r="V707" s="257">
        <f>INT($L707*U707*100+0.5)/100</f>
        <v>0</v>
      </c>
      <c r="W707" s="258">
        <v>0</v>
      </c>
      <c r="X707" s="257">
        <f>INT($L707*W707*100+0.5)/100</f>
        <v>0</v>
      </c>
      <c r="Y707" s="258">
        <v>0</v>
      </c>
      <c r="Z707" s="257">
        <f>INT($L707*Y707*100+0.5)/100</f>
        <v>0</v>
      </c>
    </row>
    <row r="708" spans="1:26" ht="15" hidden="1" customHeight="1">
      <c r="A708" s="250" t="s">
        <v>728</v>
      </c>
      <c r="B708" s="251"/>
      <c r="C708" s="661" t="s">
        <v>725</v>
      </c>
      <c r="D708" s="292" t="s">
        <v>912</v>
      </c>
      <c r="E708" s="251"/>
      <c r="F708" s="252">
        <f>M708+O708+Q708+S708+U708+W708+Y708</f>
        <v>0</v>
      </c>
      <c r="G708" s="253">
        <f>L708</f>
        <v>175</v>
      </c>
      <c r="H708" s="254">
        <f>F708*G708</f>
        <v>0</v>
      </c>
      <c r="I708" s="253">
        <f>N708+P708+R708+T708+V708+X708+Z708</f>
        <v>0</v>
      </c>
      <c r="J708" s="253"/>
      <c r="K708" s="251"/>
      <c r="L708" s="255">
        <v>175</v>
      </c>
      <c r="M708" s="258">
        <v>0</v>
      </c>
      <c r="N708" s="257">
        <f>INT($L708*M708*100+0.5)/100</f>
        <v>0</v>
      </c>
      <c r="O708" s="258">
        <v>0</v>
      </c>
      <c r="P708" s="257">
        <f>INT($L708*O708*100+0.5)/100</f>
        <v>0</v>
      </c>
      <c r="Q708" s="258">
        <v>0</v>
      </c>
      <c r="R708" s="257">
        <f>INT($L708*Q708*100+0.5)/100</f>
        <v>0</v>
      </c>
      <c r="S708" s="258">
        <v>0</v>
      </c>
      <c r="T708" s="257">
        <f>INT($L708*S708*100+0.5)/100</f>
        <v>0</v>
      </c>
      <c r="U708" s="258">
        <v>0</v>
      </c>
      <c r="V708" s="257">
        <f>INT($L708*U708*100+0.5)/100</f>
        <v>0</v>
      </c>
      <c r="W708" s="258">
        <v>0</v>
      </c>
      <c r="X708" s="257">
        <f>INT($L708*W708*100+0.5)/100</f>
        <v>0</v>
      </c>
      <c r="Y708" s="258">
        <v>0</v>
      </c>
      <c r="Z708" s="257">
        <f>INT($L708*Y708*100+0.5)/100</f>
        <v>0</v>
      </c>
    </row>
    <row r="709" spans="1:26" ht="15" hidden="1" customHeight="1">
      <c r="A709" s="250"/>
      <c r="B709" s="251"/>
      <c r="C709" s="540"/>
      <c r="D709" s="292"/>
      <c r="E709" s="251"/>
      <c r="F709" s="252"/>
      <c r="G709" s="253"/>
      <c r="H709" s="254"/>
      <c r="I709" s="253"/>
      <c r="J709" s="253"/>
      <c r="K709" s="251"/>
      <c r="L709" s="261"/>
      <c r="M709" s="258"/>
      <c r="N709" s="257"/>
      <c r="O709" s="258"/>
      <c r="P709" s="257"/>
      <c r="Q709" s="258"/>
      <c r="R709" s="257"/>
      <c r="S709" s="258"/>
      <c r="T709" s="257"/>
      <c r="U709" s="258"/>
      <c r="V709" s="257"/>
      <c r="W709" s="258"/>
      <c r="X709" s="257"/>
      <c r="Y709" s="258"/>
      <c r="Z709" s="257"/>
    </row>
    <row r="710" spans="1:26" ht="15" hidden="1" customHeight="1">
      <c r="A710" s="250">
        <f>A704+1</f>
        <v>193</v>
      </c>
      <c r="B710" s="251"/>
      <c r="C710" s="661" t="s">
        <v>1417</v>
      </c>
      <c r="D710" s="526" t="s">
        <v>1374</v>
      </c>
      <c r="E710" s="251" t="s">
        <v>2475</v>
      </c>
      <c r="F710" s="252"/>
      <c r="G710" s="253"/>
      <c r="H710" s="254"/>
      <c r="I710" s="253"/>
      <c r="J710" s="253"/>
      <c r="K710" s="251" t="s">
        <v>2475</v>
      </c>
      <c r="L710" s="261"/>
      <c r="M710" s="258"/>
      <c r="N710" s="257"/>
      <c r="O710" s="258"/>
      <c r="P710" s="257"/>
      <c r="Q710" s="258"/>
      <c r="R710" s="257"/>
      <c r="S710" s="258"/>
      <c r="T710" s="257"/>
      <c r="U710" s="258"/>
      <c r="V710" s="257"/>
      <c r="W710" s="258"/>
      <c r="X710" s="257"/>
      <c r="Y710" s="258"/>
      <c r="Z710" s="257"/>
    </row>
    <row r="711" spans="1:26" ht="15" hidden="1" customHeight="1">
      <c r="A711" s="250"/>
      <c r="B711" s="251"/>
      <c r="C711" s="661"/>
      <c r="D711" s="526" t="s">
        <v>918</v>
      </c>
      <c r="E711" s="251"/>
      <c r="F711" s="252"/>
      <c r="G711" s="253"/>
      <c r="H711" s="254"/>
      <c r="I711" s="253"/>
      <c r="J711" s="253"/>
      <c r="K711" s="251"/>
      <c r="L711" s="261"/>
      <c r="M711" s="258"/>
      <c r="N711" s="257"/>
      <c r="O711" s="258"/>
      <c r="P711" s="257"/>
      <c r="Q711" s="258"/>
      <c r="R711" s="257"/>
      <c r="S711" s="258"/>
      <c r="T711" s="257"/>
      <c r="U711" s="258"/>
      <c r="V711" s="257"/>
      <c r="W711" s="258"/>
      <c r="X711" s="257"/>
      <c r="Y711" s="258"/>
      <c r="Z711" s="257"/>
    </row>
    <row r="712" spans="1:26" ht="15" hidden="1" customHeight="1">
      <c r="A712" s="250" t="s">
        <v>726</v>
      </c>
      <c r="B712" s="251"/>
      <c r="C712" s="661" t="s">
        <v>729</v>
      </c>
      <c r="D712" s="292" t="s">
        <v>910</v>
      </c>
      <c r="E712" s="251"/>
      <c r="F712" s="252">
        <f>M712+O712+Q712+S712+U712+W712+Y712</f>
        <v>0</v>
      </c>
      <c r="G712" s="253">
        <f>L712</f>
        <v>20.98</v>
      </c>
      <c r="H712" s="254">
        <f>F712*G712</f>
        <v>0</v>
      </c>
      <c r="I712" s="253">
        <f>N712+P712+R712+T712+V712+X712+Z712</f>
        <v>0</v>
      </c>
      <c r="J712" s="253"/>
      <c r="K712" s="251"/>
      <c r="L712" s="255">
        <v>20.98</v>
      </c>
      <c r="M712" s="258">
        <v>0</v>
      </c>
      <c r="N712" s="257">
        <f>INT($L712*M712*100+0.5)/100</f>
        <v>0</v>
      </c>
      <c r="O712" s="258">
        <v>0</v>
      </c>
      <c r="P712" s="257">
        <f>INT($L712*O712*100+0.5)/100</f>
        <v>0</v>
      </c>
      <c r="Q712" s="258">
        <v>0</v>
      </c>
      <c r="R712" s="257">
        <f>INT($L712*Q712*100+0.5)/100</f>
        <v>0</v>
      </c>
      <c r="S712" s="258">
        <v>0</v>
      </c>
      <c r="T712" s="257">
        <f>INT($L712*S712*100+0.5)/100</f>
        <v>0</v>
      </c>
      <c r="U712" s="258">
        <v>0</v>
      </c>
      <c r="V712" s="257">
        <f>INT($L712*U712*100+0.5)/100</f>
        <v>0</v>
      </c>
      <c r="W712" s="258">
        <v>0</v>
      </c>
      <c r="X712" s="257">
        <f>INT($L712*W712*100+0.5)/100</f>
        <v>0</v>
      </c>
      <c r="Y712" s="258">
        <v>0</v>
      </c>
      <c r="Z712" s="257">
        <f>INT($L712*Y712*100+0.5)/100</f>
        <v>0</v>
      </c>
    </row>
    <row r="713" spans="1:26" ht="15" hidden="1" customHeight="1">
      <c r="A713" s="250" t="s">
        <v>727</v>
      </c>
      <c r="B713" s="251"/>
      <c r="C713" s="661" t="s">
        <v>730</v>
      </c>
      <c r="D713" s="292" t="s">
        <v>911</v>
      </c>
      <c r="E713" s="251"/>
      <c r="F713" s="252">
        <f>M713+O713+Q713+S713+U713+W713+Y713</f>
        <v>0</v>
      </c>
      <c r="G713" s="253">
        <f>L713</f>
        <v>48.57</v>
      </c>
      <c r="H713" s="254">
        <f>F713*G713</f>
        <v>0</v>
      </c>
      <c r="I713" s="253">
        <f>N713+P713+R713+T713+V713+X713+Z713</f>
        <v>0</v>
      </c>
      <c r="J713" s="253"/>
      <c r="K713" s="251"/>
      <c r="L713" s="255">
        <v>48.57</v>
      </c>
      <c r="M713" s="258">
        <v>0</v>
      </c>
      <c r="N713" s="257">
        <f>INT($L713*M713*100+0.5)/100</f>
        <v>0</v>
      </c>
      <c r="O713" s="258">
        <v>0</v>
      </c>
      <c r="P713" s="257">
        <f>INT($L713*O713*100+0.5)/100</f>
        <v>0</v>
      </c>
      <c r="Q713" s="258">
        <v>0</v>
      </c>
      <c r="R713" s="257">
        <f>INT($L713*Q713*100+0.5)/100</f>
        <v>0</v>
      </c>
      <c r="S713" s="258">
        <v>0</v>
      </c>
      <c r="T713" s="257">
        <f>INT($L713*S713*100+0.5)/100</f>
        <v>0</v>
      </c>
      <c r="U713" s="258">
        <v>0</v>
      </c>
      <c r="V713" s="257">
        <f>INT($L713*U713*100+0.5)/100</f>
        <v>0</v>
      </c>
      <c r="W713" s="258">
        <v>0</v>
      </c>
      <c r="X713" s="257">
        <f>INT($L713*W713*100+0.5)/100</f>
        <v>0</v>
      </c>
      <c r="Y713" s="258">
        <v>0</v>
      </c>
      <c r="Z713" s="257">
        <f>INT($L713*Y713*100+0.5)/100</f>
        <v>0</v>
      </c>
    </row>
    <row r="714" spans="1:26" ht="15" hidden="1" customHeight="1">
      <c r="A714" s="250" t="s">
        <v>728</v>
      </c>
      <c r="B714" s="251"/>
      <c r="C714" s="661" t="s">
        <v>731</v>
      </c>
      <c r="D714" s="292" t="s">
        <v>912</v>
      </c>
      <c r="E714" s="251"/>
      <c r="F714" s="252">
        <f>M714+O714+Q714+S714+U714+W714+Y714</f>
        <v>0</v>
      </c>
      <c r="G714" s="253">
        <f>L714</f>
        <v>60.17</v>
      </c>
      <c r="H714" s="254">
        <f>F714*G714</f>
        <v>0</v>
      </c>
      <c r="I714" s="253">
        <f>N714+P714+R714+T714+V714+X714+Z714</f>
        <v>0</v>
      </c>
      <c r="J714" s="253"/>
      <c r="K714" s="251"/>
      <c r="L714" s="255">
        <v>60.17</v>
      </c>
      <c r="M714" s="258">
        <v>0</v>
      </c>
      <c r="N714" s="257">
        <f>INT($L714*M714*100+0.5)/100</f>
        <v>0</v>
      </c>
      <c r="O714" s="258">
        <v>0</v>
      </c>
      <c r="P714" s="257">
        <f>INT($L714*O714*100+0.5)/100</f>
        <v>0</v>
      </c>
      <c r="Q714" s="258">
        <v>0</v>
      </c>
      <c r="R714" s="257">
        <f>INT($L714*Q714*100+0.5)/100</f>
        <v>0</v>
      </c>
      <c r="S714" s="258">
        <v>0</v>
      </c>
      <c r="T714" s="257">
        <f>INT($L714*S714*100+0.5)/100</f>
        <v>0</v>
      </c>
      <c r="U714" s="258">
        <v>0</v>
      </c>
      <c r="V714" s="257">
        <f>INT($L714*U714*100+0.5)/100</f>
        <v>0</v>
      </c>
      <c r="W714" s="258">
        <v>0</v>
      </c>
      <c r="X714" s="257">
        <f>INT($L714*W714*100+0.5)/100</f>
        <v>0</v>
      </c>
      <c r="Y714" s="258">
        <v>0</v>
      </c>
      <c r="Z714" s="257">
        <f>INT($L714*Y714*100+0.5)/100</f>
        <v>0</v>
      </c>
    </row>
    <row r="715" spans="1:26" ht="15" hidden="1" customHeight="1">
      <c r="A715" s="250"/>
      <c r="B715" s="251"/>
      <c r="C715" s="540"/>
      <c r="D715" s="292"/>
      <c r="E715" s="251"/>
      <c r="F715" s="252"/>
      <c r="G715" s="253"/>
      <c r="H715" s="254"/>
      <c r="I715" s="253"/>
      <c r="J715" s="253"/>
      <c r="K715" s="251"/>
      <c r="L715" s="255"/>
      <c r="M715" s="258"/>
      <c r="N715" s="257"/>
      <c r="O715" s="258"/>
      <c r="P715" s="257"/>
      <c r="Q715" s="258"/>
      <c r="R715" s="257"/>
      <c r="S715" s="258"/>
      <c r="T715" s="257"/>
      <c r="U715" s="258"/>
      <c r="V715" s="257"/>
      <c r="W715" s="258"/>
      <c r="X715" s="257"/>
      <c r="Y715" s="258"/>
      <c r="Z715" s="257"/>
    </row>
    <row r="716" spans="1:26" s="303" customFormat="1" ht="15" customHeight="1">
      <c r="A716" s="298"/>
      <c r="B716" s="299"/>
      <c r="C716" s="267" t="s">
        <v>1570</v>
      </c>
      <c r="D716" s="333" t="s">
        <v>1571</v>
      </c>
      <c r="E716" s="299"/>
      <c r="F716" s="301"/>
      <c r="G716" s="273"/>
      <c r="H716" s="273"/>
      <c r="I716" s="272">
        <f>N716+P716+R716+T716+V716+X716+Z716</f>
        <v>0</v>
      </c>
      <c r="J716" s="269">
        <f>SUM(N716:Z716)</f>
        <v>0</v>
      </c>
      <c r="K716" s="299"/>
      <c r="L716" s="271"/>
      <c r="M716" s="273"/>
      <c r="N716" s="273">
        <f>SUM(N685:N715)</f>
        <v>0</v>
      </c>
      <c r="O716" s="273"/>
      <c r="P716" s="273">
        <f>SUM(P685:P715)</f>
        <v>0</v>
      </c>
      <c r="Q716" s="273"/>
      <c r="R716" s="273">
        <f>SUM(R685:R715)</f>
        <v>0</v>
      </c>
      <c r="S716" s="273"/>
      <c r="T716" s="273">
        <f>SUM(T685:T715)</f>
        <v>0</v>
      </c>
      <c r="U716" s="273"/>
      <c r="V716" s="273">
        <f>SUM(V685:V715)</f>
        <v>0</v>
      </c>
      <c r="W716" s="273"/>
      <c r="X716" s="273">
        <f>SUM(X685:X715)</f>
        <v>0</v>
      </c>
      <c r="Y716" s="273"/>
      <c r="Z716" s="273">
        <f>SUM(Z685:Z715)</f>
        <v>0</v>
      </c>
    </row>
    <row r="717" spans="1:26" ht="15" customHeight="1">
      <c r="A717" s="250"/>
      <c r="B717" s="251"/>
      <c r="C717" s="453"/>
      <c r="D717" s="330"/>
      <c r="E717" s="251"/>
      <c r="F717" s="252"/>
      <c r="G717" s="253"/>
      <c r="H717" s="254"/>
      <c r="I717" s="253"/>
      <c r="J717" s="253"/>
      <c r="K717" s="251"/>
      <c r="L717" s="261"/>
      <c r="M717" s="258"/>
      <c r="N717" s="494">
        <f>N716/$N$1941</f>
        <v>0</v>
      </c>
      <c r="O717" s="258"/>
      <c r="P717" s="257"/>
      <c r="Q717" s="258"/>
      <c r="R717" s="257"/>
      <c r="S717" s="258"/>
      <c r="T717" s="257"/>
      <c r="U717" s="258"/>
      <c r="V717" s="257"/>
      <c r="W717" s="258"/>
      <c r="X717" s="257"/>
      <c r="Y717" s="258"/>
      <c r="Z717" s="257"/>
    </row>
    <row r="718" spans="1:26" s="247" customFormat="1" ht="25.5">
      <c r="A718" s="250"/>
      <c r="B718" s="251"/>
      <c r="C718" s="453" t="s">
        <v>1098</v>
      </c>
      <c r="D718" s="330" t="s">
        <v>503</v>
      </c>
      <c r="E718" s="251"/>
      <c r="F718" s="252"/>
      <c r="G718" s="253"/>
      <c r="H718" s="254"/>
      <c r="I718" s="253"/>
      <c r="J718" s="253"/>
      <c r="K718" s="251"/>
      <c r="L718" s="261"/>
      <c r="M718" s="258"/>
      <c r="N718" s="257"/>
      <c r="O718" s="258"/>
      <c r="P718" s="257"/>
      <c r="Q718" s="258"/>
      <c r="R718" s="257"/>
      <c r="S718" s="258"/>
      <c r="T718" s="257"/>
      <c r="U718" s="258"/>
      <c r="V718" s="257"/>
      <c r="W718" s="258"/>
      <c r="X718" s="257"/>
      <c r="Y718" s="258"/>
      <c r="Z718" s="257"/>
    </row>
    <row r="719" spans="1:26" s="247" customFormat="1" ht="15" hidden="1" customHeight="1">
      <c r="A719" s="443"/>
      <c r="B719" s="444"/>
      <c r="C719" s="445" t="s">
        <v>1076</v>
      </c>
      <c r="D719" s="525"/>
      <c r="E719" s="444" t="s">
        <v>1901</v>
      </c>
      <c r="F719" s="446">
        <f>M719+O719+Q719+S719+U719+W719+Y719</f>
        <v>0</v>
      </c>
      <c r="G719" s="447">
        <f>L719</f>
        <v>200</v>
      </c>
      <c r="H719" s="448">
        <f>INT(F719*G719*100+0.5)/100</f>
        <v>0</v>
      </c>
      <c r="I719" s="447">
        <f>N719+P719+R719+T719+V719+X719+Z719</f>
        <v>0</v>
      </c>
      <c r="J719" s="447"/>
      <c r="K719" s="444" t="s">
        <v>1901</v>
      </c>
      <c r="L719" s="449">
        <v>200</v>
      </c>
      <c r="M719" s="289"/>
      <c r="N719" s="245"/>
      <c r="O719" s="450">
        <v>0</v>
      </c>
      <c r="P719" s="451">
        <f>INT($L719*O719*100+0.5)/100</f>
        <v>0</v>
      </c>
      <c r="Q719" s="289"/>
      <c r="R719" s="245"/>
      <c r="S719" s="289"/>
      <c r="T719" s="245"/>
      <c r="U719" s="289"/>
      <c r="V719" s="245"/>
      <c r="W719" s="289"/>
      <c r="X719" s="245"/>
      <c r="Y719" s="289"/>
      <c r="Z719" s="245"/>
    </row>
    <row r="720" spans="1:26" s="247" customFormat="1" ht="15" hidden="1" customHeight="1">
      <c r="A720" s="443"/>
      <c r="B720" s="444"/>
      <c r="C720" s="542"/>
      <c r="D720" s="679" t="s">
        <v>1077</v>
      </c>
      <c r="E720" s="444"/>
      <c r="F720" s="446"/>
      <c r="G720" s="447"/>
      <c r="H720" s="448"/>
      <c r="I720" s="447"/>
      <c r="J720" s="447"/>
      <c r="K720" s="444"/>
      <c r="L720" s="452"/>
      <c r="M720" s="289"/>
      <c r="N720" s="245"/>
      <c r="O720" s="450"/>
      <c r="P720" s="451"/>
      <c r="Q720" s="289"/>
      <c r="R720" s="245"/>
      <c r="S720" s="289"/>
      <c r="T720" s="245"/>
      <c r="U720" s="289"/>
      <c r="V720" s="245"/>
      <c r="W720" s="289"/>
      <c r="X720" s="245"/>
      <c r="Y720" s="289"/>
      <c r="Z720" s="245"/>
    </row>
    <row r="721" spans="1:26" s="247" customFormat="1" ht="15" hidden="1" customHeight="1">
      <c r="A721" s="250"/>
      <c r="B721" s="251"/>
      <c r="C721" s="453"/>
      <c r="D721" s="330"/>
      <c r="E721" s="251"/>
      <c r="F721" s="252"/>
      <c r="G721" s="253"/>
      <c r="H721" s="254"/>
      <c r="I721" s="253"/>
      <c r="J721" s="253"/>
      <c r="K721" s="251"/>
      <c r="L721" s="261"/>
      <c r="M721" s="289"/>
      <c r="N721" s="245"/>
      <c r="O721" s="258"/>
      <c r="P721" s="257"/>
      <c r="Q721" s="289"/>
      <c r="R721" s="245"/>
      <c r="S721" s="289"/>
      <c r="T721" s="245"/>
      <c r="U721" s="289"/>
      <c r="V721" s="245"/>
      <c r="W721" s="289"/>
      <c r="X721" s="245"/>
      <c r="Y721" s="289"/>
      <c r="Z721" s="245"/>
    </row>
    <row r="722" spans="1:26" s="247" customFormat="1" ht="15" hidden="1" customHeight="1">
      <c r="A722" s="443"/>
      <c r="B722" s="444"/>
      <c r="C722" s="445" t="s">
        <v>1078</v>
      </c>
      <c r="D722" s="543" t="s">
        <v>1088</v>
      </c>
      <c r="E722" s="444" t="s">
        <v>1620</v>
      </c>
      <c r="F722" s="446">
        <f t="shared" ref="F722:F731" si="15">M722+O722+Q722+S722+U722+W722+Y722</f>
        <v>0</v>
      </c>
      <c r="G722" s="447">
        <f t="shared" ref="G722:G731" si="16">L722</f>
        <v>0.1</v>
      </c>
      <c r="H722" s="448">
        <f t="shared" ref="H722:H731" si="17">F722*G722</f>
        <v>0</v>
      </c>
      <c r="I722" s="447">
        <f t="shared" ref="I722:I731" si="18">N722+P722+R722+T722+V722+X722+Z722</f>
        <v>0</v>
      </c>
      <c r="J722" s="447"/>
      <c r="K722" s="444" t="s">
        <v>1620</v>
      </c>
      <c r="L722" s="449">
        <v>0.1</v>
      </c>
      <c r="M722" s="289"/>
      <c r="N722" s="245"/>
      <c r="O722" s="450">
        <v>0</v>
      </c>
      <c r="P722" s="451">
        <f t="shared" ref="P722:P731" si="19">INT($L722*O722*100+0.5)/100</f>
        <v>0</v>
      </c>
      <c r="Q722" s="289"/>
      <c r="R722" s="245"/>
      <c r="S722" s="289"/>
      <c r="T722" s="245"/>
      <c r="U722" s="289"/>
      <c r="V722" s="245"/>
      <c r="W722" s="289"/>
      <c r="X722" s="245"/>
      <c r="Y722" s="289"/>
      <c r="Z722" s="245"/>
    </row>
    <row r="723" spans="1:26" s="247" customFormat="1" ht="15" hidden="1" customHeight="1">
      <c r="A723" s="443"/>
      <c r="B723" s="444"/>
      <c r="C723" s="445" t="s">
        <v>1079</v>
      </c>
      <c r="D723" s="543" t="s">
        <v>1089</v>
      </c>
      <c r="E723" s="444" t="s">
        <v>1620</v>
      </c>
      <c r="F723" s="446">
        <f t="shared" si="15"/>
        <v>0</v>
      </c>
      <c r="G723" s="447">
        <f t="shared" si="16"/>
        <v>0.1</v>
      </c>
      <c r="H723" s="448">
        <f t="shared" si="17"/>
        <v>0</v>
      </c>
      <c r="I723" s="447">
        <f t="shared" si="18"/>
        <v>0</v>
      </c>
      <c r="J723" s="447"/>
      <c r="K723" s="444" t="s">
        <v>1620</v>
      </c>
      <c r="L723" s="449">
        <v>0.1</v>
      </c>
      <c r="M723" s="289"/>
      <c r="N723" s="245"/>
      <c r="O723" s="450">
        <v>0</v>
      </c>
      <c r="P723" s="451">
        <f t="shared" si="19"/>
        <v>0</v>
      </c>
      <c r="Q723" s="289"/>
      <c r="R723" s="245"/>
      <c r="S723" s="289"/>
      <c r="T723" s="245"/>
      <c r="U723" s="289"/>
      <c r="V723" s="245"/>
      <c r="W723" s="289"/>
      <c r="X723" s="245"/>
      <c r="Y723" s="289"/>
      <c r="Z723" s="245"/>
    </row>
    <row r="724" spans="1:26" s="247" customFormat="1" ht="15" hidden="1" customHeight="1">
      <c r="A724" s="443"/>
      <c r="B724" s="444"/>
      <c r="C724" s="445" t="s">
        <v>1080</v>
      </c>
      <c r="D724" s="543" t="s">
        <v>1090</v>
      </c>
      <c r="E724" s="444" t="s">
        <v>1620</v>
      </c>
      <c r="F724" s="446">
        <f t="shared" si="15"/>
        <v>0</v>
      </c>
      <c r="G724" s="447">
        <f t="shared" si="16"/>
        <v>0.12</v>
      </c>
      <c r="H724" s="448">
        <f t="shared" si="17"/>
        <v>0</v>
      </c>
      <c r="I724" s="447">
        <f t="shared" si="18"/>
        <v>0</v>
      </c>
      <c r="J724" s="447"/>
      <c r="K724" s="444" t="s">
        <v>1620</v>
      </c>
      <c r="L724" s="449">
        <v>0.12</v>
      </c>
      <c r="M724" s="289"/>
      <c r="N724" s="245"/>
      <c r="O724" s="450">
        <v>0</v>
      </c>
      <c r="P724" s="451">
        <f t="shared" si="19"/>
        <v>0</v>
      </c>
      <c r="Q724" s="289"/>
      <c r="R724" s="245"/>
      <c r="S724" s="289"/>
      <c r="T724" s="245"/>
      <c r="U724" s="289"/>
      <c r="V724" s="245"/>
      <c r="W724" s="289"/>
      <c r="X724" s="245"/>
      <c r="Y724" s="289"/>
      <c r="Z724" s="245"/>
    </row>
    <row r="725" spans="1:26" s="247" customFormat="1" ht="15" hidden="1" customHeight="1">
      <c r="A725" s="443"/>
      <c r="B725" s="444"/>
      <c r="C725" s="445" t="s">
        <v>1081</v>
      </c>
      <c r="D725" s="543" t="s">
        <v>1091</v>
      </c>
      <c r="E725" s="444" t="s">
        <v>1620</v>
      </c>
      <c r="F725" s="446">
        <f t="shared" si="15"/>
        <v>0</v>
      </c>
      <c r="G725" s="447">
        <f t="shared" si="16"/>
        <v>0.15</v>
      </c>
      <c r="H725" s="448">
        <f t="shared" si="17"/>
        <v>0</v>
      </c>
      <c r="I725" s="447">
        <f t="shared" si="18"/>
        <v>0</v>
      </c>
      <c r="J725" s="447"/>
      <c r="K725" s="444" t="s">
        <v>1620</v>
      </c>
      <c r="L725" s="449">
        <v>0.15</v>
      </c>
      <c r="M725" s="289"/>
      <c r="N725" s="245"/>
      <c r="O725" s="450">
        <v>0</v>
      </c>
      <c r="P725" s="451">
        <f t="shared" si="19"/>
        <v>0</v>
      </c>
      <c r="Q725" s="289"/>
      <c r="R725" s="245"/>
      <c r="S725" s="289"/>
      <c r="T725" s="245"/>
      <c r="U725" s="289"/>
      <c r="V725" s="245"/>
      <c r="W725" s="289"/>
      <c r="X725" s="245"/>
      <c r="Y725" s="289"/>
      <c r="Z725" s="245"/>
    </row>
    <row r="726" spans="1:26" s="247" customFormat="1" ht="15" hidden="1" customHeight="1">
      <c r="A726" s="443"/>
      <c r="B726" s="444"/>
      <c r="C726" s="445" t="s">
        <v>1082</v>
      </c>
      <c r="D726" s="543" t="s">
        <v>1092</v>
      </c>
      <c r="E726" s="444" t="s">
        <v>1620</v>
      </c>
      <c r="F726" s="446">
        <f t="shared" si="15"/>
        <v>0</v>
      </c>
      <c r="G726" s="447">
        <f t="shared" si="16"/>
        <v>0.2</v>
      </c>
      <c r="H726" s="448">
        <f t="shared" si="17"/>
        <v>0</v>
      </c>
      <c r="I726" s="447">
        <f t="shared" si="18"/>
        <v>0</v>
      </c>
      <c r="J726" s="447"/>
      <c r="K726" s="444" t="s">
        <v>1620</v>
      </c>
      <c r="L726" s="449">
        <v>0.2</v>
      </c>
      <c r="M726" s="289"/>
      <c r="N726" s="245"/>
      <c r="O726" s="450">
        <v>0</v>
      </c>
      <c r="P726" s="451">
        <f t="shared" si="19"/>
        <v>0</v>
      </c>
      <c r="Q726" s="289"/>
      <c r="R726" s="245"/>
      <c r="S726" s="289"/>
      <c r="T726" s="245"/>
      <c r="U726" s="289"/>
      <c r="V726" s="245"/>
      <c r="W726" s="289"/>
      <c r="X726" s="245"/>
      <c r="Y726" s="289"/>
      <c r="Z726" s="245"/>
    </row>
    <row r="727" spans="1:26" s="247" customFormat="1" ht="15" hidden="1" customHeight="1">
      <c r="A727" s="443"/>
      <c r="B727" s="444"/>
      <c r="C727" s="445" t="s">
        <v>1083</v>
      </c>
      <c r="D727" s="543" t="s">
        <v>1093</v>
      </c>
      <c r="E727" s="444" t="s">
        <v>1620</v>
      </c>
      <c r="F727" s="446">
        <f t="shared" si="15"/>
        <v>0</v>
      </c>
      <c r="G727" s="447">
        <f t="shared" si="16"/>
        <v>0.22</v>
      </c>
      <c r="H727" s="448">
        <f t="shared" si="17"/>
        <v>0</v>
      </c>
      <c r="I727" s="447">
        <f t="shared" si="18"/>
        <v>0</v>
      </c>
      <c r="J727" s="447"/>
      <c r="K727" s="444" t="s">
        <v>1620</v>
      </c>
      <c r="L727" s="449">
        <v>0.22</v>
      </c>
      <c r="M727" s="289"/>
      <c r="N727" s="245"/>
      <c r="O727" s="450">
        <v>0</v>
      </c>
      <c r="P727" s="451">
        <f t="shared" si="19"/>
        <v>0</v>
      </c>
      <c r="Q727" s="289"/>
      <c r="R727" s="245"/>
      <c r="S727" s="289"/>
      <c r="T727" s="245"/>
      <c r="U727" s="289"/>
      <c r="V727" s="245"/>
      <c r="W727" s="289"/>
      <c r="X727" s="245"/>
      <c r="Y727" s="289"/>
      <c r="Z727" s="245"/>
    </row>
    <row r="728" spans="1:26" s="247" customFormat="1" ht="15" hidden="1" customHeight="1">
      <c r="A728" s="443"/>
      <c r="B728" s="444"/>
      <c r="C728" s="445" t="s">
        <v>1084</v>
      </c>
      <c r="D728" s="543" t="s">
        <v>1094</v>
      </c>
      <c r="E728" s="444" t="s">
        <v>1620</v>
      </c>
      <c r="F728" s="446">
        <f t="shared" si="15"/>
        <v>0</v>
      </c>
      <c r="G728" s="447">
        <f t="shared" si="16"/>
        <v>0.25</v>
      </c>
      <c r="H728" s="448">
        <f t="shared" si="17"/>
        <v>0</v>
      </c>
      <c r="I728" s="447">
        <f t="shared" si="18"/>
        <v>0</v>
      </c>
      <c r="J728" s="447"/>
      <c r="K728" s="444" t="s">
        <v>1620</v>
      </c>
      <c r="L728" s="449">
        <v>0.25</v>
      </c>
      <c r="M728" s="289"/>
      <c r="N728" s="245"/>
      <c r="O728" s="450">
        <v>0</v>
      </c>
      <c r="P728" s="451">
        <f t="shared" si="19"/>
        <v>0</v>
      </c>
      <c r="Q728" s="289"/>
      <c r="R728" s="245"/>
      <c r="S728" s="289"/>
      <c r="T728" s="245"/>
      <c r="U728" s="289"/>
      <c r="V728" s="245"/>
      <c r="W728" s="289"/>
      <c r="X728" s="245"/>
      <c r="Y728" s="289"/>
      <c r="Z728" s="245"/>
    </row>
    <row r="729" spans="1:26" s="247" customFormat="1" ht="15" hidden="1" customHeight="1">
      <c r="A729" s="443"/>
      <c r="B729" s="444"/>
      <c r="C729" s="445" t="s">
        <v>1085</v>
      </c>
      <c r="D729" s="543" t="s">
        <v>1095</v>
      </c>
      <c r="E729" s="444" t="s">
        <v>1620</v>
      </c>
      <c r="F729" s="446">
        <f t="shared" si="15"/>
        <v>0</v>
      </c>
      <c r="G729" s="447">
        <f t="shared" si="16"/>
        <v>0.4</v>
      </c>
      <c r="H729" s="448">
        <f t="shared" si="17"/>
        <v>0</v>
      </c>
      <c r="I729" s="447">
        <f t="shared" si="18"/>
        <v>0</v>
      </c>
      <c r="J729" s="447"/>
      <c r="K729" s="444" t="s">
        <v>1620</v>
      </c>
      <c r="L729" s="449">
        <v>0.4</v>
      </c>
      <c r="M729" s="289"/>
      <c r="N729" s="245"/>
      <c r="O729" s="450">
        <v>0</v>
      </c>
      <c r="P729" s="451">
        <f t="shared" si="19"/>
        <v>0</v>
      </c>
      <c r="Q729" s="289"/>
      <c r="R729" s="245"/>
      <c r="S729" s="289"/>
      <c r="T729" s="245"/>
      <c r="U729" s="289"/>
      <c r="V729" s="245"/>
      <c r="W729" s="289"/>
      <c r="X729" s="245"/>
      <c r="Y729" s="289"/>
      <c r="Z729" s="245"/>
    </row>
    <row r="730" spans="1:26" s="247" customFormat="1" ht="15" hidden="1" customHeight="1">
      <c r="A730" s="443"/>
      <c r="B730" s="444"/>
      <c r="C730" s="445" t="s">
        <v>1086</v>
      </c>
      <c r="D730" s="543" t="s">
        <v>1096</v>
      </c>
      <c r="E730" s="444" t="s">
        <v>1620</v>
      </c>
      <c r="F730" s="446">
        <f t="shared" si="15"/>
        <v>0</v>
      </c>
      <c r="G730" s="447">
        <f t="shared" si="16"/>
        <v>0.7</v>
      </c>
      <c r="H730" s="448">
        <f t="shared" si="17"/>
        <v>0</v>
      </c>
      <c r="I730" s="447">
        <f t="shared" si="18"/>
        <v>0</v>
      </c>
      <c r="J730" s="447"/>
      <c r="K730" s="444" t="s">
        <v>1620</v>
      </c>
      <c r="L730" s="449">
        <v>0.7</v>
      </c>
      <c r="M730" s="289"/>
      <c r="N730" s="245"/>
      <c r="O730" s="450">
        <v>0</v>
      </c>
      <c r="P730" s="451">
        <f t="shared" si="19"/>
        <v>0</v>
      </c>
      <c r="Q730" s="289"/>
      <c r="R730" s="245"/>
      <c r="S730" s="289"/>
      <c r="T730" s="245"/>
      <c r="U730" s="289"/>
      <c r="V730" s="245"/>
      <c r="W730" s="289"/>
      <c r="X730" s="245"/>
      <c r="Y730" s="289"/>
      <c r="Z730" s="245"/>
    </row>
    <row r="731" spans="1:26" s="247" customFormat="1" ht="15" hidden="1" customHeight="1">
      <c r="A731" s="443"/>
      <c r="B731" s="444"/>
      <c r="C731" s="445" t="s">
        <v>1087</v>
      </c>
      <c r="D731" s="543" t="s">
        <v>1097</v>
      </c>
      <c r="E731" s="444" t="s">
        <v>1620</v>
      </c>
      <c r="F731" s="446">
        <f t="shared" si="15"/>
        <v>0</v>
      </c>
      <c r="G731" s="447">
        <f t="shared" si="16"/>
        <v>1</v>
      </c>
      <c r="H731" s="448">
        <f t="shared" si="17"/>
        <v>0</v>
      </c>
      <c r="I731" s="447">
        <f t="shared" si="18"/>
        <v>0</v>
      </c>
      <c r="J731" s="447"/>
      <c r="K731" s="444" t="s">
        <v>1620</v>
      </c>
      <c r="L731" s="449">
        <v>1</v>
      </c>
      <c r="M731" s="289"/>
      <c r="N731" s="245"/>
      <c r="O731" s="450">
        <v>0</v>
      </c>
      <c r="P731" s="451">
        <f t="shared" si="19"/>
        <v>0</v>
      </c>
      <c r="Q731" s="289"/>
      <c r="R731" s="245"/>
      <c r="S731" s="289"/>
      <c r="T731" s="245"/>
      <c r="U731" s="289"/>
      <c r="V731" s="245"/>
      <c r="W731" s="289"/>
      <c r="X731" s="245"/>
      <c r="Y731" s="289"/>
      <c r="Z731" s="245"/>
    </row>
    <row r="732" spans="1:26" s="247" customFormat="1" ht="15" hidden="1" customHeight="1">
      <c r="A732" s="250"/>
      <c r="B732" s="251"/>
      <c r="C732" s="453"/>
      <c r="D732" s="330"/>
      <c r="E732" s="251"/>
      <c r="F732" s="252"/>
      <c r="G732" s="253"/>
      <c r="H732" s="254"/>
      <c r="I732" s="253"/>
      <c r="J732" s="253"/>
      <c r="K732" s="251"/>
      <c r="L732" s="261"/>
      <c r="M732" s="289"/>
      <c r="N732" s="245"/>
      <c r="O732" s="258"/>
      <c r="P732" s="257"/>
      <c r="Q732" s="289"/>
      <c r="R732" s="245"/>
      <c r="S732" s="289"/>
      <c r="T732" s="245"/>
      <c r="U732" s="289"/>
      <c r="V732" s="245"/>
      <c r="W732" s="289"/>
      <c r="X732" s="245"/>
      <c r="Y732" s="289"/>
      <c r="Z732" s="245"/>
    </row>
    <row r="733" spans="1:26" s="247" customFormat="1" ht="15" hidden="1" customHeight="1">
      <c r="A733" s="250"/>
      <c r="B733" s="251"/>
      <c r="C733" s="453"/>
      <c r="D733" s="330" t="s">
        <v>988</v>
      </c>
      <c r="E733" s="251"/>
      <c r="F733" s="252"/>
      <c r="G733" s="253"/>
      <c r="H733" s="254"/>
      <c r="I733" s="253"/>
      <c r="J733" s="253"/>
      <c r="K733" s="251"/>
      <c r="L733" s="261"/>
      <c r="M733" s="258"/>
      <c r="N733" s="257"/>
      <c r="O733" s="258"/>
      <c r="P733" s="257"/>
      <c r="Q733" s="289"/>
      <c r="R733" s="245"/>
      <c r="S733" s="289"/>
      <c r="T733" s="245"/>
      <c r="U733" s="289"/>
      <c r="V733" s="245"/>
      <c r="W733" s="289"/>
      <c r="X733" s="245"/>
      <c r="Y733" s="289"/>
      <c r="Z733" s="245"/>
    </row>
    <row r="734" spans="1:26" s="454" customFormat="1" ht="15" hidden="1">
      <c r="A734" s="443"/>
      <c r="B734" s="444"/>
      <c r="C734" s="445" t="s">
        <v>1099</v>
      </c>
      <c r="D734" s="543" t="s">
        <v>1100</v>
      </c>
      <c r="E734" s="444" t="s">
        <v>2475</v>
      </c>
      <c r="F734" s="446">
        <f t="shared" ref="F734:F746" si="20">M734+O734+Q734+S734+U734+W734+Y734</f>
        <v>0</v>
      </c>
      <c r="G734" s="447">
        <f t="shared" ref="G734:G746" si="21">L734</f>
        <v>21</v>
      </c>
      <c r="H734" s="442">
        <f t="shared" ref="H734:H746" si="22">F734*G734</f>
        <v>0</v>
      </c>
      <c r="I734" s="447">
        <f t="shared" ref="I734:I746" si="23">N734+P734+R734+T734+V734+X734+Z734</f>
        <v>0</v>
      </c>
      <c r="J734" s="544"/>
      <c r="K734" s="444" t="s">
        <v>2475</v>
      </c>
      <c r="L734" s="449">
        <v>21</v>
      </c>
      <c r="M734" s="289"/>
      <c r="N734" s="245"/>
      <c r="O734" s="450">
        <v>0</v>
      </c>
      <c r="P734" s="451">
        <f t="shared" ref="P734:P746" si="24">INT($L734*O734*100+0.5)/100</f>
        <v>0</v>
      </c>
      <c r="Q734" s="289"/>
      <c r="R734" s="245"/>
      <c r="S734" s="289"/>
      <c r="T734" s="245"/>
      <c r="U734" s="289"/>
      <c r="V734" s="245"/>
      <c r="W734" s="289"/>
      <c r="X734" s="245"/>
      <c r="Y734" s="289"/>
      <c r="Z734" s="245"/>
    </row>
    <row r="735" spans="1:26" s="454" customFormat="1" ht="15" hidden="1">
      <c r="A735" s="443"/>
      <c r="B735" s="444"/>
      <c r="C735" s="445" t="s">
        <v>1101</v>
      </c>
      <c r="D735" s="543" t="s">
        <v>1102</v>
      </c>
      <c r="E735" s="444" t="s">
        <v>2475</v>
      </c>
      <c r="F735" s="446">
        <f t="shared" si="20"/>
        <v>0</v>
      </c>
      <c r="G735" s="447">
        <f t="shared" si="21"/>
        <v>22.5</v>
      </c>
      <c r="H735" s="442">
        <f t="shared" si="22"/>
        <v>0</v>
      </c>
      <c r="I735" s="447">
        <f t="shared" si="23"/>
        <v>0</v>
      </c>
      <c r="J735" s="544"/>
      <c r="K735" s="444" t="s">
        <v>2475</v>
      </c>
      <c r="L735" s="449">
        <v>22.5</v>
      </c>
      <c r="M735" s="289"/>
      <c r="N735" s="245"/>
      <c r="O735" s="450">
        <v>0</v>
      </c>
      <c r="P735" s="451">
        <f t="shared" si="24"/>
        <v>0</v>
      </c>
      <c r="Q735" s="289"/>
      <c r="R735" s="245"/>
      <c r="S735" s="289"/>
      <c r="T735" s="245"/>
      <c r="U735" s="289"/>
      <c r="V735" s="245"/>
      <c r="W735" s="289"/>
      <c r="X735" s="245"/>
      <c r="Y735" s="289"/>
      <c r="Z735" s="245"/>
    </row>
    <row r="736" spans="1:26" s="454" customFormat="1" ht="15" hidden="1">
      <c r="A736" s="443"/>
      <c r="B736" s="444"/>
      <c r="C736" s="445" t="s">
        <v>1103</v>
      </c>
      <c r="D736" s="543" t="s">
        <v>1104</v>
      </c>
      <c r="E736" s="444" t="s">
        <v>2475</v>
      </c>
      <c r="F736" s="446">
        <f t="shared" si="20"/>
        <v>0</v>
      </c>
      <c r="G736" s="447">
        <f t="shared" si="21"/>
        <v>27</v>
      </c>
      <c r="H736" s="442">
        <f t="shared" si="22"/>
        <v>0</v>
      </c>
      <c r="I736" s="447">
        <f t="shared" si="23"/>
        <v>0</v>
      </c>
      <c r="J736" s="544"/>
      <c r="K736" s="444" t="s">
        <v>2475</v>
      </c>
      <c r="L736" s="449">
        <v>27</v>
      </c>
      <c r="M736" s="289"/>
      <c r="N736" s="245"/>
      <c r="O736" s="450">
        <v>0</v>
      </c>
      <c r="P736" s="451">
        <f t="shared" si="24"/>
        <v>0</v>
      </c>
      <c r="Q736" s="289"/>
      <c r="R736" s="245"/>
      <c r="S736" s="289"/>
      <c r="T736" s="245"/>
      <c r="U736" s="289"/>
      <c r="V736" s="245"/>
      <c r="W736" s="289"/>
      <c r="X736" s="245"/>
      <c r="Y736" s="289"/>
      <c r="Z736" s="245"/>
    </row>
    <row r="737" spans="1:26" s="436" customFormat="1" ht="15" hidden="1">
      <c r="A737" s="443"/>
      <c r="B737" s="444"/>
      <c r="C737" s="445" t="s">
        <v>1105</v>
      </c>
      <c r="D737" s="543" t="s">
        <v>1106</v>
      </c>
      <c r="E737" s="444" t="s">
        <v>2475</v>
      </c>
      <c r="F737" s="446">
        <f t="shared" si="20"/>
        <v>0</v>
      </c>
      <c r="G737" s="447">
        <f t="shared" si="21"/>
        <v>28</v>
      </c>
      <c r="H737" s="442">
        <f t="shared" si="22"/>
        <v>0</v>
      </c>
      <c r="I737" s="447">
        <f t="shared" si="23"/>
        <v>0</v>
      </c>
      <c r="J737" s="544"/>
      <c r="K737" s="444" t="s">
        <v>2475</v>
      </c>
      <c r="L737" s="449">
        <v>28</v>
      </c>
      <c r="M737" s="289"/>
      <c r="N737" s="245"/>
      <c r="O737" s="450">
        <v>0</v>
      </c>
      <c r="P737" s="451">
        <f t="shared" si="24"/>
        <v>0</v>
      </c>
      <c r="Q737" s="289"/>
      <c r="R737" s="245"/>
      <c r="S737" s="289"/>
      <c r="T737" s="245"/>
      <c r="U737" s="289"/>
      <c r="V737" s="245"/>
      <c r="W737" s="289"/>
      <c r="X737" s="245"/>
      <c r="Y737" s="289"/>
      <c r="Z737" s="245"/>
    </row>
    <row r="738" spans="1:26" s="436" customFormat="1" ht="15" hidden="1">
      <c r="A738" s="443"/>
      <c r="B738" s="444"/>
      <c r="C738" s="445" t="s">
        <v>1107</v>
      </c>
      <c r="D738" s="543" t="s">
        <v>1108</v>
      </c>
      <c r="E738" s="444" t="s">
        <v>2475</v>
      </c>
      <c r="F738" s="446">
        <f t="shared" si="20"/>
        <v>0</v>
      </c>
      <c r="G738" s="447">
        <f t="shared" si="21"/>
        <v>30</v>
      </c>
      <c r="H738" s="442">
        <f t="shared" si="22"/>
        <v>0</v>
      </c>
      <c r="I738" s="447">
        <f t="shared" si="23"/>
        <v>0</v>
      </c>
      <c r="J738" s="544"/>
      <c r="K738" s="444" t="s">
        <v>2475</v>
      </c>
      <c r="L738" s="449">
        <v>30</v>
      </c>
      <c r="M738" s="289"/>
      <c r="N738" s="245"/>
      <c r="O738" s="450">
        <v>0</v>
      </c>
      <c r="P738" s="451">
        <f t="shared" si="24"/>
        <v>0</v>
      </c>
      <c r="Q738" s="289"/>
      <c r="R738" s="245"/>
      <c r="S738" s="289"/>
      <c r="T738" s="245"/>
      <c r="U738" s="289"/>
      <c r="V738" s="245"/>
      <c r="W738" s="289"/>
      <c r="X738" s="245"/>
      <c r="Y738" s="289"/>
      <c r="Z738" s="245"/>
    </row>
    <row r="739" spans="1:26" s="436" customFormat="1" ht="15" hidden="1">
      <c r="A739" s="443"/>
      <c r="B739" s="444"/>
      <c r="C739" s="445" t="s">
        <v>1109</v>
      </c>
      <c r="D739" s="543" t="s">
        <v>1110</v>
      </c>
      <c r="E739" s="444" t="s">
        <v>2475</v>
      </c>
      <c r="F739" s="446">
        <f t="shared" si="20"/>
        <v>0</v>
      </c>
      <c r="G739" s="447">
        <f t="shared" si="21"/>
        <v>33.5</v>
      </c>
      <c r="H739" s="442">
        <f t="shared" si="22"/>
        <v>0</v>
      </c>
      <c r="I739" s="447">
        <f t="shared" si="23"/>
        <v>0</v>
      </c>
      <c r="J739" s="544"/>
      <c r="K739" s="444" t="s">
        <v>2475</v>
      </c>
      <c r="L739" s="449">
        <v>33.5</v>
      </c>
      <c r="M739" s="289"/>
      <c r="N739" s="245"/>
      <c r="O739" s="450">
        <v>0</v>
      </c>
      <c r="P739" s="451">
        <f t="shared" si="24"/>
        <v>0</v>
      </c>
      <c r="Q739" s="289"/>
      <c r="R739" s="245"/>
      <c r="S739" s="289"/>
      <c r="T739" s="245"/>
      <c r="U739" s="289"/>
      <c r="V739" s="245"/>
      <c r="W739" s="289"/>
      <c r="X739" s="245"/>
      <c r="Y739" s="289"/>
      <c r="Z739" s="245"/>
    </row>
    <row r="740" spans="1:26" s="436" customFormat="1" ht="15" hidden="1">
      <c r="A740" s="443"/>
      <c r="B740" s="444"/>
      <c r="C740" s="445" t="s">
        <v>1111</v>
      </c>
      <c r="D740" s="543" t="s">
        <v>1112</v>
      </c>
      <c r="E740" s="444" t="s">
        <v>2475</v>
      </c>
      <c r="F740" s="446">
        <f t="shared" si="20"/>
        <v>0</v>
      </c>
      <c r="G740" s="447">
        <f t="shared" si="21"/>
        <v>42</v>
      </c>
      <c r="H740" s="442">
        <f t="shared" si="22"/>
        <v>0</v>
      </c>
      <c r="I740" s="447">
        <f t="shared" si="23"/>
        <v>0</v>
      </c>
      <c r="J740" s="544"/>
      <c r="K740" s="444" t="s">
        <v>2475</v>
      </c>
      <c r="L740" s="449">
        <v>42</v>
      </c>
      <c r="M740" s="289"/>
      <c r="N740" s="245"/>
      <c r="O740" s="450">
        <v>0</v>
      </c>
      <c r="P740" s="451">
        <f t="shared" si="24"/>
        <v>0</v>
      </c>
      <c r="Q740" s="289"/>
      <c r="R740" s="245"/>
      <c r="S740" s="289"/>
      <c r="T740" s="245"/>
      <c r="U740" s="289"/>
      <c r="V740" s="245"/>
      <c r="W740" s="289"/>
      <c r="X740" s="245"/>
      <c r="Y740" s="289"/>
      <c r="Z740" s="245"/>
    </row>
    <row r="741" spans="1:26" s="436" customFormat="1" ht="15" hidden="1">
      <c r="A741" s="443"/>
      <c r="B741" s="444"/>
      <c r="C741" s="445" t="s">
        <v>1113</v>
      </c>
      <c r="D741" s="543" t="s">
        <v>1114</v>
      </c>
      <c r="E741" s="444" t="s">
        <v>2475</v>
      </c>
      <c r="F741" s="446">
        <f t="shared" si="20"/>
        <v>0</v>
      </c>
      <c r="G741" s="447">
        <f t="shared" si="21"/>
        <v>54</v>
      </c>
      <c r="H741" s="442">
        <f t="shared" si="22"/>
        <v>0</v>
      </c>
      <c r="I741" s="447">
        <f t="shared" si="23"/>
        <v>0</v>
      </c>
      <c r="J741" s="544"/>
      <c r="K741" s="444" t="s">
        <v>2475</v>
      </c>
      <c r="L741" s="449">
        <v>54</v>
      </c>
      <c r="M741" s="289"/>
      <c r="N741" s="245"/>
      <c r="O741" s="450">
        <v>0</v>
      </c>
      <c r="P741" s="451">
        <f t="shared" si="24"/>
        <v>0</v>
      </c>
      <c r="Q741" s="289"/>
      <c r="R741" s="245"/>
      <c r="S741" s="289"/>
      <c r="T741" s="245"/>
      <c r="U741" s="289"/>
      <c r="V741" s="245"/>
      <c r="W741" s="289"/>
      <c r="X741" s="245"/>
      <c r="Y741" s="289"/>
      <c r="Z741" s="245"/>
    </row>
    <row r="742" spans="1:26" s="436" customFormat="1" ht="15" hidden="1">
      <c r="A742" s="443"/>
      <c r="B742" s="444"/>
      <c r="C742" s="445" t="s">
        <v>1115</v>
      </c>
      <c r="D742" s="543" t="s">
        <v>1116</v>
      </c>
      <c r="E742" s="444" t="s">
        <v>2475</v>
      </c>
      <c r="F742" s="446">
        <f t="shared" si="20"/>
        <v>0</v>
      </c>
      <c r="G742" s="447">
        <f t="shared" si="21"/>
        <v>65</v>
      </c>
      <c r="H742" s="442">
        <f t="shared" si="22"/>
        <v>0</v>
      </c>
      <c r="I742" s="447">
        <f t="shared" si="23"/>
        <v>0</v>
      </c>
      <c r="J742" s="544"/>
      <c r="K742" s="444" t="s">
        <v>2475</v>
      </c>
      <c r="L742" s="449">
        <v>65</v>
      </c>
      <c r="M742" s="289"/>
      <c r="N742" s="245"/>
      <c r="O742" s="450">
        <v>0</v>
      </c>
      <c r="P742" s="451">
        <f t="shared" si="24"/>
        <v>0</v>
      </c>
      <c r="Q742" s="289"/>
      <c r="R742" s="245"/>
      <c r="S742" s="289"/>
      <c r="T742" s="245"/>
      <c r="U742" s="289"/>
      <c r="V742" s="245"/>
      <c r="W742" s="289"/>
      <c r="X742" s="245"/>
      <c r="Y742" s="289"/>
      <c r="Z742" s="245"/>
    </row>
    <row r="743" spans="1:26" s="436" customFormat="1" ht="15" hidden="1">
      <c r="A743" s="443"/>
      <c r="B743" s="444"/>
      <c r="C743" s="445" t="s">
        <v>1117</v>
      </c>
      <c r="D743" s="543" t="s">
        <v>1118</v>
      </c>
      <c r="E743" s="444" t="s">
        <v>2475</v>
      </c>
      <c r="F743" s="446">
        <f t="shared" si="20"/>
        <v>0</v>
      </c>
      <c r="G743" s="447">
        <f t="shared" si="21"/>
        <v>82</v>
      </c>
      <c r="H743" s="442">
        <f t="shared" si="22"/>
        <v>0</v>
      </c>
      <c r="I743" s="447">
        <f t="shared" si="23"/>
        <v>0</v>
      </c>
      <c r="J743" s="544"/>
      <c r="K743" s="444" t="s">
        <v>2475</v>
      </c>
      <c r="L743" s="449">
        <v>82</v>
      </c>
      <c r="M743" s="289"/>
      <c r="N743" s="245"/>
      <c r="O743" s="450">
        <v>0</v>
      </c>
      <c r="P743" s="451">
        <f t="shared" si="24"/>
        <v>0</v>
      </c>
      <c r="Q743" s="289"/>
      <c r="R743" s="245"/>
      <c r="S743" s="289"/>
      <c r="T743" s="245"/>
      <c r="U743" s="289"/>
      <c r="V743" s="245"/>
      <c r="W743" s="289"/>
      <c r="X743" s="245"/>
      <c r="Y743" s="289"/>
      <c r="Z743" s="245"/>
    </row>
    <row r="744" spans="1:26" s="436" customFormat="1" ht="15" hidden="1">
      <c r="A744" s="443"/>
      <c r="B744" s="444"/>
      <c r="C744" s="445" t="s">
        <v>1119</v>
      </c>
      <c r="D744" s="543" t="s">
        <v>1120</v>
      </c>
      <c r="E744" s="444" t="s">
        <v>2475</v>
      </c>
      <c r="F744" s="446">
        <f t="shared" si="20"/>
        <v>0</v>
      </c>
      <c r="G744" s="447">
        <f t="shared" si="21"/>
        <v>114</v>
      </c>
      <c r="H744" s="442">
        <f t="shared" si="22"/>
        <v>0</v>
      </c>
      <c r="I744" s="447">
        <f t="shared" si="23"/>
        <v>0</v>
      </c>
      <c r="J744" s="544"/>
      <c r="K744" s="444" t="s">
        <v>2475</v>
      </c>
      <c r="L744" s="449">
        <v>114</v>
      </c>
      <c r="M744" s="289"/>
      <c r="N744" s="245"/>
      <c r="O744" s="450">
        <v>0</v>
      </c>
      <c r="P744" s="451">
        <f t="shared" si="24"/>
        <v>0</v>
      </c>
      <c r="Q744" s="289"/>
      <c r="R744" s="245"/>
      <c r="S744" s="289"/>
      <c r="T744" s="245"/>
      <c r="U744" s="289"/>
      <c r="V744" s="245"/>
      <c r="W744" s="289"/>
      <c r="X744" s="245"/>
      <c r="Y744" s="289"/>
      <c r="Z744" s="245"/>
    </row>
    <row r="745" spans="1:26" s="436" customFormat="1" ht="15" hidden="1">
      <c r="A745" s="443"/>
      <c r="B745" s="444"/>
      <c r="C745" s="445" t="s">
        <v>1121</v>
      </c>
      <c r="D745" s="543" t="s">
        <v>1122</v>
      </c>
      <c r="E745" s="444" t="s">
        <v>2475</v>
      </c>
      <c r="F745" s="446">
        <f t="shared" si="20"/>
        <v>0</v>
      </c>
      <c r="G745" s="447">
        <f t="shared" si="21"/>
        <v>165</v>
      </c>
      <c r="H745" s="442">
        <f t="shared" si="22"/>
        <v>0</v>
      </c>
      <c r="I745" s="447">
        <f t="shared" si="23"/>
        <v>0</v>
      </c>
      <c r="J745" s="544"/>
      <c r="K745" s="444" t="s">
        <v>2475</v>
      </c>
      <c r="L745" s="449">
        <v>165</v>
      </c>
      <c r="M745" s="289"/>
      <c r="N745" s="245"/>
      <c r="O745" s="450">
        <v>0</v>
      </c>
      <c r="P745" s="451">
        <f t="shared" si="24"/>
        <v>0</v>
      </c>
      <c r="Q745" s="289"/>
      <c r="R745" s="245"/>
      <c r="S745" s="289"/>
      <c r="T745" s="245"/>
      <c r="U745" s="289"/>
      <c r="V745" s="245"/>
      <c r="W745" s="289"/>
      <c r="X745" s="245"/>
      <c r="Y745" s="289"/>
      <c r="Z745" s="245"/>
    </row>
    <row r="746" spans="1:26" s="436" customFormat="1" ht="15" hidden="1">
      <c r="A746" s="443"/>
      <c r="B746" s="444"/>
      <c r="C746" s="445" t="s">
        <v>1123</v>
      </c>
      <c r="D746" s="543" t="s">
        <v>1124</v>
      </c>
      <c r="E746" s="444" t="s">
        <v>2475</v>
      </c>
      <c r="F746" s="446">
        <f t="shared" si="20"/>
        <v>0</v>
      </c>
      <c r="G746" s="447">
        <f t="shared" si="21"/>
        <v>200</v>
      </c>
      <c r="H746" s="442">
        <f t="shared" si="22"/>
        <v>0</v>
      </c>
      <c r="I746" s="447">
        <f t="shared" si="23"/>
        <v>0</v>
      </c>
      <c r="J746" s="544"/>
      <c r="K746" s="444" t="s">
        <v>2475</v>
      </c>
      <c r="L746" s="449">
        <v>200</v>
      </c>
      <c r="M746" s="289"/>
      <c r="N746" s="245"/>
      <c r="O746" s="450">
        <v>0</v>
      </c>
      <c r="P746" s="451">
        <f t="shared" si="24"/>
        <v>0</v>
      </c>
      <c r="Q746" s="289"/>
      <c r="R746" s="245"/>
      <c r="S746" s="289"/>
      <c r="T746" s="245"/>
      <c r="U746" s="289"/>
      <c r="V746" s="245"/>
      <c r="W746" s="289"/>
      <c r="X746" s="245"/>
      <c r="Y746" s="289"/>
      <c r="Z746" s="245"/>
    </row>
    <row r="747" spans="1:26" ht="15" hidden="1" customHeight="1">
      <c r="A747" s="250"/>
      <c r="B747" s="251"/>
      <c r="C747" s="453"/>
      <c r="D747" s="330"/>
      <c r="E747" s="251"/>
      <c r="F747" s="252"/>
      <c r="G747" s="253"/>
      <c r="H747" s="254"/>
      <c r="I747" s="253"/>
      <c r="J747" s="253"/>
      <c r="K747" s="251"/>
      <c r="L747" s="253"/>
      <c r="M747" s="289"/>
      <c r="N747" s="245"/>
      <c r="O747" s="258"/>
      <c r="P747" s="257"/>
      <c r="Q747" s="289"/>
      <c r="R747" s="245"/>
      <c r="S747" s="289"/>
      <c r="T747" s="245"/>
      <c r="U747" s="289"/>
      <c r="V747" s="245"/>
      <c r="W747" s="289"/>
      <c r="X747" s="245"/>
      <c r="Y747" s="289"/>
      <c r="Z747" s="245"/>
    </row>
    <row r="748" spans="1:26" ht="15" hidden="1" customHeight="1">
      <c r="A748" s="250"/>
      <c r="B748" s="251"/>
      <c r="C748" s="453" t="s">
        <v>1125</v>
      </c>
      <c r="D748" s="330" t="s">
        <v>1126</v>
      </c>
      <c r="E748" s="251"/>
      <c r="F748" s="252"/>
      <c r="G748" s="253"/>
      <c r="H748" s="254"/>
      <c r="I748" s="253"/>
      <c r="J748" s="253"/>
      <c r="K748" s="251"/>
      <c r="L748" s="253"/>
      <c r="M748" s="289"/>
      <c r="N748" s="245"/>
      <c r="O748" s="258"/>
      <c r="P748" s="257"/>
      <c r="Q748" s="289"/>
      <c r="R748" s="245"/>
      <c r="S748" s="289"/>
      <c r="T748" s="245"/>
      <c r="U748" s="289"/>
      <c r="V748" s="245"/>
      <c r="W748" s="289"/>
      <c r="X748" s="245"/>
      <c r="Y748" s="289"/>
      <c r="Z748" s="245"/>
    </row>
    <row r="749" spans="1:26" s="436" customFormat="1" ht="15" hidden="1">
      <c r="A749" s="443"/>
      <c r="B749" s="444"/>
      <c r="C749" s="445" t="s">
        <v>1128</v>
      </c>
      <c r="D749" s="543" t="s">
        <v>1129</v>
      </c>
      <c r="E749" s="444" t="s">
        <v>1130</v>
      </c>
      <c r="F749" s="446">
        <f>M749+O749+Q749+S749+U749+W749+Y749</f>
        <v>0</v>
      </c>
      <c r="G749" s="447">
        <f>L749</f>
        <v>530</v>
      </c>
      <c r="H749" s="442">
        <f>F749*G749</f>
        <v>0</v>
      </c>
      <c r="I749" s="447">
        <f>N749+P749+R749+T749+V749+X749+Z749</f>
        <v>0</v>
      </c>
      <c r="J749" s="544"/>
      <c r="K749" s="444" t="s">
        <v>1130</v>
      </c>
      <c r="L749" s="449">
        <v>530</v>
      </c>
      <c r="M749" s="289"/>
      <c r="N749" s="245"/>
      <c r="O749" s="450">
        <v>0</v>
      </c>
      <c r="P749" s="451">
        <f>INT($L749*O749*100+0.5)/100</f>
        <v>0</v>
      </c>
      <c r="Q749" s="289"/>
      <c r="R749" s="245"/>
      <c r="S749" s="289"/>
      <c r="T749" s="245"/>
      <c r="U749" s="289"/>
      <c r="V749" s="245"/>
      <c r="W749" s="289"/>
      <c r="X749" s="245"/>
      <c r="Y749" s="289"/>
      <c r="Z749" s="245"/>
    </row>
    <row r="750" spans="1:26" s="436" customFormat="1" ht="15" hidden="1">
      <c r="A750" s="443"/>
      <c r="B750" s="444"/>
      <c r="C750" s="445" t="s">
        <v>1131</v>
      </c>
      <c r="D750" s="543" t="s">
        <v>1132</v>
      </c>
      <c r="E750" s="444" t="s">
        <v>1130</v>
      </c>
      <c r="F750" s="446">
        <f>M750+O750+Q750+S750+U750+W750+Y750</f>
        <v>0</v>
      </c>
      <c r="G750" s="447">
        <f>L750</f>
        <v>780</v>
      </c>
      <c r="H750" s="442">
        <f>F750*G750</f>
        <v>0</v>
      </c>
      <c r="I750" s="447">
        <f>N750+P750+R750+T750+V750+X750+Z750</f>
        <v>0</v>
      </c>
      <c r="J750" s="544"/>
      <c r="K750" s="444" t="s">
        <v>1130</v>
      </c>
      <c r="L750" s="449">
        <v>780</v>
      </c>
      <c r="M750" s="289"/>
      <c r="N750" s="245"/>
      <c r="O750" s="450">
        <v>0</v>
      </c>
      <c r="P750" s="451">
        <f>INT($L750*O750*100+0.5)/100</f>
        <v>0</v>
      </c>
      <c r="Q750" s="289"/>
      <c r="R750" s="245"/>
      <c r="S750" s="289"/>
      <c r="T750" s="245"/>
      <c r="U750" s="289"/>
      <c r="V750" s="245"/>
      <c r="W750" s="289"/>
      <c r="X750" s="245"/>
      <c r="Y750" s="289"/>
      <c r="Z750" s="245"/>
    </row>
    <row r="751" spans="1:26" s="436" customFormat="1" ht="15" hidden="1">
      <c r="A751" s="443"/>
      <c r="B751" s="444"/>
      <c r="C751" s="445" t="s">
        <v>1133</v>
      </c>
      <c r="D751" s="543" t="s">
        <v>1134</v>
      </c>
      <c r="E751" s="444" t="s">
        <v>1130</v>
      </c>
      <c r="F751" s="446">
        <f>M751+O751+Q751+S751+U751+W751+Y751</f>
        <v>0</v>
      </c>
      <c r="G751" s="447">
        <f>L751</f>
        <v>840</v>
      </c>
      <c r="H751" s="442">
        <f>F751*G751</f>
        <v>0</v>
      </c>
      <c r="I751" s="447">
        <f>N751+P751+R751+T751+V751+X751+Z751</f>
        <v>0</v>
      </c>
      <c r="J751" s="544"/>
      <c r="K751" s="444" t="s">
        <v>1130</v>
      </c>
      <c r="L751" s="449">
        <v>840</v>
      </c>
      <c r="M751" s="289"/>
      <c r="N751" s="245"/>
      <c r="O751" s="450">
        <v>0</v>
      </c>
      <c r="P751" s="451">
        <f>INT($L751*O751*100+0.5)/100</f>
        <v>0</v>
      </c>
      <c r="Q751" s="289"/>
      <c r="R751" s="245"/>
      <c r="S751" s="289"/>
      <c r="T751" s="245"/>
      <c r="U751" s="289"/>
      <c r="V751" s="245"/>
      <c r="W751" s="289"/>
      <c r="X751" s="245"/>
      <c r="Y751" s="289"/>
      <c r="Z751" s="245"/>
    </row>
    <row r="752" spans="1:26" ht="15" hidden="1" customHeight="1">
      <c r="A752" s="250"/>
      <c r="B752" s="251"/>
      <c r="C752" s="453"/>
      <c r="D752" s="330"/>
      <c r="E752" s="251"/>
      <c r="F752" s="252"/>
      <c r="G752" s="253"/>
      <c r="H752" s="254"/>
      <c r="I752" s="253"/>
      <c r="J752" s="253"/>
      <c r="K752" s="251"/>
      <c r="L752" s="253"/>
      <c r="M752" s="289"/>
      <c r="N752" s="245"/>
      <c r="O752" s="258"/>
      <c r="P752" s="257"/>
      <c r="Q752" s="289"/>
      <c r="R752" s="245"/>
      <c r="S752" s="289"/>
      <c r="T752" s="245"/>
      <c r="U752" s="289"/>
      <c r="V752" s="245"/>
      <c r="W752" s="289"/>
      <c r="X752" s="245"/>
      <c r="Y752" s="289"/>
      <c r="Z752" s="245"/>
    </row>
    <row r="753" spans="1:26" ht="15" hidden="1" customHeight="1">
      <c r="A753" s="250"/>
      <c r="B753" s="251"/>
      <c r="C753" s="453" t="s">
        <v>1135</v>
      </c>
      <c r="D753" s="330" t="s">
        <v>1136</v>
      </c>
      <c r="E753" s="251"/>
      <c r="F753" s="252"/>
      <c r="G753" s="253"/>
      <c r="H753" s="254"/>
      <c r="I753" s="253"/>
      <c r="J753" s="253"/>
      <c r="K753" s="251"/>
      <c r="L753" s="253"/>
      <c r="M753" s="289"/>
      <c r="N753" s="245"/>
      <c r="O753" s="258"/>
      <c r="P753" s="257"/>
      <c r="Q753" s="289"/>
      <c r="R753" s="245"/>
      <c r="S753" s="289"/>
      <c r="T753" s="245"/>
      <c r="U753" s="289"/>
      <c r="V753" s="245"/>
      <c r="W753" s="289"/>
      <c r="X753" s="245"/>
      <c r="Y753" s="289"/>
      <c r="Z753" s="245"/>
    </row>
    <row r="754" spans="1:26" s="436" customFormat="1" ht="15" hidden="1">
      <c r="A754" s="443"/>
      <c r="B754" s="444"/>
      <c r="C754" s="445" t="s">
        <v>1138</v>
      </c>
      <c r="D754" s="543" t="s">
        <v>1139</v>
      </c>
      <c r="E754" s="444" t="s">
        <v>1130</v>
      </c>
      <c r="F754" s="446">
        <f t="shared" ref="F754:F766" si="25">M754+O754+Q754+S754+U754+W754+Y754</f>
        <v>0</v>
      </c>
      <c r="G754" s="447">
        <f t="shared" ref="G754:G766" si="26">L754</f>
        <v>80</v>
      </c>
      <c r="H754" s="442">
        <f t="shared" ref="H754:H766" si="27">F754*G754</f>
        <v>0</v>
      </c>
      <c r="I754" s="447">
        <f t="shared" ref="I754:I766" si="28">N754+P754+R754+T754+V754+X754+Z754</f>
        <v>0</v>
      </c>
      <c r="J754" s="544"/>
      <c r="K754" s="444" t="s">
        <v>1130</v>
      </c>
      <c r="L754" s="449">
        <v>80</v>
      </c>
      <c r="M754" s="289"/>
      <c r="N754" s="245"/>
      <c r="O754" s="450">
        <v>0</v>
      </c>
      <c r="P754" s="451">
        <f t="shared" ref="P754:P766" si="29">INT($L754*O754*100+0.5)/100</f>
        <v>0</v>
      </c>
      <c r="Q754" s="289"/>
      <c r="R754" s="245"/>
      <c r="S754" s="289"/>
      <c r="T754" s="245"/>
      <c r="U754" s="289"/>
      <c r="V754" s="245"/>
      <c r="W754" s="289"/>
      <c r="X754" s="245"/>
      <c r="Y754" s="289"/>
      <c r="Z754" s="245"/>
    </row>
    <row r="755" spans="1:26" s="436" customFormat="1" ht="15" hidden="1">
      <c r="A755" s="443"/>
      <c r="B755" s="444"/>
      <c r="C755" s="445" t="s">
        <v>1140</v>
      </c>
      <c r="D755" s="543" t="s">
        <v>1141</v>
      </c>
      <c r="E755" s="444" t="s">
        <v>1130</v>
      </c>
      <c r="F755" s="446">
        <f t="shared" si="25"/>
        <v>0</v>
      </c>
      <c r="G755" s="447">
        <f t="shared" si="26"/>
        <v>86</v>
      </c>
      <c r="H755" s="442">
        <f t="shared" si="27"/>
        <v>0</v>
      </c>
      <c r="I755" s="447">
        <f t="shared" si="28"/>
        <v>0</v>
      </c>
      <c r="J755" s="544"/>
      <c r="K755" s="444" t="s">
        <v>1130</v>
      </c>
      <c r="L755" s="449">
        <v>86</v>
      </c>
      <c r="M755" s="289"/>
      <c r="N755" s="245"/>
      <c r="O755" s="450">
        <v>0</v>
      </c>
      <c r="P755" s="451">
        <f t="shared" si="29"/>
        <v>0</v>
      </c>
      <c r="Q755" s="289"/>
      <c r="R755" s="245"/>
      <c r="S755" s="289"/>
      <c r="T755" s="245"/>
      <c r="U755" s="289"/>
      <c r="V755" s="245"/>
      <c r="W755" s="289"/>
      <c r="X755" s="245"/>
      <c r="Y755" s="289"/>
      <c r="Z755" s="245"/>
    </row>
    <row r="756" spans="1:26" s="436" customFormat="1" ht="15" hidden="1">
      <c r="A756" s="443"/>
      <c r="B756" s="444"/>
      <c r="C756" s="445" t="s">
        <v>1142</v>
      </c>
      <c r="D756" s="543" t="s">
        <v>1143</v>
      </c>
      <c r="E756" s="444" t="s">
        <v>1130</v>
      </c>
      <c r="F756" s="446">
        <f t="shared" si="25"/>
        <v>0</v>
      </c>
      <c r="G756" s="447">
        <f t="shared" si="26"/>
        <v>92</v>
      </c>
      <c r="H756" s="442">
        <f t="shared" si="27"/>
        <v>0</v>
      </c>
      <c r="I756" s="447">
        <f t="shared" si="28"/>
        <v>0</v>
      </c>
      <c r="J756" s="544"/>
      <c r="K756" s="444" t="s">
        <v>1130</v>
      </c>
      <c r="L756" s="449">
        <v>92</v>
      </c>
      <c r="M756" s="289"/>
      <c r="N756" s="245"/>
      <c r="O756" s="450">
        <v>0</v>
      </c>
      <c r="P756" s="451">
        <f t="shared" si="29"/>
        <v>0</v>
      </c>
      <c r="Q756" s="289"/>
      <c r="R756" s="245"/>
      <c r="S756" s="289"/>
      <c r="T756" s="245"/>
      <c r="U756" s="289"/>
      <c r="V756" s="245"/>
      <c r="W756" s="289"/>
      <c r="X756" s="245"/>
      <c r="Y756" s="289"/>
      <c r="Z756" s="245"/>
    </row>
    <row r="757" spans="1:26" s="436" customFormat="1" ht="15" hidden="1">
      <c r="A757" s="443"/>
      <c r="B757" s="444"/>
      <c r="C757" s="445" t="s">
        <v>1144</v>
      </c>
      <c r="D757" s="543" t="s">
        <v>1145</v>
      </c>
      <c r="E757" s="444" t="s">
        <v>1130</v>
      </c>
      <c r="F757" s="446">
        <f t="shared" si="25"/>
        <v>0</v>
      </c>
      <c r="G757" s="447">
        <f t="shared" si="26"/>
        <v>96</v>
      </c>
      <c r="H757" s="442">
        <f t="shared" si="27"/>
        <v>0</v>
      </c>
      <c r="I757" s="447">
        <f t="shared" si="28"/>
        <v>0</v>
      </c>
      <c r="J757" s="544"/>
      <c r="K757" s="444" t="s">
        <v>1130</v>
      </c>
      <c r="L757" s="449">
        <v>96</v>
      </c>
      <c r="M757" s="289"/>
      <c r="N757" s="245"/>
      <c r="O757" s="450">
        <v>0</v>
      </c>
      <c r="P757" s="451">
        <f t="shared" si="29"/>
        <v>0</v>
      </c>
      <c r="Q757" s="289"/>
      <c r="R757" s="245"/>
      <c r="S757" s="289"/>
      <c r="T757" s="245"/>
      <c r="U757" s="289"/>
      <c r="V757" s="245"/>
      <c r="W757" s="289"/>
      <c r="X757" s="245"/>
      <c r="Y757" s="289"/>
      <c r="Z757" s="245"/>
    </row>
    <row r="758" spans="1:26" s="436" customFormat="1" ht="15" hidden="1">
      <c r="A758" s="443"/>
      <c r="B758" s="444"/>
      <c r="C758" s="445" t="s">
        <v>1146</v>
      </c>
      <c r="D758" s="543" t="s">
        <v>1147</v>
      </c>
      <c r="E758" s="444" t="s">
        <v>1130</v>
      </c>
      <c r="F758" s="446">
        <f t="shared" si="25"/>
        <v>0</v>
      </c>
      <c r="G758" s="447">
        <f t="shared" si="26"/>
        <v>106</v>
      </c>
      <c r="H758" s="442">
        <f t="shared" si="27"/>
        <v>0</v>
      </c>
      <c r="I758" s="447">
        <f t="shared" si="28"/>
        <v>0</v>
      </c>
      <c r="J758" s="544"/>
      <c r="K758" s="444" t="s">
        <v>1130</v>
      </c>
      <c r="L758" s="449">
        <v>106</v>
      </c>
      <c r="M758" s="289"/>
      <c r="N758" s="245"/>
      <c r="O758" s="450">
        <v>0</v>
      </c>
      <c r="P758" s="451">
        <f t="shared" si="29"/>
        <v>0</v>
      </c>
      <c r="Q758" s="289"/>
      <c r="R758" s="245"/>
      <c r="S758" s="289"/>
      <c r="T758" s="245"/>
      <c r="U758" s="289"/>
      <c r="V758" s="245"/>
      <c r="W758" s="289"/>
      <c r="X758" s="245"/>
      <c r="Y758" s="289"/>
      <c r="Z758" s="245"/>
    </row>
    <row r="759" spans="1:26" s="436" customFormat="1" ht="15" hidden="1">
      <c r="A759" s="443"/>
      <c r="B759" s="444"/>
      <c r="C759" s="445" t="s">
        <v>1148</v>
      </c>
      <c r="D759" s="543" t="s">
        <v>1149</v>
      </c>
      <c r="E759" s="444" t="s">
        <v>1130</v>
      </c>
      <c r="F759" s="446">
        <f t="shared" si="25"/>
        <v>0</v>
      </c>
      <c r="G759" s="447">
        <f t="shared" si="26"/>
        <v>118</v>
      </c>
      <c r="H759" s="442">
        <f t="shared" si="27"/>
        <v>0</v>
      </c>
      <c r="I759" s="447">
        <f t="shared" si="28"/>
        <v>0</v>
      </c>
      <c r="J759" s="544"/>
      <c r="K759" s="444" t="s">
        <v>1130</v>
      </c>
      <c r="L759" s="449">
        <v>118</v>
      </c>
      <c r="M759" s="289"/>
      <c r="N759" s="245"/>
      <c r="O759" s="450">
        <v>0</v>
      </c>
      <c r="P759" s="451">
        <f t="shared" si="29"/>
        <v>0</v>
      </c>
      <c r="Q759" s="289"/>
      <c r="R759" s="245"/>
      <c r="S759" s="289"/>
      <c r="T759" s="245"/>
      <c r="U759" s="289"/>
      <c r="V759" s="245"/>
      <c r="W759" s="289"/>
      <c r="X759" s="245"/>
      <c r="Y759" s="289"/>
      <c r="Z759" s="245"/>
    </row>
    <row r="760" spans="1:26" s="436" customFormat="1" ht="15" hidden="1">
      <c r="A760" s="443"/>
      <c r="B760" s="444"/>
      <c r="C760" s="445" t="s">
        <v>1150</v>
      </c>
      <c r="D760" s="543" t="s">
        <v>1151</v>
      </c>
      <c r="E760" s="444" t="s">
        <v>1130</v>
      </c>
      <c r="F760" s="446">
        <f t="shared" si="25"/>
        <v>0</v>
      </c>
      <c r="G760" s="447">
        <f t="shared" si="26"/>
        <v>137</v>
      </c>
      <c r="H760" s="442">
        <f t="shared" si="27"/>
        <v>0</v>
      </c>
      <c r="I760" s="447">
        <f t="shared" si="28"/>
        <v>0</v>
      </c>
      <c r="J760" s="544"/>
      <c r="K760" s="444" t="s">
        <v>1130</v>
      </c>
      <c r="L760" s="449">
        <v>137</v>
      </c>
      <c r="M760" s="289"/>
      <c r="N760" s="245"/>
      <c r="O760" s="450">
        <v>0</v>
      </c>
      <c r="P760" s="451">
        <f t="shared" si="29"/>
        <v>0</v>
      </c>
      <c r="Q760" s="289"/>
      <c r="R760" s="245"/>
      <c r="S760" s="289"/>
      <c r="T760" s="245"/>
      <c r="U760" s="289"/>
      <c r="V760" s="245"/>
      <c r="W760" s="289"/>
      <c r="X760" s="245"/>
      <c r="Y760" s="289"/>
      <c r="Z760" s="245"/>
    </row>
    <row r="761" spans="1:26" s="436" customFormat="1" ht="15" hidden="1">
      <c r="A761" s="443"/>
      <c r="B761" s="444"/>
      <c r="C761" s="445" t="s">
        <v>1152</v>
      </c>
      <c r="D761" s="543" t="s">
        <v>1153</v>
      </c>
      <c r="E761" s="444" t="s">
        <v>1130</v>
      </c>
      <c r="F761" s="446">
        <f t="shared" si="25"/>
        <v>0</v>
      </c>
      <c r="G761" s="447">
        <f t="shared" si="26"/>
        <v>191</v>
      </c>
      <c r="H761" s="442">
        <f t="shared" si="27"/>
        <v>0</v>
      </c>
      <c r="I761" s="447">
        <f t="shared" si="28"/>
        <v>0</v>
      </c>
      <c r="J761" s="544"/>
      <c r="K761" s="444" t="s">
        <v>1130</v>
      </c>
      <c r="L761" s="449">
        <v>191</v>
      </c>
      <c r="M761" s="289"/>
      <c r="N761" s="245"/>
      <c r="O761" s="450">
        <v>0</v>
      </c>
      <c r="P761" s="451">
        <f t="shared" si="29"/>
        <v>0</v>
      </c>
      <c r="Q761" s="289"/>
      <c r="R761" s="245"/>
      <c r="S761" s="289"/>
      <c r="T761" s="245"/>
      <c r="U761" s="289"/>
      <c r="V761" s="245"/>
      <c r="W761" s="289"/>
      <c r="X761" s="245"/>
      <c r="Y761" s="289"/>
      <c r="Z761" s="245"/>
    </row>
    <row r="762" spans="1:26" s="436" customFormat="1" ht="15" hidden="1">
      <c r="A762" s="443"/>
      <c r="B762" s="444"/>
      <c r="C762" s="445" t="s">
        <v>1154</v>
      </c>
      <c r="D762" s="543" t="s">
        <v>1155</v>
      </c>
      <c r="E762" s="444" t="s">
        <v>1130</v>
      </c>
      <c r="F762" s="446">
        <f t="shared" si="25"/>
        <v>0</v>
      </c>
      <c r="G762" s="447">
        <f t="shared" si="26"/>
        <v>233</v>
      </c>
      <c r="H762" s="442">
        <f t="shared" si="27"/>
        <v>0</v>
      </c>
      <c r="I762" s="447">
        <f t="shared" si="28"/>
        <v>0</v>
      </c>
      <c r="J762" s="544"/>
      <c r="K762" s="444" t="s">
        <v>1130</v>
      </c>
      <c r="L762" s="449">
        <v>233</v>
      </c>
      <c r="M762" s="289"/>
      <c r="N762" s="245"/>
      <c r="O762" s="450">
        <v>0</v>
      </c>
      <c r="P762" s="451">
        <f t="shared" si="29"/>
        <v>0</v>
      </c>
      <c r="Q762" s="289"/>
      <c r="R762" s="245"/>
      <c r="S762" s="289"/>
      <c r="T762" s="245"/>
      <c r="U762" s="289"/>
      <c r="V762" s="245"/>
      <c r="W762" s="289"/>
      <c r="X762" s="245"/>
      <c r="Y762" s="289"/>
      <c r="Z762" s="245"/>
    </row>
    <row r="763" spans="1:26" s="436" customFormat="1" ht="15" hidden="1">
      <c r="A763" s="443"/>
      <c r="B763" s="444"/>
      <c r="C763" s="445" t="s">
        <v>1156</v>
      </c>
      <c r="D763" s="543" t="s">
        <v>1157</v>
      </c>
      <c r="E763" s="444" t="s">
        <v>1130</v>
      </c>
      <c r="F763" s="446">
        <f t="shared" si="25"/>
        <v>0</v>
      </c>
      <c r="G763" s="447">
        <f t="shared" si="26"/>
        <v>275</v>
      </c>
      <c r="H763" s="442">
        <f t="shared" si="27"/>
        <v>0</v>
      </c>
      <c r="I763" s="447">
        <f t="shared" si="28"/>
        <v>0</v>
      </c>
      <c r="J763" s="544"/>
      <c r="K763" s="444" t="s">
        <v>1130</v>
      </c>
      <c r="L763" s="449">
        <v>275</v>
      </c>
      <c r="M763" s="289"/>
      <c r="N763" s="245"/>
      <c r="O763" s="450">
        <v>0</v>
      </c>
      <c r="P763" s="451">
        <f t="shared" si="29"/>
        <v>0</v>
      </c>
      <c r="Q763" s="289"/>
      <c r="R763" s="245"/>
      <c r="S763" s="289"/>
      <c r="T763" s="245"/>
      <c r="U763" s="289"/>
      <c r="V763" s="245"/>
      <c r="W763" s="289"/>
      <c r="X763" s="245"/>
      <c r="Y763" s="289"/>
      <c r="Z763" s="245"/>
    </row>
    <row r="764" spans="1:26" s="436" customFormat="1" ht="15.75" hidden="1" customHeight="1">
      <c r="A764" s="443"/>
      <c r="B764" s="444"/>
      <c r="C764" s="445" t="s">
        <v>1158</v>
      </c>
      <c r="D764" s="543" t="s">
        <v>1159</v>
      </c>
      <c r="E764" s="444" t="s">
        <v>1130</v>
      </c>
      <c r="F764" s="446">
        <f t="shared" si="25"/>
        <v>0</v>
      </c>
      <c r="G764" s="447">
        <f t="shared" si="26"/>
        <v>375</v>
      </c>
      <c r="H764" s="442">
        <f t="shared" si="27"/>
        <v>0</v>
      </c>
      <c r="I764" s="447">
        <f t="shared" si="28"/>
        <v>0</v>
      </c>
      <c r="J764" s="544"/>
      <c r="K764" s="444" t="s">
        <v>1130</v>
      </c>
      <c r="L764" s="449">
        <v>375</v>
      </c>
      <c r="M764" s="289"/>
      <c r="N764" s="245"/>
      <c r="O764" s="450">
        <v>0</v>
      </c>
      <c r="P764" s="451">
        <f t="shared" si="29"/>
        <v>0</v>
      </c>
      <c r="Q764" s="289"/>
      <c r="R764" s="245"/>
      <c r="S764" s="289"/>
      <c r="T764" s="245"/>
      <c r="U764" s="289"/>
      <c r="V764" s="245"/>
      <c r="W764" s="289"/>
      <c r="X764" s="245"/>
      <c r="Y764" s="289"/>
      <c r="Z764" s="245"/>
    </row>
    <row r="765" spans="1:26" s="436" customFormat="1" ht="15" hidden="1">
      <c r="A765" s="443"/>
      <c r="B765" s="444"/>
      <c r="C765" s="445" t="s">
        <v>1160</v>
      </c>
      <c r="D765" s="543" t="s">
        <v>1161</v>
      </c>
      <c r="E765" s="444" t="s">
        <v>1130</v>
      </c>
      <c r="F765" s="446">
        <f t="shared" si="25"/>
        <v>0</v>
      </c>
      <c r="G765" s="447">
        <f t="shared" si="26"/>
        <v>580</v>
      </c>
      <c r="H765" s="442">
        <f t="shared" si="27"/>
        <v>0</v>
      </c>
      <c r="I765" s="447">
        <f t="shared" si="28"/>
        <v>0</v>
      </c>
      <c r="J765" s="544"/>
      <c r="K765" s="444" t="s">
        <v>1130</v>
      </c>
      <c r="L765" s="449">
        <v>580</v>
      </c>
      <c r="M765" s="289"/>
      <c r="N765" s="245"/>
      <c r="O765" s="450">
        <v>0</v>
      </c>
      <c r="P765" s="451">
        <f t="shared" si="29"/>
        <v>0</v>
      </c>
      <c r="Q765" s="289"/>
      <c r="R765" s="245"/>
      <c r="S765" s="289"/>
      <c r="T765" s="245"/>
      <c r="U765" s="289"/>
      <c r="V765" s="245"/>
      <c r="W765" s="289"/>
      <c r="X765" s="245"/>
      <c r="Y765" s="289"/>
      <c r="Z765" s="245"/>
    </row>
    <row r="766" spans="1:26" s="436" customFormat="1" ht="15" hidden="1">
      <c r="A766" s="443"/>
      <c r="B766" s="444"/>
      <c r="C766" s="445" t="s">
        <v>1162</v>
      </c>
      <c r="D766" s="543" t="s">
        <v>1175</v>
      </c>
      <c r="E766" s="444" t="s">
        <v>1130</v>
      </c>
      <c r="F766" s="446">
        <f t="shared" si="25"/>
        <v>0</v>
      </c>
      <c r="G766" s="447">
        <f t="shared" si="26"/>
        <v>760</v>
      </c>
      <c r="H766" s="442">
        <f t="shared" si="27"/>
        <v>0</v>
      </c>
      <c r="I766" s="447">
        <f t="shared" si="28"/>
        <v>0</v>
      </c>
      <c r="J766" s="544"/>
      <c r="K766" s="444" t="s">
        <v>1130</v>
      </c>
      <c r="L766" s="449">
        <v>760</v>
      </c>
      <c r="M766" s="289"/>
      <c r="N766" s="245"/>
      <c r="O766" s="450">
        <v>0</v>
      </c>
      <c r="P766" s="451">
        <f t="shared" si="29"/>
        <v>0</v>
      </c>
      <c r="Q766" s="289"/>
      <c r="R766" s="245"/>
      <c r="S766" s="289"/>
      <c r="T766" s="245"/>
      <c r="U766" s="289"/>
      <c r="V766" s="245"/>
      <c r="W766" s="289"/>
      <c r="X766" s="245"/>
      <c r="Y766" s="289"/>
      <c r="Z766" s="245"/>
    </row>
    <row r="767" spans="1:26" ht="15" hidden="1" customHeight="1">
      <c r="A767" s="250"/>
      <c r="B767" s="251"/>
      <c r="C767" s="453"/>
      <c r="D767" s="330"/>
      <c r="E767" s="251"/>
      <c r="F767" s="252"/>
      <c r="G767" s="253"/>
      <c r="H767" s="254"/>
      <c r="I767" s="253"/>
      <c r="J767" s="253"/>
      <c r="K767" s="251"/>
      <c r="L767" s="253"/>
      <c r="M767" s="289"/>
      <c r="N767" s="245"/>
      <c r="O767" s="258"/>
      <c r="P767" s="257"/>
      <c r="Q767" s="258"/>
      <c r="R767" s="257"/>
      <c r="S767" s="289"/>
      <c r="T767" s="245"/>
      <c r="U767" s="258"/>
      <c r="V767" s="245"/>
      <c r="W767" s="258"/>
      <c r="X767" s="257"/>
      <c r="Y767" s="258"/>
      <c r="Z767" s="257"/>
    </row>
    <row r="768" spans="1:26" ht="15" hidden="1" customHeight="1">
      <c r="A768" s="250"/>
      <c r="B768" s="251"/>
      <c r="C768" s="453" t="s">
        <v>1176</v>
      </c>
      <c r="D768" s="330" t="s">
        <v>1177</v>
      </c>
      <c r="E768" s="251"/>
      <c r="F768" s="252"/>
      <c r="G768" s="253"/>
      <c r="H768" s="254"/>
      <c r="I768" s="253"/>
      <c r="J768" s="253"/>
      <c r="K768" s="251"/>
      <c r="L768" s="261"/>
      <c r="M768" s="289"/>
      <c r="N768" s="245"/>
      <c r="O768" s="258"/>
      <c r="P768" s="257"/>
      <c r="Q768" s="258"/>
      <c r="R768" s="257"/>
      <c r="S768" s="289"/>
      <c r="T768" s="242"/>
      <c r="U768" s="289"/>
      <c r="V768" s="245"/>
      <c r="W768" s="258"/>
      <c r="X768" s="257"/>
      <c r="Y768" s="258"/>
      <c r="Z768" s="257"/>
    </row>
    <row r="769" spans="1:26" s="436" customFormat="1" ht="15" hidden="1">
      <c r="A769" s="443"/>
      <c r="B769" s="444"/>
      <c r="C769" s="445"/>
      <c r="D769" s="543"/>
      <c r="E769" s="237"/>
      <c r="F769" s="304"/>
      <c r="G769" s="240"/>
      <c r="H769" s="435"/>
      <c r="I769" s="545"/>
      <c r="J769" s="545"/>
      <c r="K769" s="237"/>
      <c r="L769" s="243"/>
      <c r="M769" s="513"/>
      <c r="N769" s="513"/>
      <c r="O769" s="515"/>
      <c r="P769" s="515"/>
      <c r="Q769" s="515"/>
      <c r="R769" s="515"/>
      <c r="S769" s="513"/>
      <c r="T769" s="545"/>
      <c r="U769" s="289"/>
      <c r="V769" s="245"/>
      <c r="W769" s="544"/>
      <c r="X769" s="544"/>
      <c r="Y769" s="544"/>
      <c r="Z769" s="546"/>
    </row>
    <row r="770" spans="1:26" s="436" customFormat="1" ht="15" hidden="1">
      <c r="A770" s="443"/>
      <c r="B770" s="444"/>
      <c r="C770" s="445"/>
      <c r="D770" s="543" t="s">
        <v>1178</v>
      </c>
      <c r="E770" s="237"/>
      <c r="F770" s="304"/>
      <c r="G770" s="240"/>
      <c r="H770" s="435"/>
      <c r="I770" s="545"/>
      <c r="J770" s="545"/>
      <c r="K770" s="237"/>
      <c r="L770" s="243"/>
      <c r="M770" s="513"/>
      <c r="N770" s="513"/>
      <c r="O770" s="515"/>
      <c r="P770" s="515"/>
      <c r="Q770" s="515"/>
      <c r="R770" s="515"/>
      <c r="S770" s="513"/>
      <c r="T770" s="545"/>
      <c r="U770" s="289"/>
      <c r="V770" s="245"/>
      <c r="W770" s="544"/>
      <c r="X770" s="544"/>
      <c r="Y770" s="544"/>
      <c r="Z770" s="546"/>
    </row>
    <row r="771" spans="1:26" s="436" customFormat="1" ht="25.5" hidden="1">
      <c r="A771" s="443"/>
      <c r="B771" s="444"/>
      <c r="C771" s="445"/>
      <c r="D771" s="543" t="s">
        <v>1179</v>
      </c>
      <c r="E771" s="237"/>
      <c r="F771" s="304"/>
      <c r="G771" s="240"/>
      <c r="H771" s="435"/>
      <c r="I771" s="545"/>
      <c r="J771" s="545"/>
      <c r="K771" s="237"/>
      <c r="L771" s="243"/>
      <c r="M771" s="513"/>
      <c r="N771" s="513"/>
      <c r="O771" s="515"/>
      <c r="P771" s="515"/>
      <c r="Q771" s="515"/>
      <c r="R771" s="515"/>
      <c r="S771" s="513"/>
      <c r="T771" s="545"/>
      <c r="U771" s="289"/>
      <c r="V771" s="245"/>
      <c r="W771" s="544"/>
      <c r="X771" s="544"/>
      <c r="Y771" s="544"/>
      <c r="Z771" s="546"/>
    </row>
    <row r="772" spans="1:26" s="436" customFormat="1" ht="25.5" hidden="1">
      <c r="A772" s="443"/>
      <c r="B772" s="444"/>
      <c r="C772" s="445"/>
      <c r="D772" s="543" t="s">
        <v>1180</v>
      </c>
      <c r="E772" s="237"/>
      <c r="F772" s="304"/>
      <c r="G772" s="240"/>
      <c r="H772" s="435"/>
      <c r="I772" s="545"/>
      <c r="J772" s="545"/>
      <c r="K772" s="237"/>
      <c r="L772" s="243"/>
      <c r="M772" s="513"/>
      <c r="N772" s="513"/>
      <c r="O772" s="515"/>
      <c r="P772" s="515"/>
      <c r="Q772" s="515"/>
      <c r="R772" s="515"/>
      <c r="S772" s="513"/>
      <c r="T772" s="545"/>
      <c r="U772" s="289"/>
      <c r="V772" s="245"/>
      <c r="W772" s="544"/>
      <c r="X772" s="544"/>
      <c r="Y772" s="544"/>
      <c r="Z772" s="546"/>
    </row>
    <row r="773" spans="1:26" s="436" customFormat="1" ht="25.5" hidden="1">
      <c r="A773" s="443"/>
      <c r="B773" s="444"/>
      <c r="C773" s="445"/>
      <c r="D773" s="543" t="s">
        <v>1181</v>
      </c>
      <c r="E773" s="237"/>
      <c r="F773" s="304"/>
      <c r="G773" s="240"/>
      <c r="H773" s="435"/>
      <c r="I773" s="545"/>
      <c r="J773" s="545"/>
      <c r="K773" s="237"/>
      <c r="L773" s="243"/>
      <c r="M773" s="513"/>
      <c r="N773" s="513"/>
      <c r="O773" s="515"/>
      <c r="P773" s="515"/>
      <c r="Q773" s="515"/>
      <c r="R773" s="515"/>
      <c r="S773" s="513"/>
      <c r="T773" s="545"/>
      <c r="U773" s="289"/>
      <c r="V773" s="245"/>
      <c r="W773" s="544"/>
      <c r="X773" s="544"/>
      <c r="Y773" s="544"/>
      <c r="Z773" s="546"/>
    </row>
    <row r="774" spans="1:26" s="436" customFormat="1" ht="25.5" hidden="1">
      <c r="A774" s="443"/>
      <c r="B774" s="444"/>
      <c r="C774" s="445"/>
      <c r="D774" s="543" t="s">
        <v>1127</v>
      </c>
      <c r="E774" s="237"/>
      <c r="F774" s="304"/>
      <c r="G774" s="240"/>
      <c r="H774" s="435"/>
      <c r="I774" s="545"/>
      <c r="J774" s="545"/>
      <c r="K774" s="237"/>
      <c r="L774" s="243"/>
      <c r="M774" s="513"/>
      <c r="N774" s="513"/>
      <c r="O774" s="515"/>
      <c r="P774" s="515"/>
      <c r="Q774" s="515"/>
      <c r="R774" s="515"/>
      <c r="S774" s="513"/>
      <c r="T774" s="545"/>
      <c r="U774" s="289"/>
      <c r="V774" s="245"/>
      <c r="W774" s="544"/>
      <c r="X774" s="544"/>
      <c r="Y774" s="544"/>
      <c r="Z774" s="546"/>
    </row>
    <row r="775" spans="1:26" s="436" customFormat="1" ht="25.5" hidden="1">
      <c r="A775" s="443"/>
      <c r="B775" s="444"/>
      <c r="C775" s="445"/>
      <c r="D775" s="543" t="s">
        <v>1137</v>
      </c>
      <c r="E775" s="237"/>
      <c r="F775" s="304"/>
      <c r="G775" s="240"/>
      <c r="H775" s="435"/>
      <c r="I775" s="545"/>
      <c r="J775" s="545"/>
      <c r="K775" s="237"/>
      <c r="L775" s="243"/>
      <c r="M775" s="513"/>
      <c r="N775" s="513"/>
      <c r="O775" s="515"/>
      <c r="P775" s="515"/>
      <c r="Q775" s="515"/>
      <c r="R775" s="515"/>
      <c r="S775" s="513"/>
      <c r="T775" s="545"/>
      <c r="U775" s="289"/>
      <c r="V775" s="245"/>
      <c r="W775" s="544"/>
      <c r="X775" s="544"/>
      <c r="Y775" s="544"/>
      <c r="Z775" s="546"/>
    </row>
    <row r="776" spans="1:26" s="436" customFormat="1" ht="15" hidden="1">
      <c r="A776" s="443"/>
      <c r="B776" s="444"/>
      <c r="C776" s="445"/>
      <c r="D776" s="543" t="s">
        <v>1182</v>
      </c>
      <c r="E776" s="237"/>
      <c r="F776" s="304"/>
      <c r="G776" s="240"/>
      <c r="H776" s="435"/>
      <c r="I776" s="545"/>
      <c r="J776" s="545"/>
      <c r="K776" s="237"/>
      <c r="L776" s="243"/>
      <c r="M776" s="513"/>
      <c r="N776" s="513"/>
      <c r="O776" s="515"/>
      <c r="P776" s="515"/>
      <c r="Q776" s="515"/>
      <c r="R776" s="515"/>
      <c r="S776" s="513"/>
      <c r="T776" s="545"/>
      <c r="U776" s="289"/>
      <c r="V776" s="245"/>
      <c r="W776" s="544"/>
      <c r="X776" s="544"/>
      <c r="Y776" s="544"/>
      <c r="Z776" s="546"/>
    </row>
    <row r="777" spans="1:26" s="436" customFormat="1" ht="15.75" hidden="1" customHeight="1">
      <c r="A777" s="443"/>
      <c r="B777" s="444"/>
      <c r="C777" s="445" t="s">
        <v>1183</v>
      </c>
      <c r="D777" s="543" t="s">
        <v>1184</v>
      </c>
      <c r="E777" s="444" t="s">
        <v>1130</v>
      </c>
      <c r="F777" s="446">
        <f t="shared" ref="F777:F840" si="30">M777+O777+Q777+S777+U777+W777+Y777</f>
        <v>0</v>
      </c>
      <c r="G777" s="447">
        <f t="shared" ref="G777:G840" si="31">L777</f>
        <v>180</v>
      </c>
      <c r="H777" s="435"/>
      <c r="I777" s="447">
        <f t="shared" ref="I777:I840" si="32">N777+P777+R777+T777+V777+X777+Z777</f>
        <v>0</v>
      </c>
      <c r="J777" s="544"/>
      <c r="K777" s="444" t="s">
        <v>1130</v>
      </c>
      <c r="L777" s="449">
        <v>180</v>
      </c>
      <c r="M777" s="289"/>
      <c r="N777" s="245"/>
      <c r="O777" s="514">
        <v>0</v>
      </c>
      <c r="P777" s="451">
        <f t="shared" ref="P777:P840" si="33">INT($L777*O777*100+0.5)/100</f>
        <v>0</v>
      </c>
      <c r="Q777" s="289"/>
      <c r="R777" s="245"/>
      <c r="S777" s="289"/>
      <c r="T777" s="245"/>
      <c r="U777" s="289"/>
      <c r="V777" s="245"/>
      <c r="W777" s="289"/>
      <c r="X777" s="245"/>
      <c r="Y777" s="289"/>
      <c r="Z777" s="245"/>
    </row>
    <row r="778" spans="1:26" s="436" customFormat="1" ht="15.75" hidden="1" customHeight="1">
      <c r="A778" s="443"/>
      <c r="B778" s="444"/>
      <c r="C778" s="445" t="s">
        <v>1185</v>
      </c>
      <c r="D778" s="543" t="s">
        <v>1186</v>
      </c>
      <c r="E778" s="444" t="s">
        <v>1130</v>
      </c>
      <c r="F778" s="446">
        <f t="shared" si="30"/>
        <v>0</v>
      </c>
      <c r="G778" s="447">
        <f t="shared" si="31"/>
        <v>120</v>
      </c>
      <c r="H778" s="435"/>
      <c r="I778" s="447">
        <f t="shared" si="32"/>
        <v>0</v>
      </c>
      <c r="J778" s="544"/>
      <c r="K778" s="444" t="s">
        <v>1130</v>
      </c>
      <c r="L778" s="449">
        <v>120</v>
      </c>
      <c r="M778" s="289"/>
      <c r="N778" s="245"/>
      <c r="O778" s="450">
        <v>0</v>
      </c>
      <c r="P778" s="451">
        <f t="shared" si="33"/>
        <v>0</v>
      </c>
      <c r="Q778" s="289"/>
      <c r="R778" s="245"/>
      <c r="S778" s="289"/>
      <c r="T778" s="245"/>
      <c r="U778" s="289"/>
      <c r="V778" s="245"/>
      <c r="W778" s="289"/>
      <c r="X778" s="245"/>
      <c r="Y778" s="289"/>
      <c r="Z778" s="245"/>
    </row>
    <row r="779" spans="1:26" s="436" customFormat="1" ht="15.75" hidden="1" customHeight="1">
      <c r="A779" s="443"/>
      <c r="B779" s="444"/>
      <c r="C779" s="445" t="s">
        <v>1187</v>
      </c>
      <c r="D779" s="543" t="s">
        <v>1188</v>
      </c>
      <c r="E779" s="444" t="s">
        <v>1130</v>
      </c>
      <c r="F779" s="446">
        <f t="shared" si="30"/>
        <v>0</v>
      </c>
      <c r="G779" s="447">
        <f t="shared" si="31"/>
        <v>130</v>
      </c>
      <c r="H779" s="435"/>
      <c r="I779" s="447">
        <f t="shared" si="32"/>
        <v>0</v>
      </c>
      <c r="J779" s="544"/>
      <c r="K779" s="444" t="s">
        <v>1130</v>
      </c>
      <c r="L779" s="449">
        <v>130</v>
      </c>
      <c r="M779" s="289"/>
      <c r="N779" s="245"/>
      <c r="O779" s="450">
        <v>0</v>
      </c>
      <c r="P779" s="451">
        <f t="shared" si="33"/>
        <v>0</v>
      </c>
      <c r="Q779" s="289"/>
      <c r="R779" s="245"/>
      <c r="S779" s="289"/>
      <c r="T779" s="245"/>
      <c r="U779" s="289"/>
      <c r="V779" s="245"/>
      <c r="W779" s="289"/>
      <c r="X779" s="245"/>
      <c r="Y779" s="289"/>
      <c r="Z779" s="245"/>
    </row>
    <row r="780" spans="1:26" s="436" customFormat="1" ht="15.75" hidden="1" customHeight="1">
      <c r="A780" s="443"/>
      <c r="B780" s="444"/>
      <c r="C780" s="445" t="s">
        <v>1189</v>
      </c>
      <c r="D780" s="543" t="s">
        <v>1190</v>
      </c>
      <c r="E780" s="444" t="s">
        <v>1130</v>
      </c>
      <c r="F780" s="446">
        <f t="shared" si="30"/>
        <v>0</v>
      </c>
      <c r="G780" s="447">
        <f t="shared" si="31"/>
        <v>130</v>
      </c>
      <c r="H780" s="435"/>
      <c r="I780" s="447">
        <f t="shared" si="32"/>
        <v>0</v>
      </c>
      <c r="J780" s="544"/>
      <c r="K780" s="444" t="s">
        <v>1130</v>
      </c>
      <c r="L780" s="449">
        <v>130</v>
      </c>
      <c r="M780" s="289"/>
      <c r="N780" s="245"/>
      <c r="O780" s="450">
        <v>0</v>
      </c>
      <c r="P780" s="451">
        <f t="shared" si="33"/>
        <v>0</v>
      </c>
      <c r="Q780" s="289"/>
      <c r="R780" s="245"/>
      <c r="S780" s="289"/>
      <c r="T780" s="245"/>
      <c r="U780" s="289"/>
      <c r="V780" s="245"/>
      <c r="W780" s="289"/>
      <c r="X780" s="245"/>
      <c r="Y780" s="289"/>
      <c r="Z780" s="245"/>
    </row>
    <row r="781" spans="1:26" s="436" customFormat="1" ht="15.75" hidden="1" customHeight="1">
      <c r="A781" s="443"/>
      <c r="B781" s="444"/>
      <c r="C781" s="445" t="s">
        <v>1191</v>
      </c>
      <c r="D781" s="543" t="s">
        <v>1192</v>
      </c>
      <c r="E781" s="444" t="s">
        <v>1130</v>
      </c>
      <c r="F781" s="446">
        <f t="shared" si="30"/>
        <v>0</v>
      </c>
      <c r="G781" s="447">
        <f t="shared" si="31"/>
        <v>200</v>
      </c>
      <c r="H781" s="435"/>
      <c r="I781" s="447">
        <f t="shared" si="32"/>
        <v>0</v>
      </c>
      <c r="J781" s="544"/>
      <c r="K781" s="444" t="s">
        <v>1130</v>
      </c>
      <c r="L781" s="449">
        <v>200</v>
      </c>
      <c r="M781" s="289"/>
      <c r="N781" s="245"/>
      <c r="O781" s="450">
        <v>0</v>
      </c>
      <c r="P781" s="451">
        <f t="shared" si="33"/>
        <v>0</v>
      </c>
      <c r="Q781" s="289"/>
      <c r="R781" s="245"/>
      <c r="S781" s="289"/>
      <c r="T781" s="245"/>
      <c r="U781" s="289"/>
      <c r="V781" s="245"/>
      <c r="W781" s="289"/>
      <c r="X781" s="245"/>
      <c r="Y781" s="289"/>
      <c r="Z781" s="245"/>
    </row>
    <row r="782" spans="1:26" s="436" customFormat="1" ht="15.75" hidden="1" customHeight="1">
      <c r="A782" s="443"/>
      <c r="B782" s="444"/>
      <c r="C782" s="445" t="s">
        <v>1193</v>
      </c>
      <c r="D782" s="543" t="s">
        <v>1194</v>
      </c>
      <c r="E782" s="444" t="s">
        <v>1130</v>
      </c>
      <c r="F782" s="446">
        <f t="shared" si="30"/>
        <v>0</v>
      </c>
      <c r="G782" s="447">
        <f t="shared" si="31"/>
        <v>130</v>
      </c>
      <c r="H782" s="435"/>
      <c r="I782" s="447">
        <f t="shared" si="32"/>
        <v>0</v>
      </c>
      <c r="J782" s="544"/>
      <c r="K782" s="444" t="s">
        <v>1130</v>
      </c>
      <c r="L782" s="449">
        <v>130</v>
      </c>
      <c r="M782" s="289"/>
      <c r="N782" s="245"/>
      <c r="O782" s="450">
        <v>0</v>
      </c>
      <c r="P782" s="451">
        <f t="shared" si="33"/>
        <v>0</v>
      </c>
      <c r="Q782" s="289"/>
      <c r="R782" s="245"/>
      <c r="S782" s="289"/>
      <c r="T782" s="245"/>
      <c r="U782" s="289"/>
      <c r="V782" s="245"/>
      <c r="W782" s="289"/>
      <c r="X782" s="245"/>
      <c r="Y782" s="289"/>
      <c r="Z782" s="245"/>
    </row>
    <row r="783" spans="1:26" s="436" customFormat="1" ht="15.75" hidden="1" customHeight="1">
      <c r="A783" s="443"/>
      <c r="B783" s="444"/>
      <c r="C783" s="445" t="s">
        <v>1195</v>
      </c>
      <c r="D783" s="543" t="s">
        <v>1196</v>
      </c>
      <c r="E783" s="444" t="s">
        <v>1130</v>
      </c>
      <c r="F783" s="446">
        <f t="shared" si="30"/>
        <v>0</v>
      </c>
      <c r="G783" s="447">
        <f t="shared" si="31"/>
        <v>140</v>
      </c>
      <c r="H783" s="435"/>
      <c r="I783" s="447">
        <f t="shared" si="32"/>
        <v>0</v>
      </c>
      <c r="J783" s="544"/>
      <c r="K783" s="444" t="s">
        <v>1130</v>
      </c>
      <c r="L783" s="449">
        <v>140</v>
      </c>
      <c r="M783" s="289"/>
      <c r="N783" s="245"/>
      <c r="O783" s="450">
        <v>0</v>
      </c>
      <c r="P783" s="451">
        <f t="shared" si="33"/>
        <v>0</v>
      </c>
      <c r="Q783" s="289"/>
      <c r="R783" s="245"/>
      <c r="S783" s="289"/>
      <c r="T783" s="245"/>
      <c r="U783" s="289"/>
      <c r="V783" s="245"/>
      <c r="W783" s="289"/>
      <c r="X783" s="245"/>
      <c r="Y783" s="289"/>
      <c r="Z783" s="245"/>
    </row>
    <row r="784" spans="1:26" s="436" customFormat="1" ht="15.75" hidden="1" customHeight="1">
      <c r="A784" s="443"/>
      <c r="B784" s="444"/>
      <c r="C784" s="445" t="s">
        <v>1197</v>
      </c>
      <c r="D784" s="543" t="s">
        <v>1198</v>
      </c>
      <c r="E784" s="444" t="s">
        <v>1130</v>
      </c>
      <c r="F784" s="446">
        <f t="shared" si="30"/>
        <v>0</v>
      </c>
      <c r="G784" s="447">
        <f t="shared" si="31"/>
        <v>145</v>
      </c>
      <c r="H784" s="435"/>
      <c r="I784" s="447">
        <f t="shared" si="32"/>
        <v>0</v>
      </c>
      <c r="J784" s="544"/>
      <c r="K784" s="444" t="s">
        <v>1130</v>
      </c>
      <c r="L784" s="449">
        <v>145</v>
      </c>
      <c r="M784" s="289"/>
      <c r="N784" s="245"/>
      <c r="O784" s="450">
        <v>0</v>
      </c>
      <c r="P784" s="451">
        <f t="shared" si="33"/>
        <v>0</v>
      </c>
      <c r="Q784" s="289"/>
      <c r="R784" s="245"/>
      <c r="S784" s="289"/>
      <c r="T784" s="245"/>
      <c r="U784" s="289"/>
      <c r="V784" s="245"/>
      <c r="W784" s="289"/>
      <c r="X784" s="245"/>
      <c r="Y784" s="289"/>
      <c r="Z784" s="245"/>
    </row>
    <row r="785" spans="1:26" s="436" customFormat="1" ht="15.75" hidden="1" customHeight="1">
      <c r="A785" s="443"/>
      <c r="B785" s="444"/>
      <c r="C785" s="445" t="s">
        <v>1199</v>
      </c>
      <c r="D785" s="543" t="s">
        <v>1200</v>
      </c>
      <c r="E785" s="444" t="s">
        <v>1130</v>
      </c>
      <c r="F785" s="446">
        <f t="shared" si="30"/>
        <v>0</v>
      </c>
      <c r="G785" s="447">
        <f t="shared" si="31"/>
        <v>200</v>
      </c>
      <c r="H785" s="435"/>
      <c r="I785" s="447">
        <f t="shared" si="32"/>
        <v>0</v>
      </c>
      <c r="J785" s="544"/>
      <c r="K785" s="444" t="s">
        <v>1130</v>
      </c>
      <c r="L785" s="449">
        <v>200</v>
      </c>
      <c r="M785" s="289"/>
      <c r="N785" s="245"/>
      <c r="O785" s="450">
        <v>0</v>
      </c>
      <c r="P785" s="451">
        <f t="shared" si="33"/>
        <v>0</v>
      </c>
      <c r="Q785" s="289"/>
      <c r="R785" s="245"/>
      <c r="S785" s="289"/>
      <c r="T785" s="245"/>
      <c r="U785" s="289"/>
      <c r="V785" s="245"/>
      <c r="W785" s="289"/>
      <c r="X785" s="245"/>
      <c r="Y785" s="289"/>
      <c r="Z785" s="245"/>
    </row>
    <row r="786" spans="1:26" s="436" customFormat="1" ht="15.75" hidden="1" customHeight="1">
      <c r="A786" s="443"/>
      <c r="B786" s="444"/>
      <c r="C786" s="445" t="s">
        <v>1201</v>
      </c>
      <c r="D786" s="543" t="s">
        <v>1202</v>
      </c>
      <c r="E786" s="444" t="s">
        <v>1130</v>
      </c>
      <c r="F786" s="446">
        <f t="shared" si="30"/>
        <v>0</v>
      </c>
      <c r="G786" s="447">
        <f t="shared" si="31"/>
        <v>147</v>
      </c>
      <c r="H786" s="435"/>
      <c r="I786" s="447">
        <f t="shared" si="32"/>
        <v>0</v>
      </c>
      <c r="J786" s="544"/>
      <c r="K786" s="444" t="s">
        <v>1130</v>
      </c>
      <c r="L786" s="449">
        <v>147</v>
      </c>
      <c r="M786" s="289"/>
      <c r="N786" s="245"/>
      <c r="O786" s="450">
        <v>0</v>
      </c>
      <c r="P786" s="451">
        <f t="shared" si="33"/>
        <v>0</v>
      </c>
      <c r="Q786" s="289"/>
      <c r="R786" s="245"/>
      <c r="S786" s="289"/>
      <c r="T786" s="245"/>
      <c r="U786" s="289"/>
      <c r="V786" s="245"/>
      <c r="W786" s="289"/>
      <c r="X786" s="245"/>
      <c r="Y786" s="289"/>
      <c r="Z786" s="245"/>
    </row>
    <row r="787" spans="1:26" s="436" customFormat="1" ht="15.75" hidden="1" customHeight="1">
      <c r="A787" s="443"/>
      <c r="B787" s="444"/>
      <c r="C787" s="445" t="s">
        <v>1203</v>
      </c>
      <c r="D787" s="543" t="s">
        <v>1204</v>
      </c>
      <c r="E787" s="444" t="s">
        <v>1130</v>
      </c>
      <c r="F787" s="446">
        <f t="shared" si="30"/>
        <v>0</v>
      </c>
      <c r="G787" s="447">
        <f t="shared" si="31"/>
        <v>150</v>
      </c>
      <c r="H787" s="435"/>
      <c r="I787" s="447">
        <f t="shared" si="32"/>
        <v>0</v>
      </c>
      <c r="J787" s="544"/>
      <c r="K787" s="444" t="s">
        <v>1130</v>
      </c>
      <c r="L787" s="449">
        <v>150</v>
      </c>
      <c r="M787" s="289"/>
      <c r="N787" s="245"/>
      <c r="O787" s="450">
        <v>0</v>
      </c>
      <c r="P787" s="451">
        <f t="shared" si="33"/>
        <v>0</v>
      </c>
      <c r="Q787" s="289"/>
      <c r="R787" s="245"/>
      <c r="S787" s="289"/>
      <c r="T787" s="245"/>
      <c r="U787" s="289"/>
      <c r="V787" s="245"/>
      <c r="W787" s="289"/>
      <c r="X787" s="245"/>
      <c r="Y787" s="289"/>
      <c r="Z787" s="245"/>
    </row>
    <row r="788" spans="1:26" s="436" customFormat="1" ht="15.75" hidden="1" customHeight="1">
      <c r="A788" s="443"/>
      <c r="B788" s="444"/>
      <c r="C788" s="445" t="s">
        <v>1205</v>
      </c>
      <c r="D788" s="543" t="s">
        <v>1206</v>
      </c>
      <c r="E788" s="444" t="s">
        <v>1130</v>
      </c>
      <c r="F788" s="446">
        <f t="shared" si="30"/>
        <v>0</v>
      </c>
      <c r="G788" s="447">
        <f t="shared" si="31"/>
        <v>156</v>
      </c>
      <c r="H788" s="435"/>
      <c r="I788" s="447">
        <f t="shared" si="32"/>
        <v>0</v>
      </c>
      <c r="J788" s="544"/>
      <c r="K788" s="444" t="s">
        <v>1130</v>
      </c>
      <c r="L788" s="449">
        <v>156</v>
      </c>
      <c r="M788" s="289"/>
      <c r="N788" s="245"/>
      <c r="O788" s="450">
        <v>0</v>
      </c>
      <c r="P788" s="451">
        <f t="shared" si="33"/>
        <v>0</v>
      </c>
      <c r="Q788" s="289"/>
      <c r="R788" s="245"/>
      <c r="S788" s="289"/>
      <c r="T788" s="245"/>
      <c r="U788" s="289"/>
      <c r="V788" s="245"/>
      <c r="W788" s="289"/>
      <c r="X788" s="245"/>
      <c r="Y788" s="289"/>
      <c r="Z788" s="245"/>
    </row>
    <row r="789" spans="1:26" s="436" customFormat="1" ht="15.75" hidden="1" customHeight="1">
      <c r="A789" s="443"/>
      <c r="B789" s="444"/>
      <c r="C789" s="445" t="s">
        <v>1207</v>
      </c>
      <c r="D789" s="543" t="s">
        <v>1208</v>
      </c>
      <c r="E789" s="444" t="s">
        <v>1130</v>
      </c>
      <c r="F789" s="446">
        <f t="shared" si="30"/>
        <v>0</v>
      </c>
      <c r="G789" s="447">
        <f t="shared" si="31"/>
        <v>160</v>
      </c>
      <c r="H789" s="435"/>
      <c r="I789" s="447">
        <f t="shared" si="32"/>
        <v>0</v>
      </c>
      <c r="J789" s="544"/>
      <c r="K789" s="444" t="s">
        <v>1130</v>
      </c>
      <c r="L789" s="449">
        <v>160</v>
      </c>
      <c r="M789" s="289"/>
      <c r="N789" s="245"/>
      <c r="O789" s="450">
        <v>0</v>
      </c>
      <c r="P789" s="451">
        <f t="shared" si="33"/>
        <v>0</v>
      </c>
      <c r="Q789" s="289"/>
      <c r="R789" s="245"/>
      <c r="S789" s="289"/>
      <c r="T789" s="245"/>
      <c r="U789" s="289"/>
      <c r="V789" s="245"/>
      <c r="W789" s="289"/>
      <c r="X789" s="245"/>
      <c r="Y789" s="289"/>
      <c r="Z789" s="245"/>
    </row>
    <row r="790" spans="1:26" s="436" customFormat="1" ht="15.75" hidden="1" customHeight="1">
      <c r="A790" s="443"/>
      <c r="B790" s="444"/>
      <c r="C790" s="445" t="s">
        <v>1209</v>
      </c>
      <c r="D790" s="543" t="s">
        <v>1210</v>
      </c>
      <c r="E790" s="444" t="s">
        <v>1130</v>
      </c>
      <c r="F790" s="446">
        <f t="shared" si="30"/>
        <v>0</v>
      </c>
      <c r="G790" s="447">
        <f t="shared" si="31"/>
        <v>250</v>
      </c>
      <c r="H790" s="435"/>
      <c r="I790" s="447">
        <f t="shared" si="32"/>
        <v>0</v>
      </c>
      <c r="J790" s="544"/>
      <c r="K790" s="444" t="s">
        <v>1130</v>
      </c>
      <c r="L790" s="449">
        <v>250</v>
      </c>
      <c r="M790" s="289"/>
      <c r="N790" s="245"/>
      <c r="O790" s="450">
        <v>0</v>
      </c>
      <c r="P790" s="451">
        <f t="shared" si="33"/>
        <v>0</v>
      </c>
      <c r="Q790" s="289"/>
      <c r="R790" s="245"/>
      <c r="S790" s="289"/>
      <c r="T790" s="245"/>
      <c r="U790" s="289"/>
      <c r="V790" s="245"/>
      <c r="W790" s="289"/>
      <c r="X790" s="245"/>
      <c r="Y790" s="289"/>
      <c r="Z790" s="245"/>
    </row>
    <row r="791" spans="1:26" s="436" customFormat="1" ht="15.75" hidden="1" customHeight="1">
      <c r="A791" s="443"/>
      <c r="B791" s="444"/>
      <c r="C791" s="445" t="s">
        <v>1211</v>
      </c>
      <c r="D791" s="543" t="s">
        <v>1212</v>
      </c>
      <c r="E791" s="444" t="s">
        <v>1130</v>
      </c>
      <c r="F791" s="446">
        <f t="shared" si="30"/>
        <v>0</v>
      </c>
      <c r="G791" s="447">
        <f t="shared" si="31"/>
        <v>160</v>
      </c>
      <c r="H791" s="435"/>
      <c r="I791" s="447">
        <f t="shared" si="32"/>
        <v>0</v>
      </c>
      <c r="J791" s="544"/>
      <c r="K791" s="444" t="s">
        <v>1130</v>
      </c>
      <c r="L791" s="449">
        <v>160</v>
      </c>
      <c r="M791" s="289"/>
      <c r="N791" s="245"/>
      <c r="O791" s="450">
        <v>0</v>
      </c>
      <c r="P791" s="451">
        <f t="shared" si="33"/>
        <v>0</v>
      </c>
      <c r="Q791" s="289"/>
      <c r="R791" s="245"/>
      <c r="S791" s="289"/>
      <c r="T791" s="245"/>
      <c r="U791" s="289"/>
      <c r="V791" s="245"/>
      <c r="W791" s="289"/>
      <c r="X791" s="245"/>
      <c r="Y791" s="289"/>
      <c r="Z791" s="245"/>
    </row>
    <row r="792" spans="1:26" s="436" customFormat="1" ht="15.75" hidden="1" customHeight="1">
      <c r="A792" s="443"/>
      <c r="B792" s="444"/>
      <c r="C792" s="445" t="s">
        <v>1213</v>
      </c>
      <c r="D792" s="543" t="s">
        <v>1214</v>
      </c>
      <c r="E792" s="444" t="s">
        <v>1130</v>
      </c>
      <c r="F792" s="446">
        <f t="shared" si="30"/>
        <v>0</v>
      </c>
      <c r="G792" s="447">
        <f t="shared" si="31"/>
        <v>163</v>
      </c>
      <c r="H792" s="435"/>
      <c r="I792" s="447">
        <f t="shared" si="32"/>
        <v>0</v>
      </c>
      <c r="J792" s="544"/>
      <c r="K792" s="444" t="s">
        <v>1130</v>
      </c>
      <c r="L792" s="449">
        <v>163</v>
      </c>
      <c r="M792" s="289"/>
      <c r="N792" s="245"/>
      <c r="O792" s="450">
        <v>0</v>
      </c>
      <c r="P792" s="451">
        <f t="shared" si="33"/>
        <v>0</v>
      </c>
      <c r="Q792" s="289"/>
      <c r="R792" s="245"/>
      <c r="S792" s="289"/>
      <c r="T792" s="245"/>
      <c r="U792" s="289"/>
      <c r="V792" s="245"/>
      <c r="W792" s="289"/>
      <c r="X792" s="245"/>
      <c r="Y792" s="289"/>
      <c r="Z792" s="245"/>
    </row>
    <row r="793" spans="1:26" s="436" customFormat="1" ht="15.75" hidden="1" customHeight="1">
      <c r="A793" s="443"/>
      <c r="B793" s="444"/>
      <c r="C793" s="445" t="s">
        <v>1215</v>
      </c>
      <c r="D793" s="543" t="s">
        <v>1216</v>
      </c>
      <c r="E793" s="444" t="s">
        <v>1130</v>
      </c>
      <c r="F793" s="446">
        <f t="shared" si="30"/>
        <v>0</v>
      </c>
      <c r="G793" s="447">
        <f t="shared" si="31"/>
        <v>168</v>
      </c>
      <c r="H793" s="435"/>
      <c r="I793" s="447">
        <f t="shared" si="32"/>
        <v>0</v>
      </c>
      <c r="J793" s="544"/>
      <c r="K793" s="444" t="s">
        <v>1130</v>
      </c>
      <c r="L793" s="449">
        <v>168</v>
      </c>
      <c r="M793" s="289"/>
      <c r="N793" s="245"/>
      <c r="O793" s="450">
        <v>0</v>
      </c>
      <c r="P793" s="451">
        <f t="shared" si="33"/>
        <v>0</v>
      </c>
      <c r="Q793" s="289"/>
      <c r="R793" s="245"/>
      <c r="S793" s="289"/>
      <c r="T793" s="245"/>
      <c r="U793" s="289"/>
      <c r="V793" s="245"/>
      <c r="W793" s="289"/>
      <c r="X793" s="245"/>
      <c r="Y793" s="289"/>
      <c r="Z793" s="245"/>
    </row>
    <row r="794" spans="1:26" s="436" customFormat="1" ht="15.75" hidden="1" customHeight="1">
      <c r="A794" s="443"/>
      <c r="B794" s="444"/>
      <c r="C794" s="445" t="s">
        <v>1217</v>
      </c>
      <c r="D794" s="543" t="s">
        <v>1218</v>
      </c>
      <c r="E794" s="444" t="s">
        <v>1130</v>
      </c>
      <c r="F794" s="446">
        <f t="shared" si="30"/>
        <v>0</v>
      </c>
      <c r="G794" s="447">
        <f t="shared" si="31"/>
        <v>171</v>
      </c>
      <c r="H794" s="435"/>
      <c r="I794" s="447">
        <f t="shared" si="32"/>
        <v>0</v>
      </c>
      <c r="J794" s="544"/>
      <c r="K794" s="444" t="s">
        <v>1130</v>
      </c>
      <c r="L794" s="449">
        <v>171</v>
      </c>
      <c r="M794" s="289"/>
      <c r="N794" s="245"/>
      <c r="O794" s="450">
        <v>0</v>
      </c>
      <c r="P794" s="451">
        <f t="shared" si="33"/>
        <v>0</v>
      </c>
      <c r="Q794" s="289"/>
      <c r="R794" s="245"/>
      <c r="S794" s="289"/>
      <c r="T794" s="245"/>
      <c r="U794" s="289"/>
      <c r="V794" s="245"/>
      <c r="W794" s="289"/>
      <c r="X794" s="245"/>
      <c r="Y794" s="289"/>
      <c r="Z794" s="245"/>
    </row>
    <row r="795" spans="1:26" s="436" customFormat="1" ht="15.75" hidden="1" customHeight="1">
      <c r="A795" s="443"/>
      <c r="B795" s="444"/>
      <c r="C795" s="445" t="s">
        <v>1219</v>
      </c>
      <c r="D795" s="543" t="s">
        <v>1220</v>
      </c>
      <c r="E795" s="444" t="s">
        <v>1130</v>
      </c>
      <c r="F795" s="446">
        <f t="shared" si="30"/>
        <v>0</v>
      </c>
      <c r="G795" s="447">
        <f t="shared" si="31"/>
        <v>180</v>
      </c>
      <c r="H795" s="435"/>
      <c r="I795" s="447">
        <f t="shared" si="32"/>
        <v>0</v>
      </c>
      <c r="J795" s="544"/>
      <c r="K795" s="444" t="s">
        <v>1130</v>
      </c>
      <c r="L795" s="449">
        <v>180</v>
      </c>
      <c r="M795" s="289"/>
      <c r="N795" s="245"/>
      <c r="O795" s="450">
        <v>0</v>
      </c>
      <c r="P795" s="451">
        <f t="shared" si="33"/>
        <v>0</v>
      </c>
      <c r="Q795" s="289"/>
      <c r="R795" s="245"/>
      <c r="S795" s="289"/>
      <c r="T795" s="245"/>
      <c r="U795" s="289"/>
      <c r="V795" s="245"/>
      <c r="W795" s="289"/>
      <c r="X795" s="245"/>
      <c r="Y795" s="289"/>
      <c r="Z795" s="245"/>
    </row>
    <row r="796" spans="1:26" s="436" customFormat="1" ht="15.75" hidden="1" customHeight="1">
      <c r="A796" s="443"/>
      <c r="B796" s="444"/>
      <c r="C796" s="445" t="s">
        <v>1221</v>
      </c>
      <c r="D796" s="543" t="s">
        <v>1222</v>
      </c>
      <c r="E796" s="444" t="s">
        <v>1130</v>
      </c>
      <c r="F796" s="446">
        <f t="shared" si="30"/>
        <v>0</v>
      </c>
      <c r="G796" s="447">
        <f t="shared" si="31"/>
        <v>280</v>
      </c>
      <c r="H796" s="435"/>
      <c r="I796" s="447">
        <f t="shared" si="32"/>
        <v>0</v>
      </c>
      <c r="J796" s="544"/>
      <c r="K796" s="444" t="s">
        <v>1130</v>
      </c>
      <c r="L796" s="449">
        <v>280</v>
      </c>
      <c r="M796" s="289"/>
      <c r="N796" s="245"/>
      <c r="O796" s="450">
        <v>0</v>
      </c>
      <c r="P796" s="451">
        <f t="shared" si="33"/>
        <v>0</v>
      </c>
      <c r="Q796" s="289"/>
      <c r="R796" s="245"/>
      <c r="S796" s="289"/>
      <c r="T796" s="245"/>
      <c r="U796" s="289"/>
      <c r="V796" s="245"/>
      <c r="W796" s="289"/>
      <c r="X796" s="245"/>
      <c r="Y796" s="289"/>
      <c r="Z796" s="245"/>
    </row>
    <row r="797" spans="1:26" s="436" customFormat="1" ht="15.75" hidden="1" customHeight="1">
      <c r="A797" s="443"/>
      <c r="B797" s="444"/>
      <c r="C797" s="445" t="s">
        <v>1223</v>
      </c>
      <c r="D797" s="543" t="s">
        <v>1224</v>
      </c>
      <c r="E797" s="444" t="s">
        <v>1130</v>
      </c>
      <c r="F797" s="446">
        <f t="shared" si="30"/>
        <v>0</v>
      </c>
      <c r="G797" s="447">
        <f t="shared" si="31"/>
        <v>165</v>
      </c>
      <c r="H797" s="435"/>
      <c r="I797" s="447">
        <f t="shared" si="32"/>
        <v>0</v>
      </c>
      <c r="J797" s="544"/>
      <c r="K797" s="444" t="s">
        <v>1130</v>
      </c>
      <c r="L797" s="449">
        <v>165</v>
      </c>
      <c r="M797" s="289"/>
      <c r="N797" s="245"/>
      <c r="O797" s="450">
        <v>0</v>
      </c>
      <c r="P797" s="451">
        <f t="shared" si="33"/>
        <v>0</v>
      </c>
      <c r="Q797" s="289"/>
      <c r="R797" s="245"/>
      <c r="S797" s="289"/>
      <c r="T797" s="245"/>
      <c r="U797" s="289"/>
      <c r="V797" s="245"/>
      <c r="W797" s="289"/>
      <c r="X797" s="245"/>
      <c r="Y797" s="289"/>
      <c r="Z797" s="245"/>
    </row>
    <row r="798" spans="1:26" s="436" customFormat="1" ht="15.75" hidden="1" customHeight="1">
      <c r="A798" s="443"/>
      <c r="B798" s="444"/>
      <c r="C798" s="445" t="s">
        <v>1225</v>
      </c>
      <c r="D798" s="543" t="s">
        <v>1226</v>
      </c>
      <c r="E798" s="444" t="s">
        <v>1130</v>
      </c>
      <c r="F798" s="446">
        <f t="shared" si="30"/>
        <v>0</v>
      </c>
      <c r="G798" s="447">
        <f t="shared" si="31"/>
        <v>168</v>
      </c>
      <c r="H798" s="435"/>
      <c r="I798" s="447">
        <f t="shared" si="32"/>
        <v>0</v>
      </c>
      <c r="J798" s="544"/>
      <c r="K798" s="444" t="s">
        <v>1130</v>
      </c>
      <c r="L798" s="449">
        <v>168</v>
      </c>
      <c r="M798" s="289"/>
      <c r="N798" s="245"/>
      <c r="O798" s="450">
        <v>0</v>
      </c>
      <c r="P798" s="451">
        <f t="shared" si="33"/>
        <v>0</v>
      </c>
      <c r="Q798" s="289"/>
      <c r="R798" s="245"/>
      <c r="S798" s="289"/>
      <c r="T798" s="245"/>
      <c r="U798" s="289"/>
      <c r="V798" s="245"/>
      <c r="W798" s="289"/>
      <c r="X798" s="245"/>
      <c r="Y798" s="289"/>
      <c r="Z798" s="245"/>
    </row>
    <row r="799" spans="1:26" s="436" customFormat="1" ht="15.75" hidden="1" customHeight="1">
      <c r="A799" s="443"/>
      <c r="B799" s="444"/>
      <c r="C799" s="445" t="s">
        <v>1227</v>
      </c>
      <c r="D799" s="543" t="s">
        <v>1228</v>
      </c>
      <c r="E799" s="444" t="s">
        <v>1130</v>
      </c>
      <c r="F799" s="446">
        <f t="shared" si="30"/>
        <v>0</v>
      </c>
      <c r="G799" s="447">
        <f t="shared" si="31"/>
        <v>174</v>
      </c>
      <c r="H799" s="435"/>
      <c r="I799" s="447">
        <f t="shared" si="32"/>
        <v>0</v>
      </c>
      <c r="J799" s="544"/>
      <c r="K799" s="444" t="s">
        <v>1130</v>
      </c>
      <c r="L799" s="449">
        <v>174</v>
      </c>
      <c r="M799" s="289"/>
      <c r="N799" s="245"/>
      <c r="O799" s="450">
        <v>0</v>
      </c>
      <c r="P799" s="451">
        <f t="shared" si="33"/>
        <v>0</v>
      </c>
      <c r="Q799" s="289"/>
      <c r="R799" s="245"/>
      <c r="S799" s="289"/>
      <c r="T799" s="245"/>
      <c r="U799" s="289"/>
      <c r="V799" s="245"/>
      <c r="W799" s="289"/>
      <c r="X799" s="245"/>
      <c r="Y799" s="289"/>
      <c r="Z799" s="245"/>
    </row>
    <row r="800" spans="1:26" s="436" customFormat="1" ht="15.75" hidden="1" customHeight="1">
      <c r="A800" s="443"/>
      <c r="B800" s="444"/>
      <c r="C800" s="445" t="s">
        <v>1229</v>
      </c>
      <c r="D800" s="543" t="s">
        <v>1230</v>
      </c>
      <c r="E800" s="444" t="s">
        <v>1130</v>
      </c>
      <c r="F800" s="446">
        <f t="shared" si="30"/>
        <v>0</v>
      </c>
      <c r="G800" s="447">
        <f t="shared" si="31"/>
        <v>179</v>
      </c>
      <c r="H800" s="435"/>
      <c r="I800" s="447">
        <f t="shared" si="32"/>
        <v>0</v>
      </c>
      <c r="J800" s="544"/>
      <c r="K800" s="444" t="s">
        <v>1130</v>
      </c>
      <c r="L800" s="449">
        <v>179</v>
      </c>
      <c r="M800" s="289"/>
      <c r="N800" s="245"/>
      <c r="O800" s="450">
        <v>0</v>
      </c>
      <c r="P800" s="451">
        <f t="shared" si="33"/>
        <v>0</v>
      </c>
      <c r="Q800" s="289"/>
      <c r="R800" s="245"/>
      <c r="S800" s="289"/>
      <c r="T800" s="245"/>
      <c r="U800" s="289"/>
      <c r="V800" s="245"/>
      <c r="W800" s="289"/>
      <c r="X800" s="245"/>
      <c r="Y800" s="289"/>
      <c r="Z800" s="245"/>
    </row>
    <row r="801" spans="1:26" s="436" customFormat="1" ht="15.75" hidden="1" customHeight="1">
      <c r="A801" s="443"/>
      <c r="B801" s="444"/>
      <c r="C801" s="445" t="s">
        <v>1231</v>
      </c>
      <c r="D801" s="543" t="s">
        <v>1280</v>
      </c>
      <c r="E801" s="444" t="s">
        <v>1130</v>
      </c>
      <c r="F801" s="446">
        <f t="shared" si="30"/>
        <v>0</v>
      </c>
      <c r="G801" s="447">
        <f t="shared" si="31"/>
        <v>190</v>
      </c>
      <c r="H801" s="435"/>
      <c r="I801" s="447">
        <f t="shared" si="32"/>
        <v>0</v>
      </c>
      <c r="J801" s="544"/>
      <c r="K801" s="444" t="s">
        <v>1130</v>
      </c>
      <c r="L801" s="449">
        <v>190</v>
      </c>
      <c r="M801" s="289"/>
      <c r="N801" s="245"/>
      <c r="O801" s="450">
        <v>0</v>
      </c>
      <c r="P801" s="451">
        <f t="shared" si="33"/>
        <v>0</v>
      </c>
      <c r="Q801" s="289"/>
      <c r="R801" s="245"/>
      <c r="S801" s="289"/>
      <c r="T801" s="245"/>
      <c r="U801" s="289"/>
      <c r="V801" s="245"/>
      <c r="W801" s="289"/>
      <c r="X801" s="245"/>
      <c r="Y801" s="289"/>
      <c r="Z801" s="245"/>
    </row>
    <row r="802" spans="1:26" s="436" customFormat="1" ht="15.75" hidden="1" customHeight="1">
      <c r="A802" s="443"/>
      <c r="B802" s="444"/>
      <c r="C802" s="445" t="s">
        <v>1281</v>
      </c>
      <c r="D802" s="543" t="s">
        <v>1282</v>
      </c>
      <c r="E802" s="444" t="s">
        <v>1130</v>
      </c>
      <c r="F802" s="446">
        <f t="shared" si="30"/>
        <v>0</v>
      </c>
      <c r="G802" s="447">
        <f t="shared" si="31"/>
        <v>200</v>
      </c>
      <c r="H802" s="435"/>
      <c r="I802" s="447">
        <f t="shared" si="32"/>
        <v>0</v>
      </c>
      <c r="J802" s="544"/>
      <c r="K802" s="444" t="s">
        <v>1130</v>
      </c>
      <c r="L802" s="449">
        <v>200</v>
      </c>
      <c r="M802" s="289"/>
      <c r="N802" s="245"/>
      <c r="O802" s="450">
        <v>0</v>
      </c>
      <c r="P802" s="451">
        <f t="shared" si="33"/>
        <v>0</v>
      </c>
      <c r="Q802" s="289"/>
      <c r="R802" s="245"/>
      <c r="S802" s="289"/>
      <c r="T802" s="245"/>
      <c r="U802" s="289"/>
      <c r="V802" s="245"/>
      <c r="W802" s="289"/>
      <c r="X802" s="245"/>
      <c r="Y802" s="289"/>
      <c r="Z802" s="245"/>
    </row>
    <row r="803" spans="1:26" s="436" customFormat="1" ht="15.75" hidden="1" customHeight="1">
      <c r="A803" s="443"/>
      <c r="B803" s="444"/>
      <c r="C803" s="445" t="s">
        <v>1283</v>
      </c>
      <c r="D803" s="543" t="s">
        <v>1284</v>
      </c>
      <c r="E803" s="444" t="s">
        <v>1130</v>
      </c>
      <c r="F803" s="446">
        <f t="shared" si="30"/>
        <v>0</v>
      </c>
      <c r="G803" s="447">
        <f t="shared" si="31"/>
        <v>300</v>
      </c>
      <c r="H803" s="435"/>
      <c r="I803" s="447">
        <f t="shared" si="32"/>
        <v>0</v>
      </c>
      <c r="J803" s="544"/>
      <c r="K803" s="444" t="s">
        <v>1130</v>
      </c>
      <c r="L803" s="449">
        <v>300</v>
      </c>
      <c r="M803" s="289"/>
      <c r="N803" s="245"/>
      <c r="O803" s="450">
        <v>0</v>
      </c>
      <c r="P803" s="451">
        <f t="shared" si="33"/>
        <v>0</v>
      </c>
      <c r="Q803" s="289"/>
      <c r="R803" s="245"/>
      <c r="S803" s="289"/>
      <c r="T803" s="245"/>
      <c r="U803" s="289"/>
      <c r="V803" s="245"/>
      <c r="W803" s="289"/>
      <c r="X803" s="245"/>
      <c r="Y803" s="289"/>
      <c r="Z803" s="245"/>
    </row>
    <row r="804" spans="1:26" s="436" customFormat="1" ht="15.75" hidden="1" customHeight="1">
      <c r="A804" s="443"/>
      <c r="B804" s="444"/>
      <c r="C804" s="445" t="s">
        <v>1285</v>
      </c>
      <c r="D804" s="543" t="s">
        <v>1286</v>
      </c>
      <c r="E804" s="444" t="s">
        <v>1130</v>
      </c>
      <c r="F804" s="446">
        <f t="shared" si="30"/>
        <v>0</v>
      </c>
      <c r="G804" s="447">
        <f t="shared" si="31"/>
        <v>210</v>
      </c>
      <c r="H804" s="435"/>
      <c r="I804" s="447">
        <f t="shared" si="32"/>
        <v>0</v>
      </c>
      <c r="J804" s="544"/>
      <c r="K804" s="444" t="s">
        <v>1130</v>
      </c>
      <c r="L804" s="449">
        <v>210</v>
      </c>
      <c r="M804" s="289"/>
      <c r="N804" s="245"/>
      <c r="O804" s="450">
        <v>0</v>
      </c>
      <c r="P804" s="451">
        <f t="shared" si="33"/>
        <v>0</v>
      </c>
      <c r="Q804" s="289"/>
      <c r="R804" s="245"/>
      <c r="S804" s="289"/>
      <c r="T804" s="245"/>
      <c r="U804" s="289"/>
      <c r="V804" s="245"/>
      <c r="W804" s="289"/>
      <c r="X804" s="245"/>
      <c r="Y804" s="289"/>
      <c r="Z804" s="245"/>
    </row>
    <row r="805" spans="1:26" s="436" customFormat="1" ht="15.75" hidden="1" customHeight="1">
      <c r="A805" s="443"/>
      <c r="B805" s="444"/>
      <c r="C805" s="445" t="s">
        <v>1287</v>
      </c>
      <c r="D805" s="543" t="s">
        <v>1288</v>
      </c>
      <c r="E805" s="444" t="s">
        <v>1130</v>
      </c>
      <c r="F805" s="446">
        <f t="shared" si="30"/>
        <v>0</v>
      </c>
      <c r="G805" s="447">
        <f t="shared" si="31"/>
        <v>215</v>
      </c>
      <c r="H805" s="435"/>
      <c r="I805" s="447">
        <f t="shared" si="32"/>
        <v>0</v>
      </c>
      <c r="J805" s="544"/>
      <c r="K805" s="444" t="s">
        <v>1130</v>
      </c>
      <c r="L805" s="449">
        <v>215</v>
      </c>
      <c r="M805" s="289"/>
      <c r="N805" s="245"/>
      <c r="O805" s="450">
        <v>0</v>
      </c>
      <c r="P805" s="451">
        <f t="shared" si="33"/>
        <v>0</v>
      </c>
      <c r="Q805" s="289"/>
      <c r="R805" s="245"/>
      <c r="S805" s="289"/>
      <c r="T805" s="245"/>
      <c r="U805" s="289"/>
      <c r="V805" s="245"/>
      <c r="W805" s="289"/>
      <c r="X805" s="245"/>
      <c r="Y805" s="289"/>
      <c r="Z805" s="245"/>
    </row>
    <row r="806" spans="1:26" s="436" customFormat="1" ht="15.75" hidden="1" customHeight="1">
      <c r="A806" s="443"/>
      <c r="B806" s="444"/>
      <c r="C806" s="445" t="s">
        <v>1289</v>
      </c>
      <c r="D806" s="543" t="s">
        <v>1234</v>
      </c>
      <c r="E806" s="444" t="s">
        <v>1130</v>
      </c>
      <c r="F806" s="446">
        <f t="shared" si="30"/>
        <v>0</v>
      </c>
      <c r="G806" s="447">
        <f t="shared" si="31"/>
        <v>221</v>
      </c>
      <c r="H806" s="435"/>
      <c r="I806" s="447">
        <f t="shared" si="32"/>
        <v>0</v>
      </c>
      <c r="J806" s="544"/>
      <c r="K806" s="444" t="s">
        <v>1130</v>
      </c>
      <c r="L806" s="449">
        <v>221</v>
      </c>
      <c r="M806" s="289"/>
      <c r="N806" s="245"/>
      <c r="O806" s="450">
        <v>0</v>
      </c>
      <c r="P806" s="451">
        <f t="shared" si="33"/>
        <v>0</v>
      </c>
      <c r="Q806" s="289"/>
      <c r="R806" s="245"/>
      <c r="S806" s="289"/>
      <c r="T806" s="245"/>
      <c r="U806" s="289"/>
      <c r="V806" s="245"/>
      <c r="W806" s="289"/>
      <c r="X806" s="245"/>
      <c r="Y806" s="289"/>
      <c r="Z806" s="245"/>
    </row>
    <row r="807" spans="1:26" s="436" customFormat="1" ht="15.75" hidden="1" customHeight="1">
      <c r="A807" s="443"/>
      <c r="B807" s="444"/>
      <c r="C807" s="445" t="s">
        <v>1235</v>
      </c>
      <c r="D807" s="543" t="s">
        <v>1236</v>
      </c>
      <c r="E807" s="444" t="s">
        <v>1130</v>
      </c>
      <c r="F807" s="446">
        <f t="shared" si="30"/>
        <v>0</v>
      </c>
      <c r="G807" s="447">
        <f t="shared" si="31"/>
        <v>225</v>
      </c>
      <c r="H807" s="435"/>
      <c r="I807" s="447">
        <f t="shared" si="32"/>
        <v>0</v>
      </c>
      <c r="J807" s="544"/>
      <c r="K807" s="444" t="s">
        <v>1130</v>
      </c>
      <c r="L807" s="449">
        <v>225</v>
      </c>
      <c r="M807" s="289"/>
      <c r="N807" s="245"/>
      <c r="O807" s="450">
        <v>0</v>
      </c>
      <c r="P807" s="451">
        <f t="shared" si="33"/>
        <v>0</v>
      </c>
      <c r="Q807" s="289"/>
      <c r="R807" s="245"/>
      <c r="S807" s="289"/>
      <c r="T807" s="245"/>
      <c r="U807" s="289"/>
      <c r="V807" s="245"/>
      <c r="W807" s="289"/>
      <c r="X807" s="245"/>
      <c r="Y807" s="289"/>
      <c r="Z807" s="245"/>
    </row>
    <row r="808" spans="1:26" s="436" customFormat="1" ht="15.75" hidden="1" customHeight="1">
      <c r="A808" s="443"/>
      <c r="B808" s="444"/>
      <c r="C808" s="445" t="s">
        <v>1237</v>
      </c>
      <c r="D808" s="543" t="s">
        <v>1238</v>
      </c>
      <c r="E808" s="444" t="s">
        <v>1130</v>
      </c>
      <c r="F808" s="446">
        <f t="shared" si="30"/>
        <v>0</v>
      </c>
      <c r="G808" s="447">
        <f t="shared" si="31"/>
        <v>237</v>
      </c>
      <c r="H808" s="435"/>
      <c r="I808" s="447">
        <f t="shared" si="32"/>
        <v>0</v>
      </c>
      <c r="J808" s="544"/>
      <c r="K808" s="444" t="s">
        <v>1130</v>
      </c>
      <c r="L808" s="449">
        <v>237</v>
      </c>
      <c r="M808" s="289"/>
      <c r="N808" s="245"/>
      <c r="O808" s="450">
        <v>0</v>
      </c>
      <c r="P808" s="451">
        <f t="shared" si="33"/>
        <v>0</v>
      </c>
      <c r="Q808" s="289"/>
      <c r="R808" s="245"/>
      <c r="S808" s="289"/>
      <c r="T808" s="245"/>
      <c r="U808" s="289"/>
      <c r="V808" s="245"/>
      <c r="W808" s="289"/>
      <c r="X808" s="245"/>
      <c r="Y808" s="289"/>
      <c r="Z808" s="245"/>
    </row>
    <row r="809" spans="1:26" s="436" customFormat="1" ht="15.75" hidden="1" customHeight="1">
      <c r="A809" s="443"/>
      <c r="B809" s="444"/>
      <c r="C809" s="445" t="s">
        <v>1239</v>
      </c>
      <c r="D809" s="543" t="s">
        <v>1240</v>
      </c>
      <c r="E809" s="444" t="s">
        <v>1130</v>
      </c>
      <c r="F809" s="446">
        <f t="shared" si="30"/>
        <v>0</v>
      </c>
      <c r="G809" s="447">
        <f t="shared" si="31"/>
        <v>247</v>
      </c>
      <c r="H809" s="435"/>
      <c r="I809" s="447">
        <f t="shared" si="32"/>
        <v>0</v>
      </c>
      <c r="J809" s="544"/>
      <c r="K809" s="444" t="s">
        <v>1130</v>
      </c>
      <c r="L809" s="449">
        <v>247</v>
      </c>
      <c r="M809" s="289"/>
      <c r="N809" s="245"/>
      <c r="O809" s="450">
        <v>0</v>
      </c>
      <c r="P809" s="451">
        <f t="shared" si="33"/>
        <v>0</v>
      </c>
      <c r="Q809" s="289"/>
      <c r="R809" s="245"/>
      <c r="S809" s="289"/>
      <c r="T809" s="245"/>
      <c r="U809" s="289"/>
      <c r="V809" s="245"/>
      <c r="W809" s="289"/>
      <c r="X809" s="245"/>
      <c r="Y809" s="289"/>
      <c r="Z809" s="245"/>
    </row>
    <row r="810" spans="1:26" s="436" customFormat="1" ht="15.75" hidden="1" customHeight="1">
      <c r="A810" s="443"/>
      <c r="B810" s="444"/>
      <c r="C810" s="445" t="s">
        <v>1241</v>
      </c>
      <c r="D810" s="543" t="s">
        <v>1242</v>
      </c>
      <c r="E810" s="444" t="s">
        <v>1130</v>
      </c>
      <c r="F810" s="446">
        <f t="shared" si="30"/>
        <v>0</v>
      </c>
      <c r="G810" s="447">
        <f t="shared" si="31"/>
        <v>257</v>
      </c>
      <c r="H810" s="435"/>
      <c r="I810" s="447">
        <f t="shared" si="32"/>
        <v>0</v>
      </c>
      <c r="J810" s="544"/>
      <c r="K810" s="444" t="s">
        <v>1130</v>
      </c>
      <c r="L810" s="449">
        <v>257</v>
      </c>
      <c r="M810" s="289"/>
      <c r="N810" s="245"/>
      <c r="O810" s="450">
        <v>0</v>
      </c>
      <c r="P810" s="451">
        <f t="shared" si="33"/>
        <v>0</v>
      </c>
      <c r="Q810" s="289"/>
      <c r="R810" s="245"/>
      <c r="S810" s="289"/>
      <c r="T810" s="245"/>
      <c r="U810" s="289"/>
      <c r="V810" s="245"/>
      <c r="W810" s="289"/>
      <c r="X810" s="245"/>
      <c r="Y810" s="289"/>
      <c r="Z810" s="245"/>
    </row>
    <row r="811" spans="1:26" s="436" customFormat="1" ht="15.75" hidden="1" customHeight="1">
      <c r="A811" s="443"/>
      <c r="B811" s="444"/>
      <c r="C811" s="445" t="s">
        <v>1243</v>
      </c>
      <c r="D811" s="543" t="s">
        <v>1244</v>
      </c>
      <c r="E811" s="444" t="s">
        <v>1130</v>
      </c>
      <c r="F811" s="446">
        <f t="shared" si="30"/>
        <v>0</v>
      </c>
      <c r="G811" s="447">
        <f t="shared" si="31"/>
        <v>450</v>
      </c>
      <c r="H811" s="435"/>
      <c r="I811" s="447">
        <f t="shared" si="32"/>
        <v>0</v>
      </c>
      <c r="J811" s="544"/>
      <c r="K811" s="444" t="s">
        <v>1130</v>
      </c>
      <c r="L811" s="449">
        <v>450</v>
      </c>
      <c r="M811" s="289"/>
      <c r="N811" s="245"/>
      <c r="O811" s="450">
        <v>0</v>
      </c>
      <c r="P811" s="451">
        <f t="shared" si="33"/>
        <v>0</v>
      </c>
      <c r="Q811" s="289"/>
      <c r="R811" s="245"/>
      <c r="S811" s="289"/>
      <c r="T811" s="245"/>
      <c r="U811" s="289"/>
      <c r="V811" s="245"/>
      <c r="W811" s="289"/>
      <c r="X811" s="245"/>
      <c r="Y811" s="289"/>
      <c r="Z811" s="245"/>
    </row>
    <row r="812" spans="1:26" s="436" customFormat="1" ht="15.75" hidden="1" customHeight="1">
      <c r="A812" s="443"/>
      <c r="B812" s="444"/>
      <c r="C812" s="445" t="s">
        <v>1245</v>
      </c>
      <c r="D812" s="543" t="s">
        <v>1246</v>
      </c>
      <c r="E812" s="444" t="s">
        <v>1130</v>
      </c>
      <c r="F812" s="446">
        <f t="shared" si="30"/>
        <v>0</v>
      </c>
      <c r="G812" s="447">
        <f t="shared" si="31"/>
        <v>229</v>
      </c>
      <c r="H812" s="435"/>
      <c r="I812" s="447">
        <f t="shared" si="32"/>
        <v>0</v>
      </c>
      <c r="J812" s="544"/>
      <c r="K812" s="444" t="s">
        <v>1130</v>
      </c>
      <c r="L812" s="449">
        <v>229</v>
      </c>
      <c r="M812" s="289"/>
      <c r="N812" s="245"/>
      <c r="O812" s="450">
        <v>0</v>
      </c>
      <c r="P812" s="451">
        <f t="shared" si="33"/>
        <v>0</v>
      </c>
      <c r="Q812" s="289"/>
      <c r="R812" s="245"/>
      <c r="S812" s="289"/>
      <c r="T812" s="245"/>
      <c r="U812" s="289"/>
      <c r="V812" s="245"/>
      <c r="W812" s="289"/>
      <c r="X812" s="245"/>
      <c r="Y812" s="289"/>
      <c r="Z812" s="245"/>
    </row>
    <row r="813" spans="1:26" s="436" customFormat="1" ht="15.75" hidden="1" customHeight="1">
      <c r="A813" s="443"/>
      <c r="B813" s="444"/>
      <c r="C813" s="445" t="s">
        <v>1247</v>
      </c>
      <c r="D813" s="543" t="s">
        <v>1248</v>
      </c>
      <c r="E813" s="444" t="s">
        <v>1130</v>
      </c>
      <c r="F813" s="446">
        <f t="shared" si="30"/>
        <v>0</v>
      </c>
      <c r="G813" s="447">
        <f t="shared" si="31"/>
        <v>233</v>
      </c>
      <c r="H813" s="435"/>
      <c r="I813" s="447">
        <f t="shared" si="32"/>
        <v>0</v>
      </c>
      <c r="J813" s="544"/>
      <c r="K813" s="444" t="s">
        <v>1130</v>
      </c>
      <c r="L813" s="449">
        <v>233</v>
      </c>
      <c r="M813" s="289"/>
      <c r="N813" s="245"/>
      <c r="O813" s="450">
        <v>0</v>
      </c>
      <c r="P813" s="451">
        <f t="shared" si="33"/>
        <v>0</v>
      </c>
      <c r="Q813" s="289"/>
      <c r="R813" s="245"/>
      <c r="S813" s="289"/>
      <c r="T813" s="245"/>
      <c r="U813" s="289"/>
      <c r="V813" s="245"/>
      <c r="W813" s="289"/>
      <c r="X813" s="245"/>
      <c r="Y813" s="289"/>
      <c r="Z813" s="245"/>
    </row>
    <row r="814" spans="1:26" s="436" customFormat="1" ht="15.75" hidden="1" customHeight="1">
      <c r="A814" s="443"/>
      <c r="B814" s="444"/>
      <c r="C814" s="445" t="s">
        <v>1249</v>
      </c>
      <c r="D814" s="543" t="s">
        <v>1250</v>
      </c>
      <c r="E814" s="444" t="s">
        <v>1130</v>
      </c>
      <c r="F814" s="446">
        <f t="shared" si="30"/>
        <v>0</v>
      </c>
      <c r="G814" s="447">
        <f t="shared" si="31"/>
        <v>240</v>
      </c>
      <c r="H814" s="435"/>
      <c r="I814" s="447">
        <f t="shared" si="32"/>
        <v>0</v>
      </c>
      <c r="J814" s="544"/>
      <c r="K814" s="444" t="s">
        <v>1130</v>
      </c>
      <c r="L814" s="449">
        <v>240</v>
      </c>
      <c r="M814" s="289"/>
      <c r="N814" s="245"/>
      <c r="O814" s="450">
        <v>0</v>
      </c>
      <c r="P814" s="451">
        <f t="shared" si="33"/>
        <v>0</v>
      </c>
      <c r="Q814" s="289"/>
      <c r="R814" s="245"/>
      <c r="S814" s="289"/>
      <c r="T814" s="245"/>
      <c r="U814" s="289"/>
      <c r="V814" s="245"/>
      <c r="W814" s="289"/>
      <c r="X814" s="245"/>
      <c r="Y814" s="289"/>
      <c r="Z814" s="245"/>
    </row>
    <row r="815" spans="1:26" s="436" customFormat="1" ht="15.75" hidden="1" customHeight="1">
      <c r="A815" s="443"/>
      <c r="B815" s="444"/>
      <c r="C815" s="445" t="s">
        <v>1251</v>
      </c>
      <c r="D815" s="543" t="s">
        <v>1252</v>
      </c>
      <c r="E815" s="444" t="s">
        <v>1130</v>
      </c>
      <c r="F815" s="446">
        <f t="shared" si="30"/>
        <v>0</v>
      </c>
      <c r="G815" s="447">
        <f t="shared" si="31"/>
        <v>245</v>
      </c>
      <c r="H815" s="435"/>
      <c r="I815" s="447">
        <f t="shared" si="32"/>
        <v>0</v>
      </c>
      <c r="J815" s="544"/>
      <c r="K815" s="444" t="s">
        <v>1130</v>
      </c>
      <c r="L815" s="449">
        <v>245</v>
      </c>
      <c r="M815" s="289"/>
      <c r="N815" s="245"/>
      <c r="O815" s="450">
        <v>0</v>
      </c>
      <c r="P815" s="451">
        <f t="shared" si="33"/>
        <v>0</v>
      </c>
      <c r="Q815" s="289"/>
      <c r="R815" s="245"/>
      <c r="S815" s="289"/>
      <c r="T815" s="245"/>
      <c r="U815" s="289"/>
      <c r="V815" s="245"/>
      <c r="W815" s="289"/>
      <c r="X815" s="245"/>
      <c r="Y815" s="289"/>
      <c r="Z815" s="245"/>
    </row>
    <row r="816" spans="1:26" s="436" customFormat="1" ht="15.75" hidden="1" customHeight="1">
      <c r="A816" s="443"/>
      <c r="B816" s="444"/>
      <c r="C816" s="445" t="s">
        <v>1253</v>
      </c>
      <c r="D816" s="543" t="s">
        <v>1254</v>
      </c>
      <c r="E816" s="444" t="s">
        <v>1130</v>
      </c>
      <c r="F816" s="446">
        <f t="shared" si="30"/>
        <v>0</v>
      </c>
      <c r="G816" s="447">
        <f t="shared" si="31"/>
        <v>257</v>
      </c>
      <c r="H816" s="435"/>
      <c r="I816" s="447">
        <f t="shared" si="32"/>
        <v>0</v>
      </c>
      <c r="J816" s="544"/>
      <c r="K816" s="444" t="s">
        <v>1130</v>
      </c>
      <c r="L816" s="449">
        <v>257</v>
      </c>
      <c r="M816" s="289"/>
      <c r="N816" s="245"/>
      <c r="O816" s="450">
        <v>0</v>
      </c>
      <c r="P816" s="451">
        <f t="shared" si="33"/>
        <v>0</v>
      </c>
      <c r="Q816" s="289"/>
      <c r="R816" s="245"/>
      <c r="S816" s="289"/>
      <c r="T816" s="245"/>
      <c r="U816" s="289"/>
      <c r="V816" s="245"/>
      <c r="W816" s="289"/>
      <c r="X816" s="245"/>
      <c r="Y816" s="289"/>
      <c r="Z816" s="245"/>
    </row>
    <row r="817" spans="1:26" s="436" customFormat="1" ht="15.75" hidden="1" customHeight="1">
      <c r="A817" s="443"/>
      <c r="B817" s="444"/>
      <c r="C817" s="445" t="s">
        <v>1255</v>
      </c>
      <c r="D817" s="543" t="s">
        <v>1256</v>
      </c>
      <c r="E817" s="444" t="s">
        <v>1130</v>
      </c>
      <c r="F817" s="446">
        <f t="shared" si="30"/>
        <v>0</v>
      </c>
      <c r="G817" s="447">
        <f t="shared" si="31"/>
        <v>267</v>
      </c>
      <c r="H817" s="435"/>
      <c r="I817" s="447">
        <f t="shared" si="32"/>
        <v>0</v>
      </c>
      <c r="J817" s="544"/>
      <c r="K817" s="444" t="s">
        <v>1130</v>
      </c>
      <c r="L817" s="449">
        <v>267</v>
      </c>
      <c r="M817" s="289"/>
      <c r="N817" s="245"/>
      <c r="O817" s="450">
        <v>0</v>
      </c>
      <c r="P817" s="451">
        <f t="shared" si="33"/>
        <v>0</v>
      </c>
      <c r="Q817" s="289"/>
      <c r="R817" s="245"/>
      <c r="S817" s="289"/>
      <c r="T817" s="245"/>
      <c r="U817" s="289"/>
      <c r="V817" s="245"/>
      <c r="W817" s="289"/>
      <c r="X817" s="245"/>
      <c r="Y817" s="289"/>
      <c r="Z817" s="245"/>
    </row>
    <row r="818" spans="1:26" s="436" customFormat="1" ht="15.75" hidden="1" customHeight="1">
      <c r="A818" s="443"/>
      <c r="B818" s="444"/>
      <c r="C818" s="445" t="s">
        <v>1257</v>
      </c>
      <c r="D818" s="543" t="s">
        <v>1258</v>
      </c>
      <c r="E818" s="444" t="s">
        <v>1130</v>
      </c>
      <c r="F818" s="446">
        <f t="shared" si="30"/>
        <v>0</v>
      </c>
      <c r="G818" s="447">
        <f t="shared" si="31"/>
        <v>280</v>
      </c>
      <c r="H818" s="435"/>
      <c r="I818" s="447">
        <f t="shared" si="32"/>
        <v>0</v>
      </c>
      <c r="J818" s="544"/>
      <c r="K818" s="444" t="s">
        <v>1130</v>
      </c>
      <c r="L818" s="449">
        <v>280</v>
      </c>
      <c r="M818" s="289"/>
      <c r="N818" s="245"/>
      <c r="O818" s="450">
        <v>0</v>
      </c>
      <c r="P818" s="451">
        <f t="shared" si="33"/>
        <v>0</v>
      </c>
      <c r="Q818" s="289"/>
      <c r="R818" s="245"/>
      <c r="S818" s="289"/>
      <c r="T818" s="245"/>
      <c r="U818" s="289"/>
      <c r="V818" s="245"/>
      <c r="W818" s="289"/>
      <c r="X818" s="245"/>
      <c r="Y818" s="289"/>
      <c r="Z818" s="245"/>
    </row>
    <row r="819" spans="1:26" s="436" customFormat="1" ht="15.75" hidden="1" customHeight="1">
      <c r="A819" s="443"/>
      <c r="B819" s="444"/>
      <c r="C819" s="445" t="s">
        <v>1259</v>
      </c>
      <c r="D819" s="543" t="s">
        <v>1260</v>
      </c>
      <c r="E819" s="444" t="s">
        <v>1130</v>
      </c>
      <c r="F819" s="446">
        <f t="shared" si="30"/>
        <v>0</v>
      </c>
      <c r="G819" s="447">
        <f t="shared" si="31"/>
        <v>370</v>
      </c>
      <c r="H819" s="435"/>
      <c r="I819" s="447">
        <f t="shared" si="32"/>
        <v>0</v>
      </c>
      <c r="J819" s="544"/>
      <c r="K819" s="444" t="s">
        <v>1130</v>
      </c>
      <c r="L819" s="449">
        <v>370</v>
      </c>
      <c r="M819" s="289"/>
      <c r="N819" s="245"/>
      <c r="O819" s="450">
        <v>0</v>
      </c>
      <c r="P819" s="451">
        <f t="shared" si="33"/>
        <v>0</v>
      </c>
      <c r="Q819" s="289"/>
      <c r="R819" s="245"/>
      <c r="S819" s="289"/>
      <c r="T819" s="245"/>
      <c r="U819" s="289"/>
      <c r="V819" s="245"/>
      <c r="W819" s="289"/>
      <c r="X819" s="245"/>
      <c r="Y819" s="289"/>
      <c r="Z819" s="245"/>
    </row>
    <row r="820" spans="1:26" s="436" customFormat="1" ht="15.75" hidden="1" customHeight="1">
      <c r="A820" s="443"/>
      <c r="B820" s="444"/>
      <c r="C820" s="445" t="s">
        <v>1261</v>
      </c>
      <c r="D820" s="543" t="s">
        <v>1262</v>
      </c>
      <c r="E820" s="444" t="s">
        <v>1130</v>
      </c>
      <c r="F820" s="446">
        <f t="shared" si="30"/>
        <v>0</v>
      </c>
      <c r="G820" s="447">
        <f t="shared" si="31"/>
        <v>600</v>
      </c>
      <c r="H820" s="435"/>
      <c r="I820" s="447">
        <f t="shared" si="32"/>
        <v>0</v>
      </c>
      <c r="J820" s="544"/>
      <c r="K820" s="444" t="s">
        <v>1130</v>
      </c>
      <c r="L820" s="449">
        <v>600</v>
      </c>
      <c r="M820" s="289"/>
      <c r="N820" s="245"/>
      <c r="O820" s="450">
        <v>0</v>
      </c>
      <c r="P820" s="451">
        <f t="shared" si="33"/>
        <v>0</v>
      </c>
      <c r="Q820" s="289"/>
      <c r="R820" s="245"/>
      <c r="S820" s="289"/>
      <c r="T820" s="245"/>
      <c r="U820" s="289"/>
      <c r="V820" s="245"/>
      <c r="W820" s="289"/>
      <c r="X820" s="245"/>
      <c r="Y820" s="289"/>
      <c r="Z820" s="245"/>
    </row>
    <row r="821" spans="1:26" s="436" customFormat="1" ht="15.75" hidden="1" customHeight="1">
      <c r="A821" s="443"/>
      <c r="B821" s="444"/>
      <c r="C821" s="445" t="s">
        <v>1263</v>
      </c>
      <c r="D821" s="543" t="s">
        <v>1264</v>
      </c>
      <c r="E821" s="444" t="s">
        <v>1130</v>
      </c>
      <c r="F821" s="446">
        <f t="shared" si="30"/>
        <v>0</v>
      </c>
      <c r="G821" s="447">
        <f t="shared" si="31"/>
        <v>260</v>
      </c>
      <c r="H821" s="435"/>
      <c r="I821" s="447">
        <f t="shared" si="32"/>
        <v>0</v>
      </c>
      <c r="J821" s="544"/>
      <c r="K821" s="444" t="s">
        <v>1130</v>
      </c>
      <c r="L821" s="449">
        <v>260</v>
      </c>
      <c r="M821" s="289"/>
      <c r="N821" s="245"/>
      <c r="O821" s="450">
        <v>0</v>
      </c>
      <c r="P821" s="451">
        <f t="shared" si="33"/>
        <v>0</v>
      </c>
      <c r="Q821" s="289"/>
      <c r="R821" s="245"/>
      <c r="S821" s="289"/>
      <c r="T821" s="245"/>
      <c r="U821" s="289"/>
      <c r="V821" s="245"/>
      <c r="W821" s="289"/>
      <c r="X821" s="245"/>
      <c r="Y821" s="289"/>
      <c r="Z821" s="245"/>
    </row>
    <row r="822" spans="1:26" s="436" customFormat="1" ht="15.75" hidden="1" customHeight="1">
      <c r="A822" s="443"/>
      <c r="B822" s="444"/>
      <c r="C822" s="445" t="s">
        <v>1265</v>
      </c>
      <c r="D822" s="543" t="s">
        <v>1266</v>
      </c>
      <c r="E822" s="444" t="s">
        <v>1130</v>
      </c>
      <c r="F822" s="446">
        <f t="shared" si="30"/>
        <v>0</v>
      </c>
      <c r="G822" s="447">
        <f t="shared" si="31"/>
        <v>265</v>
      </c>
      <c r="H822" s="435"/>
      <c r="I822" s="447">
        <f t="shared" si="32"/>
        <v>0</v>
      </c>
      <c r="J822" s="544"/>
      <c r="K822" s="444" t="s">
        <v>1130</v>
      </c>
      <c r="L822" s="449">
        <v>265</v>
      </c>
      <c r="M822" s="289"/>
      <c r="N822" s="245"/>
      <c r="O822" s="450">
        <v>0</v>
      </c>
      <c r="P822" s="451">
        <f t="shared" si="33"/>
        <v>0</v>
      </c>
      <c r="Q822" s="289"/>
      <c r="R822" s="245"/>
      <c r="S822" s="289"/>
      <c r="T822" s="245"/>
      <c r="U822" s="289"/>
      <c r="V822" s="245"/>
      <c r="W822" s="289"/>
      <c r="X822" s="245"/>
      <c r="Y822" s="289"/>
      <c r="Z822" s="245"/>
    </row>
    <row r="823" spans="1:26" s="436" customFormat="1" ht="15.75" hidden="1" customHeight="1">
      <c r="A823" s="443"/>
      <c r="B823" s="444"/>
      <c r="C823" s="445" t="s">
        <v>1267</v>
      </c>
      <c r="D823" s="543" t="s">
        <v>1268</v>
      </c>
      <c r="E823" s="444" t="s">
        <v>1130</v>
      </c>
      <c r="F823" s="446">
        <f t="shared" si="30"/>
        <v>0</v>
      </c>
      <c r="G823" s="447">
        <f t="shared" si="31"/>
        <v>271</v>
      </c>
      <c r="H823" s="435"/>
      <c r="I823" s="447">
        <f t="shared" si="32"/>
        <v>0</v>
      </c>
      <c r="J823" s="544"/>
      <c r="K823" s="444" t="s">
        <v>1130</v>
      </c>
      <c r="L823" s="449">
        <v>271</v>
      </c>
      <c r="M823" s="289"/>
      <c r="N823" s="245"/>
      <c r="O823" s="450">
        <v>0</v>
      </c>
      <c r="P823" s="451">
        <f t="shared" si="33"/>
        <v>0</v>
      </c>
      <c r="Q823" s="289"/>
      <c r="R823" s="245"/>
      <c r="S823" s="289"/>
      <c r="T823" s="245"/>
      <c r="U823" s="289"/>
      <c r="V823" s="245"/>
      <c r="W823" s="289"/>
      <c r="X823" s="245"/>
      <c r="Y823" s="289"/>
      <c r="Z823" s="245"/>
    </row>
    <row r="824" spans="1:26" s="436" customFormat="1" ht="15.75" hidden="1" customHeight="1">
      <c r="A824" s="443"/>
      <c r="B824" s="444"/>
      <c r="C824" s="445" t="s">
        <v>1269</v>
      </c>
      <c r="D824" s="543" t="s">
        <v>1270</v>
      </c>
      <c r="E824" s="444" t="s">
        <v>1130</v>
      </c>
      <c r="F824" s="446">
        <f t="shared" si="30"/>
        <v>0</v>
      </c>
      <c r="G824" s="447">
        <f t="shared" si="31"/>
        <v>275</v>
      </c>
      <c r="H824" s="435"/>
      <c r="I824" s="447">
        <f t="shared" si="32"/>
        <v>0</v>
      </c>
      <c r="J824" s="544"/>
      <c r="K824" s="444" t="s">
        <v>1130</v>
      </c>
      <c r="L824" s="449">
        <v>275</v>
      </c>
      <c r="M824" s="289"/>
      <c r="N824" s="245"/>
      <c r="O824" s="450">
        <v>0</v>
      </c>
      <c r="P824" s="451">
        <f t="shared" si="33"/>
        <v>0</v>
      </c>
      <c r="Q824" s="289"/>
      <c r="R824" s="245"/>
      <c r="S824" s="289"/>
      <c r="T824" s="245"/>
      <c r="U824" s="289"/>
      <c r="V824" s="245"/>
      <c r="W824" s="289"/>
      <c r="X824" s="245"/>
      <c r="Y824" s="289"/>
      <c r="Z824" s="245"/>
    </row>
    <row r="825" spans="1:26" s="436" customFormat="1" ht="15.75" hidden="1" customHeight="1">
      <c r="A825" s="443"/>
      <c r="B825" s="444"/>
      <c r="C825" s="445" t="s">
        <v>1271</v>
      </c>
      <c r="D825" s="543" t="s">
        <v>1272</v>
      </c>
      <c r="E825" s="444" t="s">
        <v>1130</v>
      </c>
      <c r="F825" s="446">
        <f t="shared" si="30"/>
        <v>0</v>
      </c>
      <c r="G825" s="447">
        <f t="shared" si="31"/>
        <v>287</v>
      </c>
      <c r="H825" s="435"/>
      <c r="I825" s="447">
        <f t="shared" si="32"/>
        <v>0</v>
      </c>
      <c r="J825" s="544"/>
      <c r="K825" s="444" t="s">
        <v>1130</v>
      </c>
      <c r="L825" s="449">
        <v>287</v>
      </c>
      <c r="M825" s="289"/>
      <c r="N825" s="245"/>
      <c r="O825" s="450">
        <v>0</v>
      </c>
      <c r="P825" s="451">
        <f t="shared" si="33"/>
        <v>0</v>
      </c>
      <c r="Q825" s="289"/>
      <c r="R825" s="245"/>
      <c r="S825" s="289"/>
      <c r="T825" s="245"/>
      <c r="U825" s="289"/>
      <c r="V825" s="245"/>
      <c r="W825" s="289"/>
      <c r="X825" s="245"/>
      <c r="Y825" s="289"/>
      <c r="Z825" s="245"/>
    </row>
    <row r="826" spans="1:26" s="436" customFormat="1" ht="15.75" hidden="1" customHeight="1">
      <c r="A826" s="443"/>
      <c r="B826" s="444"/>
      <c r="C826" s="445" t="s">
        <v>1273</v>
      </c>
      <c r="D826" s="543" t="s">
        <v>1274</v>
      </c>
      <c r="E826" s="444" t="s">
        <v>1130</v>
      </c>
      <c r="F826" s="446">
        <f t="shared" si="30"/>
        <v>0</v>
      </c>
      <c r="G826" s="447">
        <f t="shared" si="31"/>
        <v>300</v>
      </c>
      <c r="H826" s="435"/>
      <c r="I826" s="447">
        <f t="shared" si="32"/>
        <v>0</v>
      </c>
      <c r="J826" s="544"/>
      <c r="K826" s="444" t="s">
        <v>1130</v>
      </c>
      <c r="L826" s="449">
        <v>300</v>
      </c>
      <c r="M826" s="289"/>
      <c r="N826" s="245"/>
      <c r="O826" s="450">
        <v>0</v>
      </c>
      <c r="P826" s="451">
        <f t="shared" si="33"/>
        <v>0</v>
      </c>
      <c r="Q826" s="289"/>
      <c r="R826" s="245"/>
      <c r="S826" s="289"/>
      <c r="T826" s="245"/>
      <c r="U826" s="289"/>
      <c r="V826" s="245"/>
      <c r="W826" s="289"/>
      <c r="X826" s="245"/>
      <c r="Y826" s="289"/>
      <c r="Z826" s="245"/>
    </row>
    <row r="827" spans="1:26" s="436" customFormat="1" ht="15.75" hidden="1" customHeight="1">
      <c r="A827" s="443"/>
      <c r="B827" s="444"/>
      <c r="C827" s="445" t="s">
        <v>1275</v>
      </c>
      <c r="D827" s="543" t="s">
        <v>1276</v>
      </c>
      <c r="E827" s="444" t="s">
        <v>1130</v>
      </c>
      <c r="F827" s="446">
        <f t="shared" si="30"/>
        <v>0</v>
      </c>
      <c r="G827" s="447">
        <f t="shared" si="31"/>
        <v>310</v>
      </c>
      <c r="H827" s="435"/>
      <c r="I827" s="447">
        <f t="shared" si="32"/>
        <v>0</v>
      </c>
      <c r="J827" s="544"/>
      <c r="K827" s="444" t="s">
        <v>1130</v>
      </c>
      <c r="L827" s="449">
        <v>310</v>
      </c>
      <c r="M827" s="289"/>
      <c r="N827" s="245"/>
      <c r="O827" s="450">
        <v>0</v>
      </c>
      <c r="P827" s="451">
        <f t="shared" si="33"/>
        <v>0</v>
      </c>
      <c r="Q827" s="289"/>
      <c r="R827" s="245"/>
      <c r="S827" s="289"/>
      <c r="T827" s="245"/>
      <c r="U827" s="289"/>
      <c r="V827" s="245"/>
      <c r="W827" s="289"/>
      <c r="X827" s="245"/>
      <c r="Y827" s="289"/>
      <c r="Z827" s="245"/>
    </row>
    <row r="828" spans="1:26" s="436" customFormat="1" ht="15.75" hidden="1" customHeight="1">
      <c r="A828" s="443"/>
      <c r="B828" s="444"/>
      <c r="C828" s="445" t="s">
        <v>1277</v>
      </c>
      <c r="D828" s="543" t="s">
        <v>1278</v>
      </c>
      <c r="E828" s="444" t="s">
        <v>1130</v>
      </c>
      <c r="F828" s="446">
        <f t="shared" si="30"/>
        <v>0</v>
      </c>
      <c r="G828" s="447">
        <f t="shared" si="31"/>
        <v>366</v>
      </c>
      <c r="H828" s="435"/>
      <c r="I828" s="447">
        <f t="shared" si="32"/>
        <v>0</v>
      </c>
      <c r="J828" s="544"/>
      <c r="K828" s="444" t="s">
        <v>1130</v>
      </c>
      <c r="L828" s="449">
        <v>366</v>
      </c>
      <c r="M828" s="289"/>
      <c r="N828" s="245"/>
      <c r="O828" s="450">
        <v>0</v>
      </c>
      <c r="P828" s="451">
        <f t="shared" si="33"/>
        <v>0</v>
      </c>
      <c r="Q828" s="289"/>
      <c r="R828" s="245"/>
      <c r="S828" s="289"/>
      <c r="T828" s="245"/>
      <c r="U828" s="289"/>
      <c r="V828" s="245"/>
      <c r="W828" s="289"/>
      <c r="X828" s="245"/>
      <c r="Y828" s="289"/>
      <c r="Z828" s="245"/>
    </row>
    <row r="829" spans="1:26" s="436" customFormat="1" ht="15.75" hidden="1" customHeight="1">
      <c r="A829" s="443"/>
      <c r="B829" s="444"/>
      <c r="C829" s="445" t="s">
        <v>1279</v>
      </c>
      <c r="D829" s="543" t="s">
        <v>1300</v>
      </c>
      <c r="E829" s="444" t="s">
        <v>1130</v>
      </c>
      <c r="F829" s="446">
        <f t="shared" si="30"/>
        <v>0</v>
      </c>
      <c r="G829" s="447">
        <f t="shared" si="31"/>
        <v>415</v>
      </c>
      <c r="H829" s="435"/>
      <c r="I829" s="447">
        <f t="shared" si="32"/>
        <v>0</v>
      </c>
      <c r="J829" s="544"/>
      <c r="K829" s="444" t="s">
        <v>1130</v>
      </c>
      <c r="L829" s="449">
        <v>415</v>
      </c>
      <c r="M829" s="289"/>
      <c r="N829" s="245"/>
      <c r="O829" s="450">
        <v>0</v>
      </c>
      <c r="P829" s="451">
        <f t="shared" si="33"/>
        <v>0</v>
      </c>
      <c r="Q829" s="289"/>
      <c r="R829" s="245"/>
      <c r="S829" s="289"/>
      <c r="T829" s="245"/>
      <c r="U829" s="289"/>
      <c r="V829" s="245"/>
      <c r="W829" s="289"/>
      <c r="X829" s="245"/>
      <c r="Y829" s="289"/>
      <c r="Z829" s="245"/>
    </row>
    <row r="830" spans="1:26" s="436" customFormat="1" ht="15.75" hidden="1" customHeight="1">
      <c r="A830" s="443"/>
      <c r="B830" s="444"/>
      <c r="C830" s="445" t="s">
        <v>1301</v>
      </c>
      <c r="D830" s="543" t="s">
        <v>1302</v>
      </c>
      <c r="E830" s="444" t="s">
        <v>1130</v>
      </c>
      <c r="F830" s="446">
        <f t="shared" si="30"/>
        <v>0</v>
      </c>
      <c r="G830" s="447">
        <f t="shared" si="31"/>
        <v>720</v>
      </c>
      <c r="H830" s="435"/>
      <c r="I830" s="447">
        <f t="shared" si="32"/>
        <v>0</v>
      </c>
      <c r="J830" s="544"/>
      <c r="K830" s="444" t="s">
        <v>1130</v>
      </c>
      <c r="L830" s="449">
        <v>720</v>
      </c>
      <c r="M830" s="289"/>
      <c r="N830" s="245"/>
      <c r="O830" s="450">
        <v>0</v>
      </c>
      <c r="P830" s="451">
        <f t="shared" si="33"/>
        <v>0</v>
      </c>
      <c r="Q830" s="289"/>
      <c r="R830" s="245"/>
      <c r="S830" s="289"/>
      <c r="T830" s="245"/>
      <c r="U830" s="289"/>
      <c r="V830" s="245"/>
      <c r="W830" s="289"/>
      <c r="X830" s="245"/>
      <c r="Y830" s="289"/>
      <c r="Z830" s="245"/>
    </row>
    <row r="831" spans="1:26" s="436" customFormat="1" ht="15.75" hidden="1" customHeight="1">
      <c r="A831" s="443"/>
      <c r="B831" s="444"/>
      <c r="C831" s="445" t="s">
        <v>1303</v>
      </c>
      <c r="D831" s="543" t="s">
        <v>1304</v>
      </c>
      <c r="E831" s="444" t="s">
        <v>1130</v>
      </c>
      <c r="F831" s="446">
        <f t="shared" si="30"/>
        <v>0</v>
      </c>
      <c r="G831" s="447">
        <f t="shared" si="31"/>
        <v>325</v>
      </c>
      <c r="H831" s="435"/>
      <c r="I831" s="447">
        <f t="shared" si="32"/>
        <v>0</v>
      </c>
      <c r="J831" s="544"/>
      <c r="K831" s="444" t="s">
        <v>1130</v>
      </c>
      <c r="L831" s="449">
        <v>325</v>
      </c>
      <c r="M831" s="289"/>
      <c r="N831" s="245"/>
      <c r="O831" s="450">
        <v>0</v>
      </c>
      <c r="P831" s="451">
        <f t="shared" si="33"/>
        <v>0</v>
      </c>
      <c r="Q831" s="289"/>
      <c r="R831" s="245"/>
      <c r="S831" s="289"/>
      <c r="T831" s="245"/>
      <c r="U831" s="289"/>
      <c r="V831" s="245"/>
      <c r="W831" s="289"/>
      <c r="X831" s="245"/>
      <c r="Y831" s="289"/>
      <c r="Z831" s="245"/>
    </row>
    <row r="832" spans="1:26" s="436" customFormat="1" ht="15.75" hidden="1" customHeight="1">
      <c r="A832" s="443"/>
      <c r="B832" s="444"/>
      <c r="C832" s="445" t="s">
        <v>1305</v>
      </c>
      <c r="D832" s="543" t="s">
        <v>1306</v>
      </c>
      <c r="E832" s="444" t="s">
        <v>1130</v>
      </c>
      <c r="F832" s="446">
        <f t="shared" si="30"/>
        <v>0</v>
      </c>
      <c r="G832" s="447">
        <f t="shared" si="31"/>
        <v>330</v>
      </c>
      <c r="H832" s="435"/>
      <c r="I832" s="447">
        <f t="shared" si="32"/>
        <v>0</v>
      </c>
      <c r="J832" s="544"/>
      <c r="K832" s="444" t="s">
        <v>1130</v>
      </c>
      <c r="L832" s="449">
        <v>330</v>
      </c>
      <c r="M832" s="289"/>
      <c r="N832" s="245"/>
      <c r="O832" s="450">
        <v>0</v>
      </c>
      <c r="P832" s="451">
        <f t="shared" si="33"/>
        <v>0</v>
      </c>
      <c r="Q832" s="289"/>
      <c r="R832" s="245"/>
      <c r="S832" s="289"/>
      <c r="T832" s="245"/>
      <c r="U832" s="289"/>
      <c r="V832" s="245"/>
      <c r="W832" s="289"/>
      <c r="X832" s="245"/>
      <c r="Y832" s="289"/>
      <c r="Z832" s="245"/>
    </row>
    <row r="833" spans="1:26" s="436" customFormat="1" ht="15.75" hidden="1" customHeight="1">
      <c r="A833" s="443"/>
      <c r="B833" s="444"/>
      <c r="C833" s="445" t="s">
        <v>1307</v>
      </c>
      <c r="D833" s="543" t="s">
        <v>1308</v>
      </c>
      <c r="E833" s="444" t="s">
        <v>1130</v>
      </c>
      <c r="F833" s="446">
        <f t="shared" si="30"/>
        <v>0</v>
      </c>
      <c r="G833" s="447">
        <f t="shared" si="31"/>
        <v>336</v>
      </c>
      <c r="H833" s="435"/>
      <c r="I833" s="447">
        <f t="shared" si="32"/>
        <v>0</v>
      </c>
      <c r="J833" s="544"/>
      <c r="K833" s="444" t="s">
        <v>1130</v>
      </c>
      <c r="L833" s="449">
        <v>336</v>
      </c>
      <c r="M833" s="289"/>
      <c r="N833" s="245"/>
      <c r="O833" s="450">
        <v>0</v>
      </c>
      <c r="P833" s="451">
        <f t="shared" si="33"/>
        <v>0</v>
      </c>
      <c r="Q833" s="289"/>
      <c r="R833" s="245"/>
      <c r="S833" s="289"/>
      <c r="T833" s="245"/>
      <c r="U833" s="289"/>
      <c r="V833" s="245"/>
      <c r="W833" s="289"/>
      <c r="X833" s="245"/>
      <c r="Y833" s="289"/>
      <c r="Z833" s="245"/>
    </row>
    <row r="834" spans="1:26" s="436" customFormat="1" ht="15.75" hidden="1" customHeight="1">
      <c r="A834" s="443"/>
      <c r="B834" s="444"/>
      <c r="C834" s="445" t="s">
        <v>1309</v>
      </c>
      <c r="D834" s="543" t="s">
        <v>1310</v>
      </c>
      <c r="E834" s="444" t="s">
        <v>1130</v>
      </c>
      <c r="F834" s="446">
        <f t="shared" si="30"/>
        <v>0</v>
      </c>
      <c r="G834" s="447">
        <f t="shared" si="31"/>
        <v>340</v>
      </c>
      <c r="H834" s="435"/>
      <c r="I834" s="447">
        <f t="shared" si="32"/>
        <v>0</v>
      </c>
      <c r="J834" s="544"/>
      <c r="K834" s="444" t="s">
        <v>1130</v>
      </c>
      <c r="L834" s="449">
        <v>340</v>
      </c>
      <c r="M834" s="289"/>
      <c r="N834" s="245"/>
      <c r="O834" s="450">
        <v>0</v>
      </c>
      <c r="P834" s="451">
        <f t="shared" si="33"/>
        <v>0</v>
      </c>
      <c r="Q834" s="289"/>
      <c r="R834" s="245"/>
      <c r="S834" s="289"/>
      <c r="T834" s="245"/>
      <c r="U834" s="289"/>
      <c r="V834" s="245"/>
      <c r="W834" s="289"/>
      <c r="X834" s="245"/>
      <c r="Y834" s="289"/>
      <c r="Z834" s="245"/>
    </row>
    <row r="835" spans="1:26" s="436" customFormat="1" ht="15.75" hidden="1" customHeight="1">
      <c r="A835" s="443"/>
      <c r="B835" s="444"/>
      <c r="C835" s="445" t="s">
        <v>1311</v>
      </c>
      <c r="D835" s="543" t="s">
        <v>13</v>
      </c>
      <c r="E835" s="444" t="s">
        <v>1130</v>
      </c>
      <c r="F835" s="446">
        <f t="shared" si="30"/>
        <v>0</v>
      </c>
      <c r="G835" s="447">
        <f t="shared" si="31"/>
        <v>355</v>
      </c>
      <c r="H835" s="435"/>
      <c r="I835" s="447">
        <f t="shared" si="32"/>
        <v>0</v>
      </c>
      <c r="J835" s="544"/>
      <c r="K835" s="444" t="s">
        <v>1130</v>
      </c>
      <c r="L835" s="449">
        <v>355</v>
      </c>
      <c r="M835" s="289"/>
      <c r="N835" s="245"/>
      <c r="O835" s="450">
        <v>0</v>
      </c>
      <c r="P835" s="451">
        <f t="shared" si="33"/>
        <v>0</v>
      </c>
      <c r="Q835" s="289"/>
      <c r="R835" s="245"/>
      <c r="S835" s="289"/>
      <c r="T835" s="245"/>
      <c r="U835" s="289"/>
      <c r="V835" s="245"/>
      <c r="W835" s="289"/>
      <c r="X835" s="245"/>
      <c r="Y835" s="289"/>
      <c r="Z835" s="245"/>
    </row>
    <row r="836" spans="1:26" s="436" customFormat="1" ht="15.75" hidden="1" customHeight="1">
      <c r="A836" s="443"/>
      <c r="B836" s="444"/>
      <c r="C836" s="445" t="s">
        <v>14</v>
      </c>
      <c r="D836" s="543" t="s">
        <v>15</v>
      </c>
      <c r="E836" s="444" t="s">
        <v>1130</v>
      </c>
      <c r="F836" s="446">
        <f t="shared" si="30"/>
        <v>0</v>
      </c>
      <c r="G836" s="447">
        <f t="shared" si="31"/>
        <v>365</v>
      </c>
      <c r="H836" s="435"/>
      <c r="I836" s="447">
        <f t="shared" si="32"/>
        <v>0</v>
      </c>
      <c r="J836" s="544"/>
      <c r="K836" s="444" t="s">
        <v>1130</v>
      </c>
      <c r="L836" s="449">
        <v>365</v>
      </c>
      <c r="M836" s="289"/>
      <c r="N836" s="245"/>
      <c r="O836" s="450">
        <v>0</v>
      </c>
      <c r="P836" s="451">
        <f t="shared" si="33"/>
        <v>0</v>
      </c>
      <c r="Q836" s="289"/>
      <c r="R836" s="245"/>
      <c r="S836" s="289"/>
      <c r="T836" s="245"/>
      <c r="U836" s="289"/>
      <c r="V836" s="245"/>
      <c r="W836" s="289"/>
      <c r="X836" s="245"/>
      <c r="Y836" s="289"/>
      <c r="Z836" s="245"/>
    </row>
    <row r="837" spans="1:26" s="436" customFormat="1" ht="15.75" hidden="1" customHeight="1">
      <c r="A837" s="443"/>
      <c r="B837" s="444"/>
      <c r="C837" s="445" t="s">
        <v>16</v>
      </c>
      <c r="D837" s="543" t="s">
        <v>17</v>
      </c>
      <c r="E837" s="444" t="s">
        <v>1130</v>
      </c>
      <c r="F837" s="446">
        <f t="shared" si="30"/>
        <v>0</v>
      </c>
      <c r="G837" s="447">
        <f t="shared" si="31"/>
        <v>375</v>
      </c>
      <c r="H837" s="435"/>
      <c r="I837" s="447">
        <f t="shared" si="32"/>
        <v>0</v>
      </c>
      <c r="J837" s="544"/>
      <c r="K837" s="444" t="s">
        <v>1130</v>
      </c>
      <c r="L837" s="449">
        <v>375</v>
      </c>
      <c r="M837" s="289"/>
      <c r="N837" s="245"/>
      <c r="O837" s="450">
        <v>0</v>
      </c>
      <c r="P837" s="451">
        <f t="shared" si="33"/>
        <v>0</v>
      </c>
      <c r="Q837" s="289"/>
      <c r="R837" s="245"/>
      <c r="S837" s="289"/>
      <c r="T837" s="245"/>
      <c r="U837" s="289"/>
      <c r="V837" s="245"/>
      <c r="W837" s="289"/>
      <c r="X837" s="245"/>
      <c r="Y837" s="289"/>
      <c r="Z837" s="245"/>
    </row>
    <row r="838" spans="1:26" s="436" customFormat="1" ht="15.75" hidden="1" customHeight="1">
      <c r="A838" s="443"/>
      <c r="B838" s="444"/>
      <c r="C838" s="445" t="s">
        <v>18</v>
      </c>
      <c r="D838" s="543" t="s">
        <v>19</v>
      </c>
      <c r="E838" s="444" t="s">
        <v>1130</v>
      </c>
      <c r="F838" s="446">
        <f t="shared" si="30"/>
        <v>0</v>
      </c>
      <c r="G838" s="447">
        <f t="shared" si="31"/>
        <v>430</v>
      </c>
      <c r="H838" s="435"/>
      <c r="I838" s="447">
        <f t="shared" si="32"/>
        <v>0</v>
      </c>
      <c r="J838" s="544"/>
      <c r="K838" s="444" t="s">
        <v>1130</v>
      </c>
      <c r="L838" s="449">
        <v>430</v>
      </c>
      <c r="M838" s="289"/>
      <c r="N838" s="245"/>
      <c r="O838" s="450">
        <v>0</v>
      </c>
      <c r="P838" s="451">
        <f t="shared" si="33"/>
        <v>0</v>
      </c>
      <c r="Q838" s="289"/>
      <c r="R838" s="245"/>
      <c r="S838" s="289"/>
      <c r="T838" s="245"/>
      <c r="U838" s="289"/>
      <c r="V838" s="245"/>
      <c r="W838" s="289"/>
      <c r="X838" s="245"/>
      <c r="Y838" s="289"/>
      <c r="Z838" s="245"/>
    </row>
    <row r="839" spans="1:26" s="436" customFormat="1" ht="15.75" hidden="1" customHeight="1">
      <c r="A839" s="443"/>
      <c r="B839" s="444"/>
      <c r="C839" s="445" t="s">
        <v>20</v>
      </c>
      <c r="D839" s="543" t="s">
        <v>21</v>
      </c>
      <c r="E839" s="444" t="s">
        <v>1130</v>
      </c>
      <c r="F839" s="446">
        <f t="shared" si="30"/>
        <v>0</v>
      </c>
      <c r="G839" s="447">
        <f t="shared" si="31"/>
        <v>485</v>
      </c>
      <c r="H839" s="435"/>
      <c r="I839" s="447">
        <f t="shared" si="32"/>
        <v>0</v>
      </c>
      <c r="J839" s="544"/>
      <c r="K839" s="444" t="s">
        <v>1130</v>
      </c>
      <c r="L839" s="449">
        <v>485</v>
      </c>
      <c r="M839" s="289"/>
      <c r="N839" s="245"/>
      <c r="O839" s="450">
        <v>0</v>
      </c>
      <c r="P839" s="451">
        <f t="shared" si="33"/>
        <v>0</v>
      </c>
      <c r="Q839" s="289"/>
      <c r="R839" s="245"/>
      <c r="S839" s="289"/>
      <c r="T839" s="245"/>
      <c r="U839" s="289"/>
      <c r="V839" s="245"/>
      <c r="W839" s="289"/>
      <c r="X839" s="245"/>
      <c r="Y839" s="289"/>
      <c r="Z839" s="245"/>
    </row>
    <row r="840" spans="1:26" s="436" customFormat="1" ht="15.75" hidden="1" customHeight="1">
      <c r="A840" s="443"/>
      <c r="B840" s="444"/>
      <c r="C840" s="445" t="s">
        <v>22</v>
      </c>
      <c r="D840" s="543" t="s">
        <v>1458</v>
      </c>
      <c r="E840" s="444" t="s">
        <v>1130</v>
      </c>
      <c r="F840" s="446">
        <f t="shared" si="30"/>
        <v>0</v>
      </c>
      <c r="G840" s="447">
        <f t="shared" si="31"/>
        <v>560</v>
      </c>
      <c r="H840" s="435"/>
      <c r="I840" s="447">
        <f t="shared" si="32"/>
        <v>0</v>
      </c>
      <c r="J840" s="544"/>
      <c r="K840" s="444" t="s">
        <v>1130</v>
      </c>
      <c r="L840" s="449">
        <v>560</v>
      </c>
      <c r="M840" s="289"/>
      <c r="N840" s="245"/>
      <c r="O840" s="450">
        <v>0</v>
      </c>
      <c r="P840" s="451">
        <f t="shared" si="33"/>
        <v>0</v>
      </c>
      <c r="Q840" s="289"/>
      <c r="R840" s="245"/>
      <c r="S840" s="289"/>
      <c r="T840" s="245"/>
      <c r="U840" s="289"/>
      <c r="V840" s="245"/>
      <c r="W840" s="289"/>
      <c r="X840" s="245"/>
      <c r="Y840" s="289"/>
      <c r="Z840" s="245"/>
    </row>
    <row r="841" spans="1:26" s="436" customFormat="1" ht="15.75" hidden="1" customHeight="1">
      <c r="A841" s="443"/>
      <c r="B841" s="444"/>
      <c r="C841" s="445" t="s">
        <v>1459</v>
      </c>
      <c r="D841" s="543" t="s">
        <v>1460</v>
      </c>
      <c r="E841" s="444" t="s">
        <v>1130</v>
      </c>
      <c r="F841" s="446">
        <f t="shared" ref="F841:F849" si="34">M841+O841+Q841+S841+U841+W841+Y841</f>
        <v>0</v>
      </c>
      <c r="G841" s="447">
        <f t="shared" ref="G841:G849" si="35">L841</f>
        <v>1000</v>
      </c>
      <c r="H841" s="435"/>
      <c r="I841" s="447">
        <f t="shared" ref="I841:I849" si="36">N841+P841+R841+T841+V841+X841+Z841</f>
        <v>0</v>
      </c>
      <c r="J841" s="544"/>
      <c r="K841" s="444" t="s">
        <v>1130</v>
      </c>
      <c r="L841" s="449">
        <v>1000</v>
      </c>
      <c r="M841" s="289"/>
      <c r="N841" s="245"/>
      <c r="O841" s="450">
        <v>0</v>
      </c>
      <c r="P841" s="451">
        <f t="shared" ref="P841:P849" si="37">INT($L841*O841*100+0.5)/100</f>
        <v>0</v>
      </c>
      <c r="Q841" s="289"/>
      <c r="R841" s="245"/>
      <c r="S841" s="289"/>
      <c r="T841" s="245"/>
      <c r="U841" s="289"/>
      <c r="V841" s="245"/>
      <c r="W841" s="289"/>
      <c r="X841" s="245"/>
      <c r="Y841" s="289"/>
      <c r="Z841" s="245"/>
    </row>
    <row r="842" spans="1:26" s="436" customFormat="1" ht="15.75" hidden="1" customHeight="1">
      <c r="A842" s="443"/>
      <c r="B842" s="444"/>
      <c r="C842" s="445" t="s">
        <v>1461</v>
      </c>
      <c r="D842" s="543" t="s">
        <v>1462</v>
      </c>
      <c r="E842" s="444" t="s">
        <v>1130</v>
      </c>
      <c r="F842" s="446">
        <f t="shared" si="34"/>
        <v>0</v>
      </c>
      <c r="G842" s="447">
        <f t="shared" si="35"/>
        <v>540</v>
      </c>
      <c r="H842" s="435"/>
      <c r="I842" s="447">
        <f t="shared" si="36"/>
        <v>0</v>
      </c>
      <c r="J842" s="544"/>
      <c r="K842" s="444" t="s">
        <v>1130</v>
      </c>
      <c r="L842" s="449">
        <v>540</v>
      </c>
      <c r="M842" s="289"/>
      <c r="N842" s="245"/>
      <c r="O842" s="450">
        <v>0</v>
      </c>
      <c r="P842" s="451">
        <f t="shared" si="37"/>
        <v>0</v>
      </c>
      <c r="Q842" s="289"/>
      <c r="R842" s="245"/>
      <c r="S842" s="289"/>
      <c r="T842" s="245"/>
      <c r="U842" s="289"/>
      <c r="V842" s="245"/>
      <c r="W842" s="289"/>
      <c r="X842" s="245"/>
      <c r="Y842" s="289"/>
      <c r="Z842" s="245"/>
    </row>
    <row r="843" spans="1:26" s="436" customFormat="1" ht="15.75" hidden="1" customHeight="1">
      <c r="A843" s="443"/>
      <c r="B843" s="444"/>
      <c r="C843" s="445" t="s">
        <v>1463</v>
      </c>
      <c r="D843" s="543" t="s">
        <v>1464</v>
      </c>
      <c r="E843" s="444" t="s">
        <v>1130</v>
      </c>
      <c r="F843" s="446">
        <f t="shared" si="34"/>
        <v>0</v>
      </c>
      <c r="G843" s="447">
        <f t="shared" si="35"/>
        <v>552</v>
      </c>
      <c r="H843" s="435"/>
      <c r="I843" s="447">
        <f t="shared" si="36"/>
        <v>0</v>
      </c>
      <c r="J843" s="544"/>
      <c r="K843" s="444" t="s">
        <v>1130</v>
      </c>
      <c r="L843" s="449">
        <v>552</v>
      </c>
      <c r="M843" s="289"/>
      <c r="N843" s="245"/>
      <c r="O843" s="450">
        <v>0</v>
      </c>
      <c r="P843" s="451">
        <f t="shared" si="37"/>
        <v>0</v>
      </c>
      <c r="Q843" s="289"/>
      <c r="R843" s="245"/>
      <c r="S843" s="289"/>
      <c r="T843" s="245"/>
      <c r="U843" s="289"/>
      <c r="V843" s="245"/>
      <c r="W843" s="289"/>
      <c r="X843" s="245"/>
      <c r="Y843" s="289"/>
      <c r="Z843" s="245"/>
    </row>
    <row r="844" spans="1:26" s="436" customFormat="1" ht="15.75" hidden="1" customHeight="1">
      <c r="A844" s="443"/>
      <c r="B844" s="444"/>
      <c r="C844" s="445" t="s">
        <v>1465</v>
      </c>
      <c r="D844" s="543" t="s">
        <v>1466</v>
      </c>
      <c r="E844" s="444" t="s">
        <v>1130</v>
      </c>
      <c r="F844" s="446">
        <f t="shared" si="34"/>
        <v>0</v>
      </c>
      <c r="G844" s="447">
        <f t="shared" si="35"/>
        <v>562</v>
      </c>
      <c r="H844" s="435"/>
      <c r="I844" s="447">
        <f t="shared" si="36"/>
        <v>0</v>
      </c>
      <c r="J844" s="544"/>
      <c r="K844" s="444" t="s">
        <v>1130</v>
      </c>
      <c r="L844" s="449">
        <v>562</v>
      </c>
      <c r="M844" s="289"/>
      <c r="N844" s="245"/>
      <c r="O844" s="450">
        <v>0</v>
      </c>
      <c r="P844" s="451">
        <f t="shared" si="37"/>
        <v>0</v>
      </c>
      <c r="Q844" s="289"/>
      <c r="R844" s="245"/>
      <c r="S844" s="289"/>
      <c r="T844" s="245"/>
      <c r="U844" s="289"/>
      <c r="V844" s="245"/>
      <c r="W844" s="289"/>
      <c r="X844" s="245"/>
      <c r="Y844" s="289"/>
      <c r="Z844" s="245"/>
    </row>
    <row r="845" spans="1:26" s="436" customFormat="1" ht="15.75" hidden="1" customHeight="1">
      <c r="A845" s="443"/>
      <c r="B845" s="444"/>
      <c r="C845" s="445" t="s">
        <v>1467</v>
      </c>
      <c r="D845" s="543" t="s">
        <v>1468</v>
      </c>
      <c r="E845" s="444" t="s">
        <v>1130</v>
      </c>
      <c r="F845" s="446">
        <f t="shared" si="34"/>
        <v>0</v>
      </c>
      <c r="G845" s="447">
        <f t="shared" si="35"/>
        <v>572</v>
      </c>
      <c r="H845" s="435"/>
      <c r="I845" s="447">
        <f t="shared" si="36"/>
        <v>0</v>
      </c>
      <c r="J845" s="544"/>
      <c r="K845" s="444" t="s">
        <v>1130</v>
      </c>
      <c r="L845" s="449">
        <v>572</v>
      </c>
      <c r="M845" s="289"/>
      <c r="N845" s="245"/>
      <c r="O845" s="450">
        <v>0</v>
      </c>
      <c r="P845" s="451">
        <f t="shared" si="37"/>
        <v>0</v>
      </c>
      <c r="Q845" s="289"/>
      <c r="R845" s="245"/>
      <c r="S845" s="289"/>
      <c r="T845" s="245"/>
      <c r="U845" s="289"/>
      <c r="V845" s="245"/>
      <c r="W845" s="289"/>
      <c r="X845" s="245"/>
      <c r="Y845" s="289"/>
      <c r="Z845" s="245"/>
    </row>
    <row r="846" spans="1:26" s="436" customFormat="1" ht="15.75" hidden="1" customHeight="1">
      <c r="A846" s="443"/>
      <c r="B846" s="444"/>
      <c r="C846" s="445" t="s">
        <v>1469</v>
      </c>
      <c r="D846" s="543" t="s">
        <v>1470</v>
      </c>
      <c r="E846" s="444" t="s">
        <v>1130</v>
      </c>
      <c r="F846" s="446">
        <f t="shared" si="34"/>
        <v>0</v>
      </c>
      <c r="G846" s="447">
        <f t="shared" si="35"/>
        <v>635</v>
      </c>
      <c r="H846" s="435"/>
      <c r="I846" s="447">
        <f t="shared" si="36"/>
        <v>0</v>
      </c>
      <c r="J846" s="544"/>
      <c r="K846" s="444" t="s">
        <v>1130</v>
      </c>
      <c r="L846" s="449">
        <v>635</v>
      </c>
      <c r="M846" s="289"/>
      <c r="N846" s="245"/>
      <c r="O846" s="450">
        <v>0</v>
      </c>
      <c r="P846" s="451">
        <f t="shared" si="37"/>
        <v>0</v>
      </c>
      <c r="Q846" s="289"/>
      <c r="R846" s="245"/>
      <c r="S846" s="289"/>
      <c r="T846" s="245"/>
      <c r="U846" s="289"/>
      <c r="V846" s="245"/>
      <c r="W846" s="289"/>
      <c r="X846" s="245"/>
      <c r="Y846" s="289"/>
      <c r="Z846" s="245"/>
    </row>
    <row r="847" spans="1:26" s="436" customFormat="1" ht="15.75" hidden="1" customHeight="1">
      <c r="A847" s="443"/>
      <c r="B847" s="444"/>
      <c r="C847" s="445" t="s">
        <v>1471</v>
      </c>
      <c r="D847" s="543" t="s">
        <v>1472</v>
      </c>
      <c r="E847" s="444" t="s">
        <v>1130</v>
      </c>
      <c r="F847" s="446">
        <f t="shared" si="34"/>
        <v>0</v>
      </c>
      <c r="G847" s="447">
        <f t="shared" si="35"/>
        <v>730</v>
      </c>
      <c r="H847" s="435"/>
      <c r="I847" s="447">
        <f t="shared" si="36"/>
        <v>0</v>
      </c>
      <c r="J847" s="544"/>
      <c r="K847" s="444" t="s">
        <v>1130</v>
      </c>
      <c r="L847" s="449">
        <v>730</v>
      </c>
      <c r="M847" s="289"/>
      <c r="N847" s="245"/>
      <c r="O847" s="450">
        <v>0</v>
      </c>
      <c r="P847" s="451">
        <f t="shared" si="37"/>
        <v>0</v>
      </c>
      <c r="Q847" s="289"/>
      <c r="R847" s="245"/>
      <c r="S847" s="289"/>
      <c r="T847" s="245"/>
      <c r="U847" s="289"/>
      <c r="V847" s="245"/>
      <c r="W847" s="289"/>
      <c r="X847" s="245"/>
      <c r="Y847" s="289"/>
      <c r="Z847" s="245"/>
    </row>
    <row r="848" spans="1:26" s="436" customFormat="1" ht="15.75" hidden="1" customHeight="1">
      <c r="A848" s="443"/>
      <c r="B848" s="444"/>
      <c r="C848" s="445" t="s">
        <v>1473</v>
      </c>
      <c r="D848" s="543" t="s">
        <v>1474</v>
      </c>
      <c r="E848" s="444" t="s">
        <v>1130</v>
      </c>
      <c r="F848" s="446">
        <f t="shared" si="34"/>
        <v>0</v>
      </c>
      <c r="G848" s="447">
        <f t="shared" si="35"/>
        <v>1100</v>
      </c>
      <c r="H848" s="435"/>
      <c r="I848" s="447">
        <f t="shared" si="36"/>
        <v>0</v>
      </c>
      <c r="J848" s="544"/>
      <c r="K848" s="444" t="s">
        <v>1130</v>
      </c>
      <c r="L848" s="449">
        <v>1100</v>
      </c>
      <c r="M848" s="289"/>
      <c r="N848" s="245"/>
      <c r="O848" s="450">
        <v>0</v>
      </c>
      <c r="P848" s="451">
        <f t="shared" si="37"/>
        <v>0</v>
      </c>
      <c r="Q848" s="289"/>
      <c r="R848" s="245"/>
      <c r="S848" s="289"/>
      <c r="T848" s="245"/>
      <c r="U848" s="289"/>
      <c r="V848" s="245"/>
      <c r="W848" s="289"/>
      <c r="X848" s="245"/>
      <c r="Y848" s="289"/>
      <c r="Z848" s="245"/>
    </row>
    <row r="849" spans="1:26" s="436" customFormat="1" ht="15.75" hidden="1" customHeight="1">
      <c r="A849" s="443"/>
      <c r="B849" s="444"/>
      <c r="C849" s="445"/>
      <c r="D849" s="543" t="s">
        <v>1178</v>
      </c>
      <c r="E849" s="444" t="s">
        <v>1130</v>
      </c>
      <c r="F849" s="446">
        <f t="shared" si="34"/>
        <v>0</v>
      </c>
      <c r="G849" s="447">
        <f t="shared" si="35"/>
        <v>1100</v>
      </c>
      <c r="H849" s="442">
        <f>F849*G849</f>
        <v>0</v>
      </c>
      <c r="I849" s="447">
        <f t="shared" si="36"/>
        <v>0</v>
      </c>
      <c r="J849" s="544"/>
      <c r="K849" s="444" t="s">
        <v>1130</v>
      </c>
      <c r="L849" s="449">
        <v>1100</v>
      </c>
      <c r="M849" s="289"/>
      <c r="N849" s="245"/>
      <c r="O849" s="450">
        <v>0</v>
      </c>
      <c r="P849" s="451">
        <f t="shared" si="37"/>
        <v>0</v>
      </c>
      <c r="Q849" s="289"/>
      <c r="R849" s="245"/>
      <c r="S849" s="289"/>
      <c r="T849" s="245"/>
      <c r="U849" s="289"/>
      <c r="V849" s="245"/>
      <c r="W849" s="289"/>
      <c r="X849" s="245"/>
      <c r="Y849" s="289"/>
      <c r="Z849" s="245"/>
    </row>
    <row r="850" spans="1:26" ht="15" hidden="1" customHeight="1">
      <c r="A850" s="250"/>
      <c r="B850" s="251"/>
      <c r="C850" s="453"/>
      <c r="D850" s="330"/>
      <c r="E850" s="251"/>
      <c r="F850" s="252"/>
      <c r="G850" s="253"/>
      <c r="H850" s="254"/>
      <c r="I850" s="253"/>
      <c r="J850" s="253"/>
      <c r="K850" s="251"/>
      <c r="L850" s="253"/>
      <c r="M850" s="289"/>
      <c r="N850" s="245"/>
      <c r="O850" s="258"/>
      <c r="P850" s="257"/>
      <c r="Q850" s="289"/>
      <c r="R850" s="245"/>
      <c r="S850" s="289"/>
      <c r="T850" s="245"/>
      <c r="U850" s="289"/>
      <c r="V850" s="245"/>
      <c r="W850" s="289"/>
      <c r="X850" s="245"/>
      <c r="Y850" s="289"/>
      <c r="Z850" s="245"/>
    </row>
    <row r="851" spans="1:26" ht="15" hidden="1" customHeight="1">
      <c r="A851" s="250"/>
      <c r="B851" s="251"/>
      <c r="C851" s="453" t="s">
        <v>1475</v>
      </c>
      <c r="D851" s="330" t="s">
        <v>1476</v>
      </c>
      <c r="E851" s="251"/>
      <c r="F851" s="252"/>
      <c r="G851" s="253"/>
      <c r="H851" s="254"/>
      <c r="I851" s="253"/>
      <c r="J851" s="253"/>
      <c r="K851" s="251"/>
      <c r="L851" s="253"/>
      <c r="M851" s="289"/>
      <c r="N851" s="245"/>
      <c r="O851" s="258"/>
      <c r="P851" s="257"/>
      <c r="Q851" s="289"/>
      <c r="R851" s="245"/>
      <c r="S851" s="289"/>
      <c r="T851" s="245"/>
      <c r="U851" s="289"/>
      <c r="V851" s="245"/>
      <c r="W851" s="289"/>
      <c r="X851" s="245"/>
      <c r="Y851" s="289"/>
      <c r="Z851" s="245"/>
    </row>
    <row r="852" spans="1:26" s="436" customFormat="1" ht="15" hidden="1">
      <c r="A852" s="443"/>
      <c r="B852" s="444"/>
      <c r="C852" s="445" t="s">
        <v>1477</v>
      </c>
      <c r="D852" s="543" t="s">
        <v>1478</v>
      </c>
      <c r="E852" s="444" t="s">
        <v>1130</v>
      </c>
      <c r="F852" s="446">
        <f t="shared" ref="F852:F860" si="38">M852+O852+Q852+S852+U852+W852+Y852</f>
        <v>0</v>
      </c>
      <c r="G852" s="447">
        <f t="shared" ref="G852:G860" si="39">L852</f>
        <v>400</v>
      </c>
      <c r="H852" s="442">
        <f t="shared" ref="H852:H860" si="40">F852*G852</f>
        <v>0</v>
      </c>
      <c r="I852" s="447">
        <f t="shared" ref="I852:I860" si="41">N852+P852+R852+T852+V852+X852+Z852</f>
        <v>0</v>
      </c>
      <c r="J852" s="544"/>
      <c r="K852" s="444" t="s">
        <v>1130</v>
      </c>
      <c r="L852" s="449">
        <v>400</v>
      </c>
      <c r="M852" s="289"/>
      <c r="N852" s="245"/>
      <c r="O852" s="450">
        <v>0</v>
      </c>
      <c r="P852" s="451">
        <f t="shared" ref="P852:P860" si="42">INT($L852*O852*100+0.5)/100</f>
        <v>0</v>
      </c>
      <c r="Q852" s="289"/>
      <c r="R852" s="245"/>
      <c r="S852" s="289"/>
      <c r="T852" s="245"/>
      <c r="U852" s="289"/>
      <c r="V852" s="245"/>
      <c r="W852" s="289"/>
      <c r="X852" s="245"/>
      <c r="Y852" s="289"/>
      <c r="Z852" s="245"/>
    </row>
    <row r="853" spans="1:26" s="436" customFormat="1" ht="15" hidden="1">
      <c r="A853" s="443"/>
      <c r="B853" s="444"/>
      <c r="C853" s="445" t="s">
        <v>1479</v>
      </c>
      <c r="D853" s="543" t="s">
        <v>1480</v>
      </c>
      <c r="E853" s="444" t="s">
        <v>1130</v>
      </c>
      <c r="F853" s="446">
        <f t="shared" si="38"/>
        <v>0</v>
      </c>
      <c r="G853" s="447">
        <f t="shared" si="39"/>
        <v>490</v>
      </c>
      <c r="H853" s="442">
        <f t="shared" si="40"/>
        <v>0</v>
      </c>
      <c r="I853" s="447">
        <f t="shared" si="41"/>
        <v>0</v>
      </c>
      <c r="J853" s="544"/>
      <c r="K853" s="444" t="s">
        <v>1130</v>
      </c>
      <c r="L853" s="449">
        <v>490</v>
      </c>
      <c r="M853" s="289"/>
      <c r="N853" s="245"/>
      <c r="O853" s="450">
        <v>0</v>
      </c>
      <c r="P853" s="451">
        <f t="shared" si="42"/>
        <v>0</v>
      </c>
      <c r="Q853" s="289"/>
      <c r="R853" s="245"/>
      <c r="S853" s="289"/>
      <c r="T853" s="245"/>
      <c r="U853" s="289"/>
      <c r="V853" s="245"/>
      <c r="W853" s="289"/>
      <c r="X853" s="245"/>
      <c r="Y853" s="289"/>
      <c r="Z853" s="245"/>
    </row>
    <row r="854" spans="1:26" s="436" customFormat="1" ht="15" hidden="1">
      <c r="A854" s="443"/>
      <c r="B854" s="444"/>
      <c r="C854" s="445" t="s">
        <v>1481</v>
      </c>
      <c r="D854" s="543" t="s">
        <v>1482</v>
      </c>
      <c r="E854" s="444" t="s">
        <v>1130</v>
      </c>
      <c r="F854" s="446">
        <f t="shared" si="38"/>
        <v>0</v>
      </c>
      <c r="G854" s="447">
        <f t="shared" si="39"/>
        <v>560</v>
      </c>
      <c r="H854" s="442">
        <f t="shared" si="40"/>
        <v>0</v>
      </c>
      <c r="I854" s="447">
        <f t="shared" si="41"/>
        <v>0</v>
      </c>
      <c r="J854" s="544"/>
      <c r="K854" s="444" t="s">
        <v>1130</v>
      </c>
      <c r="L854" s="449">
        <v>560</v>
      </c>
      <c r="M854" s="289"/>
      <c r="N854" s="245"/>
      <c r="O854" s="450">
        <v>0</v>
      </c>
      <c r="P854" s="451">
        <f t="shared" si="42"/>
        <v>0</v>
      </c>
      <c r="Q854" s="289"/>
      <c r="R854" s="245"/>
      <c r="S854" s="289"/>
      <c r="T854" s="245"/>
      <c r="U854" s="289"/>
      <c r="V854" s="245"/>
      <c r="W854" s="289"/>
      <c r="X854" s="245"/>
      <c r="Y854" s="289"/>
      <c r="Z854" s="245"/>
    </row>
    <row r="855" spans="1:26" s="436" customFormat="1" ht="15" hidden="1">
      <c r="A855" s="443"/>
      <c r="B855" s="444"/>
      <c r="C855" s="445" t="s">
        <v>1483</v>
      </c>
      <c r="D855" s="543" t="s">
        <v>1484</v>
      </c>
      <c r="E855" s="444" t="s">
        <v>1130</v>
      </c>
      <c r="F855" s="446">
        <f t="shared" si="38"/>
        <v>0</v>
      </c>
      <c r="G855" s="447">
        <f t="shared" si="39"/>
        <v>665</v>
      </c>
      <c r="H855" s="442">
        <f t="shared" si="40"/>
        <v>0</v>
      </c>
      <c r="I855" s="447">
        <f t="shared" si="41"/>
        <v>0</v>
      </c>
      <c r="J855" s="544"/>
      <c r="K855" s="444" t="s">
        <v>1130</v>
      </c>
      <c r="L855" s="449">
        <v>665</v>
      </c>
      <c r="M855" s="289"/>
      <c r="N855" s="245"/>
      <c r="O855" s="450">
        <v>0</v>
      </c>
      <c r="P855" s="451">
        <f t="shared" si="42"/>
        <v>0</v>
      </c>
      <c r="Q855" s="289"/>
      <c r="R855" s="245"/>
      <c r="S855" s="289"/>
      <c r="T855" s="245"/>
      <c r="U855" s="289"/>
      <c r="V855" s="245"/>
      <c r="W855" s="289"/>
      <c r="X855" s="245"/>
      <c r="Y855" s="289"/>
      <c r="Z855" s="245"/>
    </row>
    <row r="856" spans="1:26" s="436" customFormat="1" ht="15" hidden="1">
      <c r="A856" s="443"/>
      <c r="B856" s="444"/>
      <c r="C856" s="445" t="s">
        <v>1485</v>
      </c>
      <c r="D856" s="543" t="s">
        <v>1486</v>
      </c>
      <c r="E856" s="444" t="s">
        <v>1130</v>
      </c>
      <c r="F856" s="446">
        <f t="shared" si="38"/>
        <v>0</v>
      </c>
      <c r="G856" s="447">
        <f t="shared" si="39"/>
        <v>770</v>
      </c>
      <c r="H856" s="442">
        <f t="shared" si="40"/>
        <v>0</v>
      </c>
      <c r="I856" s="447">
        <f t="shared" si="41"/>
        <v>0</v>
      </c>
      <c r="J856" s="544"/>
      <c r="K856" s="444" t="s">
        <v>1130</v>
      </c>
      <c r="L856" s="449">
        <v>770</v>
      </c>
      <c r="M856" s="289"/>
      <c r="N856" s="245"/>
      <c r="O856" s="450">
        <v>0</v>
      </c>
      <c r="P856" s="451">
        <f t="shared" si="42"/>
        <v>0</v>
      </c>
      <c r="Q856" s="289"/>
      <c r="R856" s="245"/>
      <c r="S856" s="289"/>
      <c r="T856" s="245"/>
      <c r="U856" s="289"/>
      <c r="V856" s="245"/>
      <c r="W856" s="289"/>
      <c r="X856" s="245"/>
      <c r="Y856" s="289"/>
      <c r="Z856" s="245"/>
    </row>
    <row r="857" spans="1:26" s="436" customFormat="1" ht="15" hidden="1">
      <c r="A857" s="443"/>
      <c r="B857" s="444"/>
      <c r="C857" s="445" t="s">
        <v>1487</v>
      </c>
      <c r="D857" s="543" t="s">
        <v>1488</v>
      </c>
      <c r="E857" s="444" t="s">
        <v>1130</v>
      </c>
      <c r="F857" s="446">
        <f t="shared" si="38"/>
        <v>0</v>
      </c>
      <c r="G857" s="447">
        <f t="shared" si="39"/>
        <v>1070</v>
      </c>
      <c r="H857" s="442">
        <f t="shared" si="40"/>
        <v>0</v>
      </c>
      <c r="I857" s="447">
        <f t="shared" si="41"/>
        <v>0</v>
      </c>
      <c r="J857" s="544"/>
      <c r="K857" s="444" t="s">
        <v>1130</v>
      </c>
      <c r="L857" s="449">
        <v>1070</v>
      </c>
      <c r="M857" s="289"/>
      <c r="N857" s="245"/>
      <c r="O857" s="450">
        <v>0</v>
      </c>
      <c r="P857" s="451">
        <f t="shared" si="42"/>
        <v>0</v>
      </c>
      <c r="Q857" s="289"/>
      <c r="R857" s="245"/>
      <c r="S857" s="289"/>
      <c r="T857" s="245"/>
      <c r="U857" s="289"/>
      <c r="V857" s="245"/>
      <c r="W857" s="289"/>
      <c r="X857" s="245"/>
      <c r="Y857" s="289"/>
      <c r="Z857" s="245"/>
    </row>
    <row r="858" spans="1:26" s="436" customFormat="1" ht="15" hidden="1">
      <c r="A858" s="443"/>
      <c r="B858" s="444"/>
      <c r="C858" s="445" t="s">
        <v>1489</v>
      </c>
      <c r="D858" s="543" t="s">
        <v>1490</v>
      </c>
      <c r="E858" s="444" t="s">
        <v>1130</v>
      </c>
      <c r="F858" s="446">
        <f t="shared" si="38"/>
        <v>0</v>
      </c>
      <c r="G858" s="447">
        <f t="shared" si="39"/>
        <v>2600</v>
      </c>
      <c r="H858" s="442">
        <f t="shared" si="40"/>
        <v>0</v>
      </c>
      <c r="I858" s="447">
        <f t="shared" si="41"/>
        <v>0</v>
      </c>
      <c r="J858" s="544"/>
      <c r="K858" s="444" t="s">
        <v>1130</v>
      </c>
      <c r="L858" s="449">
        <v>2600</v>
      </c>
      <c r="M858" s="289"/>
      <c r="N858" s="245"/>
      <c r="O858" s="450">
        <v>0</v>
      </c>
      <c r="P858" s="451">
        <f t="shared" si="42"/>
        <v>0</v>
      </c>
      <c r="Q858" s="289"/>
      <c r="R858" s="245"/>
      <c r="S858" s="289"/>
      <c r="T858" s="245"/>
      <c r="U858" s="289"/>
      <c r="V858" s="245"/>
      <c r="W858" s="289"/>
      <c r="X858" s="245"/>
      <c r="Y858" s="289"/>
      <c r="Z858" s="245"/>
    </row>
    <row r="859" spans="1:26" s="436" customFormat="1" ht="15" hidden="1">
      <c r="A859" s="443"/>
      <c r="B859" s="444"/>
      <c r="C859" s="445" t="s">
        <v>1491</v>
      </c>
      <c r="D859" s="543" t="s">
        <v>1492</v>
      </c>
      <c r="E859" s="444" t="s">
        <v>1130</v>
      </c>
      <c r="F859" s="446">
        <f t="shared" si="38"/>
        <v>0</v>
      </c>
      <c r="G859" s="447">
        <f t="shared" si="39"/>
        <v>3280</v>
      </c>
      <c r="H859" s="442">
        <f t="shared" si="40"/>
        <v>0</v>
      </c>
      <c r="I859" s="447">
        <f t="shared" si="41"/>
        <v>0</v>
      </c>
      <c r="J859" s="544"/>
      <c r="K859" s="444" t="s">
        <v>1130</v>
      </c>
      <c r="L859" s="449">
        <v>3280</v>
      </c>
      <c r="M859" s="289"/>
      <c r="N859" s="245"/>
      <c r="O859" s="450">
        <v>0</v>
      </c>
      <c r="P859" s="451">
        <f t="shared" si="42"/>
        <v>0</v>
      </c>
      <c r="Q859" s="289"/>
      <c r="R859" s="245"/>
      <c r="S859" s="289"/>
      <c r="T859" s="245"/>
      <c r="U859" s="289"/>
      <c r="V859" s="245"/>
      <c r="W859" s="289"/>
      <c r="X859" s="245"/>
      <c r="Y859" s="289"/>
      <c r="Z859" s="245"/>
    </row>
    <row r="860" spans="1:26" s="436" customFormat="1" ht="15" hidden="1">
      <c r="A860" s="443"/>
      <c r="B860" s="444"/>
      <c r="C860" s="445" t="s">
        <v>1493</v>
      </c>
      <c r="D860" s="543" t="s">
        <v>1494</v>
      </c>
      <c r="E860" s="444" t="s">
        <v>1130</v>
      </c>
      <c r="F860" s="446">
        <f t="shared" si="38"/>
        <v>0</v>
      </c>
      <c r="G860" s="447">
        <f t="shared" si="39"/>
        <v>4980</v>
      </c>
      <c r="H860" s="442">
        <f t="shared" si="40"/>
        <v>0</v>
      </c>
      <c r="I860" s="447">
        <f t="shared" si="41"/>
        <v>0</v>
      </c>
      <c r="J860" s="544"/>
      <c r="K860" s="444" t="s">
        <v>1130</v>
      </c>
      <c r="L860" s="449">
        <v>4980</v>
      </c>
      <c r="M860" s="289"/>
      <c r="N860" s="245"/>
      <c r="O860" s="450">
        <v>0</v>
      </c>
      <c r="P860" s="451">
        <f t="shared" si="42"/>
        <v>0</v>
      </c>
      <c r="Q860" s="289"/>
      <c r="R860" s="245"/>
      <c r="S860" s="289"/>
      <c r="T860" s="245"/>
      <c r="U860" s="289"/>
      <c r="V860" s="245"/>
      <c r="W860" s="289"/>
      <c r="X860" s="245"/>
      <c r="Y860" s="289"/>
      <c r="Z860" s="245"/>
    </row>
    <row r="861" spans="1:26" ht="15" hidden="1" customHeight="1">
      <c r="A861" s="250"/>
      <c r="B861" s="251"/>
      <c r="C861" s="453"/>
      <c r="D861" s="330"/>
      <c r="E861" s="251"/>
      <c r="F861" s="252"/>
      <c r="G861" s="253"/>
      <c r="H861" s="254"/>
      <c r="I861" s="253"/>
      <c r="J861" s="253"/>
      <c r="K861" s="251"/>
      <c r="L861" s="253"/>
      <c r="M861" s="289"/>
      <c r="N861" s="245"/>
      <c r="O861" s="258"/>
      <c r="P861" s="257"/>
      <c r="Q861" s="289"/>
      <c r="R861" s="245"/>
      <c r="S861" s="289"/>
      <c r="T861" s="245"/>
      <c r="U861" s="289"/>
      <c r="V861" s="245"/>
      <c r="W861" s="289"/>
      <c r="X861" s="245"/>
      <c r="Y861" s="289"/>
      <c r="Z861" s="245"/>
    </row>
    <row r="862" spans="1:26" ht="15" hidden="1" customHeight="1">
      <c r="A862" s="250"/>
      <c r="B862" s="251"/>
      <c r="C862" s="453" t="s">
        <v>1495</v>
      </c>
      <c r="D862" s="330" t="s">
        <v>1496</v>
      </c>
      <c r="E862" s="251"/>
      <c r="F862" s="252"/>
      <c r="G862" s="253"/>
      <c r="H862" s="254"/>
      <c r="I862" s="253"/>
      <c r="J862" s="253"/>
      <c r="K862" s="251"/>
      <c r="L862" s="253"/>
      <c r="M862" s="289"/>
      <c r="N862" s="245"/>
      <c r="O862" s="258"/>
      <c r="P862" s="257"/>
      <c r="Q862" s="289"/>
      <c r="R862" s="245"/>
      <c r="S862" s="289"/>
      <c r="T862" s="245"/>
      <c r="U862" s="289"/>
      <c r="V862" s="245"/>
      <c r="W862" s="289"/>
      <c r="X862" s="245"/>
      <c r="Y862" s="289"/>
      <c r="Z862" s="245"/>
    </row>
    <row r="863" spans="1:26" s="436" customFormat="1" ht="15" hidden="1">
      <c r="A863" s="443"/>
      <c r="B863" s="444"/>
      <c r="C863" s="445" t="s">
        <v>1497</v>
      </c>
      <c r="D863" s="543" t="s">
        <v>1498</v>
      </c>
      <c r="E863" s="444" t="s">
        <v>1130</v>
      </c>
      <c r="F863" s="446">
        <f t="shared" ref="F863:F869" si="43">M863+O863+Q863+S863+U863+W863+Y863</f>
        <v>0</v>
      </c>
      <c r="G863" s="447">
        <f t="shared" ref="G863:G869" si="44">L863</f>
        <v>320</v>
      </c>
      <c r="H863" s="442">
        <f t="shared" ref="H863:H869" si="45">F863*G863</f>
        <v>0</v>
      </c>
      <c r="I863" s="447">
        <f t="shared" ref="I863:I869" si="46">N863+P863+R863+T863+V863+X863+Z863</f>
        <v>0</v>
      </c>
      <c r="J863" s="544"/>
      <c r="K863" s="444" t="s">
        <v>1130</v>
      </c>
      <c r="L863" s="449">
        <v>320</v>
      </c>
      <c r="M863" s="289"/>
      <c r="N863" s="245"/>
      <c r="O863" s="450">
        <v>0</v>
      </c>
      <c r="P863" s="451">
        <f t="shared" ref="P863:P869" si="47">INT($L863*O863*100+0.5)/100</f>
        <v>0</v>
      </c>
      <c r="Q863" s="289"/>
      <c r="R863" s="245"/>
      <c r="S863" s="289"/>
      <c r="T863" s="245"/>
      <c r="U863" s="289"/>
      <c r="V863" s="245"/>
      <c r="W863" s="289"/>
      <c r="X863" s="245"/>
      <c r="Y863" s="289"/>
      <c r="Z863" s="245"/>
    </row>
    <row r="864" spans="1:26" s="436" customFormat="1" ht="15" hidden="1">
      <c r="A864" s="443"/>
      <c r="B864" s="444"/>
      <c r="C864" s="445" t="s">
        <v>1499</v>
      </c>
      <c r="D864" s="543" t="s">
        <v>1500</v>
      </c>
      <c r="E864" s="444" t="s">
        <v>1130</v>
      </c>
      <c r="F864" s="446">
        <f t="shared" si="43"/>
        <v>0</v>
      </c>
      <c r="G864" s="447">
        <f t="shared" si="44"/>
        <v>320</v>
      </c>
      <c r="H864" s="442">
        <f t="shared" si="45"/>
        <v>0</v>
      </c>
      <c r="I864" s="447">
        <f t="shared" si="46"/>
        <v>0</v>
      </c>
      <c r="J864" s="544"/>
      <c r="K864" s="444" t="s">
        <v>1130</v>
      </c>
      <c r="L864" s="449">
        <v>320</v>
      </c>
      <c r="M864" s="289"/>
      <c r="N864" s="245"/>
      <c r="O864" s="450">
        <v>0</v>
      </c>
      <c r="P864" s="451">
        <f t="shared" si="47"/>
        <v>0</v>
      </c>
      <c r="Q864" s="289"/>
      <c r="R864" s="245"/>
      <c r="S864" s="289"/>
      <c r="T864" s="245"/>
      <c r="U864" s="289"/>
      <c r="V864" s="245"/>
      <c r="W864" s="289"/>
      <c r="X864" s="245"/>
      <c r="Y864" s="289"/>
      <c r="Z864" s="245"/>
    </row>
    <row r="865" spans="1:26" s="436" customFormat="1" ht="15" hidden="1">
      <c r="A865" s="443"/>
      <c r="B865" s="444"/>
      <c r="C865" s="445" t="s">
        <v>1501</v>
      </c>
      <c r="D865" s="543" t="s">
        <v>1502</v>
      </c>
      <c r="E865" s="444" t="s">
        <v>1130</v>
      </c>
      <c r="F865" s="446">
        <f t="shared" si="43"/>
        <v>0</v>
      </c>
      <c r="G865" s="447">
        <f t="shared" si="44"/>
        <v>440</v>
      </c>
      <c r="H865" s="442">
        <f t="shared" si="45"/>
        <v>0</v>
      </c>
      <c r="I865" s="447">
        <f t="shared" si="46"/>
        <v>0</v>
      </c>
      <c r="J865" s="544"/>
      <c r="K865" s="444" t="s">
        <v>1130</v>
      </c>
      <c r="L865" s="449">
        <v>440</v>
      </c>
      <c r="M865" s="289"/>
      <c r="N865" s="245"/>
      <c r="O865" s="450">
        <v>0</v>
      </c>
      <c r="P865" s="451">
        <f t="shared" si="47"/>
        <v>0</v>
      </c>
      <c r="Q865" s="289"/>
      <c r="R865" s="245"/>
      <c r="S865" s="289"/>
      <c r="T865" s="245"/>
      <c r="U865" s="289"/>
      <c r="V865" s="245"/>
      <c r="W865" s="289"/>
      <c r="X865" s="245"/>
      <c r="Y865" s="289"/>
      <c r="Z865" s="245"/>
    </row>
    <row r="866" spans="1:26" s="436" customFormat="1" ht="15" hidden="1">
      <c r="A866" s="443"/>
      <c r="B866" s="444"/>
      <c r="C866" s="445" t="s">
        <v>1503</v>
      </c>
      <c r="D866" s="543" t="s">
        <v>1504</v>
      </c>
      <c r="E866" s="444" t="s">
        <v>1130</v>
      </c>
      <c r="F866" s="446">
        <f t="shared" si="43"/>
        <v>0</v>
      </c>
      <c r="G866" s="447">
        <f t="shared" si="44"/>
        <v>560</v>
      </c>
      <c r="H866" s="442">
        <f t="shared" si="45"/>
        <v>0</v>
      </c>
      <c r="I866" s="447">
        <f t="shared" si="46"/>
        <v>0</v>
      </c>
      <c r="J866" s="544"/>
      <c r="K866" s="444" t="s">
        <v>1130</v>
      </c>
      <c r="L866" s="449">
        <v>560</v>
      </c>
      <c r="M866" s="289"/>
      <c r="N866" s="245"/>
      <c r="O866" s="450">
        <v>0</v>
      </c>
      <c r="P866" s="451">
        <f t="shared" si="47"/>
        <v>0</v>
      </c>
      <c r="Q866" s="289"/>
      <c r="R866" s="245"/>
      <c r="S866" s="289"/>
      <c r="T866" s="245"/>
      <c r="U866" s="289"/>
      <c r="V866" s="245"/>
      <c r="W866" s="289"/>
      <c r="X866" s="245"/>
      <c r="Y866" s="289"/>
      <c r="Z866" s="245"/>
    </row>
    <row r="867" spans="1:26" s="436" customFormat="1" ht="15" hidden="1">
      <c r="A867" s="443"/>
      <c r="B867" s="444"/>
      <c r="C867" s="445" t="s">
        <v>1505</v>
      </c>
      <c r="D867" s="543" t="s">
        <v>1506</v>
      </c>
      <c r="E867" s="444" t="s">
        <v>1130</v>
      </c>
      <c r="F867" s="446">
        <f t="shared" si="43"/>
        <v>0</v>
      </c>
      <c r="G867" s="447">
        <f t="shared" si="44"/>
        <v>650</v>
      </c>
      <c r="H867" s="442">
        <f t="shared" si="45"/>
        <v>0</v>
      </c>
      <c r="I867" s="447">
        <f t="shared" si="46"/>
        <v>0</v>
      </c>
      <c r="J867" s="544"/>
      <c r="K867" s="444" t="s">
        <v>1130</v>
      </c>
      <c r="L867" s="449">
        <v>650</v>
      </c>
      <c r="M867" s="289"/>
      <c r="N867" s="245"/>
      <c r="O867" s="450">
        <v>0</v>
      </c>
      <c r="P867" s="451">
        <f t="shared" si="47"/>
        <v>0</v>
      </c>
      <c r="Q867" s="289"/>
      <c r="R867" s="245"/>
      <c r="S867" s="289"/>
      <c r="T867" s="245"/>
      <c r="U867" s="289"/>
      <c r="V867" s="245"/>
      <c r="W867" s="289"/>
      <c r="X867" s="245"/>
      <c r="Y867" s="289"/>
      <c r="Z867" s="245"/>
    </row>
    <row r="868" spans="1:26" s="436" customFormat="1" ht="15" hidden="1">
      <c r="A868" s="443"/>
      <c r="B868" s="444"/>
      <c r="C868" s="445" t="s">
        <v>1507</v>
      </c>
      <c r="D868" s="543" t="s">
        <v>1508</v>
      </c>
      <c r="E868" s="444" t="s">
        <v>1130</v>
      </c>
      <c r="F868" s="446">
        <f t="shared" si="43"/>
        <v>0</v>
      </c>
      <c r="G868" s="447">
        <f t="shared" si="44"/>
        <v>1200</v>
      </c>
      <c r="H868" s="442">
        <f t="shared" si="45"/>
        <v>0</v>
      </c>
      <c r="I868" s="447">
        <f t="shared" si="46"/>
        <v>0</v>
      </c>
      <c r="J868" s="544"/>
      <c r="K868" s="444" t="s">
        <v>1130</v>
      </c>
      <c r="L868" s="449">
        <v>1200</v>
      </c>
      <c r="M868" s="289"/>
      <c r="N868" s="245"/>
      <c r="O868" s="450">
        <v>0</v>
      </c>
      <c r="P868" s="451">
        <f t="shared" si="47"/>
        <v>0</v>
      </c>
      <c r="Q868" s="289"/>
      <c r="R868" s="245"/>
      <c r="S868" s="289"/>
      <c r="T868" s="245"/>
      <c r="U868" s="289"/>
      <c r="V868" s="245"/>
      <c r="W868" s="289"/>
      <c r="X868" s="245"/>
      <c r="Y868" s="289"/>
      <c r="Z868" s="245"/>
    </row>
    <row r="869" spans="1:26" s="436" customFormat="1" ht="15" hidden="1">
      <c r="A869" s="443"/>
      <c r="B869" s="444"/>
      <c r="C869" s="445" t="s">
        <v>1509</v>
      </c>
      <c r="D869" s="543" t="s">
        <v>1510</v>
      </c>
      <c r="E869" s="444" t="s">
        <v>1130</v>
      </c>
      <c r="F869" s="446">
        <f t="shared" si="43"/>
        <v>0</v>
      </c>
      <c r="G869" s="447">
        <f t="shared" si="44"/>
        <v>2000</v>
      </c>
      <c r="H869" s="442">
        <f t="shared" si="45"/>
        <v>0</v>
      </c>
      <c r="I869" s="447">
        <f t="shared" si="46"/>
        <v>0</v>
      </c>
      <c r="J869" s="544"/>
      <c r="K869" s="444" t="s">
        <v>1130</v>
      </c>
      <c r="L869" s="449">
        <v>2000</v>
      </c>
      <c r="M869" s="289"/>
      <c r="N869" s="245"/>
      <c r="O869" s="450">
        <v>0</v>
      </c>
      <c r="P869" s="451">
        <f t="shared" si="47"/>
        <v>0</v>
      </c>
      <c r="Q869" s="289"/>
      <c r="R869" s="245"/>
      <c r="S869" s="289"/>
      <c r="T869" s="245"/>
      <c r="U869" s="289"/>
      <c r="V869" s="245"/>
      <c r="W869" s="289"/>
      <c r="X869" s="245"/>
      <c r="Y869" s="289"/>
      <c r="Z869" s="245"/>
    </row>
    <row r="870" spans="1:26" ht="15" hidden="1" customHeight="1">
      <c r="A870" s="250"/>
      <c r="B870" s="251"/>
      <c r="C870" s="453"/>
      <c r="D870" s="330"/>
      <c r="E870" s="251"/>
      <c r="F870" s="252"/>
      <c r="G870" s="253"/>
      <c r="H870" s="254"/>
      <c r="I870" s="253"/>
      <c r="J870" s="253"/>
      <c r="K870" s="251"/>
      <c r="L870" s="253"/>
      <c r="M870" s="289"/>
      <c r="N870" s="245"/>
      <c r="O870" s="258"/>
      <c r="P870" s="257"/>
      <c r="Q870" s="289"/>
      <c r="R870" s="245"/>
      <c r="S870" s="289"/>
      <c r="T870" s="245"/>
      <c r="U870" s="289"/>
      <c r="V870" s="245"/>
      <c r="W870" s="289"/>
      <c r="X870" s="245"/>
      <c r="Y870" s="289"/>
      <c r="Z870" s="245"/>
    </row>
    <row r="871" spans="1:26" ht="15" hidden="1" customHeight="1">
      <c r="A871" s="250"/>
      <c r="B871" s="251"/>
      <c r="C871" s="453" t="s">
        <v>1511</v>
      </c>
      <c r="D871" s="330" t="s">
        <v>1512</v>
      </c>
      <c r="E871" s="251"/>
      <c r="F871" s="252"/>
      <c r="G871" s="253"/>
      <c r="H871" s="254"/>
      <c r="I871" s="253"/>
      <c r="J871" s="253"/>
      <c r="K871" s="251"/>
      <c r="L871" s="253"/>
      <c r="M871" s="289"/>
      <c r="N871" s="245"/>
      <c r="O871" s="258"/>
      <c r="P871" s="257"/>
      <c r="Q871" s="289"/>
      <c r="R871" s="245"/>
      <c r="S871" s="289"/>
      <c r="T871" s="245"/>
      <c r="U871" s="289"/>
      <c r="V871" s="245"/>
      <c r="W871" s="289"/>
      <c r="X871" s="245"/>
      <c r="Y871" s="289"/>
      <c r="Z871" s="245"/>
    </row>
    <row r="872" spans="1:26" s="436" customFormat="1" ht="15" hidden="1">
      <c r="A872" s="443"/>
      <c r="B872" s="444"/>
      <c r="C872" s="445" t="s">
        <v>1513</v>
      </c>
      <c r="D872" s="543" t="s">
        <v>1514</v>
      </c>
      <c r="E872" s="444" t="s">
        <v>1130</v>
      </c>
      <c r="F872" s="446">
        <f t="shared" ref="F872:F880" si="48">M872+O872+Q872+S872+U872+W872+Y872</f>
        <v>0</v>
      </c>
      <c r="G872" s="447">
        <f t="shared" ref="G872:G880" si="49">L872</f>
        <v>515</v>
      </c>
      <c r="H872" s="442">
        <f t="shared" ref="H872:H880" si="50">F872*G872</f>
        <v>0</v>
      </c>
      <c r="I872" s="447">
        <f t="shared" ref="I872:I880" si="51">N872+P872+R872+T872+V872+X872+Z872</f>
        <v>0</v>
      </c>
      <c r="J872" s="544"/>
      <c r="K872" s="444" t="s">
        <v>1130</v>
      </c>
      <c r="L872" s="449">
        <v>515</v>
      </c>
      <c r="M872" s="289"/>
      <c r="N872" s="245"/>
      <c r="O872" s="450">
        <v>0</v>
      </c>
      <c r="P872" s="451">
        <f t="shared" ref="P872:P880" si="52">INT($L872*O872*100+0.5)/100</f>
        <v>0</v>
      </c>
      <c r="Q872" s="289"/>
      <c r="R872" s="245"/>
      <c r="S872" s="289"/>
      <c r="T872" s="245"/>
      <c r="U872" s="289"/>
      <c r="V872" s="245"/>
      <c r="W872" s="289"/>
      <c r="X872" s="245"/>
      <c r="Y872" s="289"/>
      <c r="Z872" s="245"/>
    </row>
    <row r="873" spans="1:26" s="436" customFormat="1" ht="15" hidden="1">
      <c r="A873" s="443"/>
      <c r="B873" s="444"/>
      <c r="C873" s="445" t="s">
        <v>1515</v>
      </c>
      <c r="D873" s="543" t="s">
        <v>1516</v>
      </c>
      <c r="E873" s="444" t="s">
        <v>1130</v>
      </c>
      <c r="F873" s="446">
        <f t="shared" si="48"/>
        <v>0</v>
      </c>
      <c r="G873" s="447">
        <f t="shared" si="49"/>
        <v>570</v>
      </c>
      <c r="H873" s="442">
        <f t="shared" si="50"/>
        <v>0</v>
      </c>
      <c r="I873" s="447">
        <f t="shared" si="51"/>
        <v>0</v>
      </c>
      <c r="J873" s="544"/>
      <c r="K873" s="444" t="s">
        <v>1130</v>
      </c>
      <c r="L873" s="449">
        <v>570</v>
      </c>
      <c r="M873" s="289"/>
      <c r="N873" s="245"/>
      <c r="O873" s="450">
        <v>0</v>
      </c>
      <c r="P873" s="451">
        <f t="shared" si="52"/>
        <v>0</v>
      </c>
      <c r="Q873" s="289"/>
      <c r="R873" s="245"/>
      <c r="S873" s="289"/>
      <c r="T873" s="245"/>
      <c r="U873" s="289"/>
      <c r="V873" s="245"/>
      <c r="W873" s="289"/>
      <c r="X873" s="245"/>
      <c r="Y873" s="289"/>
      <c r="Z873" s="245"/>
    </row>
    <row r="874" spans="1:26" s="436" customFormat="1" ht="15" hidden="1">
      <c r="A874" s="443"/>
      <c r="B874" s="444"/>
      <c r="C874" s="445" t="s">
        <v>1517</v>
      </c>
      <c r="D874" s="543" t="s">
        <v>1518</v>
      </c>
      <c r="E874" s="444" t="s">
        <v>1130</v>
      </c>
      <c r="F874" s="446">
        <f t="shared" si="48"/>
        <v>0</v>
      </c>
      <c r="G874" s="447">
        <f t="shared" si="49"/>
        <v>625</v>
      </c>
      <c r="H874" s="442">
        <f t="shared" si="50"/>
        <v>0</v>
      </c>
      <c r="I874" s="447">
        <f t="shared" si="51"/>
        <v>0</v>
      </c>
      <c r="J874" s="544"/>
      <c r="K874" s="444" t="s">
        <v>1130</v>
      </c>
      <c r="L874" s="449">
        <v>625</v>
      </c>
      <c r="M874" s="289"/>
      <c r="N874" s="245"/>
      <c r="O874" s="450">
        <v>0</v>
      </c>
      <c r="P874" s="451">
        <f t="shared" si="52"/>
        <v>0</v>
      </c>
      <c r="Q874" s="289"/>
      <c r="R874" s="245"/>
      <c r="S874" s="289"/>
      <c r="T874" s="245"/>
      <c r="U874" s="289"/>
      <c r="V874" s="245"/>
      <c r="W874" s="289"/>
      <c r="X874" s="245"/>
      <c r="Y874" s="289"/>
      <c r="Z874" s="245"/>
    </row>
    <row r="875" spans="1:26" s="436" customFormat="1" ht="15" hidden="1">
      <c r="A875" s="443"/>
      <c r="B875" s="444"/>
      <c r="C875" s="445" t="s">
        <v>1519</v>
      </c>
      <c r="D875" s="543" t="s">
        <v>1520</v>
      </c>
      <c r="E875" s="444" t="s">
        <v>1130</v>
      </c>
      <c r="F875" s="446">
        <f t="shared" si="48"/>
        <v>0</v>
      </c>
      <c r="G875" s="447">
        <f t="shared" si="49"/>
        <v>690</v>
      </c>
      <c r="H875" s="442">
        <f t="shared" si="50"/>
        <v>0</v>
      </c>
      <c r="I875" s="447">
        <f t="shared" si="51"/>
        <v>0</v>
      </c>
      <c r="J875" s="544"/>
      <c r="K875" s="444" t="s">
        <v>1130</v>
      </c>
      <c r="L875" s="449">
        <v>690</v>
      </c>
      <c r="M875" s="289"/>
      <c r="N875" s="245"/>
      <c r="O875" s="450">
        <v>0</v>
      </c>
      <c r="P875" s="451">
        <f t="shared" si="52"/>
        <v>0</v>
      </c>
      <c r="Q875" s="289"/>
      <c r="R875" s="245"/>
      <c r="S875" s="289"/>
      <c r="T875" s="245"/>
      <c r="U875" s="289"/>
      <c r="V875" s="245"/>
      <c r="W875" s="289"/>
      <c r="X875" s="245"/>
      <c r="Y875" s="289"/>
      <c r="Z875" s="245"/>
    </row>
    <row r="876" spans="1:26" s="436" customFormat="1" ht="15" hidden="1">
      <c r="A876" s="443"/>
      <c r="B876" s="444"/>
      <c r="C876" s="445" t="s">
        <v>1521</v>
      </c>
      <c r="D876" s="543" t="s">
        <v>1522</v>
      </c>
      <c r="E876" s="444" t="s">
        <v>1130</v>
      </c>
      <c r="F876" s="446">
        <f t="shared" si="48"/>
        <v>0</v>
      </c>
      <c r="G876" s="447">
        <f t="shared" si="49"/>
        <v>750</v>
      </c>
      <c r="H876" s="442">
        <f t="shared" si="50"/>
        <v>0</v>
      </c>
      <c r="I876" s="447">
        <f t="shared" si="51"/>
        <v>0</v>
      </c>
      <c r="J876" s="544"/>
      <c r="K876" s="444" t="s">
        <v>1130</v>
      </c>
      <c r="L876" s="449">
        <v>750</v>
      </c>
      <c r="M876" s="289"/>
      <c r="N876" s="245"/>
      <c r="O876" s="450">
        <v>0</v>
      </c>
      <c r="P876" s="451">
        <f t="shared" si="52"/>
        <v>0</v>
      </c>
      <c r="Q876" s="289"/>
      <c r="R876" s="245"/>
      <c r="S876" s="289"/>
      <c r="T876" s="245"/>
      <c r="U876" s="289"/>
      <c r="V876" s="245"/>
      <c r="W876" s="289"/>
      <c r="X876" s="245"/>
      <c r="Y876" s="289"/>
      <c r="Z876" s="245"/>
    </row>
    <row r="877" spans="1:26" s="436" customFormat="1" ht="15" hidden="1">
      <c r="A877" s="443"/>
      <c r="B877" s="444"/>
      <c r="C877" s="445" t="s">
        <v>1523</v>
      </c>
      <c r="D877" s="543" t="s">
        <v>1637</v>
      </c>
      <c r="E877" s="444" t="s">
        <v>1130</v>
      </c>
      <c r="F877" s="446">
        <f t="shared" si="48"/>
        <v>0</v>
      </c>
      <c r="G877" s="447">
        <f t="shared" si="49"/>
        <v>950</v>
      </c>
      <c r="H877" s="442">
        <f t="shared" si="50"/>
        <v>0</v>
      </c>
      <c r="I877" s="447">
        <f t="shared" si="51"/>
        <v>0</v>
      </c>
      <c r="J877" s="544"/>
      <c r="K877" s="444" t="s">
        <v>1130</v>
      </c>
      <c r="L877" s="449">
        <v>950</v>
      </c>
      <c r="M877" s="289"/>
      <c r="N877" s="245"/>
      <c r="O877" s="450">
        <v>0</v>
      </c>
      <c r="P877" s="451">
        <f t="shared" si="52"/>
        <v>0</v>
      </c>
      <c r="Q877" s="289"/>
      <c r="R877" s="245"/>
      <c r="S877" s="289"/>
      <c r="T877" s="245"/>
      <c r="U877" s="289"/>
      <c r="V877" s="245"/>
      <c r="W877" s="289"/>
      <c r="X877" s="245"/>
      <c r="Y877" s="289"/>
      <c r="Z877" s="245"/>
    </row>
    <row r="878" spans="1:26" s="436" customFormat="1" ht="15" hidden="1">
      <c r="A878" s="443"/>
      <c r="B878" s="444"/>
      <c r="C878" s="445" t="s">
        <v>1638</v>
      </c>
      <c r="D878" s="543" t="s">
        <v>1639</v>
      </c>
      <c r="E878" s="444" t="s">
        <v>1130</v>
      </c>
      <c r="F878" s="446">
        <f t="shared" si="48"/>
        <v>0</v>
      </c>
      <c r="G878" s="447">
        <f t="shared" si="49"/>
        <v>1140</v>
      </c>
      <c r="H878" s="442">
        <f t="shared" si="50"/>
        <v>0</v>
      </c>
      <c r="I878" s="447">
        <f t="shared" si="51"/>
        <v>0</v>
      </c>
      <c r="J878" s="544"/>
      <c r="K878" s="444" t="s">
        <v>1130</v>
      </c>
      <c r="L878" s="449">
        <v>1140</v>
      </c>
      <c r="M878" s="289"/>
      <c r="N878" s="245"/>
      <c r="O878" s="450">
        <v>0</v>
      </c>
      <c r="P878" s="451">
        <f t="shared" si="52"/>
        <v>0</v>
      </c>
      <c r="Q878" s="289"/>
      <c r="R878" s="245"/>
      <c r="S878" s="289"/>
      <c r="T878" s="245"/>
      <c r="U878" s="289"/>
      <c r="V878" s="245"/>
      <c r="W878" s="289"/>
      <c r="X878" s="245"/>
      <c r="Y878" s="289"/>
      <c r="Z878" s="245"/>
    </row>
    <row r="879" spans="1:26" s="436" customFormat="1" ht="15" hidden="1">
      <c r="A879" s="443"/>
      <c r="B879" s="444"/>
      <c r="C879" s="445" t="s">
        <v>1640</v>
      </c>
      <c r="D879" s="543" t="s">
        <v>1641</v>
      </c>
      <c r="E879" s="444" t="s">
        <v>1130</v>
      </c>
      <c r="F879" s="446">
        <f t="shared" si="48"/>
        <v>0</v>
      </c>
      <c r="G879" s="447">
        <f t="shared" si="49"/>
        <v>1140</v>
      </c>
      <c r="H879" s="442">
        <f t="shared" si="50"/>
        <v>0</v>
      </c>
      <c r="I879" s="447">
        <f t="shared" si="51"/>
        <v>0</v>
      </c>
      <c r="J879" s="544"/>
      <c r="K879" s="444" t="s">
        <v>1130</v>
      </c>
      <c r="L879" s="449">
        <v>1140</v>
      </c>
      <c r="M879" s="289"/>
      <c r="N879" s="245"/>
      <c r="O879" s="450">
        <v>0</v>
      </c>
      <c r="P879" s="451">
        <f t="shared" si="52"/>
        <v>0</v>
      </c>
      <c r="Q879" s="289"/>
      <c r="R879" s="245"/>
      <c r="S879" s="289"/>
      <c r="T879" s="245"/>
      <c r="U879" s="289"/>
      <c r="V879" s="245"/>
      <c r="W879" s="289"/>
      <c r="X879" s="245"/>
      <c r="Y879" s="289"/>
      <c r="Z879" s="245"/>
    </row>
    <row r="880" spans="1:26" s="436" customFormat="1" ht="15" hidden="1">
      <c r="A880" s="443"/>
      <c r="B880" s="444"/>
      <c r="C880" s="445" t="s">
        <v>1642</v>
      </c>
      <c r="D880" s="543" t="s">
        <v>1643</v>
      </c>
      <c r="E880" s="444" t="s">
        <v>1130</v>
      </c>
      <c r="F880" s="446">
        <f t="shared" si="48"/>
        <v>0</v>
      </c>
      <c r="G880" s="447">
        <f t="shared" si="49"/>
        <v>1490</v>
      </c>
      <c r="H880" s="442">
        <f t="shared" si="50"/>
        <v>0</v>
      </c>
      <c r="I880" s="447">
        <f t="shared" si="51"/>
        <v>0</v>
      </c>
      <c r="J880" s="544"/>
      <c r="K880" s="444" t="s">
        <v>1130</v>
      </c>
      <c r="L880" s="449">
        <v>1490</v>
      </c>
      <c r="M880" s="289"/>
      <c r="N880" s="245"/>
      <c r="O880" s="450">
        <v>0</v>
      </c>
      <c r="P880" s="451">
        <f t="shared" si="52"/>
        <v>0</v>
      </c>
      <c r="Q880" s="289"/>
      <c r="R880" s="245"/>
      <c r="S880" s="289"/>
      <c r="T880" s="245"/>
      <c r="U880" s="289"/>
      <c r="V880" s="245"/>
      <c r="W880" s="289"/>
      <c r="X880" s="245"/>
      <c r="Y880" s="289"/>
      <c r="Z880" s="245"/>
    </row>
    <row r="881" spans="1:26" ht="15" hidden="1" customHeight="1">
      <c r="A881" s="250"/>
      <c r="B881" s="251"/>
      <c r="C881" s="453"/>
      <c r="D881" s="330"/>
      <c r="E881" s="251"/>
      <c r="F881" s="252"/>
      <c r="G881" s="253"/>
      <c r="H881" s="254"/>
      <c r="I881" s="253"/>
      <c r="J881" s="253"/>
      <c r="K881" s="251"/>
      <c r="L881" s="253"/>
      <c r="M881" s="289"/>
      <c r="N881" s="245"/>
      <c r="O881" s="258"/>
      <c r="P881" s="257"/>
      <c r="Q881" s="289"/>
      <c r="R881" s="245"/>
      <c r="S881" s="289"/>
      <c r="T881" s="245"/>
      <c r="U881" s="289"/>
      <c r="V881" s="245"/>
      <c r="W881" s="289"/>
      <c r="X881" s="245"/>
      <c r="Y881" s="289"/>
      <c r="Z881" s="245"/>
    </row>
    <row r="882" spans="1:26" ht="15" hidden="1" customHeight="1">
      <c r="A882" s="250"/>
      <c r="B882" s="251"/>
      <c r="C882" s="453" t="s">
        <v>1644</v>
      </c>
      <c r="D882" s="330" t="s">
        <v>1645</v>
      </c>
      <c r="E882" s="251"/>
      <c r="F882" s="252"/>
      <c r="G882" s="253"/>
      <c r="H882" s="254"/>
      <c r="I882" s="253"/>
      <c r="J882" s="253"/>
      <c r="K882" s="251"/>
      <c r="L882" s="253"/>
      <c r="M882" s="289"/>
      <c r="N882" s="245"/>
      <c r="O882" s="258"/>
      <c r="P882" s="257"/>
      <c r="Q882" s="289"/>
      <c r="R882" s="245"/>
      <c r="S882" s="289"/>
      <c r="T882" s="245"/>
      <c r="U882" s="289"/>
      <c r="V882" s="245"/>
      <c r="W882" s="289"/>
      <c r="X882" s="245"/>
      <c r="Y882" s="289"/>
      <c r="Z882" s="245"/>
    </row>
    <row r="883" spans="1:26" s="436" customFormat="1" ht="15" hidden="1">
      <c r="A883" s="443"/>
      <c r="B883" s="444"/>
      <c r="C883" s="445" t="s">
        <v>1646</v>
      </c>
      <c r="D883" s="543" t="s">
        <v>1647</v>
      </c>
      <c r="E883" s="444" t="s">
        <v>1130</v>
      </c>
      <c r="F883" s="446">
        <f t="shared" ref="F883:F888" si="53">M883+O883+Q883+S883+U883+W883+Y883</f>
        <v>0</v>
      </c>
      <c r="G883" s="447">
        <f t="shared" ref="G883:G888" si="54">L883</f>
        <v>113</v>
      </c>
      <c r="H883" s="442">
        <f t="shared" ref="H883:H888" si="55">F883*G883</f>
        <v>0</v>
      </c>
      <c r="I883" s="447">
        <f t="shared" ref="I883:I888" si="56">N883+P883+R883+T883+V883+X883+Z883</f>
        <v>0</v>
      </c>
      <c r="J883" s="544"/>
      <c r="K883" s="444" t="s">
        <v>1130</v>
      </c>
      <c r="L883" s="449">
        <v>113</v>
      </c>
      <c r="M883" s="289"/>
      <c r="N883" s="245"/>
      <c r="O883" s="450">
        <v>0</v>
      </c>
      <c r="P883" s="451">
        <f t="shared" ref="P883:P888" si="57">INT($L883*O883*100+0.5)/100</f>
        <v>0</v>
      </c>
      <c r="Q883" s="289"/>
      <c r="R883" s="245"/>
      <c r="S883" s="289"/>
      <c r="T883" s="245"/>
      <c r="U883" s="289"/>
      <c r="V883" s="245"/>
      <c r="W883" s="289"/>
      <c r="X883" s="245"/>
      <c r="Y883" s="289"/>
      <c r="Z883" s="245"/>
    </row>
    <row r="884" spans="1:26" s="436" customFormat="1" ht="15" hidden="1">
      <c r="A884" s="443"/>
      <c r="B884" s="444"/>
      <c r="C884" s="445" t="s">
        <v>1648</v>
      </c>
      <c r="D884" s="543" t="s">
        <v>1649</v>
      </c>
      <c r="E884" s="444" t="s">
        <v>1130</v>
      </c>
      <c r="F884" s="446">
        <f t="shared" si="53"/>
        <v>0</v>
      </c>
      <c r="G884" s="447">
        <f t="shared" si="54"/>
        <v>136</v>
      </c>
      <c r="H884" s="442">
        <f t="shared" si="55"/>
        <v>0</v>
      </c>
      <c r="I884" s="447">
        <f t="shared" si="56"/>
        <v>0</v>
      </c>
      <c r="J884" s="544"/>
      <c r="K884" s="444" t="s">
        <v>1130</v>
      </c>
      <c r="L884" s="449">
        <v>136</v>
      </c>
      <c r="M884" s="289"/>
      <c r="N884" s="245"/>
      <c r="O884" s="450">
        <v>0</v>
      </c>
      <c r="P884" s="451">
        <f t="shared" si="57"/>
        <v>0</v>
      </c>
      <c r="Q884" s="289"/>
      <c r="R884" s="245"/>
      <c r="S884" s="289"/>
      <c r="T884" s="245"/>
      <c r="U884" s="289"/>
      <c r="V884" s="245"/>
      <c r="W884" s="289"/>
      <c r="X884" s="245"/>
      <c r="Y884" s="289"/>
      <c r="Z884" s="245"/>
    </row>
    <row r="885" spans="1:26" s="436" customFormat="1" ht="15" hidden="1">
      <c r="A885" s="443"/>
      <c r="B885" s="444"/>
      <c r="C885" s="445" t="s">
        <v>1650</v>
      </c>
      <c r="D885" s="543" t="s">
        <v>1651</v>
      </c>
      <c r="E885" s="444" t="s">
        <v>1130</v>
      </c>
      <c r="F885" s="446">
        <f t="shared" si="53"/>
        <v>0</v>
      </c>
      <c r="G885" s="447">
        <f t="shared" si="54"/>
        <v>172</v>
      </c>
      <c r="H885" s="442">
        <f t="shared" si="55"/>
        <v>0</v>
      </c>
      <c r="I885" s="447">
        <f t="shared" si="56"/>
        <v>0</v>
      </c>
      <c r="J885" s="544"/>
      <c r="K885" s="444" t="s">
        <v>1130</v>
      </c>
      <c r="L885" s="449">
        <v>172</v>
      </c>
      <c r="M885" s="289"/>
      <c r="N885" s="245"/>
      <c r="O885" s="450">
        <v>0</v>
      </c>
      <c r="P885" s="451">
        <f t="shared" si="57"/>
        <v>0</v>
      </c>
      <c r="Q885" s="289"/>
      <c r="R885" s="245"/>
      <c r="S885" s="289"/>
      <c r="T885" s="245"/>
      <c r="U885" s="289"/>
      <c r="V885" s="245"/>
      <c r="W885" s="289"/>
      <c r="X885" s="245"/>
      <c r="Y885" s="289"/>
      <c r="Z885" s="245"/>
    </row>
    <row r="886" spans="1:26" s="436" customFormat="1" ht="15" hidden="1">
      <c r="A886" s="443"/>
      <c r="B886" s="444"/>
      <c r="C886" s="445" t="s">
        <v>1652</v>
      </c>
      <c r="D886" s="543" t="s">
        <v>1653</v>
      </c>
      <c r="E886" s="444" t="s">
        <v>1130</v>
      </c>
      <c r="F886" s="446">
        <f t="shared" si="53"/>
        <v>0</v>
      </c>
      <c r="G886" s="447">
        <f t="shared" si="54"/>
        <v>197</v>
      </c>
      <c r="H886" s="442">
        <f t="shared" si="55"/>
        <v>0</v>
      </c>
      <c r="I886" s="447">
        <f t="shared" si="56"/>
        <v>0</v>
      </c>
      <c r="J886" s="544"/>
      <c r="K886" s="444" t="s">
        <v>1130</v>
      </c>
      <c r="L886" s="449">
        <v>197</v>
      </c>
      <c r="M886" s="289"/>
      <c r="N886" s="245"/>
      <c r="O886" s="450">
        <v>0</v>
      </c>
      <c r="P886" s="451">
        <f t="shared" si="57"/>
        <v>0</v>
      </c>
      <c r="Q886" s="289"/>
      <c r="R886" s="245"/>
      <c r="S886" s="289"/>
      <c r="T886" s="245"/>
      <c r="U886" s="289"/>
      <c r="V886" s="245"/>
      <c r="W886" s="289"/>
      <c r="X886" s="245"/>
      <c r="Y886" s="289"/>
      <c r="Z886" s="245"/>
    </row>
    <row r="887" spans="1:26" s="436" customFormat="1" ht="15" hidden="1">
      <c r="A887" s="443"/>
      <c r="B887" s="444"/>
      <c r="C887" s="445" t="s">
        <v>1654</v>
      </c>
      <c r="D887" s="543" t="s">
        <v>1655</v>
      </c>
      <c r="E887" s="444" t="s">
        <v>1130</v>
      </c>
      <c r="F887" s="446">
        <f t="shared" si="53"/>
        <v>0</v>
      </c>
      <c r="G887" s="447">
        <f t="shared" si="54"/>
        <v>242</v>
      </c>
      <c r="H887" s="442">
        <f t="shared" si="55"/>
        <v>0</v>
      </c>
      <c r="I887" s="447">
        <f t="shared" si="56"/>
        <v>0</v>
      </c>
      <c r="J887" s="544"/>
      <c r="K887" s="444" t="s">
        <v>1130</v>
      </c>
      <c r="L887" s="449">
        <v>242</v>
      </c>
      <c r="M887" s="289"/>
      <c r="N887" s="245"/>
      <c r="O887" s="450">
        <v>0</v>
      </c>
      <c r="P887" s="451">
        <f t="shared" si="57"/>
        <v>0</v>
      </c>
      <c r="Q887" s="289"/>
      <c r="R887" s="245"/>
      <c r="S887" s="289"/>
      <c r="T887" s="245"/>
      <c r="U887" s="289"/>
      <c r="V887" s="245"/>
      <c r="W887" s="289"/>
      <c r="X887" s="245"/>
      <c r="Y887" s="289"/>
      <c r="Z887" s="245"/>
    </row>
    <row r="888" spans="1:26" s="436" customFormat="1" ht="15" hidden="1">
      <c r="A888" s="443"/>
      <c r="B888" s="444"/>
      <c r="C888" s="445" t="s">
        <v>1656</v>
      </c>
      <c r="D888" s="543" t="s">
        <v>1657</v>
      </c>
      <c r="E888" s="444" t="s">
        <v>1130</v>
      </c>
      <c r="F888" s="446">
        <f t="shared" si="53"/>
        <v>0</v>
      </c>
      <c r="G888" s="447">
        <f t="shared" si="54"/>
        <v>297</v>
      </c>
      <c r="H888" s="442">
        <f t="shared" si="55"/>
        <v>0</v>
      </c>
      <c r="I888" s="447">
        <f t="shared" si="56"/>
        <v>0</v>
      </c>
      <c r="J888" s="544"/>
      <c r="K888" s="444" t="s">
        <v>1130</v>
      </c>
      <c r="L888" s="449">
        <v>297</v>
      </c>
      <c r="M888" s="289"/>
      <c r="N888" s="245"/>
      <c r="O888" s="450">
        <v>0</v>
      </c>
      <c r="P888" s="451">
        <f t="shared" si="57"/>
        <v>0</v>
      </c>
      <c r="Q888" s="289"/>
      <c r="R888" s="245"/>
      <c r="S888" s="289"/>
      <c r="T888" s="245"/>
      <c r="U888" s="289"/>
      <c r="V888" s="245"/>
      <c r="W888" s="289"/>
      <c r="X888" s="245"/>
      <c r="Y888" s="289"/>
      <c r="Z888" s="245"/>
    </row>
    <row r="889" spans="1:26" ht="15" hidden="1" customHeight="1">
      <c r="A889" s="250"/>
      <c r="B889" s="251"/>
      <c r="C889" s="453"/>
      <c r="D889" s="330"/>
      <c r="E889" s="251"/>
      <c r="F889" s="252"/>
      <c r="G889" s="253"/>
      <c r="H889" s="254"/>
      <c r="I889" s="253"/>
      <c r="J889" s="253"/>
      <c r="K889" s="251"/>
      <c r="L889" s="253"/>
      <c r="M889" s="289"/>
      <c r="N889" s="245"/>
      <c r="O889" s="258"/>
      <c r="P889" s="257"/>
      <c r="Q889" s="289"/>
      <c r="R889" s="245"/>
      <c r="S889" s="289"/>
      <c r="T889" s="245"/>
      <c r="U889" s="289"/>
      <c r="V889" s="245"/>
      <c r="W889" s="289"/>
      <c r="X889" s="245"/>
      <c r="Y889" s="289"/>
      <c r="Z889" s="245"/>
    </row>
    <row r="890" spans="1:26" ht="15" hidden="1" customHeight="1">
      <c r="A890" s="250"/>
      <c r="B890" s="251"/>
      <c r="C890" s="453" t="s">
        <v>1658</v>
      </c>
      <c r="D890" s="330" t="s">
        <v>1659</v>
      </c>
      <c r="E890" s="251"/>
      <c r="F890" s="252"/>
      <c r="G890" s="253"/>
      <c r="H890" s="254"/>
      <c r="I890" s="253"/>
      <c r="J890" s="253"/>
      <c r="K890" s="251"/>
      <c r="L890" s="253"/>
      <c r="M890" s="289"/>
      <c r="N890" s="245"/>
      <c r="O890" s="258"/>
      <c r="P890" s="257"/>
      <c r="Q890" s="289"/>
      <c r="R890" s="245"/>
      <c r="S890" s="289"/>
      <c r="T890" s="245"/>
      <c r="U890" s="289"/>
      <c r="V890" s="245"/>
      <c r="W890" s="289"/>
      <c r="X890" s="245"/>
      <c r="Y890" s="289"/>
      <c r="Z890" s="245"/>
    </row>
    <row r="891" spans="1:26" s="436" customFormat="1" ht="15" hidden="1">
      <c r="A891" s="443"/>
      <c r="B891" s="444"/>
      <c r="C891" s="445" t="s">
        <v>1660</v>
      </c>
      <c r="D891" s="543" t="s">
        <v>1661</v>
      </c>
      <c r="E891" s="444" t="s">
        <v>1130</v>
      </c>
      <c r="F891" s="446">
        <f t="shared" ref="F891:F898" si="58">M891+O891+Q891+S891+U891+W891+Y891</f>
        <v>0</v>
      </c>
      <c r="G891" s="447">
        <f t="shared" ref="G891:G898" si="59">L891</f>
        <v>15.3</v>
      </c>
      <c r="H891" s="442">
        <f t="shared" ref="H891:H898" si="60">F891*G891</f>
        <v>0</v>
      </c>
      <c r="I891" s="447">
        <f t="shared" ref="I891:I898" si="61">N891+P891+R891+T891+V891+X891+Z891</f>
        <v>0</v>
      </c>
      <c r="J891" s="544"/>
      <c r="K891" s="444" t="s">
        <v>1130</v>
      </c>
      <c r="L891" s="449">
        <v>15.3</v>
      </c>
      <c r="M891" s="289"/>
      <c r="N891" s="245"/>
      <c r="O891" s="450">
        <v>0</v>
      </c>
      <c r="P891" s="451">
        <f t="shared" ref="P891:P898" si="62">INT($L891*O891*100+0.5)/100</f>
        <v>0</v>
      </c>
      <c r="Q891" s="289"/>
      <c r="R891" s="245"/>
      <c r="S891" s="289"/>
      <c r="T891" s="245"/>
      <c r="U891" s="289"/>
      <c r="V891" s="245"/>
      <c r="W891" s="289"/>
      <c r="X891" s="245"/>
      <c r="Y891" s="289"/>
      <c r="Z891" s="245"/>
    </row>
    <row r="892" spans="1:26" s="436" customFormat="1" ht="15" hidden="1">
      <c r="A892" s="443"/>
      <c r="B892" s="444"/>
      <c r="C892" s="445" t="s">
        <v>1662</v>
      </c>
      <c r="D892" s="543" t="s">
        <v>1663</v>
      </c>
      <c r="E892" s="444" t="s">
        <v>1130</v>
      </c>
      <c r="F892" s="446">
        <f t="shared" si="58"/>
        <v>0</v>
      </c>
      <c r="G892" s="447">
        <f t="shared" si="59"/>
        <v>18.5</v>
      </c>
      <c r="H892" s="442">
        <f t="shared" si="60"/>
        <v>0</v>
      </c>
      <c r="I892" s="447">
        <f t="shared" si="61"/>
        <v>0</v>
      </c>
      <c r="J892" s="544"/>
      <c r="K892" s="444" t="s">
        <v>1130</v>
      </c>
      <c r="L892" s="449">
        <v>18.5</v>
      </c>
      <c r="M892" s="289"/>
      <c r="N892" s="245"/>
      <c r="O892" s="450">
        <v>0</v>
      </c>
      <c r="P892" s="451">
        <f t="shared" si="62"/>
        <v>0</v>
      </c>
      <c r="Q892" s="289"/>
      <c r="R892" s="245"/>
      <c r="S892" s="289"/>
      <c r="T892" s="245"/>
      <c r="U892" s="289"/>
      <c r="V892" s="245"/>
      <c r="W892" s="289"/>
      <c r="X892" s="245"/>
      <c r="Y892" s="289"/>
      <c r="Z892" s="245"/>
    </row>
    <row r="893" spans="1:26" s="436" customFormat="1" ht="15" hidden="1">
      <c r="A893" s="443"/>
      <c r="B893" s="444"/>
      <c r="C893" s="445" t="s">
        <v>1664</v>
      </c>
      <c r="D893" s="543" t="s">
        <v>1665</v>
      </c>
      <c r="E893" s="444" t="s">
        <v>1130</v>
      </c>
      <c r="F893" s="446">
        <f t="shared" si="58"/>
        <v>0</v>
      </c>
      <c r="G893" s="447">
        <f t="shared" si="59"/>
        <v>20</v>
      </c>
      <c r="H893" s="442">
        <f t="shared" si="60"/>
        <v>0</v>
      </c>
      <c r="I893" s="447">
        <f t="shared" si="61"/>
        <v>0</v>
      </c>
      <c r="J893" s="544"/>
      <c r="K893" s="444" t="s">
        <v>1130</v>
      </c>
      <c r="L893" s="449">
        <v>20</v>
      </c>
      <c r="M893" s="289"/>
      <c r="N893" s="245"/>
      <c r="O893" s="450">
        <v>0</v>
      </c>
      <c r="P893" s="451">
        <f t="shared" si="62"/>
        <v>0</v>
      </c>
      <c r="Q893" s="289"/>
      <c r="R893" s="245"/>
      <c r="S893" s="289"/>
      <c r="T893" s="245"/>
      <c r="U893" s="289"/>
      <c r="V893" s="245"/>
      <c r="W893" s="289"/>
      <c r="X893" s="245"/>
      <c r="Y893" s="289"/>
      <c r="Z893" s="245"/>
    </row>
    <row r="894" spans="1:26" s="436" customFormat="1" ht="15" hidden="1">
      <c r="A894" s="443"/>
      <c r="B894" s="444"/>
      <c r="C894" s="445" t="s">
        <v>1666</v>
      </c>
      <c r="D894" s="543" t="s">
        <v>1667</v>
      </c>
      <c r="E894" s="444" t="s">
        <v>1130</v>
      </c>
      <c r="F894" s="446">
        <f t="shared" si="58"/>
        <v>0</v>
      </c>
      <c r="G894" s="447">
        <f t="shared" si="59"/>
        <v>21</v>
      </c>
      <c r="H894" s="442">
        <f t="shared" si="60"/>
        <v>0</v>
      </c>
      <c r="I894" s="447">
        <f t="shared" si="61"/>
        <v>0</v>
      </c>
      <c r="J894" s="544"/>
      <c r="K894" s="444" t="s">
        <v>1130</v>
      </c>
      <c r="L894" s="449">
        <v>21</v>
      </c>
      <c r="M894" s="289"/>
      <c r="N894" s="245"/>
      <c r="O894" s="450">
        <v>0</v>
      </c>
      <c r="P894" s="451">
        <f t="shared" si="62"/>
        <v>0</v>
      </c>
      <c r="Q894" s="289"/>
      <c r="R894" s="245"/>
      <c r="S894" s="289"/>
      <c r="T894" s="245"/>
      <c r="U894" s="289"/>
      <c r="V894" s="245"/>
      <c r="W894" s="289"/>
      <c r="X894" s="245"/>
      <c r="Y894" s="289"/>
      <c r="Z894" s="245"/>
    </row>
    <row r="895" spans="1:26" s="436" customFormat="1" ht="15" hidden="1">
      <c r="A895" s="443"/>
      <c r="B895" s="444"/>
      <c r="C895" s="445" t="s">
        <v>1668</v>
      </c>
      <c r="D895" s="543" t="s">
        <v>1669</v>
      </c>
      <c r="E895" s="444" t="s">
        <v>1130</v>
      </c>
      <c r="F895" s="446">
        <f t="shared" si="58"/>
        <v>0</v>
      </c>
      <c r="G895" s="447">
        <f t="shared" si="59"/>
        <v>23.8</v>
      </c>
      <c r="H895" s="442">
        <f t="shared" si="60"/>
        <v>0</v>
      </c>
      <c r="I895" s="447">
        <f t="shared" si="61"/>
        <v>0</v>
      </c>
      <c r="J895" s="544"/>
      <c r="K895" s="444" t="s">
        <v>1130</v>
      </c>
      <c r="L895" s="449">
        <v>23.8</v>
      </c>
      <c r="M895" s="289"/>
      <c r="N895" s="245"/>
      <c r="O895" s="450">
        <v>0</v>
      </c>
      <c r="P895" s="451">
        <f t="shared" si="62"/>
        <v>0</v>
      </c>
      <c r="Q895" s="289"/>
      <c r="R895" s="245"/>
      <c r="S895" s="289"/>
      <c r="T895" s="245"/>
      <c r="U895" s="289"/>
      <c r="V895" s="245"/>
      <c r="W895" s="289"/>
      <c r="X895" s="245"/>
      <c r="Y895" s="289"/>
      <c r="Z895" s="245"/>
    </row>
    <row r="896" spans="1:26" s="436" customFormat="1" ht="15" hidden="1">
      <c r="A896" s="443"/>
      <c r="B896" s="444"/>
      <c r="C896" s="445" t="s">
        <v>1670</v>
      </c>
      <c r="D896" s="543" t="s">
        <v>1671</v>
      </c>
      <c r="E896" s="444" t="s">
        <v>1130</v>
      </c>
      <c r="F896" s="446">
        <f t="shared" si="58"/>
        <v>0</v>
      </c>
      <c r="G896" s="447">
        <f t="shared" si="59"/>
        <v>24.5</v>
      </c>
      <c r="H896" s="442">
        <f t="shared" si="60"/>
        <v>0</v>
      </c>
      <c r="I896" s="447">
        <f t="shared" si="61"/>
        <v>0</v>
      </c>
      <c r="J896" s="544"/>
      <c r="K896" s="444" t="s">
        <v>1130</v>
      </c>
      <c r="L896" s="449">
        <v>24.5</v>
      </c>
      <c r="M896" s="289"/>
      <c r="N896" s="245"/>
      <c r="O896" s="450">
        <v>0</v>
      </c>
      <c r="P896" s="451">
        <f t="shared" si="62"/>
        <v>0</v>
      </c>
      <c r="Q896" s="289"/>
      <c r="R896" s="245"/>
      <c r="S896" s="289"/>
      <c r="T896" s="245"/>
      <c r="U896" s="289"/>
      <c r="V896" s="245"/>
      <c r="W896" s="289"/>
      <c r="X896" s="245"/>
      <c r="Y896" s="289"/>
      <c r="Z896" s="245"/>
    </row>
    <row r="897" spans="1:26" s="436" customFormat="1" ht="15" hidden="1">
      <c r="A897" s="443"/>
      <c r="B897" s="444"/>
      <c r="C897" s="445" t="s">
        <v>1672</v>
      </c>
      <c r="D897" s="543" t="s">
        <v>1673</v>
      </c>
      <c r="E897" s="444" t="s">
        <v>1130</v>
      </c>
      <c r="F897" s="446">
        <f t="shared" si="58"/>
        <v>0</v>
      </c>
      <c r="G897" s="447">
        <f t="shared" si="59"/>
        <v>25.5</v>
      </c>
      <c r="H897" s="442">
        <f t="shared" si="60"/>
        <v>0</v>
      </c>
      <c r="I897" s="447">
        <f t="shared" si="61"/>
        <v>0</v>
      </c>
      <c r="J897" s="544"/>
      <c r="K897" s="444" t="s">
        <v>1130</v>
      </c>
      <c r="L897" s="449">
        <v>25.5</v>
      </c>
      <c r="M897" s="289"/>
      <c r="N897" s="245"/>
      <c r="O897" s="450">
        <v>0</v>
      </c>
      <c r="P897" s="451">
        <f t="shared" si="62"/>
        <v>0</v>
      </c>
      <c r="Q897" s="289"/>
      <c r="R897" s="245"/>
      <c r="S897" s="289"/>
      <c r="T897" s="245"/>
      <c r="U897" s="289"/>
      <c r="V897" s="245"/>
      <c r="W897" s="289"/>
      <c r="X897" s="245"/>
      <c r="Y897" s="289"/>
      <c r="Z897" s="245"/>
    </row>
    <row r="898" spans="1:26" s="436" customFormat="1" ht="15" hidden="1">
      <c r="A898" s="443"/>
      <c r="B898" s="444"/>
      <c r="C898" s="445" t="s">
        <v>1674</v>
      </c>
      <c r="D898" s="543" t="s">
        <v>1675</v>
      </c>
      <c r="E898" s="444" t="s">
        <v>1130</v>
      </c>
      <c r="F898" s="446">
        <f t="shared" si="58"/>
        <v>0</v>
      </c>
      <c r="G898" s="447">
        <f t="shared" si="59"/>
        <v>30.5</v>
      </c>
      <c r="H898" s="442">
        <f t="shared" si="60"/>
        <v>0</v>
      </c>
      <c r="I898" s="447">
        <f t="shared" si="61"/>
        <v>0</v>
      </c>
      <c r="J898" s="544"/>
      <c r="K898" s="444" t="s">
        <v>1130</v>
      </c>
      <c r="L898" s="449">
        <v>30.5</v>
      </c>
      <c r="M898" s="289"/>
      <c r="N898" s="245"/>
      <c r="O898" s="450">
        <v>0</v>
      </c>
      <c r="P898" s="451">
        <f t="shared" si="62"/>
        <v>0</v>
      </c>
      <c r="Q898" s="289"/>
      <c r="R898" s="245"/>
      <c r="S898" s="289"/>
      <c r="T898" s="245"/>
      <c r="U898" s="289"/>
      <c r="V898" s="245"/>
      <c r="W898" s="289"/>
      <c r="X898" s="245"/>
      <c r="Y898" s="289"/>
      <c r="Z898" s="245"/>
    </row>
    <row r="899" spans="1:26" ht="15" hidden="1" customHeight="1">
      <c r="A899" s="250"/>
      <c r="B899" s="251"/>
      <c r="C899" s="453"/>
      <c r="D899" s="330"/>
      <c r="E899" s="251"/>
      <c r="F899" s="252"/>
      <c r="G899" s="253"/>
      <c r="H899" s="254"/>
      <c r="I899" s="253"/>
      <c r="J899" s="253"/>
      <c r="K899" s="251"/>
      <c r="L899" s="253"/>
      <c r="M899" s="289"/>
      <c r="N899" s="245"/>
      <c r="O899" s="258"/>
      <c r="P899" s="257"/>
      <c r="Q899" s="289"/>
      <c r="R899" s="245"/>
      <c r="S899" s="289"/>
      <c r="T899" s="245"/>
      <c r="U899" s="289"/>
      <c r="V899" s="245"/>
      <c r="W899" s="289"/>
      <c r="X899" s="245"/>
      <c r="Y899" s="289"/>
      <c r="Z899" s="245"/>
    </row>
    <row r="900" spans="1:26" ht="15" hidden="1" customHeight="1">
      <c r="A900" s="250"/>
      <c r="B900" s="251"/>
      <c r="C900" s="453" t="s">
        <v>1676</v>
      </c>
      <c r="D900" s="330" t="s">
        <v>1677</v>
      </c>
      <c r="E900" s="251"/>
      <c r="F900" s="252"/>
      <c r="G900" s="253"/>
      <c r="H900" s="254"/>
      <c r="I900" s="253"/>
      <c r="J900" s="253"/>
      <c r="K900" s="251"/>
      <c r="L900" s="253"/>
      <c r="M900" s="289"/>
      <c r="N900" s="245"/>
      <c r="O900" s="258"/>
      <c r="P900" s="257"/>
      <c r="Q900" s="289"/>
      <c r="R900" s="245"/>
      <c r="S900" s="289"/>
      <c r="T900" s="245"/>
      <c r="U900" s="289"/>
      <c r="V900" s="245"/>
      <c r="W900" s="289"/>
      <c r="X900" s="245"/>
      <c r="Y900" s="289"/>
      <c r="Z900" s="245"/>
    </row>
    <row r="901" spans="1:26" s="436" customFormat="1" ht="15" hidden="1">
      <c r="A901" s="443"/>
      <c r="B901" s="444"/>
      <c r="C901" s="445" t="s">
        <v>1678</v>
      </c>
      <c r="D901" s="543" t="s">
        <v>1679</v>
      </c>
      <c r="E901" s="444" t="s">
        <v>1130</v>
      </c>
      <c r="F901" s="446">
        <f t="shared" ref="F901:F908" si="63">M901+O901+Q901+S901+U901+W901+Y901</f>
        <v>0</v>
      </c>
      <c r="G901" s="447">
        <f t="shared" ref="G901:G908" si="64">L901</f>
        <v>18</v>
      </c>
      <c r="H901" s="442">
        <f t="shared" ref="H901:H908" si="65">F901*G901</f>
        <v>0</v>
      </c>
      <c r="I901" s="447">
        <f t="shared" ref="I901:I908" si="66">N901+P901+R901+T901+V901+X901+Z901</f>
        <v>0</v>
      </c>
      <c r="J901" s="544"/>
      <c r="K901" s="444" t="s">
        <v>1130</v>
      </c>
      <c r="L901" s="449">
        <v>18</v>
      </c>
      <c r="M901" s="289"/>
      <c r="N901" s="245"/>
      <c r="O901" s="450">
        <v>0</v>
      </c>
      <c r="P901" s="451">
        <f t="shared" ref="P901:P908" si="67">INT($L901*O901*100+0.5)/100</f>
        <v>0</v>
      </c>
      <c r="Q901" s="289"/>
      <c r="R901" s="245"/>
      <c r="S901" s="289"/>
      <c r="T901" s="245"/>
      <c r="U901" s="289"/>
      <c r="V901" s="245"/>
      <c r="W901" s="289"/>
      <c r="X901" s="245"/>
      <c r="Y901" s="289"/>
      <c r="Z901" s="245"/>
    </row>
    <row r="902" spans="1:26" s="436" customFormat="1" ht="15" hidden="1">
      <c r="A902" s="443"/>
      <c r="B902" s="444"/>
      <c r="C902" s="445" t="s">
        <v>1680</v>
      </c>
      <c r="D902" s="543" t="s">
        <v>1681</v>
      </c>
      <c r="E902" s="444" t="s">
        <v>1130</v>
      </c>
      <c r="F902" s="446">
        <f t="shared" si="63"/>
        <v>0</v>
      </c>
      <c r="G902" s="447">
        <f t="shared" si="64"/>
        <v>22</v>
      </c>
      <c r="H902" s="442">
        <f t="shared" si="65"/>
        <v>0</v>
      </c>
      <c r="I902" s="447">
        <f t="shared" si="66"/>
        <v>0</v>
      </c>
      <c r="J902" s="544"/>
      <c r="K902" s="444" t="s">
        <v>1130</v>
      </c>
      <c r="L902" s="449">
        <v>22</v>
      </c>
      <c r="M902" s="289"/>
      <c r="N902" s="245"/>
      <c r="O902" s="450">
        <v>0</v>
      </c>
      <c r="P902" s="451">
        <f t="shared" si="67"/>
        <v>0</v>
      </c>
      <c r="Q902" s="289"/>
      <c r="R902" s="245"/>
      <c r="S902" s="289"/>
      <c r="T902" s="245"/>
      <c r="U902" s="289"/>
      <c r="V902" s="245"/>
      <c r="W902" s="289"/>
      <c r="X902" s="245"/>
      <c r="Y902" s="289"/>
      <c r="Z902" s="245"/>
    </row>
    <row r="903" spans="1:26" s="436" customFormat="1" ht="15" hidden="1">
      <c r="A903" s="443"/>
      <c r="B903" s="444"/>
      <c r="C903" s="445" t="s">
        <v>1682</v>
      </c>
      <c r="D903" s="543" t="s">
        <v>1683</v>
      </c>
      <c r="E903" s="444" t="s">
        <v>1130</v>
      </c>
      <c r="F903" s="446">
        <f t="shared" si="63"/>
        <v>0</v>
      </c>
      <c r="G903" s="447">
        <f t="shared" si="64"/>
        <v>28</v>
      </c>
      <c r="H903" s="442">
        <f t="shared" si="65"/>
        <v>0</v>
      </c>
      <c r="I903" s="447">
        <f t="shared" si="66"/>
        <v>0</v>
      </c>
      <c r="J903" s="544"/>
      <c r="K903" s="444" t="s">
        <v>1130</v>
      </c>
      <c r="L903" s="449">
        <v>28</v>
      </c>
      <c r="M903" s="289"/>
      <c r="N903" s="245"/>
      <c r="O903" s="450">
        <v>0</v>
      </c>
      <c r="P903" s="451">
        <f t="shared" si="67"/>
        <v>0</v>
      </c>
      <c r="Q903" s="289"/>
      <c r="R903" s="245"/>
      <c r="S903" s="289"/>
      <c r="T903" s="245"/>
      <c r="U903" s="289"/>
      <c r="V903" s="245"/>
      <c r="W903" s="289"/>
      <c r="X903" s="245"/>
      <c r="Y903" s="289"/>
      <c r="Z903" s="245"/>
    </row>
    <row r="904" spans="1:26" s="436" customFormat="1" ht="15" hidden="1">
      <c r="A904" s="443"/>
      <c r="B904" s="444"/>
      <c r="C904" s="445" t="s">
        <v>1684</v>
      </c>
      <c r="D904" s="543" t="s">
        <v>1685</v>
      </c>
      <c r="E904" s="444" t="s">
        <v>1130</v>
      </c>
      <c r="F904" s="446">
        <f t="shared" si="63"/>
        <v>0</v>
      </c>
      <c r="G904" s="447">
        <f t="shared" si="64"/>
        <v>33</v>
      </c>
      <c r="H904" s="442">
        <f t="shared" si="65"/>
        <v>0</v>
      </c>
      <c r="I904" s="447">
        <f t="shared" si="66"/>
        <v>0</v>
      </c>
      <c r="J904" s="544"/>
      <c r="K904" s="444" t="s">
        <v>1130</v>
      </c>
      <c r="L904" s="449">
        <v>33</v>
      </c>
      <c r="M904" s="289"/>
      <c r="N904" s="245"/>
      <c r="O904" s="450">
        <v>0</v>
      </c>
      <c r="P904" s="451">
        <f t="shared" si="67"/>
        <v>0</v>
      </c>
      <c r="Q904" s="289"/>
      <c r="R904" s="245"/>
      <c r="S904" s="289"/>
      <c r="T904" s="245"/>
      <c r="U904" s="289"/>
      <c r="V904" s="245"/>
      <c r="W904" s="289"/>
      <c r="X904" s="245"/>
      <c r="Y904" s="289"/>
      <c r="Z904" s="245"/>
    </row>
    <row r="905" spans="1:26" s="436" customFormat="1" ht="15" hidden="1">
      <c r="A905" s="443"/>
      <c r="B905" s="444"/>
      <c r="C905" s="445" t="s">
        <v>1686</v>
      </c>
      <c r="D905" s="543" t="s">
        <v>1687</v>
      </c>
      <c r="E905" s="444" t="s">
        <v>1130</v>
      </c>
      <c r="F905" s="446">
        <f t="shared" si="63"/>
        <v>0</v>
      </c>
      <c r="G905" s="447">
        <f t="shared" si="64"/>
        <v>40</v>
      </c>
      <c r="H905" s="442">
        <f t="shared" si="65"/>
        <v>0</v>
      </c>
      <c r="I905" s="447">
        <f t="shared" si="66"/>
        <v>0</v>
      </c>
      <c r="J905" s="544"/>
      <c r="K905" s="444" t="s">
        <v>1130</v>
      </c>
      <c r="L905" s="449">
        <v>40</v>
      </c>
      <c r="M905" s="289"/>
      <c r="N905" s="245"/>
      <c r="O905" s="450">
        <v>0</v>
      </c>
      <c r="P905" s="451">
        <f t="shared" si="67"/>
        <v>0</v>
      </c>
      <c r="Q905" s="289"/>
      <c r="R905" s="245"/>
      <c r="S905" s="289"/>
      <c r="T905" s="245"/>
      <c r="U905" s="289"/>
      <c r="V905" s="245"/>
      <c r="W905" s="289"/>
      <c r="X905" s="245"/>
      <c r="Y905" s="289"/>
      <c r="Z905" s="245"/>
    </row>
    <row r="906" spans="1:26" s="436" customFormat="1" ht="15" hidden="1">
      <c r="A906" s="443"/>
      <c r="B906" s="444"/>
      <c r="C906" s="445" t="s">
        <v>1688</v>
      </c>
      <c r="D906" s="543" t="s">
        <v>1689</v>
      </c>
      <c r="E906" s="444" t="s">
        <v>1130</v>
      </c>
      <c r="F906" s="446">
        <f t="shared" si="63"/>
        <v>0</v>
      </c>
      <c r="G906" s="447">
        <f t="shared" si="64"/>
        <v>41</v>
      </c>
      <c r="H906" s="442">
        <f t="shared" si="65"/>
        <v>0</v>
      </c>
      <c r="I906" s="447">
        <f t="shared" si="66"/>
        <v>0</v>
      </c>
      <c r="J906" s="544"/>
      <c r="K906" s="444" t="s">
        <v>1130</v>
      </c>
      <c r="L906" s="449">
        <v>41</v>
      </c>
      <c r="M906" s="289"/>
      <c r="N906" s="245"/>
      <c r="O906" s="450">
        <v>0</v>
      </c>
      <c r="P906" s="451">
        <f t="shared" si="67"/>
        <v>0</v>
      </c>
      <c r="Q906" s="289"/>
      <c r="R906" s="245"/>
      <c r="S906" s="289"/>
      <c r="T906" s="245"/>
      <c r="U906" s="289"/>
      <c r="V906" s="245"/>
      <c r="W906" s="289"/>
      <c r="X906" s="245"/>
      <c r="Y906" s="289"/>
      <c r="Z906" s="245"/>
    </row>
    <row r="907" spans="1:26" s="436" customFormat="1" ht="15" hidden="1">
      <c r="A907" s="443"/>
      <c r="B907" s="444"/>
      <c r="C907" s="445" t="s">
        <v>1690</v>
      </c>
      <c r="D907" s="543" t="s">
        <v>1691</v>
      </c>
      <c r="E907" s="444" t="s">
        <v>1130</v>
      </c>
      <c r="F907" s="446">
        <f t="shared" si="63"/>
        <v>0</v>
      </c>
      <c r="G907" s="447">
        <f t="shared" si="64"/>
        <v>42</v>
      </c>
      <c r="H907" s="442">
        <f t="shared" si="65"/>
        <v>0</v>
      </c>
      <c r="I907" s="447">
        <f t="shared" si="66"/>
        <v>0</v>
      </c>
      <c r="J907" s="544"/>
      <c r="K907" s="444" t="s">
        <v>1130</v>
      </c>
      <c r="L907" s="449">
        <v>42</v>
      </c>
      <c r="M907" s="289"/>
      <c r="N907" s="245"/>
      <c r="O907" s="450">
        <v>0</v>
      </c>
      <c r="P907" s="451">
        <f t="shared" si="67"/>
        <v>0</v>
      </c>
      <c r="Q907" s="289"/>
      <c r="R907" s="245"/>
      <c r="S907" s="289"/>
      <c r="T907" s="245"/>
      <c r="U907" s="289"/>
      <c r="V907" s="245"/>
      <c r="W907" s="289"/>
      <c r="X907" s="245"/>
      <c r="Y907" s="289"/>
      <c r="Z907" s="245"/>
    </row>
    <row r="908" spans="1:26" s="436" customFormat="1" ht="15" hidden="1">
      <c r="A908" s="443"/>
      <c r="B908" s="444"/>
      <c r="C908" s="445" t="s">
        <v>1692</v>
      </c>
      <c r="D908" s="543" t="s">
        <v>1693</v>
      </c>
      <c r="E908" s="444" t="s">
        <v>1130</v>
      </c>
      <c r="F908" s="446">
        <f t="shared" si="63"/>
        <v>0</v>
      </c>
      <c r="G908" s="447">
        <f t="shared" si="64"/>
        <v>43</v>
      </c>
      <c r="H908" s="442">
        <f t="shared" si="65"/>
        <v>0</v>
      </c>
      <c r="I908" s="447">
        <f t="shared" si="66"/>
        <v>0</v>
      </c>
      <c r="J908" s="544"/>
      <c r="K908" s="444" t="s">
        <v>1130</v>
      </c>
      <c r="L908" s="449">
        <v>43</v>
      </c>
      <c r="M908" s="289"/>
      <c r="N908" s="245"/>
      <c r="O908" s="450">
        <v>0</v>
      </c>
      <c r="P908" s="451">
        <f t="shared" si="67"/>
        <v>0</v>
      </c>
      <c r="Q908" s="289"/>
      <c r="R908" s="245"/>
      <c r="S908" s="289"/>
      <c r="T908" s="245"/>
      <c r="U908" s="289"/>
      <c r="V908" s="245"/>
      <c r="W908" s="289"/>
      <c r="X908" s="245"/>
      <c r="Y908" s="289"/>
      <c r="Z908" s="245"/>
    </row>
    <row r="909" spans="1:26" ht="15" hidden="1" customHeight="1">
      <c r="A909" s="250"/>
      <c r="B909" s="251"/>
      <c r="C909" s="453"/>
      <c r="D909" s="330"/>
      <c r="E909" s="251"/>
      <c r="F909" s="252"/>
      <c r="G909" s="253"/>
      <c r="H909" s="254"/>
      <c r="I909" s="253"/>
      <c r="J909" s="253"/>
      <c r="K909" s="251"/>
      <c r="L909" s="253"/>
      <c r="M909" s="289"/>
      <c r="N909" s="245"/>
      <c r="O909" s="258"/>
      <c r="P909" s="257"/>
      <c r="Q909" s="289"/>
      <c r="R909" s="245"/>
      <c r="S909" s="289"/>
      <c r="T909" s="245"/>
      <c r="U909" s="289"/>
      <c r="V909" s="245"/>
      <c r="W909" s="289"/>
      <c r="X909" s="245"/>
      <c r="Y909" s="289"/>
      <c r="Z909" s="245"/>
    </row>
    <row r="910" spans="1:26" ht="15" hidden="1" customHeight="1">
      <c r="A910" s="250"/>
      <c r="B910" s="251"/>
      <c r="C910" s="453" t="s">
        <v>1694</v>
      </c>
      <c r="D910" s="330" t="s">
        <v>1695</v>
      </c>
      <c r="E910" s="251"/>
      <c r="F910" s="252"/>
      <c r="G910" s="253"/>
      <c r="H910" s="254"/>
      <c r="I910" s="253"/>
      <c r="J910" s="253"/>
      <c r="K910" s="251"/>
      <c r="L910" s="253"/>
      <c r="M910" s="289"/>
      <c r="N910" s="245"/>
      <c r="O910" s="258"/>
      <c r="P910" s="257"/>
      <c r="Q910" s="289"/>
      <c r="R910" s="245"/>
      <c r="S910" s="289"/>
      <c r="T910" s="245"/>
      <c r="U910" s="289"/>
      <c r="V910" s="245"/>
      <c r="W910" s="289"/>
      <c r="X910" s="245"/>
      <c r="Y910" s="289"/>
      <c r="Z910" s="245"/>
    </row>
    <row r="911" spans="1:26" s="436" customFormat="1" ht="15" hidden="1">
      <c r="A911" s="443"/>
      <c r="B911" s="444"/>
      <c r="C911" s="445" t="s">
        <v>1696</v>
      </c>
      <c r="D911" s="543" t="s">
        <v>1697</v>
      </c>
      <c r="E911" s="444" t="s">
        <v>1130</v>
      </c>
      <c r="F911" s="446">
        <f t="shared" ref="F911:F921" si="68">M911+O911+Q911+S911+U911+W911+Y911</f>
        <v>0</v>
      </c>
      <c r="G911" s="447">
        <f t="shared" ref="G911:G921" si="69">L911</f>
        <v>31</v>
      </c>
      <c r="H911" s="442">
        <f t="shared" ref="H911:H921" si="70">F911*G911</f>
        <v>0</v>
      </c>
      <c r="I911" s="447">
        <f t="shared" ref="I911:I921" si="71">N911+P911+R911+T911+V911+X911+Z911</f>
        <v>0</v>
      </c>
      <c r="J911" s="544"/>
      <c r="K911" s="444" t="s">
        <v>1130</v>
      </c>
      <c r="L911" s="449">
        <v>31</v>
      </c>
      <c r="M911" s="289"/>
      <c r="N911" s="245"/>
      <c r="O911" s="450">
        <v>0</v>
      </c>
      <c r="P911" s="451">
        <f t="shared" ref="P911:P921" si="72">INT($L911*O911*100+0.5)/100</f>
        <v>0</v>
      </c>
      <c r="Q911" s="289"/>
      <c r="R911" s="245"/>
      <c r="S911" s="289"/>
      <c r="T911" s="245"/>
      <c r="U911" s="289"/>
      <c r="V911" s="245"/>
      <c r="W911" s="289"/>
      <c r="X911" s="245"/>
      <c r="Y911" s="289"/>
      <c r="Z911" s="245"/>
    </row>
    <row r="912" spans="1:26" s="436" customFormat="1" ht="15" hidden="1">
      <c r="A912" s="443"/>
      <c r="B912" s="444"/>
      <c r="C912" s="445" t="s">
        <v>1698</v>
      </c>
      <c r="D912" s="543" t="s">
        <v>1699</v>
      </c>
      <c r="E912" s="444" t="s">
        <v>1130</v>
      </c>
      <c r="F912" s="446">
        <f t="shared" si="68"/>
        <v>0</v>
      </c>
      <c r="G912" s="447">
        <f t="shared" si="69"/>
        <v>33</v>
      </c>
      <c r="H912" s="442">
        <f t="shared" si="70"/>
        <v>0</v>
      </c>
      <c r="I912" s="447">
        <f t="shared" si="71"/>
        <v>0</v>
      </c>
      <c r="J912" s="544"/>
      <c r="K912" s="444" t="s">
        <v>1130</v>
      </c>
      <c r="L912" s="449">
        <v>33</v>
      </c>
      <c r="M912" s="289"/>
      <c r="N912" s="245"/>
      <c r="O912" s="450">
        <v>0</v>
      </c>
      <c r="P912" s="451">
        <f t="shared" si="72"/>
        <v>0</v>
      </c>
      <c r="Q912" s="289"/>
      <c r="R912" s="245"/>
      <c r="S912" s="289"/>
      <c r="T912" s="245"/>
      <c r="U912" s="289"/>
      <c r="V912" s="245"/>
      <c r="W912" s="289"/>
      <c r="X912" s="245"/>
      <c r="Y912" s="289"/>
      <c r="Z912" s="245"/>
    </row>
    <row r="913" spans="1:26" s="436" customFormat="1" ht="15" hidden="1">
      <c r="A913" s="443"/>
      <c r="B913" s="444"/>
      <c r="C913" s="445" t="s">
        <v>1700</v>
      </c>
      <c r="D913" s="543" t="s">
        <v>1701</v>
      </c>
      <c r="E913" s="444" t="s">
        <v>1130</v>
      </c>
      <c r="F913" s="446">
        <f t="shared" si="68"/>
        <v>0</v>
      </c>
      <c r="G913" s="447">
        <f t="shared" si="69"/>
        <v>34</v>
      </c>
      <c r="H913" s="442">
        <f t="shared" si="70"/>
        <v>0</v>
      </c>
      <c r="I913" s="447">
        <f t="shared" si="71"/>
        <v>0</v>
      </c>
      <c r="J913" s="544"/>
      <c r="K913" s="444" t="s">
        <v>1130</v>
      </c>
      <c r="L913" s="449">
        <v>34</v>
      </c>
      <c r="M913" s="289"/>
      <c r="N913" s="245"/>
      <c r="O913" s="450">
        <v>0</v>
      </c>
      <c r="P913" s="451">
        <f t="shared" si="72"/>
        <v>0</v>
      </c>
      <c r="Q913" s="289"/>
      <c r="R913" s="245"/>
      <c r="S913" s="289"/>
      <c r="T913" s="245"/>
      <c r="U913" s="289"/>
      <c r="V913" s="245"/>
      <c r="W913" s="289"/>
      <c r="X913" s="245"/>
      <c r="Y913" s="289"/>
      <c r="Z913" s="245"/>
    </row>
    <row r="914" spans="1:26" s="436" customFormat="1" ht="15" hidden="1">
      <c r="A914" s="443"/>
      <c r="B914" s="444"/>
      <c r="C914" s="445" t="s">
        <v>1702</v>
      </c>
      <c r="D914" s="543" t="s">
        <v>1703</v>
      </c>
      <c r="E914" s="444" t="s">
        <v>1130</v>
      </c>
      <c r="F914" s="446">
        <f t="shared" si="68"/>
        <v>0</v>
      </c>
      <c r="G914" s="447">
        <f t="shared" si="69"/>
        <v>35</v>
      </c>
      <c r="H914" s="442">
        <f t="shared" si="70"/>
        <v>0</v>
      </c>
      <c r="I914" s="447">
        <f t="shared" si="71"/>
        <v>0</v>
      </c>
      <c r="J914" s="544"/>
      <c r="K914" s="444" t="s">
        <v>1130</v>
      </c>
      <c r="L914" s="449">
        <v>35</v>
      </c>
      <c r="M914" s="289"/>
      <c r="N914" s="245"/>
      <c r="O914" s="450">
        <v>0</v>
      </c>
      <c r="P914" s="451">
        <f t="shared" si="72"/>
        <v>0</v>
      </c>
      <c r="Q914" s="289"/>
      <c r="R914" s="245"/>
      <c r="S914" s="289"/>
      <c r="T914" s="245"/>
      <c r="U914" s="289"/>
      <c r="V914" s="245"/>
      <c r="W914" s="289"/>
      <c r="X914" s="245"/>
      <c r="Y914" s="289"/>
      <c r="Z914" s="245"/>
    </row>
    <row r="915" spans="1:26" s="436" customFormat="1" ht="15" hidden="1">
      <c r="A915" s="443"/>
      <c r="B915" s="444"/>
      <c r="C915" s="445" t="s">
        <v>1704</v>
      </c>
      <c r="D915" s="543" t="s">
        <v>1705</v>
      </c>
      <c r="E915" s="444" t="s">
        <v>1130</v>
      </c>
      <c r="F915" s="446">
        <f t="shared" si="68"/>
        <v>0</v>
      </c>
      <c r="G915" s="447">
        <f t="shared" si="69"/>
        <v>37</v>
      </c>
      <c r="H915" s="442">
        <f t="shared" si="70"/>
        <v>0</v>
      </c>
      <c r="I915" s="447">
        <f t="shared" si="71"/>
        <v>0</v>
      </c>
      <c r="J915" s="544"/>
      <c r="K915" s="444" t="s">
        <v>1130</v>
      </c>
      <c r="L915" s="449">
        <v>37</v>
      </c>
      <c r="M915" s="289"/>
      <c r="N915" s="245"/>
      <c r="O915" s="450">
        <v>0</v>
      </c>
      <c r="P915" s="451">
        <f t="shared" si="72"/>
        <v>0</v>
      </c>
      <c r="Q915" s="289"/>
      <c r="R915" s="245"/>
      <c r="S915" s="289"/>
      <c r="T915" s="245"/>
      <c r="U915" s="289"/>
      <c r="V915" s="245"/>
      <c r="W915" s="289"/>
      <c r="X915" s="245"/>
      <c r="Y915" s="289"/>
      <c r="Z915" s="245"/>
    </row>
    <row r="916" spans="1:26" s="436" customFormat="1" ht="15" hidden="1">
      <c r="A916" s="443"/>
      <c r="B916" s="444"/>
      <c r="C916" s="445" t="s">
        <v>1706</v>
      </c>
      <c r="D916" s="543" t="s">
        <v>1707</v>
      </c>
      <c r="E916" s="444" t="s">
        <v>1130</v>
      </c>
      <c r="F916" s="446">
        <f t="shared" si="68"/>
        <v>0</v>
      </c>
      <c r="G916" s="447">
        <f t="shared" si="69"/>
        <v>41</v>
      </c>
      <c r="H916" s="442">
        <f t="shared" si="70"/>
        <v>0</v>
      </c>
      <c r="I916" s="447">
        <f t="shared" si="71"/>
        <v>0</v>
      </c>
      <c r="J916" s="544"/>
      <c r="K916" s="444" t="s">
        <v>1130</v>
      </c>
      <c r="L916" s="449">
        <v>41</v>
      </c>
      <c r="M916" s="289"/>
      <c r="N916" s="245"/>
      <c r="O916" s="450">
        <v>0</v>
      </c>
      <c r="P916" s="451">
        <f t="shared" si="72"/>
        <v>0</v>
      </c>
      <c r="Q916" s="289"/>
      <c r="R916" s="245"/>
      <c r="S916" s="289"/>
      <c r="T916" s="245"/>
      <c r="U916" s="289"/>
      <c r="V916" s="245"/>
      <c r="W916" s="289"/>
      <c r="X916" s="245"/>
      <c r="Y916" s="289"/>
      <c r="Z916" s="245"/>
    </row>
    <row r="917" spans="1:26" s="436" customFormat="1" ht="15" hidden="1">
      <c r="A917" s="443"/>
      <c r="B917" s="444"/>
      <c r="C917" s="445" t="s">
        <v>1708</v>
      </c>
      <c r="D917" s="543" t="s">
        <v>1709</v>
      </c>
      <c r="E917" s="444" t="s">
        <v>1130</v>
      </c>
      <c r="F917" s="446">
        <f t="shared" si="68"/>
        <v>0</v>
      </c>
      <c r="G917" s="447">
        <f t="shared" si="69"/>
        <v>43</v>
      </c>
      <c r="H917" s="442">
        <f t="shared" si="70"/>
        <v>0</v>
      </c>
      <c r="I917" s="447">
        <f t="shared" si="71"/>
        <v>0</v>
      </c>
      <c r="J917" s="544"/>
      <c r="K917" s="444" t="s">
        <v>1130</v>
      </c>
      <c r="L917" s="449">
        <v>43</v>
      </c>
      <c r="M917" s="289"/>
      <c r="N917" s="245"/>
      <c r="O917" s="450">
        <v>0</v>
      </c>
      <c r="P917" s="451">
        <f t="shared" si="72"/>
        <v>0</v>
      </c>
      <c r="Q917" s="289"/>
      <c r="R917" s="245"/>
      <c r="S917" s="289"/>
      <c r="T917" s="245"/>
      <c r="U917" s="289"/>
      <c r="V917" s="245"/>
      <c r="W917" s="289"/>
      <c r="X917" s="245"/>
      <c r="Y917" s="289"/>
      <c r="Z917" s="245"/>
    </row>
    <row r="918" spans="1:26" s="436" customFormat="1" ht="15" hidden="1">
      <c r="A918" s="443"/>
      <c r="B918" s="444"/>
      <c r="C918" s="445" t="s">
        <v>1710</v>
      </c>
      <c r="D918" s="543" t="s">
        <v>1711</v>
      </c>
      <c r="E918" s="444" t="s">
        <v>1130</v>
      </c>
      <c r="F918" s="446">
        <f t="shared" si="68"/>
        <v>0</v>
      </c>
      <c r="G918" s="447">
        <f t="shared" si="69"/>
        <v>80</v>
      </c>
      <c r="H918" s="442">
        <f t="shared" si="70"/>
        <v>0</v>
      </c>
      <c r="I918" s="447">
        <f t="shared" si="71"/>
        <v>0</v>
      </c>
      <c r="J918" s="544"/>
      <c r="K918" s="444" t="s">
        <v>1130</v>
      </c>
      <c r="L918" s="449">
        <v>80</v>
      </c>
      <c r="M918" s="289"/>
      <c r="N918" s="245"/>
      <c r="O918" s="450">
        <v>0</v>
      </c>
      <c r="P918" s="451">
        <f t="shared" si="72"/>
        <v>0</v>
      </c>
      <c r="Q918" s="289"/>
      <c r="R918" s="245"/>
      <c r="S918" s="289"/>
      <c r="T918" s="245"/>
      <c r="U918" s="289"/>
      <c r="V918" s="245"/>
      <c r="W918" s="289"/>
      <c r="X918" s="245"/>
      <c r="Y918" s="289"/>
      <c r="Z918" s="245"/>
    </row>
    <row r="919" spans="1:26" s="436" customFormat="1" ht="15" hidden="1">
      <c r="A919" s="443"/>
      <c r="B919" s="444"/>
      <c r="C919" s="445" t="s">
        <v>1712</v>
      </c>
      <c r="D919" s="543" t="s">
        <v>1713</v>
      </c>
      <c r="E919" s="444" t="s">
        <v>1130</v>
      </c>
      <c r="F919" s="446">
        <f t="shared" si="68"/>
        <v>0</v>
      </c>
      <c r="G919" s="447">
        <f t="shared" si="69"/>
        <v>81</v>
      </c>
      <c r="H919" s="442">
        <f t="shared" si="70"/>
        <v>0</v>
      </c>
      <c r="I919" s="447">
        <f t="shared" si="71"/>
        <v>0</v>
      </c>
      <c r="J919" s="544"/>
      <c r="K919" s="444" t="s">
        <v>1130</v>
      </c>
      <c r="L919" s="449">
        <v>81</v>
      </c>
      <c r="M919" s="289"/>
      <c r="N919" s="245"/>
      <c r="O919" s="450">
        <v>0</v>
      </c>
      <c r="P919" s="451">
        <f t="shared" si="72"/>
        <v>0</v>
      </c>
      <c r="Q919" s="289"/>
      <c r="R919" s="245"/>
      <c r="S919" s="289"/>
      <c r="T919" s="245"/>
      <c r="U919" s="289"/>
      <c r="V919" s="245"/>
      <c r="W919" s="289"/>
      <c r="X919" s="245"/>
      <c r="Y919" s="289"/>
      <c r="Z919" s="245"/>
    </row>
    <row r="920" spans="1:26" s="436" customFormat="1" ht="15" hidden="1">
      <c r="A920" s="443"/>
      <c r="B920" s="444"/>
      <c r="C920" s="445" t="s">
        <v>1714</v>
      </c>
      <c r="D920" s="543" t="s">
        <v>1715</v>
      </c>
      <c r="E920" s="444" t="s">
        <v>1130</v>
      </c>
      <c r="F920" s="446">
        <f t="shared" si="68"/>
        <v>0</v>
      </c>
      <c r="G920" s="447">
        <f t="shared" si="69"/>
        <v>112</v>
      </c>
      <c r="H920" s="442">
        <f t="shared" si="70"/>
        <v>0</v>
      </c>
      <c r="I920" s="447">
        <f t="shared" si="71"/>
        <v>0</v>
      </c>
      <c r="J920" s="544"/>
      <c r="K920" s="444" t="s">
        <v>1130</v>
      </c>
      <c r="L920" s="449">
        <v>112</v>
      </c>
      <c r="M920" s="289"/>
      <c r="N920" s="245"/>
      <c r="O920" s="450">
        <v>0</v>
      </c>
      <c r="P920" s="451">
        <f t="shared" si="72"/>
        <v>0</v>
      </c>
      <c r="Q920" s="289"/>
      <c r="R920" s="245"/>
      <c r="S920" s="289"/>
      <c r="T920" s="245"/>
      <c r="U920" s="289"/>
      <c r="V920" s="245"/>
      <c r="W920" s="289"/>
      <c r="X920" s="245"/>
      <c r="Y920" s="289"/>
      <c r="Z920" s="245"/>
    </row>
    <row r="921" spans="1:26" s="436" customFormat="1" ht="15" hidden="1">
      <c r="A921" s="443"/>
      <c r="B921" s="444"/>
      <c r="C921" s="445" t="s">
        <v>1716</v>
      </c>
      <c r="D921" s="543" t="s">
        <v>1717</v>
      </c>
      <c r="E921" s="444" t="s">
        <v>1130</v>
      </c>
      <c r="F921" s="446">
        <f t="shared" si="68"/>
        <v>0</v>
      </c>
      <c r="G921" s="447">
        <f t="shared" si="69"/>
        <v>113</v>
      </c>
      <c r="H921" s="442">
        <f t="shared" si="70"/>
        <v>0</v>
      </c>
      <c r="I921" s="447">
        <f t="shared" si="71"/>
        <v>0</v>
      </c>
      <c r="J921" s="544"/>
      <c r="K921" s="444" t="s">
        <v>1130</v>
      </c>
      <c r="L921" s="449">
        <v>113</v>
      </c>
      <c r="M921" s="289"/>
      <c r="N921" s="245"/>
      <c r="O921" s="450">
        <v>0</v>
      </c>
      <c r="P921" s="451">
        <f t="shared" si="72"/>
        <v>0</v>
      </c>
      <c r="Q921" s="289"/>
      <c r="R921" s="245"/>
      <c r="S921" s="289"/>
      <c r="T921" s="245"/>
      <c r="U921" s="289"/>
      <c r="V921" s="245"/>
      <c r="W921" s="289"/>
      <c r="X921" s="245"/>
      <c r="Y921" s="289"/>
      <c r="Z921" s="245"/>
    </row>
    <row r="922" spans="1:26" ht="15" hidden="1" customHeight="1">
      <c r="A922" s="250"/>
      <c r="B922" s="251"/>
      <c r="C922" s="453"/>
      <c r="D922" s="330"/>
      <c r="E922" s="251"/>
      <c r="F922" s="252"/>
      <c r="G922" s="253"/>
      <c r="H922" s="254"/>
      <c r="I922" s="253"/>
      <c r="J922" s="253"/>
      <c r="K922" s="251"/>
      <c r="L922" s="253"/>
      <c r="M922" s="289"/>
      <c r="N922" s="245"/>
      <c r="O922" s="258"/>
      <c r="P922" s="257"/>
      <c r="Q922" s="289"/>
      <c r="R922" s="245"/>
      <c r="S922" s="289"/>
      <c r="T922" s="245"/>
      <c r="U922" s="289"/>
      <c r="V922" s="245"/>
      <c r="W922" s="289"/>
      <c r="X922" s="245"/>
      <c r="Y922" s="289"/>
      <c r="Z922" s="245"/>
    </row>
    <row r="923" spans="1:26" ht="15" hidden="1" customHeight="1">
      <c r="A923" s="250"/>
      <c r="B923" s="251"/>
      <c r="C923" s="453" t="s">
        <v>1719</v>
      </c>
      <c r="D923" s="330" t="s">
        <v>1718</v>
      </c>
      <c r="E923" s="251"/>
      <c r="F923" s="252"/>
      <c r="G923" s="253"/>
      <c r="H923" s="254"/>
      <c r="I923" s="253"/>
      <c r="J923" s="253"/>
      <c r="K923" s="251"/>
      <c r="L923" s="253"/>
      <c r="M923" s="289"/>
      <c r="N923" s="245"/>
      <c r="O923" s="258"/>
      <c r="P923" s="257"/>
      <c r="Q923" s="289"/>
      <c r="R923" s="245"/>
      <c r="S923" s="289"/>
      <c r="T923" s="245"/>
      <c r="U923" s="289"/>
      <c r="V923" s="245"/>
      <c r="W923" s="289"/>
      <c r="X923" s="245"/>
      <c r="Y923" s="289"/>
      <c r="Z923" s="245"/>
    </row>
    <row r="924" spans="1:26" s="436" customFormat="1" ht="15" hidden="1">
      <c r="A924" s="443"/>
      <c r="B924" s="444"/>
      <c r="C924" s="445" t="s">
        <v>1719</v>
      </c>
      <c r="D924" s="543" t="s">
        <v>1720</v>
      </c>
      <c r="E924" s="444" t="s">
        <v>1130</v>
      </c>
      <c r="F924" s="446">
        <f>M924+O924+Q924+S924+U924+W924+Y924</f>
        <v>0</v>
      </c>
      <c r="G924" s="447">
        <f>L924</f>
        <v>30</v>
      </c>
      <c r="H924" s="442">
        <f>F924*G924</f>
        <v>0</v>
      </c>
      <c r="I924" s="447">
        <f>N924+P924+R924+T924+V924+X924+Z924</f>
        <v>0</v>
      </c>
      <c r="J924" s="544"/>
      <c r="K924" s="444" t="s">
        <v>1130</v>
      </c>
      <c r="L924" s="449">
        <v>30</v>
      </c>
      <c r="M924" s="289"/>
      <c r="N924" s="245"/>
      <c r="O924" s="450">
        <v>0</v>
      </c>
      <c r="P924" s="451">
        <f>INT($L924*O924*100+0.5)/100</f>
        <v>0</v>
      </c>
      <c r="Q924" s="289"/>
      <c r="R924" s="245"/>
      <c r="S924" s="289"/>
      <c r="T924" s="245"/>
      <c r="U924" s="289"/>
      <c r="V924" s="245"/>
      <c r="W924" s="289"/>
      <c r="X924" s="245"/>
      <c r="Y924" s="289"/>
      <c r="Z924" s="245"/>
    </row>
    <row r="925" spans="1:26" s="436" customFormat="1" ht="15" hidden="1">
      <c r="A925" s="443"/>
      <c r="B925" s="444"/>
      <c r="C925" s="445" t="s">
        <v>1721</v>
      </c>
      <c r="D925" s="543" t="s">
        <v>1722</v>
      </c>
      <c r="E925" s="444" t="s">
        <v>1130</v>
      </c>
      <c r="F925" s="446">
        <f>M925+O925+Q925+S925+U925+W925+Y925</f>
        <v>0</v>
      </c>
      <c r="G925" s="447">
        <f>L925</f>
        <v>35</v>
      </c>
      <c r="H925" s="442">
        <f>F925*G925</f>
        <v>0</v>
      </c>
      <c r="I925" s="447">
        <f>N925+P925+R925+T925+V925+X925+Z925</f>
        <v>0</v>
      </c>
      <c r="J925" s="544"/>
      <c r="K925" s="444" t="s">
        <v>1130</v>
      </c>
      <c r="L925" s="449">
        <v>35</v>
      </c>
      <c r="M925" s="289"/>
      <c r="N925" s="245"/>
      <c r="O925" s="450">
        <v>0</v>
      </c>
      <c r="P925" s="451">
        <f>INT($L925*O925*100+0.5)/100</f>
        <v>0</v>
      </c>
      <c r="Q925" s="289"/>
      <c r="R925" s="245"/>
      <c r="S925" s="289"/>
      <c r="T925" s="245"/>
      <c r="U925" s="289"/>
      <c r="V925" s="245"/>
      <c r="W925" s="289"/>
      <c r="X925" s="245"/>
      <c r="Y925" s="289"/>
      <c r="Z925" s="245"/>
    </row>
    <row r="926" spans="1:26" s="436" customFormat="1" ht="15" hidden="1">
      <c r="A926" s="443"/>
      <c r="B926" s="444"/>
      <c r="C926" s="445" t="s">
        <v>1723</v>
      </c>
      <c r="D926" s="543" t="s">
        <v>1724</v>
      </c>
      <c r="E926" s="444" t="s">
        <v>1130</v>
      </c>
      <c r="F926" s="446">
        <f>M926+O926+Q926+S926+U926+W926+Y926</f>
        <v>0</v>
      </c>
      <c r="G926" s="447">
        <f>L926</f>
        <v>45</v>
      </c>
      <c r="H926" s="442">
        <f>F926*G926</f>
        <v>0</v>
      </c>
      <c r="I926" s="447">
        <f>N926+P926+R926+T926+V926+X926+Z926</f>
        <v>0</v>
      </c>
      <c r="J926" s="544"/>
      <c r="K926" s="444" t="s">
        <v>1130</v>
      </c>
      <c r="L926" s="449">
        <v>45</v>
      </c>
      <c r="M926" s="289"/>
      <c r="N926" s="245"/>
      <c r="O926" s="450">
        <v>0</v>
      </c>
      <c r="P926" s="451">
        <f>INT($L926*O926*100+0.5)/100</f>
        <v>0</v>
      </c>
      <c r="Q926" s="289"/>
      <c r="R926" s="245"/>
      <c r="S926" s="289"/>
      <c r="T926" s="245"/>
      <c r="U926" s="289"/>
      <c r="V926" s="245"/>
      <c r="W926" s="289"/>
      <c r="X926" s="245"/>
      <c r="Y926" s="289"/>
      <c r="Z926" s="245"/>
    </row>
    <row r="927" spans="1:26" s="436" customFormat="1" ht="15" hidden="1">
      <c r="A927" s="443"/>
      <c r="B927" s="444"/>
      <c r="C927" s="445" t="s">
        <v>1725</v>
      </c>
      <c r="D927" s="543" t="s">
        <v>1726</v>
      </c>
      <c r="E927" s="444" t="s">
        <v>1130</v>
      </c>
      <c r="F927" s="446">
        <f>M927+O927+Q927+S927+U927+W927+Y927</f>
        <v>0</v>
      </c>
      <c r="G927" s="447">
        <f>L927</f>
        <v>60</v>
      </c>
      <c r="H927" s="442">
        <f>F927*G927</f>
        <v>0</v>
      </c>
      <c r="I927" s="447">
        <f>N927+P927+R927+T927+V927+X927+Z927</f>
        <v>0</v>
      </c>
      <c r="J927" s="544"/>
      <c r="K927" s="444" t="s">
        <v>1130</v>
      </c>
      <c r="L927" s="449">
        <v>60</v>
      </c>
      <c r="M927" s="289"/>
      <c r="N927" s="245"/>
      <c r="O927" s="450">
        <v>0</v>
      </c>
      <c r="P927" s="451">
        <f>INT($L927*O927*100+0.5)/100</f>
        <v>0</v>
      </c>
      <c r="Q927" s="289"/>
      <c r="R927" s="245"/>
      <c r="S927" s="289"/>
      <c r="T927" s="245"/>
      <c r="U927" s="289"/>
      <c r="V927" s="245"/>
      <c r="W927" s="289"/>
      <c r="X927" s="245"/>
      <c r="Y927" s="289"/>
      <c r="Z927" s="245"/>
    </row>
    <row r="928" spans="1:26" ht="15" hidden="1" customHeight="1">
      <c r="A928" s="250"/>
      <c r="B928" s="251"/>
      <c r="C928" s="453"/>
      <c r="D928" s="330"/>
      <c r="E928" s="251"/>
      <c r="F928" s="252"/>
      <c r="G928" s="253"/>
      <c r="H928" s="254"/>
      <c r="I928" s="253"/>
      <c r="J928" s="253"/>
      <c r="K928" s="251"/>
      <c r="L928" s="253"/>
      <c r="M928" s="289"/>
      <c r="N928" s="245"/>
      <c r="O928" s="258"/>
      <c r="P928" s="257"/>
      <c r="Q928" s="289"/>
      <c r="R928" s="245"/>
      <c r="S928" s="289"/>
      <c r="T928" s="245"/>
      <c r="U928" s="289"/>
      <c r="V928" s="245"/>
      <c r="W928" s="289"/>
      <c r="X928" s="245"/>
      <c r="Y928" s="289"/>
      <c r="Z928" s="245"/>
    </row>
    <row r="929" spans="1:26" ht="15" hidden="1" customHeight="1">
      <c r="A929" s="250"/>
      <c r="B929" s="251"/>
      <c r="C929" s="453" t="s">
        <v>1727</v>
      </c>
      <c r="D929" s="330" t="s">
        <v>1728</v>
      </c>
      <c r="E929" s="251"/>
      <c r="F929" s="252"/>
      <c r="G929" s="253"/>
      <c r="H929" s="254"/>
      <c r="I929" s="253"/>
      <c r="J929" s="253"/>
      <c r="K929" s="251"/>
      <c r="L929" s="253"/>
      <c r="M929" s="289"/>
      <c r="N929" s="245"/>
      <c r="O929" s="258"/>
      <c r="P929" s="257"/>
      <c r="Q929" s="289"/>
      <c r="R929" s="245"/>
      <c r="S929" s="289"/>
      <c r="T929" s="245"/>
      <c r="U929" s="289"/>
      <c r="V929" s="245"/>
      <c r="W929" s="289"/>
      <c r="X929" s="245"/>
      <c r="Y929" s="289"/>
      <c r="Z929" s="245"/>
    </row>
    <row r="930" spans="1:26" s="436" customFormat="1" ht="15" hidden="1">
      <c r="A930" s="443"/>
      <c r="B930" s="444"/>
      <c r="C930" s="445" t="s">
        <v>1729</v>
      </c>
      <c r="D930" s="543" t="s">
        <v>1730</v>
      </c>
      <c r="E930" s="444" t="s">
        <v>1130</v>
      </c>
      <c r="F930" s="446">
        <f t="shared" ref="F930:F939" si="73">M930+O930+Q930+S930+U930+W930+Y930</f>
        <v>0</v>
      </c>
      <c r="G930" s="447">
        <f t="shared" ref="G930:G939" si="74">L930</f>
        <v>58</v>
      </c>
      <c r="H930" s="442">
        <f t="shared" ref="H930:H939" si="75">F930*G930</f>
        <v>0</v>
      </c>
      <c r="I930" s="447">
        <f t="shared" ref="I930:I939" si="76">N930+P930+R930+T930+V930+X930+Z930</f>
        <v>0</v>
      </c>
      <c r="J930" s="544"/>
      <c r="K930" s="444" t="s">
        <v>1130</v>
      </c>
      <c r="L930" s="449">
        <v>58</v>
      </c>
      <c r="M930" s="289"/>
      <c r="N930" s="245"/>
      <c r="O930" s="450">
        <v>0</v>
      </c>
      <c r="P930" s="451">
        <f t="shared" ref="P930:P939" si="77">INT($L930*O930*100+0.5)/100</f>
        <v>0</v>
      </c>
      <c r="Q930" s="289"/>
      <c r="R930" s="245"/>
      <c r="S930" s="289"/>
      <c r="T930" s="245"/>
      <c r="U930" s="289"/>
      <c r="V930" s="245"/>
      <c r="W930" s="289"/>
      <c r="X930" s="245"/>
      <c r="Y930" s="289"/>
      <c r="Z930" s="245"/>
    </row>
    <row r="931" spans="1:26" s="436" customFormat="1" ht="15" hidden="1">
      <c r="A931" s="443"/>
      <c r="B931" s="444"/>
      <c r="C931" s="445" t="s">
        <v>1731</v>
      </c>
      <c r="D931" s="543" t="s">
        <v>1732</v>
      </c>
      <c r="E931" s="444" t="s">
        <v>1130</v>
      </c>
      <c r="F931" s="446">
        <f t="shared" si="73"/>
        <v>0</v>
      </c>
      <c r="G931" s="447">
        <f t="shared" si="74"/>
        <v>60</v>
      </c>
      <c r="H931" s="442">
        <f t="shared" si="75"/>
        <v>0</v>
      </c>
      <c r="I931" s="447">
        <f t="shared" si="76"/>
        <v>0</v>
      </c>
      <c r="J931" s="544"/>
      <c r="K931" s="444" t="s">
        <v>1130</v>
      </c>
      <c r="L931" s="449">
        <v>60</v>
      </c>
      <c r="M931" s="289"/>
      <c r="N931" s="245"/>
      <c r="O931" s="450">
        <v>0</v>
      </c>
      <c r="P931" s="451">
        <f t="shared" si="77"/>
        <v>0</v>
      </c>
      <c r="Q931" s="289"/>
      <c r="R931" s="245"/>
      <c r="S931" s="289"/>
      <c r="T931" s="245"/>
      <c r="U931" s="289"/>
      <c r="V931" s="245"/>
      <c r="W931" s="289"/>
      <c r="X931" s="245"/>
      <c r="Y931" s="289"/>
      <c r="Z931" s="245"/>
    </row>
    <row r="932" spans="1:26" s="436" customFormat="1" ht="15" hidden="1">
      <c r="A932" s="443"/>
      <c r="B932" s="444"/>
      <c r="C932" s="445" t="s">
        <v>1733</v>
      </c>
      <c r="D932" s="543" t="s">
        <v>1734</v>
      </c>
      <c r="E932" s="444" t="s">
        <v>1130</v>
      </c>
      <c r="F932" s="446">
        <f t="shared" si="73"/>
        <v>0</v>
      </c>
      <c r="G932" s="447">
        <f t="shared" si="74"/>
        <v>60</v>
      </c>
      <c r="H932" s="442">
        <f t="shared" si="75"/>
        <v>0</v>
      </c>
      <c r="I932" s="447">
        <f t="shared" si="76"/>
        <v>0</v>
      </c>
      <c r="J932" s="544"/>
      <c r="K932" s="444" t="s">
        <v>1130</v>
      </c>
      <c r="L932" s="449">
        <v>60</v>
      </c>
      <c r="M932" s="289"/>
      <c r="N932" s="245"/>
      <c r="O932" s="450">
        <v>0</v>
      </c>
      <c r="P932" s="451">
        <f t="shared" si="77"/>
        <v>0</v>
      </c>
      <c r="Q932" s="289"/>
      <c r="R932" s="245"/>
      <c r="S932" s="289"/>
      <c r="T932" s="245"/>
      <c r="U932" s="289"/>
      <c r="V932" s="245"/>
      <c r="W932" s="289"/>
      <c r="X932" s="245"/>
      <c r="Y932" s="289"/>
      <c r="Z932" s="245"/>
    </row>
    <row r="933" spans="1:26" s="436" customFormat="1" ht="15" hidden="1">
      <c r="A933" s="443"/>
      <c r="B933" s="444"/>
      <c r="C933" s="445" t="s">
        <v>1735</v>
      </c>
      <c r="D933" s="543" t="s">
        <v>1736</v>
      </c>
      <c r="E933" s="444" t="s">
        <v>1130</v>
      </c>
      <c r="F933" s="446">
        <f t="shared" si="73"/>
        <v>0</v>
      </c>
      <c r="G933" s="447">
        <f t="shared" si="74"/>
        <v>66</v>
      </c>
      <c r="H933" s="442">
        <f t="shared" si="75"/>
        <v>0</v>
      </c>
      <c r="I933" s="447">
        <f t="shared" si="76"/>
        <v>0</v>
      </c>
      <c r="J933" s="544"/>
      <c r="K933" s="444" t="s">
        <v>1130</v>
      </c>
      <c r="L933" s="449">
        <v>66</v>
      </c>
      <c r="M933" s="289"/>
      <c r="N933" s="245"/>
      <c r="O933" s="450">
        <v>0</v>
      </c>
      <c r="P933" s="451">
        <f t="shared" si="77"/>
        <v>0</v>
      </c>
      <c r="Q933" s="289"/>
      <c r="R933" s="245"/>
      <c r="S933" s="289"/>
      <c r="T933" s="245"/>
      <c r="U933" s="289"/>
      <c r="V933" s="245"/>
      <c r="W933" s="289"/>
      <c r="X933" s="245"/>
      <c r="Y933" s="289"/>
      <c r="Z933" s="245"/>
    </row>
    <row r="934" spans="1:26" s="436" customFormat="1" ht="15" hidden="1">
      <c r="A934" s="443"/>
      <c r="B934" s="444"/>
      <c r="C934" s="445" t="s">
        <v>1737</v>
      </c>
      <c r="D934" s="543" t="s">
        <v>1738</v>
      </c>
      <c r="E934" s="444" t="s">
        <v>1130</v>
      </c>
      <c r="F934" s="446">
        <f t="shared" si="73"/>
        <v>0</v>
      </c>
      <c r="G934" s="447">
        <f t="shared" si="74"/>
        <v>77</v>
      </c>
      <c r="H934" s="442">
        <f t="shared" si="75"/>
        <v>0</v>
      </c>
      <c r="I934" s="447">
        <f t="shared" si="76"/>
        <v>0</v>
      </c>
      <c r="J934" s="544"/>
      <c r="K934" s="444" t="s">
        <v>1130</v>
      </c>
      <c r="L934" s="449">
        <v>77</v>
      </c>
      <c r="M934" s="289"/>
      <c r="N934" s="245"/>
      <c r="O934" s="450">
        <v>0</v>
      </c>
      <c r="P934" s="451">
        <f t="shared" si="77"/>
        <v>0</v>
      </c>
      <c r="Q934" s="289"/>
      <c r="R934" s="245"/>
      <c r="S934" s="289"/>
      <c r="T934" s="245"/>
      <c r="U934" s="289"/>
      <c r="V934" s="245"/>
      <c r="W934" s="289"/>
      <c r="X934" s="245"/>
      <c r="Y934" s="289"/>
      <c r="Z934" s="245"/>
    </row>
    <row r="935" spans="1:26" s="436" customFormat="1" ht="15" hidden="1">
      <c r="A935" s="443"/>
      <c r="B935" s="444"/>
      <c r="C935" s="445" t="s">
        <v>1739</v>
      </c>
      <c r="D935" s="543" t="s">
        <v>1740</v>
      </c>
      <c r="E935" s="444" t="s">
        <v>1130</v>
      </c>
      <c r="F935" s="446">
        <f t="shared" si="73"/>
        <v>0</v>
      </c>
      <c r="G935" s="447">
        <f t="shared" si="74"/>
        <v>86</v>
      </c>
      <c r="H935" s="442">
        <f t="shared" si="75"/>
        <v>0</v>
      </c>
      <c r="I935" s="447">
        <f t="shared" si="76"/>
        <v>0</v>
      </c>
      <c r="J935" s="544"/>
      <c r="K935" s="444" t="s">
        <v>1130</v>
      </c>
      <c r="L935" s="449">
        <v>86</v>
      </c>
      <c r="M935" s="289"/>
      <c r="N935" s="245"/>
      <c r="O935" s="450">
        <v>0</v>
      </c>
      <c r="P935" s="451">
        <f t="shared" si="77"/>
        <v>0</v>
      </c>
      <c r="Q935" s="289"/>
      <c r="R935" s="245"/>
      <c r="S935" s="289"/>
      <c r="T935" s="245"/>
      <c r="U935" s="289"/>
      <c r="V935" s="245"/>
      <c r="W935" s="289"/>
      <c r="X935" s="245"/>
      <c r="Y935" s="289"/>
      <c r="Z935" s="245"/>
    </row>
    <row r="936" spans="1:26" s="436" customFormat="1" ht="15" hidden="1">
      <c r="A936" s="443"/>
      <c r="B936" s="444"/>
      <c r="C936" s="445" t="s">
        <v>1741</v>
      </c>
      <c r="D936" s="543" t="s">
        <v>1742</v>
      </c>
      <c r="E936" s="444" t="s">
        <v>1130</v>
      </c>
      <c r="F936" s="446">
        <f t="shared" si="73"/>
        <v>0</v>
      </c>
      <c r="G936" s="447">
        <f t="shared" si="74"/>
        <v>106</v>
      </c>
      <c r="H936" s="442">
        <f t="shared" si="75"/>
        <v>0</v>
      </c>
      <c r="I936" s="447">
        <f t="shared" si="76"/>
        <v>0</v>
      </c>
      <c r="J936" s="544"/>
      <c r="K936" s="444" t="s">
        <v>1130</v>
      </c>
      <c r="L936" s="449">
        <v>106</v>
      </c>
      <c r="M936" s="289"/>
      <c r="N936" s="245"/>
      <c r="O936" s="450">
        <v>0</v>
      </c>
      <c r="P936" s="451">
        <f t="shared" si="77"/>
        <v>0</v>
      </c>
      <c r="Q936" s="289"/>
      <c r="R936" s="245"/>
      <c r="S936" s="289"/>
      <c r="T936" s="245"/>
      <c r="U936" s="289"/>
      <c r="V936" s="245"/>
      <c r="W936" s="289"/>
      <c r="X936" s="245"/>
      <c r="Y936" s="289"/>
      <c r="Z936" s="245"/>
    </row>
    <row r="937" spans="1:26" s="436" customFormat="1" ht="15" hidden="1">
      <c r="A937" s="443"/>
      <c r="B937" s="444"/>
      <c r="C937" s="445" t="s">
        <v>1743</v>
      </c>
      <c r="D937" s="543" t="s">
        <v>1744</v>
      </c>
      <c r="E937" s="444" t="s">
        <v>1130</v>
      </c>
      <c r="F937" s="446">
        <f t="shared" si="73"/>
        <v>0</v>
      </c>
      <c r="G937" s="447">
        <f t="shared" si="74"/>
        <v>120</v>
      </c>
      <c r="H937" s="442">
        <f t="shared" si="75"/>
        <v>0</v>
      </c>
      <c r="I937" s="447">
        <f t="shared" si="76"/>
        <v>0</v>
      </c>
      <c r="J937" s="544"/>
      <c r="K937" s="444" t="s">
        <v>1130</v>
      </c>
      <c r="L937" s="449">
        <v>120</v>
      </c>
      <c r="M937" s="289"/>
      <c r="N937" s="245"/>
      <c r="O937" s="450">
        <v>0</v>
      </c>
      <c r="P937" s="451">
        <f t="shared" si="77"/>
        <v>0</v>
      </c>
      <c r="Q937" s="289"/>
      <c r="R937" s="245"/>
      <c r="S937" s="289"/>
      <c r="T937" s="245"/>
      <c r="U937" s="289"/>
      <c r="V937" s="245"/>
      <c r="W937" s="289"/>
      <c r="X937" s="245"/>
      <c r="Y937" s="289"/>
      <c r="Z937" s="245"/>
    </row>
    <row r="938" spans="1:26" s="436" customFormat="1" ht="15" hidden="1">
      <c r="A938" s="443"/>
      <c r="B938" s="444"/>
      <c r="C938" s="445" t="s">
        <v>1745</v>
      </c>
      <c r="D938" s="543" t="s">
        <v>1746</v>
      </c>
      <c r="E938" s="444" t="s">
        <v>1130</v>
      </c>
      <c r="F938" s="446">
        <f t="shared" si="73"/>
        <v>0</v>
      </c>
      <c r="G938" s="447">
        <f t="shared" si="74"/>
        <v>146</v>
      </c>
      <c r="H938" s="442">
        <f t="shared" si="75"/>
        <v>0</v>
      </c>
      <c r="I938" s="447">
        <f t="shared" si="76"/>
        <v>0</v>
      </c>
      <c r="J938" s="544"/>
      <c r="K938" s="444" t="s">
        <v>1130</v>
      </c>
      <c r="L938" s="449">
        <v>146</v>
      </c>
      <c r="M938" s="289"/>
      <c r="N938" s="245"/>
      <c r="O938" s="450">
        <v>0</v>
      </c>
      <c r="P938" s="451">
        <f t="shared" si="77"/>
        <v>0</v>
      </c>
      <c r="Q938" s="289"/>
      <c r="R938" s="245"/>
      <c r="S938" s="289"/>
      <c r="T938" s="245"/>
      <c r="U938" s="289"/>
      <c r="V938" s="245"/>
      <c r="W938" s="289"/>
      <c r="X938" s="245"/>
      <c r="Y938" s="289"/>
      <c r="Z938" s="245"/>
    </row>
    <row r="939" spans="1:26" s="436" customFormat="1" ht="15" hidden="1">
      <c r="A939" s="443"/>
      <c r="B939" s="444"/>
      <c r="C939" s="445" t="s">
        <v>1747</v>
      </c>
      <c r="D939" s="543" t="s">
        <v>1748</v>
      </c>
      <c r="E939" s="444" t="s">
        <v>1130</v>
      </c>
      <c r="F939" s="446">
        <f t="shared" si="73"/>
        <v>0</v>
      </c>
      <c r="G939" s="447">
        <f t="shared" si="74"/>
        <v>190</v>
      </c>
      <c r="H939" s="442">
        <f t="shared" si="75"/>
        <v>0</v>
      </c>
      <c r="I939" s="447">
        <f t="shared" si="76"/>
        <v>0</v>
      </c>
      <c r="J939" s="544"/>
      <c r="K939" s="444" t="s">
        <v>1130</v>
      </c>
      <c r="L939" s="449">
        <v>190</v>
      </c>
      <c r="M939" s="289"/>
      <c r="N939" s="245"/>
      <c r="O939" s="450">
        <v>0</v>
      </c>
      <c r="P939" s="451">
        <f t="shared" si="77"/>
        <v>0</v>
      </c>
      <c r="Q939" s="289"/>
      <c r="R939" s="245"/>
      <c r="S939" s="289"/>
      <c r="T939" s="245"/>
      <c r="U939" s="289"/>
      <c r="V939" s="245"/>
      <c r="W939" s="289"/>
      <c r="X939" s="245"/>
      <c r="Y939" s="289"/>
      <c r="Z939" s="245"/>
    </row>
    <row r="940" spans="1:26" ht="15" hidden="1" customHeight="1">
      <c r="A940" s="250"/>
      <c r="B940" s="251"/>
      <c r="C940" s="453"/>
      <c r="D940" s="330"/>
      <c r="E940" s="251"/>
      <c r="F940" s="252"/>
      <c r="G940" s="253"/>
      <c r="H940" s="254"/>
      <c r="I940" s="253"/>
      <c r="J940" s="253"/>
      <c r="K940" s="251"/>
      <c r="L940" s="253"/>
      <c r="M940" s="289"/>
      <c r="N940" s="245"/>
      <c r="O940" s="258"/>
      <c r="P940" s="257"/>
      <c r="Q940" s="289"/>
      <c r="R940" s="245"/>
      <c r="S940" s="289"/>
      <c r="T940" s="245"/>
      <c r="U940" s="289"/>
      <c r="V940" s="245"/>
      <c r="W940" s="289"/>
      <c r="X940" s="245"/>
      <c r="Y940" s="289"/>
      <c r="Z940" s="245"/>
    </row>
    <row r="941" spans="1:26" ht="15" hidden="1" customHeight="1">
      <c r="A941" s="250"/>
      <c r="B941" s="251"/>
      <c r="C941" s="453" t="s">
        <v>1749</v>
      </c>
      <c r="D941" s="330" t="s">
        <v>1750</v>
      </c>
      <c r="E941" s="251"/>
      <c r="F941" s="252"/>
      <c r="G941" s="253"/>
      <c r="H941" s="254"/>
      <c r="I941" s="253"/>
      <c r="J941" s="253"/>
      <c r="K941" s="251"/>
      <c r="L941" s="253"/>
      <c r="M941" s="289"/>
      <c r="N941" s="245"/>
      <c r="O941" s="258"/>
      <c r="P941" s="257"/>
      <c r="Q941" s="289"/>
      <c r="R941" s="245"/>
      <c r="S941" s="289"/>
      <c r="T941" s="245"/>
      <c r="U941" s="289"/>
      <c r="V941" s="245"/>
      <c r="W941" s="289"/>
      <c r="X941" s="245"/>
      <c r="Y941" s="289"/>
      <c r="Z941" s="245"/>
    </row>
    <row r="942" spans="1:26" s="436" customFormat="1" ht="15" hidden="1">
      <c r="A942" s="443"/>
      <c r="B942" s="444"/>
      <c r="C942" s="445" t="s">
        <v>1751</v>
      </c>
      <c r="D942" s="543" t="s">
        <v>1752</v>
      </c>
      <c r="E942" s="444" t="s">
        <v>1130</v>
      </c>
      <c r="F942" s="446">
        <f t="shared" ref="F942:F953" si="78">M942+O942+Q942+S942+U942+W942+Y942</f>
        <v>0</v>
      </c>
      <c r="G942" s="447">
        <f t="shared" ref="G942:G953" si="79">L942</f>
        <v>17</v>
      </c>
      <c r="H942" s="442">
        <f t="shared" ref="H942:H953" si="80">F942*G942</f>
        <v>0</v>
      </c>
      <c r="I942" s="447">
        <f t="shared" ref="I942:I953" si="81">N942+P942+R942+T942+V942+X942+Z942</f>
        <v>0</v>
      </c>
      <c r="J942" s="544"/>
      <c r="K942" s="444" t="s">
        <v>1130</v>
      </c>
      <c r="L942" s="449">
        <v>17</v>
      </c>
      <c r="M942" s="289"/>
      <c r="N942" s="245"/>
      <c r="O942" s="450">
        <v>0</v>
      </c>
      <c r="P942" s="451">
        <f t="shared" ref="P942:P953" si="82">INT($L942*O942*100+0.5)/100</f>
        <v>0</v>
      </c>
      <c r="Q942" s="289"/>
      <c r="R942" s="245"/>
      <c r="S942" s="289"/>
      <c r="T942" s="245"/>
      <c r="U942" s="289"/>
      <c r="V942" s="245"/>
      <c r="W942" s="289"/>
      <c r="X942" s="245"/>
      <c r="Y942" s="289"/>
      <c r="Z942" s="245"/>
    </row>
    <row r="943" spans="1:26" s="436" customFormat="1" ht="15" hidden="1">
      <c r="A943" s="443"/>
      <c r="B943" s="444"/>
      <c r="C943" s="445" t="s">
        <v>1753</v>
      </c>
      <c r="D943" s="543" t="s">
        <v>1754</v>
      </c>
      <c r="E943" s="444" t="s">
        <v>1130</v>
      </c>
      <c r="F943" s="446">
        <f t="shared" si="78"/>
        <v>0</v>
      </c>
      <c r="G943" s="447">
        <f t="shared" si="79"/>
        <v>17</v>
      </c>
      <c r="H943" s="442">
        <f t="shared" si="80"/>
        <v>0</v>
      </c>
      <c r="I943" s="447">
        <f t="shared" si="81"/>
        <v>0</v>
      </c>
      <c r="J943" s="544"/>
      <c r="K943" s="444" t="s">
        <v>1130</v>
      </c>
      <c r="L943" s="449">
        <v>17</v>
      </c>
      <c r="M943" s="289"/>
      <c r="N943" s="245"/>
      <c r="O943" s="450">
        <v>0</v>
      </c>
      <c r="P943" s="451">
        <f t="shared" si="82"/>
        <v>0</v>
      </c>
      <c r="Q943" s="289"/>
      <c r="R943" s="245"/>
      <c r="S943" s="289"/>
      <c r="T943" s="245"/>
      <c r="U943" s="289"/>
      <c r="V943" s="245"/>
      <c r="W943" s="289"/>
      <c r="X943" s="245"/>
      <c r="Y943" s="289"/>
      <c r="Z943" s="245"/>
    </row>
    <row r="944" spans="1:26" s="436" customFormat="1" ht="15" hidden="1">
      <c r="A944" s="443"/>
      <c r="B944" s="444"/>
      <c r="C944" s="445" t="s">
        <v>1755</v>
      </c>
      <c r="D944" s="543" t="s">
        <v>1756</v>
      </c>
      <c r="E944" s="444" t="s">
        <v>1130</v>
      </c>
      <c r="F944" s="446">
        <f t="shared" si="78"/>
        <v>0</v>
      </c>
      <c r="G944" s="447">
        <f t="shared" si="79"/>
        <v>25</v>
      </c>
      <c r="H944" s="442">
        <f t="shared" si="80"/>
        <v>0</v>
      </c>
      <c r="I944" s="447">
        <f t="shared" si="81"/>
        <v>0</v>
      </c>
      <c r="J944" s="544"/>
      <c r="K944" s="444" t="s">
        <v>1130</v>
      </c>
      <c r="L944" s="449">
        <v>25</v>
      </c>
      <c r="M944" s="289"/>
      <c r="N944" s="245"/>
      <c r="O944" s="450">
        <v>0</v>
      </c>
      <c r="P944" s="451">
        <f t="shared" si="82"/>
        <v>0</v>
      </c>
      <c r="Q944" s="289"/>
      <c r="R944" s="245"/>
      <c r="S944" s="289"/>
      <c r="T944" s="245"/>
      <c r="U944" s="289"/>
      <c r="V944" s="245"/>
      <c r="W944" s="289"/>
      <c r="X944" s="245"/>
      <c r="Y944" s="289"/>
      <c r="Z944" s="245"/>
    </row>
    <row r="945" spans="1:26" s="436" customFormat="1" ht="15" hidden="1">
      <c r="A945" s="443"/>
      <c r="B945" s="444"/>
      <c r="C945" s="445" t="s">
        <v>1757</v>
      </c>
      <c r="D945" s="543" t="s">
        <v>1758</v>
      </c>
      <c r="E945" s="444" t="s">
        <v>1130</v>
      </c>
      <c r="F945" s="446">
        <f t="shared" si="78"/>
        <v>0</v>
      </c>
      <c r="G945" s="447">
        <f t="shared" si="79"/>
        <v>30</v>
      </c>
      <c r="H945" s="442">
        <f t="shared" si="80"/>
        <v>0</v>
      </c>
      <c r="I945" s="447">
        <f t="shared" si="81"/>
        <v>0</v>
      </c>
      <c r="J945" s="544"/>
      <c r="K945" s="444" t="s">
        <v>1130</v>
      </c>
      <c r="L945" s="449">
        <v>30</v>
      </c>
      <c r="M945" s="289"/>
      <c r="N945" s="245"/>
      <c r="O945" s="450">
        <v>0</v>
      </c>
      <c r="P945" s="451">
        <f t="shared" si="82"/>
        <v>0</v>
      </c>
      <c r="Q945" s="289"/>
      <c r="R945" s="245"/>
      <c r="S945" s="289"/>
      <c r="T945" s="245"/>
      <c r="U945" s="289"/>
      <c r="V945" s="245"/>
      <c r="W945" s="289"/>
      <c r="X945" s="245"/>
      <c r="Y945" s="289"/>
      <c r="Z945" s="245"/>
    </row>
    <row r="946" spans="1:26" s="436" customFormat="1" ht="15" hidden="1">
      <c r="A946" s="443"/>
      <c r="B946" s="444"/>
      <c r="C946" s="445" t="s">
        <v>1759</v>
      </c>
      <c r="D946" s="543" t="s">
        <v>1760</v>
      </c>
      <c r="E946" s="444" t="s">
        <v>1130</v>
      </c>
      <c r="F946" s="446">
        <f t="shared" si="78"/>
        <v>0</v>
      </c>
      <c r="G946" s="447">
        <f t="shared" si="79"/>
        <v>38</v>
      </c>
      <c r="H946" s="442">
        <f t="shared" si="80"/>
        <v>0</v>
      </c>
      <c r="I946" s="447">
        <f t="shared" si="81"/>
        <v>0</v>
      </c>
      <c r="J946" s="544"/>
      <c r="K946" s="444" t="s">
        <v>1130</v>
      </c>
      <c r="L946" s="449">
        <v>38</v>
      </c>
      <c r="M946" s="289"/>
      <c r="N946" s="245"/>
      <c r="O946" s="450">
        <v>0</v>
      </c>
      <c r="P946" s="451">
        <f t="shared" si="82"/>
        <v>0</v>
      </c>
      <c r="Q946" s="289"/>
      <c r="R946" s="245"/>
      <c r="S946" s="289"/>
      <c r="T946" s="245"/>
      <c r="U946" s="289"/>
      <c r="V946" s="245"/>
      <c r="W946" s="289"/>
      <c r="X946" s="245"/>
      <c r="Y946" s="289"/>
      <c r="Z946" s="245"/>
    </row>
    <row r="947" spans="1:26" s="436" customFormat="1" ht="15" hidden="1">
      <c r="A947" s="443"/>
      <c r="B947" s="444"/>
      <c r="C947" s="445" t="s">
        <v>1761</v>
      </c>
      <c r="D947" s="543" t="s">
        <v>1762</v>
      </c>
      <c r="E947" s="444" t="s">
        <v>1130</v>
      </c>
      <c r="F947" s="446">
        <f t="shared" si="78"/>
        <v>0</v>
      </c>
      <c r="G947" s="447">
        <f t="shared" si="79"/>
        <v>45</v>
      </c>
      <c r="H947" s="442">
        <f t="shared" si="80"/>
        <v>0</v>
      </c>
      <c r="I947" s="447">
        <f t="shared" si="81"/>
        <v>0</v>
      </c>
      <c r="J947" s="544"/>
      <c r="K947" s="444" t="s">
        <v>1130</v>
      </c>
      <c r="L947" s="449">
        <v>45</v>
      </c>
      <c r="M947" s="289"/>
      <c r="N947" s="245"/>
      <c r="O947" s="450">
        <v>0</v>
      </c>
      <c r="P947" s="451">
        <f t="shared" si="82"/>
        <v>0</v>
      </c>
      <c r="Q947" s="289"/>
      <c r="R947" s="245"/>
      <c r="S947" s="289"/>
      <c r="T947" s="245"/>
      <c r="U947" s="289"/>
      <c r="V947" s="245"/>
      <c r="W947" s="289"/>
      <c r="X947" s="245"/>
      <c r="Y947" s="289"/>
      <c r="Z947" s="245"/>
    </row>
    <row r="948" spans="1:26" s="436" customFormat="1" ht="15" hidden="1">
      <c r="A948" s="443"/>
      <c r="B948" s="444"/>
      <c r="C948" s="445" t="s">
        <v>1763</v>
      </c>
      <c r="D948" s="543" t="s">
        <v>1764</v>
      </c>
      <c r="E948" s="444" t="s">
        <v>1130</v>
      </c>
      <c r="F948" s="446">
        <f t="shared" si="78"/>
        <v>0</v>
      </c>
      <c r="G948" s="447">
        <f t="shared" si="79"/>
        <v>60</v>
      </c>
      <c r="H948" s="442">
        <f t="shared" si="80"/>
        <v>0</v>
      </c>
      <c r="I948" s="447">
        <f t="shared" si="81"/>
        <v>0</v>
      </c>
      <c r="J948" s="544"/>
      <c r="K948" s="444" t="s">
        <v>1130</v>
      </c>
      <c r="L948" s="449">
        <v>60</v>
      </c>
      <c r="M948" s="289"/>
      <c r="N948" s="245"/>
      <c r="O948" s="450">
        <v>0</v>
      </c>
      <c r="P948" s="451">
        <f t="shared" si="82"/>
        <v>0</v>
      </c>
      <c r="Q948" s="289"/>
      <c r="R948" s="245"/>
      <c r="S948" s="289"/>
      <c r="T948" s="245"/>
      <c r="U948" s="289"/>
      <c r="V948" s="245"/>
      <c r="W948" s="289"/>
      <c r="X948" s="245"/>
      <c r="Y948" s="289"/>
      <c r="Z948" s="245"/>
    </row>
    <row r="949" spans="1:26" s="436" customFormat="1" ht="15" hidden="1">
      <c r="A949" s="443"/>
      <c r="B949" s="444"/>
      <c r="C949" s="445" t="s">
        <v>37</v>
      </c>
      <c r="D949" s="543" t="s">
        <v>38</v>
      </c>
      <c r="E949" s="444" t="s">
        <v>1130</v>
      </c>
      <c r="F949" s="446">
        <f t="shared" si="78"/>
        <v>0</v>
      </c>
      <c r="G949" s="447">
        <f t="shared" si="79"/>
        <v>75</v>
      </c>
      <c r="H949" s="442">
        <f t="shared" si="80"/>
        <v>0</v>
      </c>
      <c r="I949" s="447">
        <f t="shared" si="81"/>
        <v>0</v>
      </c>
      <c r="J949" s="544"/>
      <c r="K949" s="444" t="s">
        <v>1130</v>
      </c>
      <c r="L949" s="449">
        <v>75</v>
      </c>
      <c r="M949" s="289"/>
      <c r="N949" s="245"/>
      <c r="O949" s="450">
        <v>0</v>
      </c>
      <c r="P949" s="451">
        <f t="shared" si="82"/>
        <v>0</v>
      </c>
      <c r="Q949" s="289"/>
      <c r="R949" s="245"/>
      <c r="S949" s="289"/>
      <c r="T949" s="245"/>
      <c r="U949" s="289"/>
      <c r="V949" s="245"/>
      <c r="W949" s="289"/>
      <c r="X949" s="245"/>
      <c r="Y949" s="289"/>
      <c r="Z949" s="245"/>
    </row>
    <row r="950" spans="1:26" s="436" customFormat="1" ht="15" hidden="1">
      <c r="A950" s="443"/>
      <c r="B950" s="444"/>
      <c r="C950" s="445" t="s">
        <v>39</v>
      </c>
      <c r="D950" s="543" t="s">
        <v>40</v>
      </c>
      <c r="E950" s="444" t="s">
        <v>1130</v>
      </c>
      <c r="F950" s="446">
        <f t="shared" si="78"/>
        <v>0</v>
      </c>
      <c r="G950" s="447">
        <f t="shared" si="79"/>
        <v>90</v>
      </c>
      <c r="H950" s="442">
        <f t="shared" si="80"/>
        <v>0</v>
      </c>
      <c r="I950" s="447">
        <f t="shared" si="81"/>
        <v>0</v>
      </c>
      <c r="J950" s="544"/>
      <c r="K950" s="444" t="s">
        <v>1130</v>
      </c>
      <c r="L950" s="449">
        <v>90</v>
      </c>
      <c r="M950" s="289"/>
      <c r="N950" s="245"/>
      <c r="O950" s="450">
        <v>0</v>
      </c>
      <c r="P950" s="451">
        <f t="shared" si="82"/>
        <v>0</v>
      </c>
      <c r="Q950" s="289"/>
      <c r="R950" s="245"/>
      <c r="S950" s="289"/>
      <c r="T950" s="245"/>
      <c r="U950" s="289"/>
      <c r="V950" s="245"/>
      <c r="W950" s="289"/>
      <c r="X950" s="245"/>
      <c r="Y950" s="289"/>
      <c r="Z950" s="245"/>
    </row>
    <row r="951" spans="1:26" s="436" customFormat="1" ht="15" hidden="1">
      <c r="A951" s="443"/>
      <c r="B951" s="444"/>
      <c r="C951" s="445" t="s">
        <v>41</v>
      </c>
      <c r="D951" s="543" t="s">
        <v>42</v>
      </c>
      <c r="E951" s="444" t="s">
        <v>1130</v>
      </c>
      <c r="F951" s="446">
        <f t="shared" si="78"/>
        <v>0</v>
      </c>
      <c r="G951" s="447">
        <f t="shared" si="79"/>
        <v>120</v>
      </c>
      <c r="H951" s="442">
        <f t="shared" si="80"/>
        <v>0</v>
      </c>
      <c r="I951" s="447">
        <f t="shared" si="81"/>
        <v>0</v>
      </c>
      <c r="J951" s="544"/>
      <c r="K951" s="444" t="s">
        <v>1130</v>
      </c>
      <c r="L951" s="449">
        <v>120</v>
      </c>
      <c r="M951" s="289"/>
      <c r="N951" s="245"/>
      <c r="O951" s="450">
        <v>0</v>
      </c>
      <c r="P951" s="451">
        <f t="shared" si="82"/>
        <v>0</v>
      </c>
      <c r="Q951" s="289"/>
      <c r="R951" s="245"/>
      <c r="S951" s="289"/>
      <c r="T951" s="245"/>
      <c r="U951" s="289"/>
      <c r="V951" s="245"/>
      <c r="W951" s="289"/>
      <c r="X951" s="245"/>
      <c r="Y951" s="289"/>
      <c r="Z951" s="245"/>
    </row>
    <row r="952" spans="1:26" s="436" customFormat="1" ht="15" hidden="1">
      <c r="A952" s="443"/>
      <c r="B952" s="444"/>
      <c r="C952" s="445" t="s">
        <v>43</v>
      </c>
      <c r="D952" s="543" t="s">
        <v>44</v>
      </c>
      <c r="E952" s="444" t="s">
        <v>1130</v>
      </c>
      <c r="F952" s="446">
        <f t="shared" si="78"/>
        <v>0</v>
      </c>
      <c r="G952" s="447">
        <f t="shared" si="79"/>
        <v>140</v>
      </c>
      <c r="H952" s="442">
        <f t="shared" si="80"/>
        <v>0</v>
      </c>
      <c r="I952" s="447">
        <f t="shared" si="81"/>
        <v>0</v>
      </c>
      <c r="J952" s="544"/>
      <c r="K952" s="444" t="s">
        <v>1130</v>
      </c>
      <c r="L952" s="449">
        <v>140</v>
      </c>
      <c r="M952" s="289"/>
      <c r="N952" s="245"/>
      <c r="O952" s="450">
        <v>0</v>
      </c>
      <c r="P952" s="451">
        <f t="shared" si="82"/>
        <v>0</v>
      </c>
      <c r="Q952" s="289"/>
      <c r="R952" s="245"/>
      <c r="S952" s="289"/>
      <c r="T952" s="245"/>
      <c r="U952" s="289"/>
      <c r="V952" s="245"/>
      <c r="W952" s="289"/>
      <c r="X952" s="245"/>
      <c r="Y952" s="289"/>
      <c r="Z952" s="245"/>
    </row>
    <row r="953" spans="1:26" s="436" customFormat="1" ht="15" hidden="1">
      <c r="A953" s="443"/>
      <c r="B953" s="444"/>
      <c r="C953" s="445" t="s">
        <v>45</v>
      </c>
      <c r="D953" s="543" t="s">
        <v>46</v>
      </c>
      <c r="E953" s="444" t="s">
        <v>1130</v>
      </c>
      <c r="F953" s="446">
        <f t="shared" si="78"/>
        <v>0</v>
      </c>
      <c r="G953" s="447">
        <f t="shared" si="79"/>
        <v>155</v>
      </c>
      <c r="H953" s="442">
        <f t="shared" si="80"/>
        <v>0</v>
      </c>
      <c r="I953" s="447">
        <f t="shared" si="81"/>
        <v>0</v>
      </c>
      <c r="J953" s="544"/>
      <c r="K953" s="444" t="s">
        <v>1130</v>
      </c>
      <c r="L953" s="449">
        <v>155</v>
      </c>
      <c r="M953" s="289"/>
      <c r="N953" s="245"/>
      <c r="O953" s="450">
        <v>0</v>
      </c>
      <c r="P953" s="451">
        <f t="shared" si="82"/>
        <v>0</v>
      </c>
      <c r="Q953" s="289"/>
      <c r="R953" s="245"/>
      <c r="S953" s="289"/>
      <c r="T953" s="245"/>
      <c r="U953" s="289"/>
      <c r="V953" s="245"/>
      <c r="W953" s="289"/>
      <c r="X953" s="245"/>
      <c r="Y953" s="289"/>
      <c r="Z953" s="245"/>
    </row>
    <row r="954" spans="1:26" ht="15" hidden="1" customHeight="1">
      <c r="A954" s="250"/>
      <c r="B954" s="251"/>
      <c r="C954" s="453"/>
      <c r="D954" s="330"/>
      <c r="E954" s="251"/>
      <c r="F954" s="252"/>
      <c r="G954" s="253"/>
      <c r="H954" s="254"/>
      <c r="I954" s="253"/>
      <c r="J954" s="253"/>
      <c r="K954" s="251"/>
      <c r="L954" s="253"/>
      <c r="M954" s="289"/>
      <c r="N954" s="245"/>
      <c r="O954" s="258"/>
      <c r="P954" s="257"/>
      <c r="Q954" s="289"/>
      <c r="R954" s="245"/>
      <c r="S954" s="289"/>
      <c r="T954" s="245"/>
      <c r="U954" s="289"/>
      <c r="V954" s="245"/>
      <c r="W954" s="289"/>
      <c r="X954" s="245"/>
      <c r="Y954" s="289"/>
      <c r="Z954" s="245"/>
    </row>
    <row r="955" spans="1:26" ht="15" hidden="1" customHeight="1">
      <c r="A955" s="250"/>
      <c r="B955" s="251"/>
      <c r="C955" s="453" t="s">
        <v>47</v>
      </c>
      <c r="D955" s="330" t="s">
        <v>48</v>
      </c>
      <c r="E955" s="251"/>
      <c r="F955" s="252"/>
      <c r="G955" s="253"/>
      <c r="H955" s="254"/>
      <c r="I955" s="253"/>
      <c r="J955" s="253"/>
      <c r="K955" s="251"/>
      <c r="L955" s="253"/>
      <c r="M955" s="289"/>
      <c r="N955" s="245"/>
      <c r="O955" s="258"/>
      <c r="P955" s="257"/>
      <c r="Q955" s="289"/>
      <c r="R955" s="245"/>
      <c r="S955" s="289"/>
      <c r="T955" s="245"/>
      <c r="U955" s="289"/>
      <c r="V955" s="245"/>
      <c r="W955" s="289"/>
      <c r="X955" s="245"/>
      <c r="Y955" s="289"/>
      <c r="Z955" s="245"/>
    </row>
    <row r="956" spans="1:26" s="436" customFormat="1" ht="25.5" hidden="1">
      <c r="A956" s="443"/>
      <c r="B956" s="444"/>
      <c r="C956" s="445"/>
      <c r="D956" s="543" t="s">
        <v>49</v>
      </c>
      <c r="E956" s="444"/>
      <c r="F956" s="446"/>
      <c r="G956" s="447"/>
      <c r="H956" s="435"/>
      <c r="I956" s="544"/>
      <c r="J956" s="544"/>
      <c r="K956" s="444"/>
      <c r="L956" s="447"/>
      <c r="M956" s="289"/>
      <c r="N956" s="245"/>
      <c r="O956" s="450">
        <v>0</v>
      </c>
      <c r="P956" s="451">
        <f>INT($L956*O956*100+0.5)/100</f>
        <v>0</v>
      </c>
      <c r="Q956" s="289"/>
      <c r="R956" s="245"/>
      <c r="S956" s="289"/>
      <c r="T956" s="245"/>
      <c r="U956" s="289"/>
      <c r="V956" s="245"/>
      <c r="W956" s="289"/>
      <c r="X956" s="245"/>
      <c r="Y956" s="289"/>
      <c r="Z956" s="245"/>
    </row>
    <row r="957" spans="1:26" s="436" customFormat="1" ht="15" hidden="1">
      <c r="A957" s="443"/>
      <c r="B957" s="444"/>
      <c r="C957" s="445"/>
      <c r="D957" s="543" t="s">
        <v>50</v>
      </c>
      <c r="E957" s="444" t="s">
        <v>1130</v>
      </c>
      <c r="F957" s="446">
        <f>M957+O957+Q957+S957+U957+W957+Y957</f>
        <v>0</v>
      </c>
      <c r="G957" s="447">
        <f>L957</f>
        <v>0.5</v>
      </c>
      <c r="H957" s="442">
        <f>F957*G957</f>
        <v>0</v>
      </c>
      <c r="I957" s="447">
        <f>N957+P957+R957+T957+V957+X957+Z957</f>
        <v>0</v>
      </c>
      <c r="J957" s="544"/>
      <c r="K957" s="444" t="s">
        <v>1130</v>
      </c>
      <c r="L957" s="449">
        <v>0.5</v>
      </c>
      <c r="M957" s="289"/>
      <c r="N957" s="245"/>
      <c r="O957" s="450">
        <v>0</v>
      </c>
      <c r="P957" s="451">
        <f>INT($L957*O957*100+0.5)/100</f>
        <v>0</v>
      </c>
      <c r="Q957" s="289"/>
      <c r="R957" s="245"/>
      <c r="S957" s="289"/>
      <c r="T957" s="245"/>
      <c r="U957" s="289"/>
      <c r="V957" s="245"/>
      <c r="W957" s="289"/>
      <c r="X957" s="245"/>
      <c r="Y957" s="289"/>
      <c r="Z957" s="245"/>
    </row>
    <row r="958" spans="1:26" ht="15" hidden="1" customHeight="1">
      <c r="A958" s="250"/>
      <c r="B958" s="251"/>
      <c r="C958" s="453"/>
      <c r="D958" s="330"/>
      <c r="E958" s="251"/>
      <c r="F958" s="252"/>
      <c r="G958" s="253"/>
      <c r="H958" s="254"/>
      <c r="I958" s="253"/>
      <c r="J958" s="253"/>
      <c r="K958" s="251"/>
      <c r="L958" s="253"/>
      <c r="M958" s="289"/>
      <c r="N958" s="245"/>
      <c r="O958" s="258"/>
      <c r="P958" s="257"/>
      <c r="Q958" s="289"/>
      <c r="R958" s="245"/>
      <c r="S958" s="289"/>
      <c r="T958" s="245"/>
      <c r="U958" s="289"/>
      <c r="V958" s="245"/>
      <c r="W958" s="289"/>
      <c r="X958" s="245"/>
      <c r="Y958" s="289"/>
      <c r="Z958" s="245"/>
    </row>
    <row r="959" spans="1:26" ht="15" hidden="1" customHeight="1">
      <c r="A959" s="250"/>
      <c r="B959" s="251"/>
      <c r="C959" s="453" t="s">
        <v>51</v>
      </c>
      <c r="D959" s="330" t="s">
        <v>52</v>
      </c>
      <c r="E959" s="251"/>
      <c r="F959" s="252"/>
      <c r="G959" s="253"/>
      <c r="H959" s="254"/>
      <c r="I959" s="253"/>
      <c r="J959" s="253"/>
      <c r="K959" s="251"/>
      <c r="L959" s="253"/>
      <c r="M959" s="289"/>
      <c r="N959" s="245"/>
      <c r="O959" s="258"/>
      <c r="P959" s="257"/>
      <c r="Q959" s="289"/>
      <c r="R959" s="245"/>
      <c r="S959" s="289"/>
      <c r="T959" s="245"/>
      <c r="U959" s="289"/>
      <c r="V959" s="245"/>
      <c r="W959" s="289"/>
      <c r="X959" s="245"/>
      <c r="Y959" s="289"/>
      <c r="Z959" s="245"/>
    </row>
    <row r="960" spans="1:26" s="436" customFormat="1" ht="25.5" hidden="1">
      <c r="A960" s="443"/>
      <c r="B960" s="444"/>
      <c r="C960" s="445"/>
      <c r="D960" s="543" t="s">
        <v>53</v>
      </c>
      <c r="E960" s="444" t="s">
        <v>2475</v>
      </c>
      <c r="F960" s="446">
        <f>M960+O960+Q960+S960+U960+W960+Y960</f>
        <v>0</v>
      </c>
      <c r="G960" s="447">
        <f>L960</f>
        <v>0.3</v>
      </c>
      <c r="H960" s="442">
        <f>F960*G960</f>
        <v>0</v>
      </c>
      <c r="I960" s="447">
        <f>N960+P960+R960+T960+V960+X960+Z960</f>
        <v>0</v>
      </c>
      <c r="J960" s="544"/>
      <c r="K960" s="444" t="s">
        <v>2475</v>
      </c>
      <c r="L960" s="449">
        <v>0.3</v>
      </c>
      <c r="M960" s="289"/>
      <c r="N960" s="245"/>
      <c r="O960" s="450">
        <v>0</v>
      </c>
      <c r="P960" s="451">
        <f>INT($L960*O960*100+0.5)/100</f>
        <v>0</v>
      </c>
      <c r="Q960" s="289"/>
      <c r="R960" s="245"/>
      <c r="S960" s="289"/>
      <c r="T960" s="245"/>
      <c r="U960" s="289"/>
      <c r="V960" s="245"/>
      <c r="W960" s="289"/>
      <c r="X960" s="245"/>
      <c r="Y960" s="289"/>
      <c r="Z960" s="245"/>
    </row>
    <row r="961" spans="1:26" ht="15" hidden="1" customHeight="1">
      <c r="A961" s="250"/>
      <c r="B961" s="251"/>
      <c r="C961" s="453"/>
      <c r="D961" s="330"/>
      <c r="E961" s="251"/>
      <c r="F961" s="252"/>
      <c r="G961" s="253"/>
      <c r="H961" s="254"/>
      <c r="I961" s="253"/>
      <c r="J961" s="253"/>
      <c r="K961" s="251"/>
      <c r="L961" s="253"/>
      <c r="M961" s="289"/>
      <c r="N961" s="245"/>
      <c r="O961" s="258"/>
      <c r="P961" s="257"/>
      <c r="Q961" s="289"/>
      <c r="R961" s="245"/>
      <c r="S961" s="289"/>
      <c r="T961" s="245"/>
      <c r="U961" s="289"/>
      <c r="V961" s="245"/>
      <c r="W961" s="289"/>
      <c r="X961" s="245"/>
      <c r="Y961" s="289"/>
      <c r="Z961" s="245"/>
    </row>
    <row r="962" spans="1:26" ht="15" hidden="1" customHeight="1">
      <c r="A962" s="250"/>
      <c r="B962" s="251"/>
      <c r="C962" s="453" t="s">
        <v>54</v>
      </c>
      <c r="D962" s="330" t="s">
        <v>55</v>
      </c>
      <c r="E962" s="251"/>
      <c r="F962" s="252"/>
      <c r="G962" s="253"/>
      <c r="H962" s="254"/>
      <c r="I962" s="253"/>
      <c r="J962" s="253"/>
      <c r="K962" s="251"/>
      <c r="L962" s="253"/>
      <c r="M962" s="289"/>
      <c r="N962" s="245"/>
      <c r="O962" s="258"/>
      <c r="P962" s="257"/>
      <c r="Q962" s="289"/>
      <c r="R962" s="245"/>
      <c r="S962" s="289"/>
      <c r="T962" s="245"/>
      <c r="U962" s="289"/>
      <c r="V962" s="245"/>
      <c r="W962" s="289"/>
      <c r="X962" s="245"/>
      <c r="Y962" s="289"/>
      <c r="Z962" s="245"/>
    </row>
    <row r="963" spans="1:26" s="436" customFormat="1" ht="15" hidden="1">
      <c r="A963" s="443"/>
      <c r="B963" s="444"/>
      <c r="C963" s="445" t="s">
        <v>56</v>
      </c>
      <c r="D963" s="543" t="s">
        <v>57</v>
      </c>
      <c r="E963" s="444" t="s">
        <v>1130</v>
      </c>
      <c r="F963" s="446">
        <f t="shared" ref="F963:F974" si="83">M963+O963+Q963+S963+U963+W963+Y963</f>
        <v>0</v>
      </c>
      <c r="G963" s="447">
        <f t="shared" ref="G963:G974" si="84">L963</f>
        <v>25</v>
      </c>
      <c r="H963" s="442">
        <f t="shared" ref="H963:H974" si="85">F963*G963</f>
        <v>0</v>
      </c>
      <c r="I963" s="447">
        <f t="shared" ref="I963:I974" si="86">N963+P963+R963+T963+V963+X963+Z963</f>
        <v>0</v>
      </c>
      <c r="J963" s="544"/>
      <c r="K963" s="444" t="s">
        <v>1130</v>
      </c>
      <c r="L963" s="449">
        <v>25</v>
      </c>
      <c r="M963" s="289"/>
      <c r="N963" s="245"/>
      <c r="O963" s="450">
        <v>0</v>
      </c>
      <c r="P963" s="451">
        <f t="shared" ref="P963:P974" si="87">INT($L963*O963*100+0.5)/100</f>
        <v>0</v>
      </c>
      <c r="Q963" s="289"/>
      <c r="R963" s="245"/>
      <c r="S963" s="289"/>
      <c r="T963" s="245"/>
      <c r="U963" s="289"/>
      <c r="V963" s="245"/>
      <c r="W963" s="289"/>
      <c r="X963" s="245"/>
      <c r="Y963" s="289"/>
      <c r="Z963" s="245"/>
    </row>
    <row r="964" spans="1:26" s="436" customFormat="1" ht="15" hidden="1">
      <c r="A964" s="443"/>
      <c r="B964" s="444"/>
      <c r="C964" s="445" t="s">
        <v>58</v>
      </c>
      <c r="D964" s="543" t="s">
        <v>59</v>
      </c>
      <c r="E964" s="444" t="s">
        <v>1130</v>
      </c>
      <c r="F964" s="446">
        <f t="shared" si="83"/>
        <v>0</v>
      </c>
      <c r="G964" s="447">
        <f t="shared" si="84"/>
        <v>26.5</v>
      </c>
      <c r="H964" s="442">
        <f t="shared" si="85"/>
        <v>0</v>
      </c>
      <c r="I964" s="447">
        <f t="shared" si="86"/>
        <v>0</v>
      </c>
      <c r="J964" s="544"/>
      <c r="K964" s="444" t="s">
        <v>1130</v>
      </c>
      <c r="L964" s="449">
        <v>26.5</v>
      </c>
      <c r="M964" s="289"/>
      <c r="N964" s="245"/>
      <c r="O964" s="450">
        <v>0</v>
      </c>
      <c r="P964" s="451">
        <f t="shared" si="87"/>
        <v>0</v>
      </c>
      <c r="Q964" s="289"/>
      <c r="R964" s="245"/>
      <c r="S964" s="289"/>
      <c r="T964" s="245"/>
      <c r="U964" s="289"/>
      <c r="V964" s="245"/>
      <c r="W964" s="289"/>
      <c r="X964" s="245"/>
      <c r="Y964" s="289"/>
      <c r="Z964" s="245"/>
    </row>
    <row r="965" spans="1:26" s="436" customFormat="1" ht="15" hidden="1">
      <c r="A965" s="443"/>
      <c r="B965" s="444"/>
      <c r="C965" s="445" t="s">
        <v>60</v>
      </c>
      <c r="D965" s="543" t="s">
        <v>61</v>
      </c>
      <c r="E965" s="444" t="s">
        <v>1130</v>
      </c>
      <c r="F965" s="446">
        <f t="shared" si="83"/>
        <v>0</v>
      </c>
      <c r="G965" s="447">
        <f t="shared" si="84"/>
        <v>26.5</v>
      </c>
      <c r="H965" s="442">
        <f t="shared" si="85"/>
        <v>0</v>
      </c>
      <c r="I965" s="447">
        <f t="shared" si="86"/>
        <v>0</v>
      </c>
      <c r="J965" s="544"/>
      <c r="K965" s="444" t="s">
        <v>1130</v>
      </c>
      <c r="L965" s="449">
        <v>26.5</v>
      </c>
      <c r="M965" s="289"/>
      <c r="N965" s="245"/>
      <c r="O965" s="450">
        <v>0</v>
      </c>
      <c r="P965" s="451">
        <f t="shared" si="87"/>
        <v>0</v>
      </c>
      <c r="Q965" s="289"/>
      <c r="R965" s="245"/>
      <c r="S965" s="289"/>
      <c r="T965" s="245"/>
      <c r="U965" s="289"/>
      <c r="V965" s="245"/>
      <c r="W965" s="289"/>
      <c r="X965" s="245"/>
      <c r="Y965" s="289"/>
      <c r="Z965" s="245"/>
    </row>
    <row r="966" spans="1:26" s="436" customFormat="1" ht="15" hidden="1">
      <c r="A966" s="443"/>
      <c r="B966" s="444"/>
      <c r="C966" s="445" t="s">
        <v>62</v>
      </c>
      <c r="D966" s="543" t="s">
        <v>63</v>
      </c>
      <c r="E966" s="444" t="s">
        <v>1130</v>
      </c>
      <c r="F966" s="446">
        <f t="shared" si="83"/>
        <v>0</v>
      </c>
      <c r="G966" s="447">
        <f t="shared" si="84"/>
        <v>27</v>
      </c>
      <c r="H966" s="442">
        <f t="shared" si="85"/>
        <v>0</v>
      </c>
      <c r="I966" s="447">
        <f t="shared" si="86"/>
        <v>0</v>
      </c>
      <c r="J966" s="544"/>
      <c r="K966" s="444" t="s">
        <v>1130</v>
      </c>
      <c r="L966" s="449">
        <v>27</v>
      </c>
      <c r="M966" s="289"/>
      <c r="N966" s="245"/>
      <c r="O966" s="450">
        <v>0</v>
      </c>
      <c r="P966" s="451">
        <f t="shared" si="87"/>
        <v>0</v>
      </c>
      <c r="Q966" s="289"/>
      <c r="R966" s="245"/>
      <c r="S966" s="289"/>
      <c r="T966" s="245"/>
      <c r="U966" s="289"/>
      <c r="V966" s="245"/>
      <c r="W966" s="289"/>
      <c r="X966" s="245"/>
      <c r="Y966" s="289"/>
      <c r="Z966" s="245"/>
    </row>
    <row r="967" spans="1:26" s="436" customFormat="1" ht="15" hidden="1">
      <c r="A967" s="443"/>
      <c r="B967" s="444"/>
      <c r="C967" s="445" t="s">
        <v>64</v>
      </c>
      <c r="D967" s="543" t="s">
        <v>65</v>
      </c>
      <c r="E967" s="444" t="s">
        <v>1130</v>
      </c>
      <c r="F967" s="446">
        <f t="shared" si="83"/>
        <v>0</v>
      </c>
      <c r="G967" s="447">
        <f t="shared" si="84"/>
        <v>29</v>
      </c>
      <c r="H967" s="442">
        <f t="shared" si="85"/>
        <v>0</v>
      </c>
      <c r="I967" s="447">
        <f t="shared" si="86"/>
        <v>0</v>
      </c>
      <c r="J967" s="544"/>
      <c r="K967" s="444" t="s">
        <v>1130</v>
      </c>
      <c r="L967" s="449">
        <v>29</v>
      </c>
      <c r="M967" s="289"/>
      <c r="N967" s="245"/>
      <c r="O967" s="450">
        <v>0</v>
      </c>
      <c r="P967" s="451">
        <f t="shared" si="87"/>
        <v>0</v>
      </c>
      <c r="Q967" s="289"/>
      <c r="R967" s="245"/>
      <c r="S967" s="289"/>
      <c r="T967" s="245"/>
      <c r="U967" s="289"/>
      <c r="V967" s="245"/>
      <c r="W967" s="289"/>
      <c r="X967" s="245"/>
      <c r="Y967" s="289"/>
      <c r="Z967" s="245"/>
    </row>
    <row r="968" spans="1:26" s="436" customFormat="1" ht="15" hidden="1">
      <c r="A968" s="443"/>
      <c r="B968" s="444"/>
      <c r="C968" s="445" t="s">
        <v>66</v>
      </c>
      <c r="D968" s="543" t="s">
        <v>67</v>
      </c>
      <c r="E968" s="444" t="s">
        <v>1130</v>
      </c>
      <c r="F968" s="446">
        <f t="shared" si="83"/>
        <v>0</v>
      </c>
      <c r="G968" s="447">
        <f t="shared" si="84"/>
        <v>31</v>
      </c>
      <c r="H968" s="442">
        <f t="shared" si="85"/>
        <v>0</v>
      </c>
      <c r="I968" s="447">
        <f t="shared" si="86"/>
        <v>0</v>
      </c>
      <c r="J968" s="544"/>
      <c r="K968" s="444" t="s">
        <v>1130</v>
      </c>
      <c r="L968" s="449">
        <v>31</v>
      </c>
      <c r="M968" s="289"/>
      <c r="N968" s="245"/>
      <c r="O968" s="450">
        <v>0</v>
      </c>
      <c r="P968" s="451">
        <f t="shared" si="87"/>
        <v>0</v>
      </c>
      <c r="Q968" s="289"/>
      <c r="R968" s="245"/>
      <c r="S968" s="289"/>
      <c r="T968" s="245"/>
      <c r="U968" s="289"/>
      <c r="V968" s="245"/>
      <c r="W968" s="289"/>
      <c r="X968" s="245"/>
      <c r="Y968" s="289"/>
      <c r="Z968" s="245"/>
    </row>
    <row r="969" spans="1:26" s="436" customFormat="1" ht="15" hidden="1">
      <c r="A969" s="443"/>
      <c r="B969" s="444"/>
      <c r="C969" s="445" t="s">
        <v>68</v>
      </c>
      <c r="D969" s="543" t="s">
        <v>69</v>
      </c>
      <c r="E969" s="444" t="s">
        <v>1130</v>
      </c>
      <c r="F969" s="446">
        <f t="shared" si="83"/>
        <v>0</v>
      </c>
      <c r="G969" s="447">
        <f t="shared" si="84"/>
        <v>35</v>
      </c>
      <c r="H969" s="442">
        <f t="shared" si="85"/>
        <v>0</v>
      </c>
      <c r="I969" s="447">
        <f t="shared" si="86"/>
        <v>0</v>
      </c>
      <c r="J969" s="544"/>
      <c r="K969" s="444" t="s">
        <v>1130</v>
      </c>
      <c r="L969" s="449">
        <v>35</v>
      </c>
      <c r="M969" s="289"/>
      <c r="N969" s="245"/>
      <c r="O969" s="450">
        <v>0</v>
      </c>
      <c r="P969" s="451">
        <f t="shared" si="87"/>
        <v>0</v>
      </c>
      <c r="Q969" s="289"/>
      <c r="R969" s="245"/>
      <c r="S969" s="289"/>
      <c r="T969" s="245"/>
      <c r="U969" s="289"/>
      <c r="V969" s="245"/>
      <c r="W969" s="289"/>
      <c r="X969" s="245"/>
      <c r="Y969" s="289"/>
      <c r="Z969" s="245"/>
    </row>
    <row r="970" spans="1:26" s="436" customFormat="1" ht="15" hidden="1">
      <c r="A970" s="443"/>
      <c r="B970" s="444"/>
      <c r="C970" s="445" t="s">
        <v>70</v>
      </c>
      <c r="D970" s="543" t="s">
        <v>71</v>
      </c>
      <c r="E970" s="444" t="s">
        <v>1130</v>
      </c>
      <c r="F970" s="446">
        <f t="shared" si="83"/>
        <v>0</v>
      </c>
      <c r="G970" s="447">
        <f t="shared" si="84"/>
        <v>37.6</v>
      </c>
      <c r="H970" s="442">
        <f t="shared" si="85"/>
        <v>0</v>
      </c>
      <c r="I970" s="447">
        <f t="shared" si="86"/>
        <v>0</v>
      </c>
      <c r="J970" s="544"/>
      <c r="K970" s="444" t="s">
        <v>1130</v>
      </c>
      <c r="L970" s="449">
        <v>37.6</v>
      </c>
      <c r="M970" s="289"/>
      <c r="N970" s="245"/>
      <c r="O970" s="450">
        <v>0</v>
      </c>
      <c r="P970" s="451">
        <f t="shared" si="87"/>
        <v>0</v>
      </c>
      <c r="Q970" s="289"/>
      <c r="R970" s="245"/>
      <c r="S970" s="289"/>
      <c r="T970" s="245"/>
      <c r="U970" s="289"/>
      <c r="V970" s="245"/>
      <c r="W970" s="289"/>
      <c r="X970" s="245"/>
      <c r="Y970" s="289"/>
      <c r="Z970" s="245"/>
    </row>
    <row r="971" spans="1:26" s="436" customFormat="1" ht="15" hidden="1">
      <c r="A971" s="443"/>
      <c r="B971" s="444"/>
      <c r="C971" s="445" t="s">
        <v>72</v>
      </c>
      <c r="D971" s="543" t="s">
        <v>73</v>
      </c>
      <c r="E971" s="444" t="s">
        <v>1130</v>
      </c>
      <c r="F971" s="446">
        <f t="shared" si="83"/>
        <v>0</v>
      </c>
      <c r="G971" s="447">
        <f t="shared" si="84"/>
        <v>44</v>
      </c>
      <c r="H971" s="442">
        <f t="shared" si="85"/>
        <v>0</v>
      </c>
      <c r="I971" s="447">
        <f t="shared" si="86"/>
        <v>0</v>
      </c>
      <c r="J971" s="544"/>
      <c r="K971" s="444" t="s">
        <v>1130</v>
      </c>
      <c r="L971" s="449">
        <v>44</v>
      </c>
      <c r="M971" s="289"/>
      <c r="N971" s="245"/>
      <c r="O971" s="450">
        <v>0</v>
      </c>
      <c r="P971" s="451">
        <f t="shared" si="87"/>
        <v>0</v>
      </c>
      <c r="Q971" s="289"/>
      <c r="R971" s="245"/>
      <c r="S971" s="289"/>
      <c r="T971" s="245"/>
      <c r="U971" s="289"/>
      <c r="V971" s="245"/>
      <c r="W971" s="289"/>
      <c r="X971" s="245"/>
      <c r="Y971" s="289"/>
      <c r="Z971" s="245"/>
    </row>
    <row r="972" spans="1:26" s="436" customFormat="1" ht="15" hidden="1">
      <c r="A972" s="443"/>
      <c r="B972" s="444"/>
      <c r="C972" s="445" t="s">
        <v>74</v>
      </c>
      <c r="D972" s="543" t="s">
        <v>75</v>
      </c>
      <c r="E972" s="444" t="s">
        <v>1130</v>
      </c>
      <c r="F972" s="446">
        <f t="shared" si="83"/>
        <v>0</v>
      </c>
      <c r="G972" s="447">
        <f t="shared" si="84"/>
        <v>70</v>
      </c>
      <c r="H972" s="442">
        <f t="shared" si="85"/>
        <v>0</v>
      </c>
      <c r="I972" s="447">
        <f t="shared" si="86"/>
        <v>0</v>
      </c>
      <c r="J972" s="544"/>
      <c r="K972" s="444" t="s">
        <v>1130</v>
      </c>
      <c r="L972" s="449">
        <v>70</v>
      </c>
      <c r="M972" s="289"/>
      <c r="N972" s="245"/>
      <c r="O972" s="450">
        <v>0</v>
      </c>
      <c r="P972" s="451">
        <f t="shared" si="87"/>
        <v>0</v>
      </c>
      <c r="Q972" s="289"/>
      <c r="R972" s="245"/>
      <c r="S972" s="289"/>
      <c r="T972" s="245"/>
      <c r="U972" s="289"/>
      <c r="V972" s="245"/>
      <c r="W972" s="289"/>
      <c r="X972" s="245"/>
      <c r="Y972" s="289"/>
      <c r="Z972" s="245"/>
    </row>
    <row r="973" spans="1:26" s="436" customFormat="1" ht="15" hidden="1">
      <c r="A973" s="443"/>
      <c r="B973" s="444"/>
      <c r="C973" s="445" t="s">
        <v>76</v>
      </c>
      <c r="D973" s="543" t="s">
        <v>77</v>
      </c>
      <c r="E973" s="444" t="s">
        <v>1130</v>
      </c>
      <c r="F973" s="446">
        <f t="shared" si="83"/>
        <v>0</v>
      </c>
      <c r="G973" s="447">
        <f t="shared" si="84"/>
        <v>85</v>
      </c>
      <c r="H973" s="442">
        <f t="shared" si="85"/>
        <v>0</v>
      </c>
      <c r="I973" s="447">
        <f t="shared" si="86"/>
        <v>0</v>
      </c>
      <c r="J973" s="544"/>
      <c r="K973" s="444" t="s">
        <v>1130</v>
      </c>
      <c r="L973" s="449">
        <v>85</v>
      </c>
      <c r="M973" s="289"/>
      <c r="N973" s="245"/>
      <c r="O973" s="450">
        <v>0</v>
      </c>
      <c r="P973" s="451">
        <f t="shared" si="87"/>
        <v>0</v>
      </c>
      <c r="Q973" s="289"/>
      <c r="R973" s="245"/>
      <c r="S973" s="289"/>
      <c r="T973" s="245"/>
      <c r="U973" s="289"/>
      <c r="V973" s="245"/>
      <c r="W973" s="289"/>
      <c r="X973" s="245"/>
      <c r="Y973" s="289"/>
      <c r="Z973" s="245"/>
    </row>
    <row r="974" spans="1:26" s="436" customFormat="1" ht="15" hidden="1">
      <c r="A974" s="443"/>
      <c r="B974" s="444"/>
      <c r="C974" s="445" t="s">
        <v>78</v>
      </c>
      <c r="D974" s="543" t="s">
        <v>79</v>
      </c>
      <c r="E974" s="444" t="s">
        <v>1130</v>
      </c>
      <c r="F974" s="446">
        <f t="shared" si="83"/>
        <v>0</v>
      </c>
      <c r="G974" s="447">
        <f t="shared" si="84"/>
        <v>102</v>
      </c>
      <c r="H974" s="442">
        <f t="shared" si="85"/>
        <v>0</v>
      </c>
      <c r="I974" s="447">
        <f t="shared" si="86"/>
        <v>0</v>
      </c>
      <c r="J974" s="544"/>
      <c r="K974" s="444" t="s">
        <v>1130</v>
      </c>
      <c r="L974" s="449">
        <v>102</v>
      </c>
      <c r="M974" s="289"/>
      <c r="N974" s="245"/>
      <c r="O974" s="450">
        <v>0</v>
      </c>
      <c r="P974" s="451">
        <f t="shared" si="87"/>
        <v>0</v>
      </c>
      <c r="Q974" s="289"/>
      <c r="R974" s="245"/>
      <c r="S974" s="289"/>
      <c r="T974" s="245"/>
      <c r="U974" s="289"/>
      <c r="V974" s="245"/>
      <c r="W974" s="289"/>
      <c r="X974" s="245"/>
      <c r="Y974" s="289"/>
      <c r="Z974" s="245"/>
    </row>
    <row r="975" spans="1:26" ht="15" hidden="1" customHeight="1">
      <c r="A975" s="250"/>
      <c r="B975" s="251"/>
      <c r="C975" s="453"/>
      <c r="D975" s="330"/>
      <c r="E975" s="251"/>
      <c r="F975" s="252"/>
      <c r="G975" s="253"/>
      <c r="H975" s="254"/>
      <c r="I975" s="253"/>
      <c r="J975" s="253"/>
      <c r="K975" s="251"/>
      <c r="L975" s="253"/>
      <c r="M975" s="289"/>
      <c r="N975" s="245"/>
      <c r="O975" s="258"/>
      <c r="P975" s="257"/>
      <c r="Q975" s="289"/>
      <c r="R975" s="245"/>
      <c r="S975" s="289"/>
      <c r="T975" s="245"/>
      <c r="U975" s="289"/>
      <c r="V975" s="245"/>
      <c r="W975" s="289"/>
      <c r="X975" s="245"/>
      <c r="Y975" s="289"/>
      <c r="Z975" s="245"/>
    </row>
    <row r="976" spans="1:26" ht="15" hidden="1" customHeight="1">
      <c r="A976" s="250"/>
      <c r="B976" s="251"/>
      <c r="C976" s="453" t="s">
        <v>80</v>
      </c>
      <c r="D976" s="330" t="s">
        <v>81</v>
      </c>
      <c r="E976" s="251"/>
      <c r="F976" s="252"/>
      <c r="G976" s="253"/>
      <c r="H976" s="254"/>
      <c r="I976" s="253"/>
      <c r="J976" s="253"/>
      <c r="K976" s="251"/>
      <c r="L976" s="253"/>
      <c r="M976" s="289"/>
      <c r="N976" s="245"/>
      <c r="O976" s="258"/>
      <c r="P976" s="257"/>
      <c r="Q976" s="289"/>
      <c r="R976" s="245"/>
      <c r="S976" s="289"/>
      <c r="T976" s="245"/>
      <c r="U976" s="289"/>
      <c r="V976" s="245"/>
      <c r="W976" s="289"/>
      <c r="X976" s="245"/>
      <c r="Y976" s="289"/>
      <c r="Z976" s="245"/>
    </row>
    <row r="977" spans="1:26" s="436" customFormat="1" ht="15" hidden="1">
      <c r="A977" s="443"/>
      <c r="B977" s="444"/>
      <c r="C977" s="445"/>
      <c r="D977" s="543" t="s">
        <v>82</v>
      </c>
      <c r="E977" s="444"/>
      <c r="F977" s="446"/>
      <c r="G977" s="447"/>
      <c r="H977" s="435"/>
      <c r="I977" s="544"/>
      <c r="J977" s="544"/>
      <c r="K977" s="444"/>
      <c r="L977" s="447"/>
      <c r="M977" s="545"/>
      <c r="N977" s="545"/>
      <c r="O977" s="544"/>
      <c r="P977" s="544"/>
      <c r="Q977" s="545"/>
      <c r="R977" s="545"/>
      <c r="S977" s="545"/>
      <c r="T977" s="545"/>
      <c r="U977" s="545"/>
      <c r="V977" s="545"/>
      <c r="W977" s="545"/>
      <c r="X977" s="545"/>
      <c r="Y977" s="545"/>
      <c r="Z977" s="547"/>
    </row>
    <row r="978" spans="1:26" s="436" customFormat="1" ht="15" hidden="1">
      <c r="A978" s="443"/>
      <c r="B978" s="444"/>
      <c r="C978" s="445" t="s">
        <v>83</v>
      </c>
      <c r="D978" s="543" t="s">
        <v>84</v>
      </c>
      <c r="E978" s="444" t="s">
        <v>2475</v>
      </c>
      <c r="F978" s="446">
        <f t="shared" ref="F978:F987" si="88">M978+O978+Q978+S978+U978+W978+Y978</f>
        <v>0</v>
      </c>
      <c r="G978" s="447">
        <f t="shared" ref="G978:G987" si="89">L978</f>
        <v>16</v>
      </c>
      <c r="H978" s="442">
        <f t="shared" ref="H978:H987" si="90">F978*G978</f>
        <v>0</v>
      </c>
      <c r="I978" s="447">
        <f t="shared" ref="I978:I987" si="91">N978+P978+R978+T978+V978+X978+Z978</f>
        <v>0</v>
      </c>
      <c r="J978" s="544"/>
      <c r="K978" s="444" t="s">
        <v>2475</v>
      </c>
      <c r="L978" s="449">
        <v>16</v>
      </c>
      <c r="M978" s="289"/>
      <c r="N978" s="245"/>
      <c r="O978" s="450">
        <v>0</v>
      </c>
      <c r="P978" s="451">
        <f t="shared" ref="P978:P987" si="92">INT($L978*O978*100+0.5)/100</f>
        <v>0</v>
      </c>
      <c r="Q978" s="289"/>
      <c r="R978" s="245"/>
      <c r="S978" s="289"/>
      <c r="T978" s="245"/>
      <c r="U978" s="289"/>
      <c r="V978" s="245"/>
      <c r="W978" s="289"/>
      <c r="X978" s="245"/>
      <c r="Y978" s="289"/>
      <c r="Z978" s="245"/>
    </row>
    <row r="979" spans="1:26" s="436" customFormat="1" ht="15" hidden="1">
      <c r="A979" s="443"/>
      <c r="B979" s="444"/>
      <c r="C979" s="445" t="s">
        <v>85</v>
      </c>
      <c r="D979" s="543" t="s">
        <v>86</v>
      </c>
      <c r="E979" s="444" t="s">
        <v>2475</v>
      </c>
      <c r="F979" s="446">
        <f t="shared" si="88"/>
        <v>0</v>
      </c>
      <c r="G979" s="447">
        <f t="shared" si="89"/>
        <v>16</v>
      </c>
      <c r="H979" s="442">
        <f t="shared" si="90"/>
        <v>0</v>
      </c>
      <c r="I979" s="447">
        <f t="shared" si="91"/>
        <v>0</v>
      </c>
      <c r="J979" s="544"/>
      <c r="K979" s="444" t="s">
        <v>2475</v>
      </c>
      <c r="L979" s="449">
        <v>16</v>
      </c>
      <c r="M979" s="289"/>
      <c r="N979" s="245"/>
      <c r="O979" s="450">
        <v>0</v>
      </c>
      <c r="P979" s="451">
        <f t="shared" si="92"/>
        <v>0</v>
      </c>
      <c r="Q979" s="289"/>
      <c r="R979" s="245"/>
      <c r="S979" s="289"/>
      <c r="T979" s="245"/>
      <c r="U979" s="289"/>
      <c r="V979" s="245"/>
      <c r="W979" s="289"/>
      <c r="X979" s="245"/>
      <c r="Y979" s="289"/>
      <c r="Z979" s="245"/>
    </row>
    <row r="980" spans="1:26" s="436" customFormat="1" ht="15" hidden="1">
      <c r="A980" s="443"/>
      <c r="B980" s="444"/>
      <c r="C980" s="445" t="s">
        <v>87</v>
      </c>
      <c r="D980" s="543" t="s">
        <v>88</v>
      </c>
      <c r="E980" s="444" t="s">
        <v>2475</v>
      </c>
      <c r="F980" s="446">
        <f t="shared" si="88"/>
        <v>0</v>
      </c>
      <c r="G980" s="447">
        <f t="shared" si="89"/>
        <v>16</v>
      </c>
      <c r="H980" s="442">
        <f t="shared" si="90"/>
        <v>0</v>
      </c>
      <c r="I980" s="447">
        <f t="shared" si="91"/>
        <v>0</v>
      </c>
      <c r="J980" s="544"/>
      <c r="K980" s="444" t="s">
        <v>2475</v>
      </c>
      <c r="L980" s="449">
        <v>16</v>
      </c>
      <c r="M980" s="289"/>
      <c r="N980" s="245"/>
      <c r="O980" s="450">
        <v>0</v>
      </c>
      <c r="P980" s="451">
        <f t="shared" si="92"/>
        <v>0</v>
      </c>
      <c r="Q980" s="289"/>
      <c r="R980" s="245"/>
      <c r="S980" s="289"/>
      <c r="T980" s="245"/>
      <c r="U980" s="289"/>
      <c r="V980" s="245"/>
      <c r="W980" s="289"/>
      <c r="X980" s="245"/>
      <c r="Y980" s="289"/>
      <c r="Z980" s="245"/>
    </row>
    <row r="981" spans="1:26" s="436" customFormat="1" ht="15" hidden="1">
      <c r="A981" s="443"/>
      <c r="B981" s="444"/>
      <c r="C981" s="445" t="s">
        <v>89</v>
      </c>
      <c r="D981" s="543" t="s">
        <v>90</v>
      </c>
      <c r="E981" s="444" t="s">
        <v>2475</v>
      </c>
      <c r="F981" s="446">
        <f t="shared" si="88"/>
        <v>0</v>
      </c>
      <c r="G981" s="447">
        <f t="shared" si="89"/>
        <v>16</v>
      </c>
      <c r="H981" s="442">
        <f t="shared" si="90"/>
        <v>0</v>
      </c>
      <c r="I981" s="447">
        <f t="shared" si="91"/>
        <v>0</v>
      </c>
      <c r="J981" s="544"/>
      <c r="K981" s="444" t="s">
        <v>2475</v>
      </c>
      <c r="L981" s="449">
        <v>16</v>
      </c>
      <c r="M981" s="289"/>
      <c r="N981" s="245"/>
      <c r="O981" s="450">
        <v>0</v>
      </c>
      <c r="P981" s="451">
        <f t="shared" si="92"/>
        <v>0</v>
      </c>
      <c r="Q981" s="289"/>
      <c r="R981" s="245"/>
      <c r="S981" s="289"/>
      <c r="T981" s="245"/>
      <c r="U981" s="289"/>
      <c r="V981" s="245"/>
      <c r="W981" s="289"/>
      <c r="X981" s="245"/>
      <c r="Y981" s="289"/>
      <c r="Z981" s="245"/>
    </row>
    <row r="982" spans="1:26" s="436" customFormat="1" ht="15" hidden="1">
      <c r="A982" s="443"/>
      <c r="B982" s="444"/>
      <c r="C982" s="445" t="s">
        <v>91</v>
      </c>
      <c r="D982" s="543" t="s">
        <v>92</v>
      </c>
      <c r="E982" s="444" t="s">
        <v>2475</v>
      </c>
      <c r="F982" s="446">
        <f t="shared" si="88"/>
        <v>0</v>
      </c>
      <c r="G982" s="447">
        <f t="shared" si="89"/>
        <v>16</v>
      </c>
      <c r="H982" s="442">
        <f t="shared" si="90"/>
        <v>0</v>
      </c>
      <c r="I982" s="447">
        <f t="shared" si="91"/>
        <v>0</v>
      </c>
      <c r="J982" s="544"/>
      <c r="K982" s="444" t="s">
        <v>2475</v>
      </c>
      <c r="L982" s="449">
        <v>16</v>
      </c>
      <c r="M982" s="289"/>
      <c r="N982" s="245"/>
      <c r="O982" s="450">
        <v>0</v>
      </c>
      <c r="P982" s="451">
        <f t="shared" si="92"/>
        <v>0</v>
      </c>
      <c r="Q982" s="289"/>
      <c r="R982" s="245"/>
      <c r="S982" s="289"/>
      <c r="T982" s="245"/>
      <c r="U982" s="289"/>
      <c r="V982" s="245"/>
      <c r="W982" s="289"/>
      <c r="X982" s="245"/>
      <c r="Y982" s="289"/>
      <c r="Z982" s="245"/>
    </row>
    <row r="983" spans="1:26" s="436" customFormat="1" ht="15" hidden="1">
      <c r="A983" s="443"/>
      <c r="B983" s="444"/>
      <c r="C983" s="445" t="s">
        <v>93</v>
      </c>
      <c r="D983" s="543" t="s">
        <v>94</v>
      </c>
      <c r="E983" s="444" t="s">
        <v>2475</v>
      </c>
      <c r="F983" s="446">
        <f t="shared" si="88"/>
        <v>0</v>
      </c>
      <c r="G983" s="447">
        <f t="shared" si="89"/>
        <v>20</v>
      </c>
      <c r="H983" s="442">
        <f t="shared" si="90"/>
        <v>0</v>
      </c>
      <c r="I983" s="447">
        <f t="shared" si="91"/>
        <v>0</v>
      </c>
      <c r="J983" s="544"/>
      <c r="K983" s="444" t="s">
        <v>2475</v>
      </c>
      <c r="L983" s="449">
        <v>20</v>
      </c>
      <c r="M983" s="289"/>
      <c r="N983" s="245"/>
      <c r="O983" s="450">
        <v>0</v>
      </c>
      <c r="P983" s="451">
        <f t="shared" si="92"/>
        <v>0</v>
      </c>
      <c r="Q983" s="289"/>
      <c r="R983" s="245"/>
      <c r="S983" s="289"/>
      <c r="T983" s="245"/>
      <c r="U983" s="289"/>
      <c r="V983" s="245"/>
      <c r="W983" s="289"/>
      <c r="X983" s="245"/>
      <c r="Y983" s="289"/>
      <c r="Z983" s="245"/>
    </row>
    <row r="984" spans="1:26" s="436" customFormat="1" ht="15" hidden="1">
      <c r="A984" s="443"/>
      <c r="B984" s="444"/>
      <c r="C984" s="445" t="s">
        <v>95</v>
      </c>
      <c r="D984" s="543" t="s">
        <v>96</v>
      </c>
      <c r="E984" s="444" t="s">
        <v>2475</v>
      </c>
      <c r="F984" s="446">
        <f t="shared" si="88"/>
        <v>0</v>
      </c>
      <c r="G984" s="447">
        <f t="shared" si="89"/>
        <v>30</v>
      </c>
      <c r="H984" s="442">
        <f t="shared" si="90"/>
        <v>0</v>
      </c>
      <c r="I984" s="447">
        <f t="shared" si="91"/>
        <v>0</v>
      </c>
      <c r="J984" s="544"/>
      <c r="K984" s="444" t="s">
        <v>2475</v>
      </c>
      <c r="L984" s="449">
        <v>30</v>
      </c>
      <c r="M984" s="289"/>
      <c r="N984" s="245"/>
      <c r="O984" s="450">
        <v>0</v>
      </c>
      <c r="P984" s="451">
        <f t="shared" si="92"/>
        <v>0</v>
      </c>
      <c r="Q984" s="289"/>
      <c r="R984" s="245"/>
      <c r="S984" s="289"/>
      <c r="T984" s="245"/>
      <c r="U984" s="289"/>
      <c r="V984" s="245"/>
      <c r="W984" s="289"/>
      <c r="X984" s="245"/>
      <c r="Y984" s="289"/>
      <c r="Z984" s="245"/>
    </row>
    <row r="985" spans="1:26" s="436" customFormat="1" ht="15" hidden="1">
      <c r="A985" s="443"/>
      <c r="B985" s="444"/>
      <c r="C985" s="445" t="s">
        <v>97</v>
      </c>
      <c r="D985" s="543" t="s">
        <v>98</v>
      </c>
      <c r="E985" s="444" t="s">
        <v>2475</v>
      </c>
      <c r="F985" s="446">
        <f t="shared" si="88"/>
        <v>0</v>
      </c>
      <c r="G985" s="447">
        <f t="shared" si="89"/>
        <v>40</v>
      </c>
      <c r="H985" s="442">
        <f t="shared" si="90"/>
        <v>0</v>
      </c>
      <c r="I985" s="447">
        <f t="shared" si="91"/>
        <v>0</v>
      </c>
      <c r="J985" s="544"/>
      <c r="K985" s="444" t="s">
        <v>2475</v>
      </c>
      <c r="L985" s="449">
        <v>40</v>
      </c>
      <c r="M985" s="289"/>
      <c r="N985" s="245"/>
      <c r="O985" s="450">
        <v>0</v>
      </c>
      <c r="P985" s="451">
        <f t="shared" si="92"/>
        <v>0</v>
      </c>
      <c r="Q985" s="289"/>
      <c r="R985" s="245"/>
      <c r="S985" s="289"/>
      <c r="T985" s="245"/>
      <c r="U985" s="289"/>
      <c r="V985" s="245"/>
      <c r="W985" s="289"/>
      <c r="X985" s="245"/>
      <c r="Y985" s="289"/>
      <c r="Z985" s="245"/>
    </row>
    <row r="986" spans="1:26" s="436" customFormat="1" ht="15" hidden="1">
      <c r="A986" s="443"/>
      <c r="B986" s="444"/>
      <c r="C986" s="445" t="s">
        <v>99</v>
      </c>
      <c r="D986" s="543" t="s">
        <v>100</v>
      </c>
      <c r="E986" s="444" t="s">
        <v>2475</v>
      </c>
      <c r="F986" s="446">
        <f t="shared" si="88"/>
        <v>0</v>
      </c>
      <c r="G986" s="447">
        <f t="shared" si="89"/>
        <v>42</v>
      </c>
      <c r="H986" s="442">
        <f t="shared" si="90"/>
        <v>0</v>
      </c>
      <c r="I986" s="447">
        <f t="shared" si="91"/>
        <v>0</v>
      </c>
      <c r="J986" s="544"/>
      <c r="K986" s="444" t="s">
        <v>2475</v>
      </c>
      <c r="L986" s="449">
        <v>42</v>
      </c>
      <c r="M986" s="289"/>
      <c r="N986" s="245"/>
      <c r="O986" s="450">
        <v>0</v>
      </c>
      <c r="P986" s="451">
        <f t="shared" si="92"/>
        <v>0</v>
      </c>
      <c r="Q986" s="289"/>
      <c r="R986" s="245"/>
      <c r="S986" s="289"/>
      <c r="T986" s="245"/>
      <c r="U986" s="289"/>
      <c r="V986" s="245"/>
      <c r="W986" s="289"/>
      <c r="X986" s="245"/>
      <c r="Y986" s="289"/>
      <c r="Z986" s="245"/>
    </row>
    <row r="987" spans="1:26" s="436" customFormat="1" ht="15" hidden="1">
      <c r="A987" s="443"/>
      <c r="B987" s="444"/>
      <c r="C987" s="445" t="s">
        <v>101</v>
      </c>
      <c r="D987" s="543" t="s">
        <v>102</v>
      </c>
      <c r="E987" s="444" t="s">
        <v>2475</v>
      </c>
      <c r="F987" s="446">
        <f t="shared" si="88"/>
        <v>0</v>
      </c>
      <c r="G987" s="447">
        <f t="shared" si="89"/>
        <v>60</v>
      </c>
      <c r="H987" s="442">
        <f t="shared" si="90"/>
        <v>0</v>
      </c>
      <c r="I987" s="447">
        <f t="shared" si="91"/>
        <v>0</v>
      </c>
      <c r="J987" s="544"/>
      <c r="K987" s="444" t="s">
        <v>2475</v>
      </c>
      <c r="L987" s="449">
        <v>60</v>
      </c>
      <c r="M987" s="289"/>
      <c r="N987" s="245"/>
      <c r="O987" s="450">
        <v>0</v>
      </c>
      <c r="P987" s="451">
        <f t="shared" si="92"/>
        <v>0</v>
      </c>
      <c r="Q987" s="289"/>
      <c r="R987" s="245"/>
      <c r="S987" s="289"/>
      <c r="T987" s="245"/>
      <c r="U987" s="289"/>
      <c r="V987" s="245"/>
      <c r="W987" s="289"/>
      <c r="X987" s="245"/>
      <c r="Y987" s="289"/>
      <c r="Z987" s="245"/>
    </row>
    <row r="988" spans="1:26" ht="15" hidden="1" customHeight="1">
      <c r="A988" s="250"/>
      <c r="B988" s="251"/>
      <c r="C988" s="453"/>
      <c r="D988" s="330"/>
      <c r="E988" s="251"/>
      <c r="F988" s="252"/>
      <c r="G988" s="253"/>
      <c r="H988" s="254"/>
      <c r="I988" s="253"/>
      <c r="J988" s="253"/>
      <c r="K988" s="251"/>
      <c r="L988" s="253"/>
      <c r="M988" s="289"/>
      <c r="N988" s="245"/>
      <c r="O988" s="258"/>
      <c r="P988" s="257"/>
      <c r="Q988" s="289"/>
      <c r="R988" s="245"/>
      <c r="S988" s="289"/>
      <c r="T988" s="245"/>
      <c r="U988" s="289"/>
      <c r="V988" s="245"/>
      <c r="W988" s="289"/>
      <c r="X988" s="245"/>
      <c r="Y988" s="289"/>
      <c r="Z988" s="245"/>
    </row>
    <row r="989" spans="1:26" ht="15" hidden="1" customHeight="1">
      <c r="A989" s="250"/>
      <c r="B989" s="251"/>
      <c r="C989" s="453" t="s">
        <v>103</v>
      </c>
      <c r="D989" s="330" t="s">
        <v>104</v>
      </c>
      <c r="E989" s="251"/>
      <c r="F989" s="252"/>
      <c r="G989" s="253"/>
      <c r="H989" s="254"/>
      <c r="I989" s="253"/>
      <c r="J989" s="253"/>
      <c r="K989" s="251"/>
      <c r="L989" s="253"/>
      <c r="M989" s="289"/>
      <c r="N989" s="245"/>
      <c r="O989" s="258"/>
      <c r="P989" s="257"/>
      <c r="Q989" s="289"/>
      <c r="R989" s="245"/>
      <c r="S989" s="289"/>
      <c r="T989" s="245"/>
      <c r="U989" s="289"/>
      <c r="V989" s="245"/>
      <c r="W989" s="289"/>
      <c r="X989" s="245"/>
      <c r="Y989" s="289"/>
      <c r="Z989" s="245"/>
    </row>
    <row r="990" spans="1:26" s="454" customFormat="1" ht="15" hidden="1">
      <c r="A990" s="443"/>
      <c r="B990" s="444"/>
      <c r="C990" s="445"/>
      <c r="D990" s="543" t="s">
        <v>105</v>
      </c>
      <c r="E990" s="444"/>
      <c r="F990" s="446"/>
      <c r="G990" s="447"/>
      <c r="H990" s="435"/>
      <c r="I990" s="545"/>
      <c r="J990" s="545"/>
      <c r="K990" s="444"/>
      <c r="L990" s="447"/>
      <c r="M990" s="545"/>
      <c r="N990" s="545"/>
      <c r="O990" s="545"/>
      <c r="P990" s="545"/>
      <c r="Q990" s="545"/>
      <c r="R990" s="545"/>
      <c r="S990" s="545"/>
      <c r="T990" s="545"/>
      <c r="U990" s="545"/>
      <c r="V990" s="545"/>
      <c r="W990" s="545"/>
      <c r="X990" s="545"/>
      <c r="Y990" s="545"/>
      <c r="Z990" s="547"/>
    </row>
    <row r="991" spans="1:26" s="436" customFormat="1" ht="15" hidden="1">
      <c r="A991" s="443"/>
      <c r="B991" s="444"/>
      <c r="C991" s="445" t="s">
        <v>106</v>
      </c>
      <c r="D991" s="543" t="s">
        <v>107</v>
      </c>
      <c r="E991" s="444" t="s">
        <v>2475</v>
      </c>
      <c r="F991" s="446">
        <f t="shared" ref="F991:F999" si="93">M991+O991+Q991+S991+U991+W991+Y991</f>
        <v>0</v>
      </c>
      <c r="G991" s="447">
        <f t="shared" ref="G991:G999" si="94">L991</f>
        <v>20</v>
      </c>
      <c r="H991" s="442">
        <f t="shared" ref="H991:H999" si="95">F991*G991</f>
        <v>0</v>
      </c>
      <c r="I991" s="447">
        <f t="shared" ref="I991:I999" si="96">N991+P991+R991+T991+V991+X991+Z991</f>
        <v>0</v>
      </c>
      <c r="J991" s="544"/>
      <c r="K991" s="444" t="s">
        <v>2475</v>
      </c>
      <c r="L991" s="449">
        <v>20</v>
      </c>
      <c r="M991" s="289"/>
      <c r="N991" s="245"/>
      <c r="O991" s="450">
        <v>0</v>
      </c>
      <c r="P991" s="451">
        <f t="shared" ref="P991:P999" si="97">INT($L991*O991*100+0.5)/100</f>
        <v>0</v>
      </c>
      <c r="Q991" s="289"/>
      <c r="R991" s="245"/>
      <c r="S991" s="289"/>
      <c r="T991" s="245"/>
      <c r="U991" s="289"/>
      <c r="V991" s="245"/>
      <c r="W991" s="289"/>
      <c r="X991" s="245"/>
      <c r="Y991" s="289"/>
      <c r="Z991" s="245"/>
    </row>
    <row r="992" spans="1:26" s="436" customFormat="1" ht="15" hidden="1">
      <c r="A992" s="443"/>
      <c r="B992" s="444"/>
      <c r="C992" s="445" t="s">
        <v>108</v>
      </c>
      <c r="D992" s="543" t="s">
        <v>109</v>
      </c>
      <c r="E992" s="444" t="s">
        <v>2475</v>
      </c>
      <c r="F992" s="446">
        <f t="shared" si="93"/>
        <v>0</v>
      </c>
      <c r="G992" s="447">
        <f t="shared" si="94"/>
        <v>20</v>
      </c>
      <c r="H992" s="442">
        <f t="shared" si="95"/>
        <v>0</v>
      </c>
      <c r="I992" s="447">
        <f t="shared" si="96"/>
        <v>0</v>
      </c>
      <c r="J992" s="544"/>
      <c r="K992" s="444" t="s">
        <v>2475</v>
      </c>
      <c r="L992" s="449">
        <v>20</v>
      </c>
      <c r="M992" s="289"/>
      <c r="N992" s="245"/>
      <c r="O992" s="450">
        <v>0</v>
      </c>
      <c r="P992" s="451">
        <f t="shared" si="97"/>
        <v>0</v>
      </c>
      <c r="Q992" s="289"/>
      <c r="R992" s="245"/>
      <c r="S992" s="289"/>
      <c r="T992" s="245"/>
      <c r="U992" s="289"/>
      <c r="V992" s="245"/>
      <c r="W992" s="289"/>
      <c r="X992" s="245"/>
      <c r="Y992" s="289"/>
      <c r="Z992" s="245"/>
    </row>
    <row r="993" spans="1:26" s="436" customFormat="1" ht="15" hidden="1">
      <c r="A993" s="443"/>
      <c r="B993" s="444"/>
      <c r="C993" s="445" t="s">
        <v>110</v>
      </c>
      <c r="D993" s="543" t="s">
        <v>111</v>
      </c>
      <c r="E993" s="444" t="s">
        <v>2475</v>
      </c>
      <c r="F993" s="446">
        <f t="shared" si="93"/>
        <v>0</v>
      </c>
      <c r="G993" s="447">
        <f t="shared" si="94"/>
        <v>22</v>
      </c>
      <c r="H993" s="442">
        <f t="shared" si="95"/>
        <v>0</v>
      </c>
      <c r="I993" s="447">
        <f t="shared" si="96"/>
        <v>0</v>
      </c>
      <c r="J993" s="544"/>
      <c r="K993" s="444" t="s">
        <v>2475</v>
      </c>
      <c r="L993" s="449">
        <v>22</v>
      </c>
      <c r="M993" s="289"/>
      <c r="N993" s="245"/>
      <c r="O993" s="450">
        <v>0</v>
      </c>
      <c r="P993" s="451">
        <f t="shared" si="97"/>
        <v>0</v>
      </c>
      <c r="Q993" s="289"/>
      <c r="R993" s="245"/>
      <c r="S993" s="289"/>
      <c r="T993" s="245"/>
      <c r="U993" s="289"/>
      <c r="V993" s="245"/>
      <c r="W993" s="289"/>
      <c r="X993" s="245"/>
      <c r="Y993" s="289"/>
      <c r="Z993" s="245"/>
    </row>
    <row r="994" spans="1:26" s="436" customFormat="1" ht="15" hidden="1">
      <c r="A994" s="443"/>
      <c r="B994" s="444"/>
      <c r="C994" s="445" t="s">
        <v>112</v>
      </c>
      <c r="D994" s="543" t="s">
        <v>113</v>
      </c>
      <c r="E994" s="444" t="s">
        <v>2475</v>
      </c>
      <c r="F994" s="446">
        <f t="shared" si="93"/>
        <v>0</v>
      </c>
      <c r="G994" s="447">
        <f t="shared" si="94"/>
        <v>22</v>
      </c>
      <c r="H994" s="442">
        <f t="shared" si="95"/>
        <v>0</v>
      </c>
      <c r="I994" s="447">
        <f t="shared" si="96"/>
        <v>0</v>
      </c>
      <c r="J994" s="544"/>
      <c r="K994" s="444" t="s">
        <v>2475</v>
      </c>
      <c r="L994" s="449">
        <v>22</v>
      </c>
      <c r="M994" s="289"/>
      <c r="N994" s="245"/>
      <c r="O994" s="450">
        <v>0</v>
      </c>
      <c r="P994" s="451">
        <f t="shared" si="97"/>
        <v>0</v>
      </c>
      <c r="Q994" s="289"/>
      <c r="R994" s="245"/>
      <c r="S994" s="289"/>
      <c r="T994" s="245"/>
      <c r="U994" s="289"/>
      <c r="V994" s="245"/>
      <c r="W994" s="289"/>
      <c r="X994" s="245"/>
      <c r="Y994" s="289"/>
      <c r="Z994" s="245"/>
    </row>
    <row r="995" spans="1:26" s="436" customFormat="1" ht="15" hidden="1">
      <c r="A995" s="443"/>
      <c r="B995" s="444"/>
      <c r="C995" s="445" t="s">
        <v>114</v>
      </c>
      <c r="D995" s="543" t="s">
        <v>115</v>
      </c>
      <c r="E995" s="444" t="s">
        <v>2475</v>
      </c>
      <c r="F995" s="446">
        <f t="shared" si="93"/>
        <v>0</v>
      </c>
      <c r="G995" s="447">
        <f t="shared" si="94"/>
        <v>25</v>
      </c>
      <c r="H995" s="442">
        <f t="shared" si="95"/>
        <v>0</v>
      </c>
      <c r="I995" s="447">
        <f t="shared" si="96"/>
        <v>0</v>
      </c>
      <c r="J995" s="544"/>
      <c r="K995" s="444" t="s">
        <v>2475</v>
      </c>
      <c r="L995" s="449">
        <v>25</v>
      </c>
      <c r="M995" s="289"/>
      <c r="N995" s="245"/>
      <c r="O995" s="450">
        <v>0</v>
      </c>
      <c r="P995" s="451">
        <f t="shared" si="97"/>
        <v>0</v>
      </c>
      <c r="Q995" s="289"/>
      <c r="R995" s="245"/>
      <c r="S995" s="289"/>
      <c r="T995" s="245"/>
      <c r="U995" s="289"/>
      <c r="V995" s="245"/>
      <c r="W995" s="289"/>
      <c r="X995" s="245"/>
      <c r="Y995" s="289"/>
      <c r="Z995" s="245"/>
    </row>
    <row r="996" spans="1:26" s="436" customFormat="1" ht="15" hidden="1">
      <c r="A996" s="443"/>
      <c r="B996" s="444"/>
      <c r="C996" s="445" t="s">
        <v>116</v>
      </c>
      <c r="D996" s="543" t="s">
        <v>117</v>
      </c>
      <c r="E996" s="444" t="s">
        <v>2475</v>
      </c>
      <c r="F996" s="446">
        <f t="shared" si="93"/>
        <v>0</v>
      </c>
      <c r="G996" s="447">
        <f t="shared" si="94"/>
        <v>25</v>
      </c>
      <c r="H996" s="442">
        <f t="shared" si="95"/>
        <v>0</v>
      </c>
      <c r="I996" s="447">
        <f t="shared" si="96"/>
        <v>0</v>
      </c>
      <c r="J996" s="544"/>
      <c r="K996" s="444" t="s">
        <v>2475</v>
      </c>
      <c r="L996" s="449">
        <v>25</v>
      </c>
      <c r="M996" s="289"/>
      <c r="N996" s="245"/>
      <c r="O996" s="450">
        <v>0</v>
      </c>
      <c r="P996" s="451">
        <f t="shared" si="97"/>
        <v>0</v>
      </c>
      <c r="Q996" s="289"/>
      <c r="R996" s="245"/>
      <c r="S996" s="289"/>
      <c r="T996" s="245"/>
      <c r="U996" s="289"/>
      <c r="V996" s="245"/>
      <c r="W996" s="289"/>
      <c r="X996" s="245"/>
      <c r="Y996" s="289"/>
      <c r="Z996" s="245"/>
    </row>
    <row r="997" spans="1:26" s="436" customFormat="1" ht="15" hidden="1">
      <c r="A997" s="443"/>
      <c r="B997" s="444"/>
      <c r="C997" s="445" t="s">
        <v>118</v>
      </c>
      <c r="D997" s="543" t="s">
        <v>119</v>
      </c>
      <c r="E997" s="444" t="s">
        <v>2475</v>
      </c>
      <c r="F997" s="446">
        <f t="shared" si="93"/>
        <v>0</v>
      </c>
      <c r="G997" s="447">
        <f t="shared" si="94"/>
        <v>25</v>
      </c>
      <c r="H997" s="442">
        <f t="shared" si="95"/>
        <v>0</v>
      </c>
      <c r="I997" s="447">
        <f t="shared" si="96"/>
        <v>0</v>
      </c>
      <c r="J997" s="544"/>
      <c r="K997" s="444" t="s">
        <v>2475</v>
      </c>
      <c r="L997" s="449">
        <v>25</v>
      </c>
      <c r="M997" s="289"/>
      <c r="N997" s="245"/>
      <c r="O997" s="450">
        <v>0</v>
      </c>
      <c r="P997" s="451">
        <f t="shared" si="97"/>
        <v>0</v>
      </c>
      <c r="Q997" s="289"/>
      <c r="R997" s="245"/>
      <c r="S997" s="289"/>
      <c r="T997" s="245"/>
      <c r="U997" s="289"/>
      <c r="V997" s="245"/>
      <c r="W997" s="289"/>
      <c r="X997" s="245"/>
      <c r="Y997" s="289"/>
      <c r="Z997" s="245"/>
    </row>
    <row r="998" spans="1:26" s="436" customFormat="1" ht="15" hidden="1">
      <c r="A998" s="443"/>
      <c r="B998" s="444"/>
      <c r="C998" s="445" t="s">
        <v>120</v>
      </c>
      <c r="D998" s="543" t="s">
        <v>121</v>
      </c>
      <c r="E998" s="444" t="s">
        <v>2475</v>
      </c>
      <c r="F998" s="446">
        <f t="shared" si="93"/>
        <v>0</v>
      </c>
      <c r="G998" s="447">
        <f t="shared" si="94"/>
        <v>30</v>
      </c>
      <c r="H998" s="442">
        <f t="shared" si="95"/>
        <v>0</v>
      </c>
      <c r="I998" s="447">
        <f t="shared" si="96"/>
        <v>0</v>
      </c>
      <c r="J998" s="544"/>
      <c r="K998" s="444" t="s">
        <v>2475</v>
      </c>
      <c r="L998" s="449">
        <v>30</v>
      </c>
      <c r="M998" s="289"/>
      <c r="N998" s="245"/>
      <c r="O998" s="450">
        <v>0</v>
      </c>
      <c r="P998" s="451">
        <f t="shared" si="97"/>
        <v>0</v>
      </c>
      <c r="Q998" s="289"/>
      <c r="R998" s="245"/>
      <c r="S998" s="289"/>
      <c r="T998" s="245"/>
      <c r="U998" s="289"/>
      <c r="V998" s="245"/>
      <c r="W998" s="289"/>
      <c r="X998" s="245"/>
      <c r="Y998" s="289"/>
      <c r="Z998" s="245"/>
    </row>
    <row r="999" spans="1:26" s="436" customFormat="1" ht="15" hidden="1">
      <c r="A999" s="443"/>
      <c r="B999" s="444"/>
      <c r="C999" s="445" t="s">
        <v>122</v>
      </c>
      <c r="D999" s="543" t="s">
        <v>123</v>
      </c>
      <c r="E999" s="444" t="s">
        <v>2475</v>
      </c>
      <c r="F999" s="446">
        <f t="shared" si="93"/>
        <v>0</v>
      </c>
      <c r="G999" s="447">
        <f t="shared" si="94"/>
        <v>32</v>
      </c>
      <c r="H999" s="442">
        <f t="shared" si="95"/>
        <v>0</v>
      </c>
      <c r="I999" s="447">
        <f t="shared" si="96"/>
        <v>0</v>
      </c>
      <c r="J999" s="544"/>
      <c r="K999" s="444" t="s">
        <v>2475</v>
      </c>
      <c r="L999" s="449">
        <v>32</v>
      </c>
      <c r="M999" s="289"/>
      <c r="N999" s="245"/>
      <c r="O999" s="450">
        <v>0</v>
      </c>
      <c r="P999" s="451">
        <f t="shared" si="97"/>
        <v>0</v>
      </c>
      <c r="Q999" s="289"/>
      <c r="R999" s="245"/>
      <c r="S999" s="289"/>
      <c r="T999" s="245"/>
      <c r="U999" s="289"/>
      <c r="V999" s="245"/>
      <c r="W999" s="289"/>
      <c r="X999" s="245"/>
      <c r="Y999" s="289"/>
      <c r="Z999" s="245"/>
    </row>
    <row r="1000" spans="1:26" ht="15" hidden="1" customHeight="1">
      <c r="A1000" s="250"/>
      <c r="B1000" s="251"/>
      <c r="C1000" s="453"/>
      <c r="D1000" s="330"/>
      <c r="E1000" s="251"/>
      <c r="F1000" s="252"/>
      <c r="G1000" s="253"/>
      <c r="H1000" s="254"/>
      <c r="I1000" s="253"/>
      <c r="J1000" s="253"/>
      <c r="K1000" s="251"/>
      <c r="L1000" s="253"/>
      <c r="M1000" s="289"/>
      <c r="N1000" s="245"/>
      <c r="O1000" s="258"/>
      <c r="P1000" s="257"/>
      <c r="Q1000" s="289"/>
      <c r="R1000" s="245"/>
      <c r="S1000" s="289"/>
      <c r="T1000" s="245"/>
      <c r="U1000" s="289"/>
      <c r="V1000" s="245"/>
      <c r="W1000" s="289"/>
      <c r="X1000" s="245"/>
      <c r="Y1000" s="289"/>
      <c r="Z1000" s="245"/>
    </row>
    <row r="1001" spans="1:26" ht="15" hidden="1" customHeight="1">
      <c r="A1001" s="250"/>
      <c r="B1001" s="251"/>
      <c r="C1001" s="453" t="s">
        <v>124</v>
      </c>
      <c r="D1001" s="330" t="s">
        <v>125</v>
      </c>
      <c r="E1001" s="251"/>
      <c r="F1001" s="252"/>
      <c r="G1001" s="253"/>
      <c r="H1001" s="254"/>
      <c r="I1001" s="253"/>
      <c r="J1001" s="253"/>
      <c r="K1001" s="251"/>
      <c r="L1001" s="253"/>
      <c r="M1001" s="289"/>
      <c r="N1001" s="245"/>
      <c r="O1001" s="258"/>
      <c r="P1001" s="257"/>
      <c r="Q1001" s="289"/>
      <c r="R1001" s="245"/>
      <c r="S1001" s="289"/>
      <c r="T1001" s="245"/>
      <c r="U1001" s="289"/>
      <c r="V1001" s="245"/>
      <c r="W1001" s="289"/>
      <c r="X1001" s="245"/>
      <c r="Y1001" s="289"/>
      <c r="Z1001" s="245"/>
    </row>
    <row r="1002" spans="1:26" ht="15" hidden="1" customHeight="1">
      <c r="A1002" s="250"/>
      <c r="B1002" s="251"/>
      <c r="C1002" s="453"/>
      <c r="D1002" s="330" t="s">
        <v>126</v>
      </c>
      <c r="E1002" s="251"/>
      <c r="F1002" s="252"/>
      <c r="G1002" s="253"/>
      <c r="H1002" s="254"/>
      <c r="I1002" s="253"/>
      <c r="J1002" s="253"/>
      <c r="K1002" s="251"/>
      <c r="L1002" s="253"/>
      <c r="M1002" s="289"/>
      <c r="N1002" s="245"/>
      <c r="O1002" s="258"/>
      <c r="P1002" s="257"/>
      <c r="Q1002" s="289"/>
      <c r="R1002" s="245"/>
      <c r="S1002" s="289"/>
      <c r="T1002" s="245"/>
      <c r="U1002" s="289"/>
      <c r="V1002" s="245"/>
      <c r="W1002" s="289"/>
      <c r="X1002" s="245"/>
      <c r="Y1002" s="289"/>
      <c r="Z1002" s="245"/>
    </row>
    <row r="1003" spans="1:26" s="436" customFormat="1" ht="15" hidden="1">
      <c r="A1003" s="443"/>
      <c r="B1003" s="444"/>
      <c r="C1003" s="445" t="s">
        <v>127</v>
      </c>
      <c r="D1003" s="543" t="s">
        <v>128</v>
      </c>
      <c r="E1003" s="444" t="s">
        <v>1130</v>
      </c>
      <c r="F1003" s="446">
        <f t="shared" ref="F1003:F1011" si="98">M1003+O1003+Q1003+S1003+U1003+W1003+Y1003</f>
        <v>0</v>
      </c>
      <c r="G1003" s="447">
        <f t="shared" ref="G1003:G1011" si="99">L1003</f>
        <v>30</v>
      </c>
      <c r="H1003" s="442">
        <f t="shared" ref="H1003:H1011" si="100">F1003*G1003</f>
        <v>0</v>
      </c>
      <c r="I1003" s="447">
        <f t="shared" ref="I1003:I1011" si="101">N1003+P1003+R1003+T1003+V1003+X1003+Z1003</f>
        <v>0</v>
      </c>
      <c r="J1003" s="544"/>
      <c r="K1003" s="444" t="s">
        <v>1130</v>
      </c>
      <c r="L1003" s="449">
        <v>30</v>
      </c>
      <c r="M1003" s="289"/>
      <c r="N1003" s="245"/>
      <c r="O1003" s="450">
        <v>0</v>
      </c>
      <c r="P1003" s="451">
        <f t="shared" ref="P1003:P1011" si="102">INT($L1003*O1003*100+0.5)/100</f>
        <v>0</v>
      </c>
      <c r="Q1003" s="289"/>
      <c r="R1003" s="245"/>
      <c r="S1003" s="289"/>
      <c r="T1003" s="245"/>
      <c r="U1003" s="289"/>
      <c r="V1003" s="245"/>
      <c r="W1003" s="289"/>
      <c r="X1003" s="245"/>
      <c r="Y1003" s="289"/>
      <c r="Z1003" s="245"/>
    </row>
    <row r="1004" spans="1:26" s="436" customFormat="1" ht="15" hidden="1">
      <c r="A1004" s="443"/>
      <c r="B1004" s="444"/>
      <c r="C1004" s="445" t="s">
        <v>129</v>
      </c>
      <c r="D1004" s="543" t="s">
        <v>130</v>
      </c>
      <c r="E1004" s="444" t="s">
        <v>1130</v>
      </c>
      <c r="F1004" s="446">
        <f t="shared" si="98"/>
        <v>0</v>
      </c>
      <c r="G1004" s="447">
        <f t="shared" si="99"/>
        <v>35</v>
      </c>
      <c r="H1004" s="442">
        <f t="shared" si="100"/>
        <v>0</v>
      </c>
      <c r="I1004" s="447">
        <f t="shared" si="101"/>
        <v>0</v>
      </c>
      <c r="J1004" s="544"/>
      <c r="K1004" s="444" t="s">
        <v>1130</v>
      </c>
      <c r="L1004" s="449">
        <v>35</v>
      </c>
      <c r="M1004" s="289"/>
      <c r="N1004" s="245"/>
      <c r="O1004" s="450">
        <v>0</v>
      </c>
      <c r="P1004" s="451">
        <f t="shared" si="102"/>
        <v>0</v>
      </c>
      <c r="Q1004" s="289"/>
      <c r="R1004" s="245"/>
      <c r="S1004" s="289"/>
      <c r="T1004" s="245"/>
      <c r="U1004" s="289"/>
      <c r="V1004" s="245"/>
      <c r="W1004" s="289"/>
      <c r="X1004" s="245"/>
      <c r="Y1004" s="289"/>
      <c r="Z1004" s="245"/>
    </row>
    <row r="1005" spans="1:26" s="436" customFormat="1" ht="15" hidden="1">
      <c r="A1005" s="443"/>
      <c r="B1005" s="444"/>
      <c r="C1005" s="445" t="s">
        <v>131</v>
      </c>
      <c r="D1005" s="543" t="s">
        <v>132</v>
      </c>
      <c r="E1005" s="444" t="s">
        <v>1130</v>
      </c>
      <c r="F1005" s="446">
        <f t="shared" si="98"/>
        <v>0</v>
      </c>
      <c r="G1005" s="447">
        <f t="shared" si="99"/>
        <v>40</v>
      </c>
      <c r="H1005" s="442">
        <f t="shared" si="100"/>
        <v>0</v>
      </c>
      <c r="I1005" s="447">
        <f t="shared" si="101"/>
        <v>0</v>
      </c>
      <c r="J1005" s="544"/>
      <c r="K1005" s="444" t="s">
        <v>1130</v>
      </c>
      <c r="L1005" s="449">
        <v>40</v>
      </c>
      <c r="M1005" s="289"/>
      <c r="N1005" s="245"/>
      <c r="O1005" s="450">
        <v>0</v>
      </c>
      <c r="P1005" s="451">
        <f t="shared" si="102"/>
        <v>0</v>
      </c>
      <c r="Q1005" s="289"/>
      <c r="R1005" s="245"/>
      <c r="S1005" s="289"/>
      <c r="T1005" s="245"/>
      <c r="U1005" s="289"/>
      <c r="V1005" s="245"/>
      <c r="W1005" s="289"/>
      <c r="X1005" s="245"/>
      <c r="Y1005" s="289"/>
      <c r="Z1005" s="245"/>
    </row>
    <row r="1006" spans="1:26" s="436" customFormat="1" ht="15" hidden="1">
      <c r="A1006" s="443"/>
      <c r="B1006" s="444"/>
      <c r="C1006" s="445" t="s">
        <v>133</v>
      </c>
      <c r="D1006" s="543" t="s">
        <v>134</v>
      </c>
      <c r="E1006" s="444" t="s">
        <v>1130</v>
      </c>
      <c r="F1006" s="446">
        <f t="shared" si="98"/>
        <v>0</v>
      </c>
      <c r="G1006" s="447">
        <f t="shared" si="99"/>
        <v>55</v>
      </c>
      <c r="H1006" s="442">
        <f t="shared" si="100"/>
        <v>0</v>
      </c>
      <c r="I1006" s="447">
        <f t="shared" si="101"/>
        <v>0</v>
      </c>
      <c r="J1006" s="544"/>
      <c r="K1006" s="444" t="s">
        <v>1130</v>
      </c>
      <c r="L1006" s="449">
        <v>55</v>
      </c>
      <c r="M1006" s="289"/>
      <c r="N1006" s="245"/>
      <c r="O1006" s="450">
        <v>0</v>
      </c>
      <c r="P1006" s="451">
        <f t="shared" si="102"/>
        <v>0</v>
      </c>
      <c r="Q1006" s="289"/>
      <c r="R1006" s="245"/>
      <c r="S1006" s="289"/>
      <c r="T1006" s="245"/>
      <c r="U1006" s="289"/>
      <c r="V1006" s="245"/>
      <c r="W1006" s="289"/>
      <c r="X1006" s="245"/>
      <c r="Y1006" s="289"/>
      <c r="Z1006" s="245"/>
    </row>
    <row r="1007" spans="1:26" s="436" customFormat="1" ht="15" hidden="1">
      <c r="A1007" s="443"/>
      <c r="B1007" s="444"/>
      <c r="C1007" s="445" t="s">
        <v>135</v>
      </c>
      <c r="D1007" s="543" t="s">
        <v>136</v>
      </c>
      <c r="E1007" s="444" t="s">
        <v>1130</v>
      </c>
      <c r="F1007" s="446">
        <f t="shared" si="98"/>
        <v>0</v>
      </c>
      <c r="G1007" s="447">
        <f t="shared" si="99"/>
        <v>65</v>
      </c>
      <c r="H1007" s="442">
        <f t="shared" si="100"/>
        <v>0</v>
      </c>
      <c r="I1007" s="447">
        <f t="shared" si="101"/>
        <v>0</v>
      </c>
      <c r="J1007" s="544"/>
      <c r="K1007" s="444" t="s">
        <v>1130</v>
      </c>
      <c r="L1007" s="449">
        <v>65</v>
      </c>
      <c r="M1007" s="289"/>
      <c r="N1007" s="245"/>
      <c r="O1007" s="450">
        <v>0</v>
      </c>
      <c r="P1007" s="451">
        <f t="shared" si="102"/>
        <v>0</v>
      </c>
      <c r="Q1007" s="289"/>
      <c r="R1007" s="245"/>
      <c r="S1007" s="289"/>
      <c r="T1007" s="245"/>
      <c r="U1007" s="289"/>
      <c r="V1007" s="245"/>
      <c r="W1007" s="289"/>
      <c r="X1007" s="245"/>
      <c r="Y1007" s="289"/>
      <c r="Z1007" s="245"/>
    </row>
    <row r="1008" spans="1:26" s="436" customFormat="1" ht="15" hidden="1">
      <c r="A1008" s="443"/>
      <c r="B1008" s="444"/>
      <c r="C1008" s="445" t="s">
        <v>137</v>
      </c>
      <c r="D1008" s="543" t="s">
        <v>138</v>
      </c>
      <c r="E1008" s="444" t="s">
        <v>1130</v>
      </c>
      <c r="F1008" s="446">
        <f t="shared" si="98"/>
        <v>0</v>
      </c>
      <c r="G1008" s="447">
        <f t="shared" si="99"/>
        <v>80</v>
      </c>
      <c r="H1008" s="442">
        <f t="shared" si="100"/>
        <v>0</v>
      </c>
      <c r="I1008" s="447">
        <f t="shared" si="101"/>
        <v>0</v>
      </c>
      <c r="J1008" s="544"/>
      <c r="K1008" s="444" t="s">
        <v>1130</v>
      </c>
      <c r="L1008" s="449">
        <v>80</v>
      </c>
      <c r="M1008" s="289"/>
      <c r="N1008" s="245"/>
      <c r="O1008" s="450">
        <v>0</v>
      </c>
      <c r="P1008" s="451">
        <f t="shared" si="102"/>
        <v>0</v>
      </c>
      <c r="Q1008" s="289"/>
      <c r="R1008" s="245"/>
      <c r="S1008" s="289"/>
      <c r="T1008" s="245"/>
      <c r="U1008" s="289"/>
      <c r="V1008" s="245"/>
      <c r="W1008" s="289"/>
      <c r="X1008" s="245"/>
      <c r="Y1008" s="289"/>
      <c r="Z1008" s="245"/>
    </row>
    <row r="1009" spans="1:26" s="436" customFormat="1" ht="15" hidden="1">
      <c r="A1009" s="443"/>
      <c r="B1009" s="444"/>
      <c r="C1009" s="445" t="s">
        <v>139</v>
      </c>
      <c r="D1009" s="543" t="s">
        <v>140</v>
      </c>
      <c r="E1009" s="444" t="s">
        <v>1130</v>
      </c>
      <c r="F1009" s="446">
        <f t="shared" si="98"/>
        <v>0</v>
      </c>
      <c r="G1009" s="447">
        <f t="shared" si="99"/>
        <v>100</v>
      </c>
      <c r="H1009" s="442">
        <f t="shared" si="100"/>
        <v>0</v>
      </c>
      <c r="I1009" s="447">
        <f t="shared" si="101"/>
        <v>0</v>
      </c>
      <c r="J1009" s="544"/>
      <c r="K1009" s="444" t="s">
        <v>1130</v>
      </c>
      <c r="L1009" s="449">
        <v>100</v>
      </c>
      <c r="M1009" s="289"/>
      <c r="N1009" s="245"/>
      <c r="O1009" s="450">
        <v>0</v>
      </c>
      <c r="P1009" s="451">
        <f t="shared" si="102"/>
        <v>0</v>
      </c>
      <c r="Q1009" s="289"/>
      <c r="R1009" s="245"/>
      <c r="S1009" s="289"/>
      <c r="T1009" s="245"/>
      <c r="U1009" s="289"/>
      <c r="V1009" s="245"/>
      <c r="W1009" s="289"/>
      <c r="X1009" s="245"/>
      <c r="Y1009" s="289"/>
      <c r="Z1009" s="245"/>
    </row>
    <row r="1010" spans="1:26" s="436" customFormat="1" ht="15" hidden="1">
      <c r="A1010" s="443"/>
      <c r="B1010" s="444"/>
      <c r="C1010" s="445" t="s">
        <v>141</v>
      </c>
      <c r="D1010" s="543" t="s">
        <v>142</v>
      </c>
      <c r="E1010" s="444" t="s">
        <v>1130</v>
      </c>
      <c r="F1010" s="446">
        <f t="shared" si="98"/>
        <v>0</v>
      </c>
      <c r="G1010" s="447">
        <f t="shared" si="99"/>
        <v>115</v>
      </c>
      <c r="H1010" s="442">
        <f t="shared" si="100"/>
        <v>0</v>
      </c>
      <c r="I1010" s="447">
        <f t="shared" si="101"/>
        <v>0</v>
      </c>
      <c r="J1010" s="544"/>
      <c r="K1010" s="444" t="s">
        <v>1130</v>
      </c>
      <c r="L1010" s="449">
        <v>115</v>
      </c>
      <c r="M1010" s="289"/>
      <c r="N1010" s="245"/>
      <c r="O1010" s="450">
        <v>0</v>
      </c>
      <c r="P1010" s="451">
        <f t="shared" si="102"/>
        <v>0</v>
      </c>
      <c r="Q1010" s="289"/>
      <c r="R1010" s="245"/>
      <c r="S1010" s="289"/>
      <c r="T1010" s="245"/>
      <c r="U1010" s="289"/>
      <c r="V1010" s="245"/>
      <c r="W1010" s="289"/>
      <c r="X1010" s="245"/>
      <c r="Y1010" s="289"/>
      <c r="Z1010" s="245"/>
    </row>
    <row r="1011" spans="1:26" s="436" customFormat="1" ht="15" hidden="1">
      <c r="A1011" s="443"/>
      <c r="B1011" s="444"/>
      <c r="C1011" s="445" t="s">
        <v>143</v>
      </c>
      <c r="D1011" s="543" t="s">
        <v>144</v>
      </c>
      <c r="E1011" s="444" t="s">
        <v>1130</v>
      </c>
      <c r="F1011" s="446">
        <f t="shared" si="98"/>
        <v>0</v>
      </c>
      <c r="G1011" s="447">
        <f t="shared" si="99"/>
        <v>140</v>
      </c>
      <c r="H1011" s="442">
        <f t="shared" si="100"/>
        <v>0</v>
      </c>
      <c r="I1011" s="447">
        <f t="shared" si="101"/>
        <v>0</v>
      </c>
      <c r="J1011" s="544"/>
      <c r="K1011" s="444" t="s">
        <v>1130</v>
      </c>
      <c r="L1011" s="449">
        <v>140</v>
      </c>
      <c r="M1011" s="289"/>
      <c r="N1011" s="245"/>
      <c r="O1011" s="450">
        <v>0</v>
      </c>
      <c r="P1011" s="451">
        <f t="shared" si="102"/>
        <v>0</v>
      </c>
      <c r="Q1011" s="289"/>
      <c r="R1011" s="245"/>
      <c r="S1011" s="289"/>
      <c r="T1011" s="245"/>
      <c r="U1011" s="289"/>
      <c r="V1011" s="245"/>
      <c r="W1011" s="289"/>
      <c r="X1011" s="245"/>
      <c r="Y1011" s="289"/>
      <c r="Z1011" s="245"/>
    </row>
    <row r="1012" spans="1:26" ht="15" hidden="1" customHeight="1">
      <c r="A1012" s="250"/>
      <c r="B1012" s="251"/>
      <c r="C1012" s="453"/>
      <c r="D1012" s="330"/>
      <c r="E1012" s="251"/>
      <c r="F1012" s="252"/>
      <c r="G1012" s="253"/>
      <c r="H1012" s="254"/>
      <c r="I1012" s="253"/>
      <c r="J1012" s="253"/>
      <c r="K1012" s="251"/>
      <c r="L1012" s="253"/>
      <c r="M1012" s="289"/>
      <c r="N1012" s="245"/>
      <c r="O1012" s="258"/>
      <c r="P1012" s="257"/>
      <c r="Q1012" s="289"/>
      <c r="R1012" s="245"/>
      <c r="S1012" s="289"/>
      <c r="T1012" s="245"/>
      <c r="U1012" s="289"/>
      <c r="V1012" s="245"/>
      <c r="W1012" s="289"/>
      <c r="X1012" s="245"/>
      <c r="Y1012" s="289"/>
      <c r="Z1012" s="245"/>
    </row>
    <row r="1013" spans="1:26" ht="15" hidden="1" customHeight="1">
      <c r="A1013" s="250"/>
      <c r="B1013" s="251"/>
      <c r="C1013" s="453" t="s">
        <v>145</v>
      </c>
      <c r="D1013" s="330" t="s">
        <v>146</v>
      </c>
      <c r="E1013" s="251"/>
      <c r="F1013" s="252"/>
      <c r="G1013" s="253"/>
      <c r="H1013" s="254"/>
      <c r="I1013" s="253"/>
      <c r="J1013" s="253"/>
      <c r="K1013" s="251"/>
      <c r="L1013" s="253"/>
      <c r="M1013" s="289"/>
      <c r="N1013" s="245"/>
      <c r="O1013" s="258"/>
      <c r="P1013" s="257"/>
      <c r="Q1013" s="289"/>
      <c r="R1013" s="245"/>
      <c r="S1013" s="289"/>
      <c r="T1013" s="245"/>
      <c r="U1013" s="289"/>
      <c r="V1013" s="245"/>
      <c r="W1013" s="289"/>
      <c r="X1013" s="245"/>
      <c r="Y1013" s="289"/>
      <c r="Z1013" s="245"/>
    </row>
    <row r="1014" spans="1:26" s="436" customFormat="1" ht="15" hidden="1">
      <c r="A1014" s="443"/>
      <c r="B1014" s="444"/>
      <c r="C1014" s="445" t="s">
        <v>147</v>
      </c>
      <c r="D1014" s="543" t="s">
        <v>148</v>
      </c>
      <c r="E1014" s="444" t="s">
        <v>2475</v>
      </c>
      <c r="F1014" s="446">
        <f t="shared" ref="F1014:F1020" si="103">M1014+O1014+Q1014+S1014+U1014+W1014+Y1014</f>
        <v>0</v>
      </c>
      <c r="G1014" s="447">
        <f t="shared" ref="G1014:G1020" si="104">L1014</f>
        <v>40</v>
      </c>
      <c r="H1014" s="442">
        <f t="shared" ref="H1014:H1020" si="105">F1014*G1014</f>
        <v>0</v>
      </c>
      <c r="I1014" s="447">
        <f t="shared" ref="I1014:I1020" si="106">N1014+P1014+R1014+T1014+V1014+X1014+Z1014</f>
        <v>0</v>
      </c>
      <c r="J1014" s="544"/>
      <c r="K1014" s="444" t="s">
        <v>2475</v>
      </c>
      <c r="L1014" s="449">
        <v>40</v>
      </c>
      <c r="M1014" s="289"/>
      <c r="N1014" s="245"/>
      <c r="O1014" s="450">
        <v>0</v>
      </c>
      <c r="P1014" s="451">
        <f t="shared" ref="P1014:P1020" si="107">INT($L1014*O1014*100+0.5)/100</f>
        <v>0</v>
      </c>
      <c r="Q1014" s="289"/>
      <c r="R1014" s="245"/>
      <c r="S1014" s="289"/>
      <c r="T1014" s="245"/>
      <c r="U1014" s="289"/>
      <c r="V1014" s="245"/>
      <c r="W1014" s="289"/>
      <c r="X1014" s="245"/>
      <c r="Y1014" s="289"/>
      <c r="Z1014" s="245"/>
    </row>
    <row r="1015" spans="1:26" s="436" customFormat="1" ht="15" hidden="1">
      <c r="A1015" s="443"/>
      <c r="B1015" s="444"/>
      <c r="C1015" s="445" t="s">
        <v>149</v>
      </c>
      <c r="D1015" s="543" t="s">
        <v>150</v>
      </c>
      <c r="E1015" s="444" t="s">
        <v>2475</v>
      </c>
      <c r="F1015" s="446">
        <f t="shared" si="103"/>
        <v>0</v>
      </c>
      <c r="G1015" s="447">
        <f t="shared" si="104"/>
        <v>55</v>
      </c>
      <c r="H1015" s="442">
        <f t="shared" si="105"/>
        <v>0</v>
      </c>
      <c r="I1015" s="447">
        <f t="shared" si="106"/>
        <v>0</v>
      </c>
      <c r="J1015" s="544"/>
      <c r="K1015" s="444" t="s">
        <v>2475</v>
      </c>
      <c r="L1015" s="449">
        <v>55</v>
      </c>
      <c r="M1015" s="289"/>
      <c r="N1015" s="245"/>
      <c r="O1015" s="450">
        <v>0</v>
      </c>
      <c r="P1015" s="451">
        <f t="shared" si="107"/>
        <v>0</v>
      </c>
      <c r="Q1015" s="289"/>
      <c r="R1015" s="245"/>
      <c r="S1015" s="289"/>
      <c r="T1015" s="245"/>
      <c r="U1015" s="289"/>
      <c r="V1015" s="245"/>
      <c r="W1015" s="289"/>
      <c r="X1015" s="245"/>
      <c r="Y1015" s="289"/>
      <c r="Z1015" s="245"/>
    </row>
    <row r="1016" spans="1:26" s="436" customFormat="1" ht="15" hidden="1">
      <c r="A1016" s="443"/>
      <c r="B1016" s="444"/>
      <c r="C1016" s="445" t="s">
        <v>151</v>
      </c>
      <c r="D1016" s="543" t="s">
        <v>152</v>
      </c>
      <c r="E1016" s="444" t="s">
        <v>2475</v>
      </c>
      <c r="F1016" s="446">
        <f t="shared" si="103"/>
        <v>0</v>
      </c>
      <c r="G1016" s="447">
        <f t="shared" si="104"/>
        <v>75</v>
      </c>
      <c r="H1016" s="442">
        <f t="shared" si="105"/>
        <v>0</v>
      </c>
      <c r="I1016" s="447">
        <f t="shared" si="106"/>
        <v>0</v>
      </c>
      <c r="J1016" s="544"/>
      <c r="K1016" s="444" t="s">
        <v>2475</v>
      </c>
      <c r="L1016" s="449">
        <v>75</v>
      </c>
      <c r="M1016" s="289"/>
      <c r="N1016" s="245"/>
      <c r="O1016" s="450">
        <v>0</v>
      </c>
      <c r="P1016" s="451">
        <f t="shared" si="107"/>
        <v>0</v>
      </c>
      <c r="Q1016" s="289"/>
      <c r="R1016" s="245"/>
      <c r="S1016" s="289"/>
      <c r="T1016" s="245"/>
      <c r="U1016" s="289"/>
      <c r="V1016" s="245"/>
      <c r="W1016" s="289"/>
      <c r="X1016" s="245"/>
      <c r="Y1016" s="289"/>
      <c r="Z1016" s="245"/>
    </row>
    <row r="1017" spans="1:26" s="436" customFormat="1" ht="15" hidden="1">
      <c r="A1017" s="443"/>
      <c r="B1017" s="444"/>
      <c r="C1017" s="445" t="s">
        <v>153</v>
      </c>
      <c r="D1017" s="543" t="s">
        <v>154</v>
      </c>
      <c r="E1017" s="444" t="s">
        <v>2475</v>
      </c>
      <c r="F1017" s="446">
        <f t="shared" si="103"/>
        <v>0</v>
      </c>
      <c r="G1017" s="447">
        <f t="shared" si="104"/>
        <v>100</v>
      </c>
      <c r="H1017" s="442">
        <f t="shared" si="105"/>
        <v>0</v>
      </c>
      <c r="I1017" s="447">
        <f t="shared" si="106"/>
        <v>0</v>
      </c>
      <c r="J1017" s="544"/>
      <c r="K1017" s="444" t="s">
        <v>2475</v>
      </c>
      <c r="L1017" s="449">
        <v>100</v>
      </c>
      <c r="M1017" s="289"/>
      <c r="N1017" s="245"/>
      <c r="O1017" s="450">
        <v>0</v>
      </c>
      <c r="P1017" s="451">
        <f t="shared" si="107"/>
        <v>0</v>
      </c>
      <c r="Q1017" s="289"/>
      <c r="R1017" s="245"/>
      <c r="S1017" s="289"/>
      <c r="T1017" s="245"/>
      <c r="U1017" s="289"/>
      <c r="V1017" s="245"/>
      <c r="W1017" s="289"/>
      <c r="X1017" s="245"/>
      <c r="Y1017" s="289"/>
      <c r="Z1017" s="245"/>
    </row>
    <row r="1018" spans="1:26" s="436" customFormat="1" ht="15" hidden="1">
      <c r="A1018" s="443"/>
      <c r="B1018" s="444"/>
      <c r="C1018" s="445" t="s">
        <v>155</v>
      </c>
      <c r="D1018" s="543" t="s">
        <v>156</v>
      </c>
      <c r="E1018" s="444" t="s">
        <v>2475</v>
      </c>
      <c r="F1018" s="446">
        <f t="shared" si="103"/>
        <v>0</v>
      </c>
      <c r="G1018" s="447">
        <f t="shared" si="104"/>
        <v>130</v>
      </c>
      <c r="H1018" s="442">
        <f t="shared" si="105"/>
        <v>0</v>
      </c>
      <c r="I1018" s="447">
        <f t="shared" si="106"/>
        <v>0</v>
      </c>
      <c r="J1018" s="544"/>
      <c r="K1018" s="444" t="s">
        <v>2475</v>
      </c>
      <c r="L1018" s="449">
        <v>130</v>
      </c>
      <c r="M1018" s="289"/>
      <c r="N1018" s="245"/>
      <c r="O1018" s="450">
        <v>0</v>
      </c>
      <c r="P1018" s="451">
        <f t="shared" si="107"/>
        <v>0</v>
      </c>
      <c r="Q1018" s="289"/>
      <c r="R1018" s="245"/>
      <c r="S1018" s="289"/>
      <c r="T1018" s="245"/>
      <c r="U1018" s="289"/>
      <c r="V1018" s="245"/>
      <c r="W1018" s="289"/>
      <c r="X1018" s="245"/>
      <c r="Y1018" s="289"/>
      <c r="Z1018" s="245"/>
    </row>
    <row r="1019" spans="1:26" s="436" customFormat="1" ht="15" hidden="1">
      <c r="A1019" s="443"/>
      <c r="B1019" s="444"/>
      <c r="C1019" s="445" t="s">
        <v>157</v>
      </c>
      <c r="D1019" s="543" t="s">
        <v>158</v>
      </c>
      <c r="E1019" s="444" t="s">
        <v>2475</v>
      </c>
      <c r="F1019" s="446">
        <f t="shared" si="103"/>
        <v>0</v>
      </c>
      <c r="G1019" s="447">
        <f t="shared" si="104"/>
        <v>150</v>
      </c>
      <c r="H1019" s="442">
        <f t="shared" si="105"/>
        <v>0</v>
      </c>
      <c r="I1019" s="447">
        <f t="shared" si="106"/>
        <v>0</v>
      </c>
      <c r="J1019" s="544"/>
      <c r="K1019" s="444" t="s">
        <v>2475</v>
      </c>
      <c r="L1019" s="449">
        <v>150</v>
      </c>
      <c r="M1019" s="289"/>
      <c r="N1019" s="245"/>
      <c r="O1019" s="450">
        <v>0</v>
      </c>
      <c r="P1019" s="451">
        <f t="shared" si="107"/>
        <v>0</v>
      </c>
      <c r="Q1019" s="289"/>
      <c r="R1019" s="245"/>
      <c r="S1019" s="289"/>
      <c r="T1019" s="245"/>
      <c r="U1019" s="289"/>
      <c r="V1019" s="245"/>
      <c r="W1019" s="289"/>
      <c r="X1019" s="245"/>
      <c r="Y1019" s="289"/>
      <c r="Z1019" s="245"/>
    </row>
    <row r="1020" spans="1:26" s="436" customFormat="1" ht="15" hidden="1">
      <c r="A1020" s="443"/>
      <c r="B1020" s="444"/>
      <c r="C1020" s="445" t="s">
        <v>159</v>
      </c>
      <c r="D1020" s="543" t="s">
        <v>160</v>
      </c>
      <c r="E1020" s="444" t="s">
        <v>2475</v>
      </c>
      <c r="F1020" s="446">
        <f t="shared" si="103"/>
        <v>0</v>
      </c>
      <c r="G1020" s="447">
        <f t="shared" si="104"/>
        <v>180</v>
      </c>
      <c r="H1020" s="442">
        <f t="shared" si="105"/>
        <v>0</v>
      </c>
      <c r="I1020" s="447">
        <f t="shared" si="106"/>
        <v>0</v>
      </c>
      <c r="J1020" s="544"/>
      <c r="K1020" s="444" t="s">
        <v>2475</v>
      </c>
      <c r="L1020" s="449">
        <v>180</v>
      </c>
      <c r="M1020" s="289"/>
      <c r="N1020" s="245"/>
      <c r="O1020" s="450">
        <v>0</v>
      </c>
      <c r="P1020" s="451">
        <f t="shared" si="107"/>
        <v>0</v>
      </c>
      <c r="Q1020" s="289"/>
      <c r="R1020" s="245"/>
      <c r="S1020" s="289"/>
      <c r="T1020" s="245"/>
      <c r="U1020" s="289"/>
      <c r="V1020" s="245"/>
      <c r="W1020" s="289"/>
      <c r="X1020" s="245"/>
      <c r="Y1020" s="289"/>
      <c r="Z1020" s="245"/>
    </row>
    <row r="1021" spans="1:26" ht="15" hidden="1" customHeight="1">
      <c r="A1021" s="250"/>
      <c r="B1021" s="251"/>
      <c r="C1021" s="453"/>
      <c r="D1021" s="330"/>
      <c r="E1021" s="251"/>
      <c r="F1021" s="252"/>
      <c r="G1021" s="253"/>
      <c r="H1021" s="254"/>
      <c r="I1021" s="253"/>
      <c r="J1021" s="253"/>
      <c r="K1021" s="251"/>
      <c r="L1021" s="253"/>
      <c r="M1021" s="289"/>
      <c r="N1021" s="245"/>
      <c r="O1021" s="258"/>
      <c r="P1021" s="257"/>
      <c r="Q1021" s="289"/>
      <c r="R1021" s="245"/>
      <c r="S1021" s="289"/>
      <c r="T1021" s="245"/>
      <c r="U1021" s="289"/>
      <c r="V1021" s="245"/>
      <c r="W1021" s="289"/>
      <c r="X1021" s="245"/>
      <c r="Y1021" s="289"/>
      <c r="Z1021" s="245"/>
    </row>
    <row r="1022" spans="1:26" ht="15" hidden="1" customHeight="1">
      <c r="A1022" s="250"/>
      <c r="B1022" s="251"/>
      <c r="C1022" s="453" t="s">
        <v>161</v>
      </c>
      <c r="D1022" s="330" t="s">
        <v>162</v>
      </c>
      <c r="E1022" s="251"/>
      <c r="F1022" s="252"/>
      <c r="G1022" s="253"/>
      <c r="H1022" s="254"/>
      <c r="I1022" s="253"/>
      <c r="J1022" s="253"/>
      <c r="K1022" s="251"/>
      <c r="L1022" s="253"/>
      <c r="M1022" s="289"/>
      <c r="N1022" s="245"/>
      <c r="O1022" s="258"/>
      <c r="P1022" s="257"/>
      <c r="Q1022" s="289"/>
      <c r="R1022" s="245"/>
      <c r="S1022" s="289"/>
      <c r="T1022" s="245"/>
      <c r="U1022" s="289"/>
      <c r="V1022" s="245"/>
      <c r="W1022" s="289"/>
      <c r="X1022" s="245"/>
      <c r="Y1022" s="289"/>
      <c r="Z1022" s="245"/>
    </row>
    <row r="1023" spans="1:26" s="436" customFormat="1" ht="15" hidden="1">
      <c r="A1023" s="443"/>
      <c r="B1023" s="444"/>
      <c r="C1023" s="445" t="s">
        <v>163</v>
      </c>
      <c r="D1023" s="543" t="s">
        <v>164</v>
      </c>
      <c r="E1023" s="444" t="s">
        <v>2475</v>
      </c>
      <c r="F1023" s="446">
        <f t="shared" ref="F1023:F1030" si="108">M1023+O1023+Q1023+S1023+U1023+W1023+Y1023</f>
        <v>0</v>
      </c>
      <c r="G1023" s="447">
        <f t="shared" ref="G1023:G1030" si="109">L1023</f>
        <v>3.8</v>
      </c>
      <c r="H1023" s="442">
        <f t="shared" ref="H1023:H1030" si="110">F1023*G1023</f>
        <v>0</v>
      </c>
      <c r="I1023" s="447">
        <f t="shared" ref="I1023:I1030" si="111">N1023+P1023+R1023+T1023+V1023+X1023+Z1023</f>
        <v>0</v>
      </c>
      <c r="J1023" s="544"/>
      <c r="K1023" s="444" t="s">
        <v>2475</v>
      </c>
      <c r="L1023" s="449">
        <v>3.8</v>
      </c>
      <c r="M1023" s="289"/>
      <c r="N1023" s="245"/>
      <c r="O1023" s="450">
        <v>0</v>
      </c>
      <c r="P1023" s="451">
        <f>INT($L1023*O1023*100+0.5)/100</f>
        <v>0</v>
      </c>
      <c r="Q1023" s="289"/>
      <c r="R1023" s="245"/>
      <c r="S1023" s="289"/>
      <c r="T1023" s="245"/>
      <c r="U1023" s="289"/>
      <c r="V1023" s="245"/>
      <c r="W1023" s="289"/>
      <c r="X1023" s="245"/>
      <c r="Y1023" s="289"/>
      <c r="Z1023" s="245"/>
    </row>
    <row r="1024" spans="1:26" s="436" customFormat="1" ht="15" hidden="1">
      <c r="A1024" s="443"/>
      <c r="B1024" s="444"/>
      <c r="C1024" s="445" t="s">
        <v>165</v>
      </c>
      <c r="D1024" s="543" t="s">
        <v>166</v>
      </c>
      <c r="E1024" s="444" t="s">
        <v>2475</v>
      </c>
      <c r="F1024" s="446">
        <f t="shared" si="108"/>
        <v>0</v>
      </c>
      <c r="G1024" s="447">
        <f t="shared" si="109"/>
        <v>3.8</v>
      </c>
      <c r="H1024" s="442">
        <f t="shared" si="110"/>
        <v>0</v>
      </c>
      <c r="I1024" s="447">
        <f t="shared" si="111"/>
        <v>0</v>
      </c>
      <c r="J1024" s="544"/>
      <c r="K1024" s="444" t="s">
        <v>2475</v>
      </c>
      <c r="L1024" s="449">
        <v>3.8</v>
      </c>
      <c r="M1024" s="289"/>
      <c r="N1024" s="245"/>
      <c r="O1024" s="450">
        <v>0</v>
      </c>
      <c r="P1024" s="451">
        <f t="shared" ref="P1024:P1030" si="112">INT($L1024*O1024*100+0.5)/100</f>
        <v>0</v>
      </c>
      <c r="Q1024" s="289"/>
      <c r="R1024" s="245"/>
      <c r="S1024" s="289"/>
      <c r="T1024" s="245"/>
      <c r="U1024" s="289"/>
      <c r="V1024" s="245"/>
      <c r="W1024" s="289"/>
      <c r="X1024" s="245"/>
      <c r="Y1024" s="289"/>
      <c r="Z1024" s="245"/>
    </row>
    <row r="1025" spans="1:26" s="436" customFormat="1" ht="15" hidden="1">
      <c r="A1025" s="443"/>
      <c r="B1025" s="444"/>
      <c r="C1025" s="445" t="s">
        <v>167</v>
      </c>
      <c r="D1025" s="543" t="s">
        <v>168</v>
      </c>
      <c r="E1025" s="444" t="s">
        <v>2475</v>
      </c>
      <c r="F1025" s="446">
        <f t="shared" si="108"/>
        <v>0</v>
      </c>
      <c r="G1025" s="447">
        <f t="shared" si="109"/>
        <v>3.8</v>
      </c>
      <c r="H1025" s="442">
        <f t="shared" si="110"/>
        <v>0</v>
      </c>
      <c r="I1025" s="447">
        <f t="shared" si="111"/>
        <v>0</v>
      </c>
      <c r="J1025" s="544"/>
      <c r="K1025" s="444" t="s">
        <v>2475</v>
      </c>
      <c r="L1025" s="449">
        <v>3.8</v>
      </c>
      <c r="M1025" s="289"/>
      <c r="N1025" s="245"/>
      <c r="O1025" s="450">
        <v>0</v>
      </c>
      <c r="P1025" s="451">
        <f t="shared" si="112"/>
        <v>0</v>
      </c>
      <c r="Q1025" s="289"/>
      <c r="R1025" s="245"/>
      <c r="S1025" s="289"/>
      <c r="T1025" s="245"/>
      <c r="U1025" s="289"/>
      <c r="V1025" s="245"/>
      <c r="W1025" s="289"/>
      <c r="X1025" s="245"/>
      <c r="Y1025" s="289"/>
      <c r="Z1025" s="245"/>
    </row>
    <row r="1026" spans="1:26" s="436" customFormat="1" ht="15" hidden="1">
      <c r="A1026" s="443"/>
      <c r="B1026" s="444"/>
      <c r="C1026" s="445" t="s">
        <v>169</v>
      </c>
      <c r="D1026" s="543" t="s">
        <v>170</v>
      </c>
      <c r="E1026" s="444" t="s">
        <v>2475</v>
      </c>
      <c r="F1026" s="446">
        <f t="shared" si="108"/>
        <v>0</v>
      </c>
      <c r="G1026" s="447">
        <f t="shared" si="109"/>
        <v>3.8</v>
      </c>
      <c r="H1026" s="442">
        <f t="shared" si="110"/>
        <v>0</v>
      </c>
      <c r="I1026" s="447">
        <f t="shared" si="111"/>
        <v>0</v>
      </c>
      <c r="J1026" s="544"/>
      <c r="K1026" s="444" t="s">
        <v>2475</v>
      </c>
      <c r="L1026" s="449">
        <v>3.8</v>
      </c>
      <c r="M1026" s="289"/>
      <c r="N1026" s="245"/>
      <c r="O1026" s="450">
        <v>0</v>
      </c>
      <c r="P1026" s="451">
        <f t="shared" si="112"/>
        <v>0</v>
      </c>
      <c r="Q1026" s="289"/>
      <c r="R1026" s="245"/>
      <c r="S1026" s="289"/>
      <c r="T1026" s="245"/>
      <c r="U1026" s="289"/>
      <c r="V1026" s="245"/>
      <c r="W1026" s="289"/>
      <c r="X1026" s="245"/>
      <c r="Y1026" s="289"/>
      <c r="Z1026" s="245"/>
    </row>
    <row r="1027" spans="1:26" s="436" customFormat="1" ht="15" hidden="1">
      <c r="A1027" s="443"/>
      <c r="B1027" s="444"/>
      <c r="C1027" s="445" t="s">
        <v>171</v>
      </c>
      <c r="D1027" s="543" t="s">
        <v>172</v>
      </c>
      <c r="E1027" s="444" t="s">
        <v>2475</v>
      </c>
      <c r="F1027" s="446">
        <f t="shared" si="108"/>
        <v>0</v>
      </c>
      <c r="G1027" s="447">
        <f t="shared" si="109"/>
        <v>3.95</v>
      </c>
      <c r="H1027" s="442">
        <f t="shared" si="110"/>
        <v>0</v>
      </c>
      <c r="I1027" s="447">
        <f t="shared" si="111"/>
        <v>0</v>
      </c>
      <c r="J1027" s="544"/>
      <c r="K1027" s="444" t="s">
        <v>2475</v>
      </c>
      <c r="L1027" s="449">
        <v>3.95</v>
      </c>
      <c r="M1027" s="289"/>
      <c r="N1027" s="245"/>
      <c r="O1027" s="450">
        <v>0</v>
      </c>
      <c r="P1027" s="451">
        <f t="shared" si="112"/>
        <v>0</v>
      </c>
      <c r="Q1027" s="289"/>
      <c r="R1027" s="245"/>
      <c r="S1027" s="289"/>
      <c r="T1027" s="245"/>
      <c r="U1027" s="289"/>
      <c r="V1027" s="245"/>
      <c r="W1027" s="289"/>
      <c r="X1027" s="245"/>
      <c r="Y1027" s="289"/>
      <c r="Z1027" s="245"/>
    </row>
    <row r="1028" spans="1:26" s="436" customFormat="1" ht="15" hidden="1">
      <c r="A1028" s="443"/>
      <c r="B1028" s="444"/>
      <c r="C1028" s="445" t="s">
        <v>173</v>
      </c>
      <c r="D1028" s="543" t="s">
        <v>174</v>
      </c>
      <c r="E1028" s="444" t="s">
        <v>2475</v>
      </c>
      <c r="F1028" s="446">
        <f t="shared" si="108"/>
        <v>0</v>
      </c>
      <c r="G1028" s="447">
        <f t="shared" si="109"/>
        <v>4.13</v>
      </c>
      <c r="H1028" s="442">
        <f t="shared" si="110"/>
        <v>0</v>
      </c>
      <c r="I1028" s="447">
        <f t="shared" si="111"/>
        <v>0</v>
      </c>
      <c r="J1028" s="544"/>
      <c r="K1028" s="444" t="s">
        <v>2475</v>
      </c>
      <c r="L1028" s="449">
        <v>4.13</v>
      </c>
      <c r="M1028" s="289"/>
      <c r="N1028" s="245"/>
      <c r="O1028" s="450">
        <v>0</v>
      </c>
      <c r="P1028" s="451">
        <f t="shared" si="112"/>
        <v>0</v>
      </c>
      <c r="Q1028" s="289"/>
      <c r="R1028" s="245"/>
      <c r="S1028" s="289"/>
      <c r="T1028" s="245"/>
      <c r="U1028" s="289"/>
      <c r="V1028" s="245"/>
      <c r="W1028" s="289"/>
      <c r="X1028" s="245"/>
      <c r="Y1028" s="289"/>
      <c r="Z1028" s="245"/>
    </row>
    <row r="1029" spans="1:26" s="436" customFormat="1" ht="15" hidden="1">
      <c r="A1029" s="443"/>
      <c r="B1029" s="444"/>
      <c r="C1029" s="445" t="s">
        <v>175</v>
      </c>
      <c r="D1029" s="543" t="s">
        <v>176</v>
      </c>
      <c r="E1029" s="444" t="s">
        <v>2475</v>
      </c>
      <c r="F1029" s="446">
        <f t="shared" si="108"/>
        <v>0</v>
      </c>
      <c r="G1029" s="447">
        <f t="shared" si="109"/>
        <v>4.13</v>
      </c>
      <c r="H1029" s="442">
        <f t="shared" si="110"/>
        <v>0</v>
      </c>
      <c r="I1029" s="447">
        <f t="shared" si="111"/>
        <v>0</v>
      </c>
      <c r="J1029" s="544"/>
      <c r="K1029" s="444" t="s">
        <v>2475</v>
      </c>
      <c r="L1029" s="449">
        <v>4.13</v>
      </c>
      <c r="M1029" s="289"/>
      <c r="N1029" s="245"/>
      <c r="O1029" s="450">
        <v>0</v>
      </c>
      <c r="P1029" s="451">
        <f t="shared" si="112"/>
        <v>0</v>
      </c>
      <c r="Q1029" s="289"/>
      <c r="R1029" s="245"/>
      <c r="S1029" s="289"/>
      <c r="T1029" s="245"/>
      <c r="U1029" s="289"/>
      <c r="V1029" s="245"/>
      <c r="W1029" s="289"/>
      <c r="X1029" s="245"/>
      <c r="Y1029" s="289"/>
      <c r="Z1029" s="245"/>
    </row>
    <row r="1030" spans="1:26" s="436" customFormat="1" ht="15" hidden="1">
      <c r="A1030" s="443"/>
      <c r="B1030" s="444"/>
      <c r="C1030" s="445" t="s">
        <v>177</v>
      </c>
      <c r="D1030" s="543" t="s">
        <v>178</v>
      </c>
      <c r="E1030" s="444" t="s">
        <v>2475</v>
      </c>
      <c r="F1030" s="446">
        <f t="shared" si="108"/>
        <v>0</v>
      </c>
      <c r="G1030" s="447">
        <f t="shared" si="109"/>
        <v>5.42</v>
      </c>
      <c r="H1030" s="442">
        <f t="shared" si="110"/>
        <v>0</v>
      </c>
      <c r="I1030" s="447">
        <f t="shared" si="111"/>
        <v>0</v>
      </c>
      <c r="J1030" s="544"/>
      <c r="K1030" s="444" t="s">
        <v>2475</v>
      </c>
      <c r="L1030" s="449">
        <v>5.42</v>
      </c>
      <c r="M1030" s="289"/>
      <c r="N1030" s="245"/>
      <c r="O1030" s="450">
        <v>0</v>
      </c>
      <c r="P1030" s="451">
        <f t="shared" si="112"/>
        <v>0</v>
      </c>
      <c r="Q1030" s="289"/>
      <c r="R1030" s="245"/>
      <c r="S1030" s="289"/>
      <c r="T1030" s="245"/>
      <c r="U1030" s="289"/>
      <c r="V1030" s="245"/>
      <c r="W1030" s="289"/>
      <c r="X1030" s="245"/>
      <c r="Y1030" s="289"/>
      <c r="Z1030" s="245"/>
    </row>
    <row r="1031" spans="1:26" ht="15" hidden="1" customHeight="1">
      <c r="A1031" s="250"/>
      <c r="B1031" s="251"/>
      <c r="C1031" s="453"/>
      <c r="D1031" s="330"/>
      <c r="E1031" s="251"/>
      <c r="F1031" s="252"/>
      <c r="G1031" s="253"/>
      <c r="H1031" s="254"/>
      <c r="I1031" s="253"/>
      <c r="J1031" s="253"/>
      <c r="K1031" s="251"/>
      <c r="L1031" s="253"/>
      <c r="M1031" s="289"/>
      <c r="N1031" s="245"/>
      <c r="O1031" s="258"/>
      <c r="P1031" s="257"/>
      <c r="Q1031" s="289"/>
      <c r="R1031" s="245"/>
      <c r="S1031" s="289"/>
      <c r="T1031" s="245"/>
      <c r="U1031" s="289"/>
      <c r="V1031" s="245"/>
      <c r="W1031" s="289"/>
      <c r="X1031" s="245"/>
      <c r="Y1031" s="289"/>
      <c r="Z1031" s="245"/>
    </row>
    <row r="1032" spans="1:26" ht="15" hidden="1" customHeight="1">
      <c r="A1032" s="250"/>
      <c r="B1032" s="251"/>
      <c r="C1032" s="453" t="s">
        <v>179</v>
      </c>
      <c r="D1032" s="330" t="s">
        <v>180</v>
      </c>
      <c r="E1032" s="251"/>
      <c r="F1032" s="252"/>
      <c r="G1032" s="253"/>
      <c r="H1032" s="254"/>
      <c r="I1032" s="253"/>
      <c r="J1032" s="253"/>
      <c r="K1032" s="251"/>
      <c r="L1032" s="253"/>
      <c r="M1032" s="289"/>
      <c r="N1032" s="245"/>
      <c r="O1032" s="258"/>
      <c r="P1032" s="257"/>
      <c r="Q1032" s="289"/>
      <c r="R1032" s="245"/>
      <c r="S1032" s="289"/>
      <c r="T1032" s="245"/>
      <c r="U1032" s="289"/>
      <c r="V1032" s="245"/>
      <c r="W1032" s="289"/>
      <c r="X1032" s="245"/>
      <c r="Y1032" s="289"/>
      <c r="Z1032" s="245"/>
    </row>
    <row r="1033" spans="1:26" s="436" customFormat="1" ht="15" hidden="1">
      <c r="A1033" s="443"/>
      <c r="B1033" s="444"/>
      <c r="C1033" s="445" t="s">
        <v>181</v>
      </c>
      <c r="D1033" s="543" t="s">
        <v>182</v>
      </c>
      <c r="E1033" s="444" t="s">
        <v>1130</v>
      </c>
      <c r="F1033" s="446">
        <f>M1033+O1033+Q1033+S1033+U1033+W1033+Y1033</f>
        <v>0</v>
      </c>
      <c r="G1033" s="447">
        <f>L1033</f>
        <v>28</v>
      </c>
      <c r="H1033" s="442">
        <f>F1033*G1033</f>
        <v>0</v>
      </c>
      <c r="I1033" s="447">
        <f>N1033+P1033+R1033+T1033+V1033+X1033+Z1033</f>
        <v>0</v>
      </c>
      <c r="J1033" s="544"/>
      <c r="K1033" s="444" t="s">
        <v>1130</v>
      </c>
      <c r="L1033" s="449">
        <v>28</v>
      </c>
      <c r="M1033" s="289"/>
      <c r="N1033" s="245"/>
      <c r="O1033" s="450">
        <v>0</v>
      </c>
      <c r="P1033" s="451">
        <f>INT($L1033*O1033*100+0.5)/100</f>
        <v>0</v>
      </c>
      <c r="Q1033" s="289"/>
      <c r="R1033" s="245"/>
      <c r="S1033" s="289"/>
      <c r="T1033" s="245"/>
      <c r="U1033" s="289"/>
      <c r="V1033" s="245"/>
      <c r="W1033" s="289"/>
      <c r="X1033" s="245"/>
      <c r="Y1033" s="289"/>
      <c r="Z1033" s="245"/>
    </row>
    <row r="1034" spans="1:26" s="436" customFormat="1" ht="15" hidden="1">
      <c r="A1034" s="443"/>
      <c r="B1034" s="444"/>
      <c r="C1034" s="445" t="s">
        <v>183</v>
      </c>
      <c r="D1034" s="543" t="s">
        <v>184</v>
      </c>
      <c r="E1034" s="444" t="s">
        <v>1130</v>
      </c>
      <c r="F1034" s="446">
        <f>M1034+O1034+Q1034+S1034+U1034+W1034+Y1034</f>
        <v>0</v>
      </c>
      <c r="G1034" s="447">
        <f>L1034</f>
        <v>32</v>
      </c>
      <c r="H1034" s="442">
        <f>F1034*G1034</f>
        <v>0</v>
      </c>
      <c r="I1034" s="447">
        <f>N1034+P1034+R1034+T1034+V1034+X1034+Z1034</f>
        <v>0</v>
      </c>
      <c r="J1034" s="544"/>
      <c r="K1034" s="444" t="s">
        <v>1130</v>
      </c>
      <c r="L1034" s="449">
        <v>32</v>
      </c>
      <c r="M1034" s="289"/>
      <c r="N1034" s="245"/>
      <c r="O1034" s="450">
        <v>0</v>
      </c>
      <c r="P1034" s="451">
        <f>INT($L1034*O1034*100+0.5)/100</f>
        <v>0</v>
      </c>
      <c r="Q1034" s="289"/>
      <c r="R1034" s="245"/>
      <c r="S1034" s="289"/>
      <c r="T1034" s="245"/>
      <c r="U1034" s="289"/>
      <c r="V1034" s="245"/>
      <c r="W1034" s="289"/>
      <c r="X1034" s="245"/>
      <c r="Y1034" s="289"/>
      <c r="Z1034" s="245"/>
    </row>
    <row r="1035" spans="1:26" s="436" customFormat="1" ht="15" hidden="1">
      <c r="A1035" s="443"/>
      <c r="B1035" s="444"/>
      <c r="C1035" s="445" t="s">
        <v>185</v>
      </c>
      <c r="D1035" s="543" t="s">
        <v>186</v>
      </c>
      <c r="E1035" s="444" t="s">
        <v>1130</v>
      </c>
      <c r="F1035" s="446">
        <f>M1035+O1035+Q1035+S1035+U1035+W1035+Y1035</f>
        <v>0</v>
      </c>
      <c r="G1035" s="447">
        <f>L1035</f>
        <v>40</v>
      </c>
      <c r="H1035" s="442">
        <f>F1035*G1035</f>
        <v>0</v>
      </c>
      <c r="I1035" s="447">
        <f>N1035+P1035+R1035+T1035+V1035+X1035+Z1035</f>
        <v>0</v>
      </c>
      <c r="J1035" s="544"/>
      <c r="K1035" s="444" t="s">
        <v>1130</v>
      </c>
      <c r="L1035" s="449">
        <v>40</v>
      </c>
      <c r="M1035" s="289"/>
      <c r="N1035" s="245"/>
      <c r="O1035" s="450">
        <v>0</v>
      </c>
      <c r="P1035" s="451">
        <f>INT($L1035*O1035*100+0.5)/100</f>
        <v>0</v>
      </c>
      <c r="Q1035" s="289"/>
      <c r="R1035" s="245"/>
      <c r="S1035" s="289"/>
      <c r="T1035" s="245"/>
      <c r="U1035" s="289"/>
      <c r="V1035" s="245"/>
      <c r="W1035" s="289"/>
      <c r="X1035" s="245"/>
      <c r="Y1035" s="289"/>
      <c r="Z1035" s="245"/>
    </row>
    <row r="1036" spans="1:26" s="436" customFormat="1" ht="15" hidden="1">
      <c r="A1036" s="443"/>
      <c r="B1036" s="444"/>
      <c r="C1036" s="445" t="s">
        <v>187</v>
      </c>
      <c r="D1036" s="543" t="s">
        <v>188</v>
      </c>
      <c r="E1036" s="444" t="s">
        <v>1130</v>
      </c>
      <c r="F1036" s="446">
        <f>M1036+O1036+Q1036+S1036+U1036+W1036+Y1036</f>
        <v>0</v>
      </c>
      <c r="G1036" s="447">
        <f>L1036</f>
        <v>49</v>
      </c>
      <c r="H1036" s="442">
        <f>F1036*G1036</f>
        <v>0</v>
      </c>
      <c r="I1036" s="447">
        <f>N1036+P1036+R1036+T1036+V1036+X1036+Z1036</f>
        <v>0</v>
      </c>
      <c r="J1036" s="544"/>
      <c r="K1036" s="444" t="s">
        <v>1130</v>
      </c>
      <c r="L1036" s="449">
        <v>49</v>
      </c>
      <c r="M1036" s="289"/>
      <c r="N1036" s="245"/>
      <c r="O1036" s="450">
        <v>0</v>
      </c>
      <c r="P1036" s="451">
        <f>INT($L1036*O1036*100+0.5)/100</f>
        <v>0</v>
      </c>
      <c r="Q1036" s="289"/>
      <c r="R1036" s="245"/>
      <c r="S1036" s="289"/>
      <c r="T1036" s="245"/>
      <c r="U1036" s="289"/>
      <c r="V1036" s="245"/>
      <c r="W1036" s="289"/>
      <c r="X1036" s="245"/>
      <c r="Y1036" s="289"/>
      <c r="Z1036" s="245"/>
    </row>
    <row r="1037" spans="1:26" ht="15" hidden="1" customHeight="1">
      <c r="A1037" s="250"/>
      <c r="B1037" s="251"/>
      <c r="C1037" s="453"/>
      <c r="D1037" s="330"/>
      <c r="E1037" s="251"/>
      <c r="F1037" s="252"/>
      <c r="G1037" s="253"/>
      <c r="H1037" s="254"/>
      <c r="I1037" s="253"/>
      <c r="J1037" s="253"/>
      <c r="K1037" s="251"/>
      <c r="L1037" s="253"/>
      <c r="M1037" s="289"/>
      <c r="N1037" s="245"/>
      <c r="O1037" s="258"/>
      <c r="P1037" s="257"/>
      <c r="Q1037" s="289"/>
      <c r="R1037" s="245"/>
      <c r="S1037" s="289"/>
      <c r="T1037" s="245"/>
      <c r="U1037" s="289"/>
      <c r="V1037" s="245"/>
      <c r="W1037" s="289"/>
      <c r="X1037" s="245"/>
      <c r="Y1037" s="289"/>
      <c r="Z1037" s="245"/>
    </row>
    <row r="1038" spans="1:26" ht="15" hidden="1" customHeight="1">
      <c r="A1038" s="250"/>
      <c r="B1038" s="251"/>
      <c r="C1038" s="453" t="s">
        <v>189</v>
      </c>
      <c r="D1038" s="330" t="s">
        <v>190</v>
      </c>
      <c r="E1038" s="251"/>
      <c r="F1038" s="252"/>
      <c r="G1038" s="253"/>
      <c r="H1038" s="254"/>
      <c r="I1038" s="253"/>
      <c r="J1038" s="253"/>
      <c r="K1038" s="251"/>
      <c r="L1038" s="253"/>
      <c r="M1038" s="289"/>
      <c r="N1038" s="245"/>
      <c r="O1038" s="258"/>
      <c r="P1038" s="257"/>
      <c r="Q1038" s="289"/>
      <c r="R1038" s="245"/>
      <c r="S1038" s="289"/>
      <c r="T1038" s="245"/>
      <c r="U1038" s="289"/>
      <c r="V1038" s="245"/>
      <c r="W1038" s="289"/>
      <c r="X1038" s="245"/>
      <c r="Y1038" s="289"/>
      <c r="Z1038" s="245"/>
    </row>
    <row r="1039" spans="1:26" s="436" customFormat="1" ht="15" hidden="1">
      <c r="A1039" s="443"/>
      <c r="B1039" s="444"/>
      <c r="C1039" s="445" t="s">
        <v>191</v>
      </c>
      <c r="D1039" s="543" t="s">
        <v>192</v>
      </c>
      <c r="E1039" s="444" t="s">
        <v>2475</v>
      </c>
      <c r="F1039" s="446">
        <f>M1039+O1039+Q1039+S1039+U1039+W1039+Y1039</f>
        <v>0</v>
      </c>
      <c r="G1039" s="447">
        <f>L1039</f>
        <v>1</v>
      </c>
      <c r="H1039" s="442">
        <f>F1039*G1039</f>
        <v>0</v>
      </c>
      <c r="I1039" s="447">
        <f>N1039+P1039+R1039+T1039+V1039+X1039+Z1039</f>
        <v>0</v>
      </c>
      <c r="J1039" s="544"/>
      <c r="K1039" s="444" t="s">
        <v>2475</v>
      </c>
      <c r="L1039" s="449">
        <v>1</v>
      </c>
      <c r="M1039" s="289"/>
      <c r="N1039" s="245"/>
      <c r="O1039" s="450">
        <v>0</v>
      </c>
      <c r="P1039" s="451">
        <f>INT($L1039*O1039*100+0.5)/100</f>
        <v>0</v>
      </c>
      <c r="Q1039" s="289"/>
      <c r="R1039" s="245"/>
      <c r="S1039" s="289"/>
      <c r="T1039" s="245"/>
      <c r="U1039" s="289"/>
      <c r="V1039" s="245"/>
      <c r="W1039" s="289"/>
      <c r="X1039" s="245"/>
      <c r="Y1039" s="289"/>
      <c r="Z1039" s="245"/>
    </row>
    <row r="1040" spans="1:26" s="436" customFormat="1" ht="15" hidden="1">
      <c r="A1040" s="443"/>
      <c r="B1040" s="444"/>
      <c r="C1040" s="445" t="s">
        <v>1169</v>
      </c>
      <c r="D1040" s="543" t="s">
        <v>1170</v>
      </c>
      <c r="E1040" s="444" t="s">
        <v>2475</v>
      </c>
      <c r="F1040" s="446">
        <f>M1040+O1040+Q1040+S1040+U1040+W1040+Y1040</f>
        <v>0</v>
      </c>
      <c r="G1040" s="447">
        <f>L1040</f>
        <v>1.5</v>
      </c>
      <c r="H1040" s="442">
        <f>F1040*G1040</f>
        <v>0</v>
      </c>
      <c r="I1040" s="447">
        <f>N1040+P1040+R1040+T1040+V1040+X1040+Z1040</f>
        <v>0</v>
      </c>
      <c r="J1040" s="544"/>
      <c r="K1040" s="444" t="s">
        <v>2475</v>
      </c>
      <c r="L1040" s="449">
        <v>1.5</v>
      </c>
      <c r="M1040" s="289"/>
      <c r="N1040" s="245"/>
      <c r="O1040" s="450">
        <v>0</v>
      </c>
      <c r="P1040" s="451">
        <f>INT($L1040*O1040*100+0.5)/100</f>
        <v>0</v>
      </c>
      <c r="Q1040" s="289"/>
      <c r="R1040" s="245"/>
      <c r="S1040" s="289"/>
      <c r="T1040" s="245"/>
      <c r="U1040" s="289"/>
      <c r="V1040" s="245"/>
      <c r="W1040" s="289"/>
      <c r="X1040" s="245"/>
      <c r="Y1040" s="289"/>
      <c r="Z1040" s="245"/>
    </row>
    <row r="1041" spans="1:26" s="436" customFormat="1" ht="15" hidden="1">
      <c r="A1041" s="443"/>
      <c r="B1041" s="444"/>
      <c r="C1041" s="445" t="s">
        <v>1171</v>
      </c>
      <c r="D1041" s="543" t="s">
        <v>952</v>
      </c>
      <c r="E1041" s="444" t="s">
        <v>2475</v>
      </c>
      <c r="F1041" s="446">
        <f>M1041+O1041+Q1041+S1041+U1041+W1041+Y1041</f>
        <v>0</v>
      </c>
      <c r="G1041" s="447">
        <f>L1041</f>
        <v>2</v>
      </c>
      <c r="H1041" s="442">
        <f>F1041*G1041</f>
        <v>0</v>
      </c>
      <c r="I1041" s="447">
        <f>N1041+P1041+R1041+T1041+V1041+X1041+Z1041</f>
        <v>0</v>
      </c>
      <c r="J1041" s="544"/>
      <c r="K1041" s="444" t="s">
        <v>2475</v>
      </c>
      <c r="L1041" s="449">
        <v>2</v>
      </c>
      <c r="M1041" s="289"/>
      <c r="N1041" s="245"/>
      <c r="O1041" s="450">
        <v>0</v>
      </c>
      <c r="P1041" s="451">
        <f>INT($L1041*O1041*100+0.5)/100</f>
        <v>0</v>
      </c>
      <c r="Q1041" s="289"/>
      <c r="R1041" s="245"/>
      <c r="S1041" s="289"/>
      <c r="T1041" s="245"/>
      <c r="U1041" s="289"/>
      <c r="V1041" s="245"/>
      <c r="W1041" s="289"/>
      <c r="X1041" s="245"/>
      <c r="Y1041" s="289"/>
      <c r="Z1041" s="245"/>
    </row>
    <row r="1042" spans="1:26" s="436" customFormat="1" ht="15" hidden="1">
      <c r="A1042" s="443"/>
      <c r="B1042" s="444"/>
      <c r="C1042" s="445" t="s">
        <v>953</v>
      </c>
      <c r="D1042" s="543" t="s">
        <v>954</v>
      </c>
      <c r="E1042" s="444" t="s">
        <v>2475</v>
      </c>
      <c r="F1042" s="446">
        <f>M1042+O1042+Q1042+S1042+U1042+W1042+Y1042</f>
        <v>0</v>
      </c>
      <c r="G1042" s="447">
        <f>L1042</f>
        <v>2.5</v>
      </c>
      <c r="H1042" s="442">
        <f>F1042*G1042</f>
        <v>0</v>
      </c>
      <c r="I1042" s="447">
        <f>N1042+P1042+R1042+T1042+V1042+X1042+Z1042</f>
        <v>0</v>
      </c>
      <c r="J1042" s="544"/>
      <c r="K1042" s="444" t="s">
        <v>2475</v>
      </c>
      <c r="L1042" s="449">
        <v>2.5</v>
      </c>
      <c r="M1042" s="289"/>
      <c r="N1042" s="245"/>
      <c r="O1042" s="450">
        <v>0</v>
      </c>
      <c r="P1042" s="451">
        <f>INT($L1042*O1042*100+0.5)/100</f>
        <v>0</v>
      </c>
      <c r="Q1042" s="289"/>
      <c r="R1042" s="245"/>
      <c r="S1042" s="289"/>
      <c r="T1042" s="245"/>
      <c r="U1042" s="289"/>
      <c r="V1042" s="245"/>
      <c r="W1042" s="289"/>
      <c r="X1042" s="245"/>
      <c r="Y1042" s="289"/>
      <c r="Z1042" s="245"/>
    </row>
    <row r="1043" spans="1:26" ht="15" hidden="1" customHeight="1">
      <c r="A1043" s="250"/>
      <c r="B1043" s="251"/>
      <c r="C1043" s="453"/>
      <c r="D1043" s="330"/>
      <c r="E1043" s="251"/>
      <c r="F1043" s="252"/>
      <c r="G1043" s="253"/>
      <c r="H1043" s="254"/>
      <c r="I1043" s="253"/>
      <c r="J1043" s="253"/>
      <c r="K1043" s="251"/>
      <c r="L1043" s="253"/>
      <c r="M1043" s="289"/>
      <c r="N1043" s="245"/>
      <c r="O1043" s="258"/>
      <c r="P1043" s="257"/>
      <c r="Q1043" s="289"/>
      <c r="R1043" s="245"/>
      <c r="S1043" s="289"/>
      <c r="T1043" s="245"/>
      <c r="U1043" s="289"/>
      <c r="V1043" s="245"/>
      <c r="W1043" s="289"/>
      <c r="X1043" s="245"/>
      <c r="Y1043" s="289"/>
      <c r="Z1043" s="245"/>
    </row>
    <row r="1044" spans="1:26" ht="15" hidden="1" customHeight="1">
      <c r="A1044" s="250"/>
      <c r="B1044" s="251"/>
      <c r="C1044" s="453" t="s">
        <v>955</v>
      </c>
      <c r="D1044" s="330" t="s">
        <v>956</v>
      </c>
      <c r="E1044" s="251"/>
      <c r="F1044" s="252"/>
      <c r="G1044" s="253"/>
      <c r="H1044" s="254"/>
      <c r="I1044" s="253"/>
      <c r="J1044" s="253"/>
      <c r="K1044" s="251"/>
      <c r="L1044" s="253"/>
      <c r="M1044" s="289"/>
      <c r="N1044" s="245"/>
      <c r="O1044" s="258"/>
      <c r="P1044" s="257"/>
      <c r="Q1044" s="289"/>
      <c r="R1044" s="245"/>
      <c r="S1044" s="289"/>
      <c r="T1044" s="245"/>
      <c r="U1044" s="289"/>
      <c r="V1044" s="245"/>
      <c r="W1044" s="289"/>
      <c r="X1044" s="245"/>
      <c r="Y1044" s="289"/>
      <c r="Z1044" s="245"/>
    </row>
    <row r="1045" spans="1:26" s="454" customFormat="1" ht="43.5" hidden="1" customHeight="1">
      <c r="A1045" s="443"/>
      <c r="B1045" s="444"/>
      <c r="C1045" s="445"/>
      <c r="D1045" s="543" t="s">
        <v>957</v>
      </c>
      <c r="E1045" s="444"/>
      <c r="F1045" s="446"/>
      <c r="G1045" s="447"/>
      <c r="H1045" s="442"/>
      <c r="I1045" s="545"/>
      <c r="J1045" s="545"/>
      <c r="K1045" s="444"/>
      <c r="L1045" s="447"/>
      <c r="M1045" s="545"/>
      <c r="N1045" s="545"/>
      <c r="O1045" s="545"/>
      <c r="P1045" s="545"/>
      <c r="Q1045" s="545"/>
      <c r="R1045" s="545"/>
      <c r="S1045" s="545"/>
      <c r="T1045" s="545"/>
      <c r="U1045" s="545"/>
      <c r="V1045" s="545"/>
      <c r="W1045" s="545"/>
      <c r="X1045" s="545"/>
      <c r="Y1045" s="545"/>
      <c r="Z1045" s="547"/>
    </row>
    <row r="1046" spans="1:26" s="454" customFormat="1" ht="25.5" hidden="1">
      <c r="A1046" s="443"/>
      <c r="B1046" s="444"/>
      <c r="C1046" s="445" t="s">
        <v>958</v>
      </c>
      <c r="D1046" s="543" t="s">
        <v>959</v>
      </c>
      <c r="E1046" s="444" t="s">
        <v>1130</v>
      </c>
      <c r="F1046" s="446">
        <f t="shared" ref="F1046:F1051" si="113">M1046+O1046+Q1046+S1046+U1046+W1046+Y1046</f>
        <v>0</v>
      </c>
      <c r="G1046" s="447">
        <f t="shared" ref="G1046:G1051" si="114">L1046</f>
        <v>6000</v>
      </c>
      <c r="H1046" s="442">
        <f t="shared" ref="H1046:H1051" si="115">F1046*G1046</f>
        <v>0</v>
      </c>
      <c r="I1046" s="447">
        <f t="shared" ref="I1046:I1051" si="116">N1046+P1046+R1046+T1046+V1046+X1046+Z1046</f>
        <v>0</v>
      </c>
      <c r="J1046" s="545"/>
      <c r="K1046" s="444" t="s">
        <v>1130</v>
      </c>
      <c r="L1046" s="449">
        <v>6000</v>
      </c>
      <c r="M1046" s="289"/>
      <c r="N1046" s="245"/>
      <c r="O1046" s="450">
        <v>0</v>
      </c>
      <c r="P1046" s="451">
        <f t="shared" ref="P1046:P1051" si="117">INT($L1046*O1046*100+0.5)/100</f>
        <v>0</v>
      </c>
      <c r="Q1046" s="289"/>
      <c r="R1046" s="245"/>
      <c r="S1046" s="289"/>
      <c r="T1046" s="245"/>
      <c r="U1046" s="289"/>
      <c r="V1046" s="245"/>
      <c r="W1046" s="289"/>
      <c r="X1046" s="245"/>
      <c r="Y1046" s="289"/>
      <c r="Z1046" s="245"/>
    </row>
    <row r="1047" spans="1:26" s="454" customFormat="1" ht="25.5" hidden="1">
      <c r="A1047" s="443"/>
      <c r="B1047" s="444"/>
      <c r="C1047" s="445" t="s">
        <v>960</v>
      </c>
      <c r="D1047" s="543" t="s">
        <v>961</v>
      </c>
      <c r="E1047" s="444" t="s">
        <v>1130</v>
      </c>
      <c r="F1047" s="446">
        <f t="shared" si="113"/>
        <v>0</v>
      </c>
      <c r="G1047" s="447">
        <f t="shared" si="114"/>
        <v>4000</v>
      </c>
      <c r="H1047" s="442">
        <f t="shared" si="115"/>
        <v>0</v>
      </c>
      <c r="I1047" s="447">
        <f t="shared" si="116"/>
        <v>0</v>
      </c>
      <c r="J1047" s="545"/>
      <c r="K1047" s="444" t="s">
        <v>1130</v>
      </c>
      <c r="L1047" s="449">
        <v>4000</v>
      </c>
      <c r="M1047" s="289"/>
      <c r="N1047" s="245"/>
      <c r="O1047" s="450">
        <v>0</v>
      </c>
      <c r="P1047" s="451">
        <f t="shared" si="117"/>
        <v>0</v>
      </c>
      <c r="Q1047" s="289"/>
      <c r="R1047" s="245"/>
      <c r="S1047" s="289"/>
      <c r="T1047" s="245"/>
      <c r="U1047" s="289"/>
      <c r="V1047" s="245"/>
      <c r="W1047" s="289"/>
      <c r="X1047" s="245"/>
      <c r="Y1047" s="289"/>
      <c r="Z1047" s="245"/>
    </row>
    <row r="1048" spans="1:26" s="454" customFormat="1" ht="25.5" hidden="1">
      <c r="A1048" s="443"/>
      <c r="B1048" s="444"/>
      <c r="C1048" s="445" t="s">
        <v>962</v>
      </c>
      <c r="D1048" s="543" t="s">
        <v>963</v>
      </c>
      <c r="E1048" s="444" t="s">
        <v>1130</v>
      </c>
      <c r="F1048" s="446">
        <f t="shared" si="113"/>
        <v>0</v>
      </c>
      <c r="G1048" s="447">
        <f t="shared" si="114"/>
        <v>1200</v>
      </c>
      <c r="H1048" s="442">
        <f t="shared" si="115"/>
        <v>0</v>
      </c>
      <c r="I1048" s="447">
        <f t="shared" si="116"/>
        <v>0</v>
      </c>
      <c r="J1048" s="545"/>
      <c r="K1048" s="444" t="s">
        <v>1130</v>
      </c>
      <c r="L1048" s="449">
        <v>1200</v>
      </c>
      <c r="M1048" s="289"/>
      <c r="N1048" s="245"/>
      <c r="O1048" s="450">
        <v>0</v>
      </c>
      <c r="P1048" s="451">
        <f t="shared" si="117"/>
        <v>0</v>
      </c>
      <c r="Q1048" s="289"/>
      <c r="R1048" s="245"/>
      <c r="S1048" s="289"/>
      <c r="T1048" s="245"/>
      <c r="U1048" s="289"/>
      <c r="V1048" s="245"/>
      <c r="W1048" s="289"/>
      <c r="X1048" s="245"/>
      <c r="Y1048" s="289"/>
      <c r="Z1048" s="245"/>
    </row>
    <row r="1049" spans="1:26" s="454" customFormat="1" ht="38.25" hidden="1">
      <c r="A1049" s="443"/>
      <c r="B1049" s="444"/>
      <c r="C1049" s="445" t="s">
        <v>964</v>
      </c>
      <c r="D1049" s="543" t="s">
        <v>965</v>
      </c>
      <c r="E1049" s="444" t="s">
        <v>1130</v>
      </c>
      <c r="F1049" s="446">
        <f t="shared" si="113"/>
        <v>0</v>
      </c>
      <c r="G1049" s="447">
        <f t="shared" si="114"/>
        <v>250</v>
      </c>
      <c r="H1049" s="442">
        <f t="shared" si="115"/>
        <v>0</v>
      </c>
      <c r="I1049" s="447">
        <f t="shared" si="116"/>
        <v>0</v>
      </c>
      <c r="J1049" s="545"/>
      <c r="K1049" s="444" t="s">
        <v>1130</v>
      </c>
      <c r="L1049" s="449">
        <v>250</v>
      </c>
      <c r="M1049" s="289"/>
      <c r="N1049" s="245"/>
      <c r="O1049" s="450">
        <v>0</v>
      </c>
      <c r="P1049" s="451">
        <f t="shared" si="117"/>
        <v>0</v>
      </c>
      <c r="Q1049" s="289"/>
      <c r="R1049" s="245"/>
      <c r="S1049" s="289"/>
      <c r="T1049" s="245"/>
      <c r="U1049" s="289"/>
      <c r="V1049" s="245"/>
      <c r="W1049" s="289"/>
      <c r="X1049" s="245"/>
      <c r="Y1049" s="289"/>
      <c r="Z1049" s="245"/>
    </row>
    <row r="1050" spans="1:26" s="454" customFormat="1" ht="25.5" hidden="1">
      <c r="A1050" s="443"/>
      <c r="B1050" s="444"/>
      <c r="C1050" s="445" t="s">
        <v>966</v>
      </c>
      <c r="D1050" s="543" t="s">
        <v>967</v>
      </c>
      <c r="E1050" s="444" t="s">
        <v>2475</v>
      </c>
      <c r="F1050" s="446">
        <f t="shared" si="113"/>
        <v>0</v>
      </c>
      <c r="G1050" s="447">
        <f t="shared" si="114"/>
        <v>7</v>
      </c>
      <c r="H1050" s="442">
        <f t="shared" si="115"/>
        <v>0</v>
      </c>
      <c r="I1050" s="447">
        <f t="shared" si="116"/>
        <v>0</v>
      </c>
      <c r="J1050" s="545"/>
      <c r="K1050" s="444" t="s">
        <v>2475</v>
      </c>
      <c r="L1050" s="449">
        <v>7</v>
      </c>
      <c r="M1050" s="289"/>
      <c r="N1050" s="245"/>
      <c r="O1050" s="450">
        <v>0</v>
      </c>
      <c r="P1050" s="451">
        <f t="shared" si="117"/>
        <v>0</v>
      </c>
      <c r="Q1050" s="289"/>
      <c r="R1050" s="245"/>
      <c r="S1050" s="289"/>
      <c r="T1050" s="245"/>
      <c r="U1050" s="289"/>
      <c r="V1050" s="245"/>
      <c r="W1050" s="289"/>
      <c r="X1050" s="245"/>
      <c r="Y1050" s="289"/>
      <c r="Z1050" s="245"/>
    </row>
    <row r="1051" spans="1:26" s="454" customFormat="1" ht="38.25" hidden="1">
      <c r="A1051" s="443"/>
      <c r="B1051" s="444"/>
      <c r="C1051" s="445" t="s">
        <v>968</v>
      </c>
      <c r="D1051" s="543" t="s">
        <v>969</v>
      </c>
      <c r="E1051" s="444" t="s">
        <v>1130</v>
      </c>
      <c r="F1051" s="446">
        <f t="shared" si="113"/>
        <v>0</v>
      </c>
      <c r="G1051" s="447">
        <f t="shared" si="114"/>
        <v>4000</v>
      </c>
      <c r="H1051" s="442">
        <f t="shared" si="115"/>
        <v>0</v>
      </c>
      <c r="I1051" s="447">
        <f t="shared" si="116"/>
        <v>0</v>
      </c>
      <c r="J1051" s="545"/>
      <c r="K1051" s="444" t="s">
        <v>1130</v>
      </c>
      <c r="L1051" s="449">
        <v>4000</v>
      </c>
      <c r="M1051" s="289"/>
      <c r="N1051" s="245"/>
      <c r="O1051" s="450">
        <v>0</v>
      </c>
      <c r="P1051" s="451">
        <f t="shared" si="117"/>
        <v>0</v>
      </c>
      <c r="Q1051" s="289"/>
      <c r="R1051" s="245"/>
      <c r="S1051" s="289"/>
      <c r="T1051" s="245"/>
      <c r="U1051" s="289"/>
      <c r="V1051" s="245"/>
      <c r="W1051" s="289"/>
      <c r="X1051" s="245"/>
      <c r="Y1051" s="289"/>
      <c r="Z1051" s="245"/>
    </row>
    <row r="1052" spans="1:26" ht="15" hidden="1" customHeight="1">
      <c r="A1052" s="250"/>
      <c r="B1052" s="251"/>
      <c r="C1052" s="453"/>
      <c r="D1052" s="330"/>
      <c r="E1052" s="251"/>
      <c r="F1052" s="252"/>
      <c r="G1052" s="253"/>
      <c r="H1052" s="254"/>
      <c r="I1052" s="253"/>
      <c r="J1052" s="253"/>
      <c r="K1052" s="251"/>
      <c r="L1052" s="253"/>
      <c r="M1052" s="289"/>
      <c r="N1052" s="245"/>
      <c r="O1052" s="258"/>
      <c r="P1052" s="257"/>
      <c r="Q1052" s="289"/>
      <c r="R1052" s="245"/>
      <c r="S1052" s="289"/>
      <c r="T1052" s="245"/>
      <c r="U1052" s="289"/>
      <c r="V1052" s="245"/>
      <c r="W1052" s="289"/>
      <c r="X1052" s="245"/>
      <c r="Y1052" s="289"/>
      <c r="Z1052" s="245"/>
    </row>
    <row r="1053" spans="1:26" ht="15" hidden="1" customHeight="1">
      <c r="A1053" s="250"/>
      <c r="B1053" s="251"/>
      <c r="C1053" s="453" t="s">
        <v>970</v>
      </c>
      <c r="D1053" s="330" t="s">
        <v>971</v>
      </c>
      <c r="E1053" s="251"/>
      <c r="F1053" s="252"/>
      <c r="G1053" s="253"/>
      <c r="H1053" s="254"/>
      <c r="I1053" s="253"/>
      <c r="J1053" s="253"/>
      <c r="K1053" s="251"/>
      <c r="L1053" s="253"/>
      <c r="M1053" s="289"/>
      <c r="N1053" s="245"/>
      <c r="O1053" s="258"/>
      <c r="P1053" s="257"/>
      <c r="Q1053" s="289"/>
      <c r="R1053" s="245"/>
      <c r="S1053" s="289"/>
      <c r="T1053" s="245"/>
      <c r="U1053" s="289"/>
      <c r="V1053" s="245"/>
      <c r="W1053" s="289"/>
      <c r="X1053" s="245"/>
      <c r="Y1053" s="289"/>
      <c r="Z1053" s="245"/>
    </row>
    <row r="1054" spans="1:26" s="436" customFormat="1" ht="15" hidden="1">
      <c r="A1054" s="443"/>
      <c r="B1054" s="444"/>
      <c r="C1054" s="445" t="s">
        <v>970</v>
      </c>
      <c r="D1054" s="543" t="s">
        <v>224</v>
      </c>
      <c r="E1054" s="444" t="s">
        <v>1130</v>
      </c>
      <c r="F1054" s="446">
        <f t="shared" ref="F1054:F1059" si="118">M1054+O1054+Q1054+S1054+U1054+W1054+Y1054</f>
        <v>0</v>
      </c>
      <c r="G1054" s="447">
        <f t="shared" ref="G1054:G1059" si="119">L1054</f>
        <v>70</v>
      </c>
      <c r="H1054" s="442">
        <f t="shared" ref="H1054:H1059" si="120">F1054*G1054</f>
        <v>0</v>
      </c>
      <c r="I1054" s="447">
        <f t="shared" ref="I1054:I1059" si="121">N1054+P1054+R1054+T1054+V1054+X1054+Z1054</f>
        <v>0</v>
      </c>
      <c r="J1054" s="544"/>
      <c r="K1054" s="444" t="s">
        <v>1130</v>
      </c>
      <c r="L1054" s="449">
        <v>70</v>
      </c>
      <c r="M1054" s="289"/>
      <c r="N1054" s="245"/>
      <c r="O1054" s="450">
        <v>0</v>
      </c>
      <c r="P1054" s="451">
        <f t="shared" ref="P1054:P1059" si="122">INT($L1054*O1054*100+0.5)/100</f>
        <v>0</v>
      </c>
      <c r="Q1054" s="289"/>
      <c r="R1054" s="245"/>
      <c r="S1054" s="289"/>
      <c r="T1054" s="245"/>
      <c r="U1054" s="289"/>
      <c r="V1054" s="245"/>
      <c r="W1054" s="289"/>
      <c r="X1054" s="245"/>
      <c r="Y1054" s="289"/>
      <c r="Z1054" s="245"/>
    </row>
    <row r="1055" spans="1:26" s="436" customFormat="1" ht="15" hidden="1">
      <c r="A1055" s="443"/>
      <c r="B1055" s="444"/>
      <c r="C1055" s="445" t="s">
        <v>970</v>
      </c>
      <c r="D1055" s="543" t="s">
        <v>235</v>
      </c>
      <c r="E1055" s="444" t="s">
        <v>1130</v>
      </c>
      <c r="F1055" s="446">
        <f t="shared" si="118"/>
        <v>0</v>
      </c>
      <c r="G1055" s="447">
        <f t="shared" si="119"/>
        <v>70</v>
      </c>
      <c r="H1055" s="442">
        <f t="shared" si="120"/>
        <v>0</v>
      </c>
      <c r="I1055" s="447">
        <f t="shared" si="121"/>
        <v>0</v>
      </c>
      <c r="J1055" s="544"/>
      <c r="K1055" s="444" t="s">
        <v>1130</v>
      </c>
      <c r="L1055" s="449">
        <v>70</v>
      </c>
      <c r="M1055" s="289"/>
      <c r="N1055" s="245"/>
      <c r="O1055" s="450">
        <v>0</v>
      </c>
      <c r="P1055" s="451">
        <f t="shared" si="122"/>
        <v>0</v>
      </c>
      <c r="Q1055" s="289"/>
      <c r="R1055" s="245"/>
      <c r="S1055" s="289"/>
      <c r="T1055" s="245"/>
      <c r="U1055" s="289"/>
      <c r="V1055" s="245"/>
      <c r="W1055" s="289"/>
      <c r="X1055" s="245"/>
      <c r="Y1055" s="289"/>
      <c r="Z1055" s="245"/>
    </row>
    <row r="1056" spans="1:26" s="436" customFormat="1" ht="15" hidden="1">
      <c r="A1056" s="443"/>
      <c r="B1056" s="444"/>
      <c r="C1056" s="445" t="s">
        <v>970</v>
      </c>
      <c r="D1056" s="543" t="s">
        <v>236</v>
      </c>
      <c r="E1056" s="444" t="s">
        <v>1130</v>
      </c>
      <c r="F1056" s="446">
        <f t="shared" si="118"/>
        <v>0</v>
      </c>
      <c r="G1056" s="447">
        <f t="shared" si="119"/>
        <v>70</v>
      </c>
      <c r="H1056" s="442">
        <f t="shared" si="120"/>
        <v>0</v>
      </c>
      <c r="I1056" s="447">
        <f t="shared" si="121"/>
        <v>0</v>
      </c>
      <c r="J1056" s="544"/>
      <c r="K1056" s="444" t="s">
        <v>1130</v>
      </c>
      <c r="L1056" s="449">
        <v>70</v>
      </c>
      <c r="M1056" s="289"/>
      <c r="N1056" s="245"/>
      <c r="O1056" s="450">
        <v>0</v>
      </c>
      <c r="P1056" s="451">
        <f t="shared" si="122"/>
        <v>0</v>
      </c>
      <c r="Q1056" s="289"/>
      <c r="R1056" s="245"/>
      <c r="S1056" s="289"/>
      <c r="T1056" s="245"/>
      <c r="U1056" s="289"/>
      <c r="V1056" s="245"/>
      <c r="W1056" s="289"/>
      <c r="X1056" s="245"/>
      <c r="Y1056" s="289"/>
      <c r="Z1056" s="245"/>
    </row>
    <row r="1057" spans="1:26" s="436" customFormat="1" ht="15" hidden="1">
      <c r="A1057" s="443"/>
      <c r="B1057" s="444"/>
      <c r="C1057" s="445" t="s">
        <v>970</v>
      </c>
      <c r="D1057" s="543" t="s">
        <v>241</v>
      </c>
      <c r="E1057" s="444" t="s">
        <v>1130</v>
      </c>
      <c r="F1057" s="446">
        <f t="shared" si="118"/>
        <v>0</v>
      </c>
      <c r="G1057" s="447">
        <f t="shared" si="119"/>
        <v>80</v>
      </c>
      <c r="H1057" s="442">
        <f t="shared" si="120"/>
        <v>0</v>
      </c>
      <c r="I1057" s="447">
        <f t="shared" si="121"/>
        <v>0</v>
      </c>
      <c r="J1057" s="544"/>
      <c r="K1057" s="444" t="s">
        <v>1130</v>
      </c>
      <c r="L1057" s="449">
        <v>80</v>
      </c>
      <c r="M1057" s="289"/>
      <c r="N1057" s="245"/>
      <c r="O1057" s="450">
        <v>0</v>
      </c>
      <c r="P1057" s="451">
        <f t="shared" si="122"/>
        <v>0</v>
      </c>
      <c r="Q1057" s="289"/>
      <c r="R1057" s="245"/>
      <c r="S1057" s="289"/>
      <c r="T1057" s="245"/>
      <c r="U1057" s="289"/>
      <c r="V1057" s="245"/>
      <c r="W1057" s="289"/>
      <c r="X1057" s="245"/>
      <c r="Y1057" s="289"/>
      <c r="Z1057" s="245"/>
    </row>
    <row r="1058" spans="1:26" s="436" customFormat="1" ht="15" hidden="1">
      <c r="A1058" s="443"/>
      <c r="B1058" s="444"/>
      <c r="C1058" s="445" t="s">
        <v>970</v>
      </c>
      <c r="D1058" s="543" t="s">
        <v>972</v>
      </c>
      <c r="E1058" s="444" t="s">
        <v>1130</v>
      </c>
      <c r="F1058" s="446">
        <f t="shared" si="118"/>
        <v>0</v>
      </c>
      <c r="G1058" s="447">
        <f t="shared" si="119"/>
        <v>80</v>
      </c>
      <c r="H1058" s="442">
        <f t="shared" si="120"/>
        <v>0</v>
      </c>
      <c r="I1058" s="447">
        <f t="shared" si="121"/>
        <v>0</v>
      </c>
      <c r="J1058" s="544"/>
      <c r="K1058" s="444" t="s">
        <v>1130</v>
      </c>
      <c r="L1058" s="449">
        <v>80</v>
      </c>
      <c r="M1058" s="289"/>
      <c r="N1058" s="245"/>
      <c r="O1058" s="450">
        <v>0</v>
      </c>
      <c r="P1058" s="451">
        <f t="shared" si="122"/>
        <v>0</v>
      </c>
      <c r="Q1058" s="289"/>
      <c r="R1058" s="245"/>
      <c r="S1058" s="289"/>
      <c r="T1058" s="245"/>
      <c r="U1058" s="289"/>
      <c r="V1058" s="245"/>
      <c r="W1058" s="289"/>
      <c r="X1058" s="245"/>
      <c r="Y1058" s="289"/>
      <c r="Z1058" s="245"/>
    </row>
    <row r="1059" spans="1:26" s="436" customFormat="1" ht="15" hidden="1">
      <c r="A1059" s="443"/>
      <c r="B1059" s="444"/>
      <c r="C1059" s="445" t="s">
        <v>970</v>
      </c>
      <c r="D1059" s="543" t="s">
        <v>973</v>
      </c>
      <c r="E1059" s="444" t="s">
        <v>1130</v>
      </c>
      <c r="F1059" s="446">
        <f t="shared" si="118"/>
        <v>0</v>
      </c>
      <c r="G1059" s="447">
        <f t="shared" si="119"/>
        <v>80</v>
      </c>
      <c r="H1059" s="442">
        <f t="shared" si="120"/>
        <v>0</v>
      </c>
      <c r="I1059" s="447">
        <f t="shared" si="121"/>
        <v>0</v>
      </c>
      <c r="J1059" s="544"/>
      <c r="K1059" s="444" t="s">
        <v>1130</v>
      </c>
      <c r="L1059" s="449">
        <v>80</v>
      </c>
      <c r="M1059" s="289"/>
      <c r="N1059" s="245"/>
      <c r="O1059" s="450">
        <v>0</v>
      </c>
      <c r="P1059" s="451">
        <f t="shared" si="122"/>
        <v>0</v>
      </c>
      <c r="Q1059" s="289"/>
      <c r="R1059" s="245"/>
      <c r="S1059" s="289"/>
      <c r="T1059" s="245"/>
      <c r="U1059" s="289"/>
      <c r="V1059" s="245"/>
      <c r="W1059" s="289"/>
      <c r="X1059" s="245"/>
      <c r="Y1059" s="289"/>
      <c r="Z1059" s="245"/>
    </row>
    <row r="1060" spans="1:26" ht="15" hidden="1" customHeight="1">
      <c r="A1060" s="250"/>
      <c r="B1060" s="251"/>
      <c r="C1060" s="453"/>
      <c r="D1060" s="330"/>
      <c r="E1060" s="251"/>
      <c r="F1060" s="252"/>
      <c r="G1060" s="253"/>
      <c r="H1060" s="254"/>
      <c r="I1060" s="253"/>
      <c r="J1060" s="253"/>
      <c r="K1060" s="251"/>
      <c r="L1060" s="253"/>
      <c r="M1060" s="289"/>
      <c r="N1060" s="245"/>
      <c r="O1060" s="258"/>
      <c r="P1060" s="257"/>
      <c r="Q1060" s="289"/>
      <c r="R1060" s="245"/>
      <c r="S1060" s="289"/>
      <c r="T1060" s="245"/>
      <c r="U1060" s="289"/>
      <c r="V1060" s="245"/>
      <c r="W1060" s="289"/>
      <c r="X1060" s="245"/>
      <c r="Y1060" s="289"/>
      <c r="Z1060" s="245"/>
    </row>
    <row r="1061" spans="1:26" ht="15" hidden="1" customHeight="1">
      <c r="A1061" s="250"/>
      <c r="B1061" s="251"/>
      <c r="C1061" s="453" t="s">
        <v>974</v>
      </c>
      <c r="D1061" s="330" t="s">
        <v>975</v>
      </c>
      <c r="E1061" s="251"/>
      <c r="F1061" s="252"/>
      <c r="G1061" s="253"/>
      <c r="H1061" s="254"/>
      <c r="I1061" s="253"/>
      <c r="J1061" s="253"/>
      <c r="K1061" s="251"/>
      <c r="L1061" s="253"/>
      <c r="M1061" s="289"/>
      <c r="N1061" s="245"/>
      <c r="O1061" s="258"/>
      <c r="P1061" s="257"/>
      <c r="Q1061" s="289"/>
      <c r="R1061" s="245"/>
      <c r="S1061" s="289"/>
      <c r="T1061" s="245"/>
      <c r="U1061" s="289"/>
      <c r="V1061" s="245"/>
      <c r="W1061" s="289"/>
      <c r="X1061" s="245"/>
      <c r="Y1061" s="289"/>
      <c r="Z1061" s="245"/>
    </row>
    <row r="1062" spans="1:26" s="436" customFormat="1" ht="15" hidden="1">
      <c r="A1062" s="443"/>
      <c r="B1062" s="444"/>
      <c r="C1062" s="445" t="s">
        <v>976</v>
      </c>
      <c r="D1062" s="543" t="s">
        <v>977</v>
      </c>
      <c r="E1062" s="444" t="s">
        <v>1130</v>
      </c>
      <c r="F1062" s="446">
        <f t="shared" ref="F1062:F1070" si="123">M1062+O1062+Q1062+S1062+U1062+W1062+Y1062</f>
        <v>0</v>
      </c>
      <c r="G1062" s="447">
        <f t="shared" ref="G1062:G1070" si="124">L1062</f>
        <v>54</v>
      </c>
      <c r="H1062" s="442">
        <f t="shared" ref="H1062:H1070" si="125">F1062*G1062</f>
        <v>0</v>
      </c>
      <c r="I1062" s="447">
        <f t="shared" ref="I1062:I1070" si="126">N1062+P1062+R1062+T1062+V1062+X1062+Z1062</f>
        <v>0</v>
      </c>
      <c r="J1062" s="544"/>
      <c r="K1062" s="444" t="s">
        <v>1130</v>
      </c>
      <c r="L1062" s="449">
        <v>54</v>
      </c>
      <c r="M1062" s="289"/>
      <c r="N1062" s="245"/>
      <c r="O1062" s="450">
        <v>0</v>
      </c>
      <c r="P1062" s="451">
        <f t="shared" ref="P1062:P1070" si="127">INT($L1062*O1062*100+0.5)/100</f>
        <v>0</v>
      </c>
      <c r="Q1062" s="289"/>
      <c r="R1062" s="245"/>
      <c r="S1062" s="289"/>
      <c r="T1062" s="245"/>
      <c r="U1062" s="289"/>
      <c r="V1062" s="245"/>
      <c r="W1062" s="289"/>
      <c r="X1062" s="245"/>
      <c r="Y1062" s="289"/>
      <c r="Z1062" s="245"/>
    </row>
    <row r="1063" spans="1:26" s="436" customFormat="1" ht="15" hidden="1">
      <c r="A1063" s="443"/>
      <c r="B1063" s="444"/>
      <c r="C1063" s="445" t="s">
        <v>978</v>
      </c>
      <c r="D1063" s="543" t="s">
        <v>979</v>
      </c>
      <c r="E1063" s="444" t="s">
        <v>1130</v>
      </c>
      <c r="F1063" s="446">
        <f t="shared" si="123"/>
        <v>0</v>
      </c>
      <c r="G1063" s="447">
        <f t="shared" si="124"/>
        <v>85</v>
      </c>
      <c r="H1063" s="442">
        <f t="shared" si="125"/>
        <v>0</v>
      </c>
      <c r="I1063" s="447">
        <f t="shared" si="126"/>
        <v>0</v>
      </c>
      <c r="J1063" s="544"/>
      <c r="K1063" s="444" t="s">
        <v>1130</v>
      </c>
      <c r="L1063" s="449">
        <v>85</v>
      </c>
      <c r="M1063" s="289"/>
      <c r="N1063" s="245"/>
      <c r="O1063" s="450">
        <v>0</v>
      </c>
      <c r="P1063" s="451">
        <f t="shared" si="127"/>
        <v>0</v>
      </c>
      <c r="Q1063" s="289"/>
      <c r="R1063" s="245"/>
      <c r="S1063" s="289"/>
      <c r="T1063" s="245"/>
      <c r="U1063" s="289"/>
      <c r="V1063" s="245"/>
      <c r="W1063" s="289"/>
      <c r="X1063" s="245"/>
      <c r="Y1063" s="289"/>
      <c r="Z1063" s="245"/>
    </row>
    <row r="1064" spans="1:26" s="436" customFormat="1" ht="15" hidden="1">
      <c r="A1064" s="443"/>
      <c r="B1064" s="444"/>
      <c r="C1064" s="445" t="s">
        <v>980</v>
      </c>
      <c r="D1064" s="543" t="s">
        <v>981</v>
      </c>
      <c r="E1064" s="444" t="s">
        <v>1130</v>
      </c>
      <c r="F1064" s="446">
        <f t="shared" si="123"/>
        <v>0</v>
      </c>
      <c r="G1064" s="447">
        <f t="shared" si="124"/>
        <v>90</v>
      </c>
      <c r="H1064" s="442">
        <f t="shared" si="125"/>
        <v>0</v>
      </c>
      <c r="I1064" s="447">
        <f t="shared" si="126"/>
        <v>0</v>
      </c>
      <c r="J1064" s="544"/>
      <c r="K1064" s="444" t="s">
        <v>1130</v>
      </c>
      <c r="L1064" s="449">
        <v>90</v>
      </c>
      <c r="M1064" s="289"/>
      <c r="N1064" s="245"/>
      <c r="O1064" s="450">
        <v>0</v>
      </c>
      <c r="P1064" s="451">
        <f t="shared" si="127"/>
        <v>0</v>
      </c>
      <c r="Q1064" s="289"/>
      <c r="R1064" s="245"/>
      <c r="S1064" s="289"/>
      <c r="T1064" s="245"/>
      <c r="U1064" s="289"/>
      <c r="V1064" s="245"/>
      <c r="W1064" s="289"/>
      <c r="X1064" s="245"/>
      <c r="Y1064" s="289"/>
      <c r="Z1064" s="245"/>
    </row>
    <row r="1065" spans="1:26" s="436" customFormat="1" ht="15" hidden="1">
      <c r="A1065" s="443"/>
      <c r="B1065" s="444"/>
      <c r="C1065" s="445" t="s">
        <v>982</v>
      </c>
      <c r="D1065" s="543" t="s">
        <v>221</v>
      </c>
      <c r="E1065" s="444" t="s">
        <v>1130</v>
      </c>
      <c r="F1065" s="446">
        <f t="shared" si="123"/>
        <v>0</v>
      </c>
      <c r="G1065" s="447">
        <f t="shared" si="124"/>
        <v>112</v>
      </c>
      <c r="H1065" s="442">
        <f t="shared" si="125"/>
        <v>0</v>
      </c>
      <c r="I1065" s="447">
        <f t="shared" si="126"/>
        <v>0</v>
      </c>
      <c r="J1065" s="544"/>
      <c r="K1065" s="444" t="s">
        <v>1130</v>
      </c>
      <c r="L1065" s="449">
        <v>112</v>
      </c>
      <c r="M1065" s="289"/>
      <c r="N1065" s="245"/>
      <c r="O1065" s="450">
        <v>0</v>
      </c>
      <c r="P1065" s="451">
        <f t="shared" si="127"/>
        <v>0</v>
      </c>
      <c r="Q1065" s="289"/>
      <c r="R1065" s="245"/>
      <c r="S1065" s="289"/>
      <c r="T1065" s="245"/>
      <c r="U1065" s="289"/>
      <c r="V1065" s="245"/>
      <c r="W1065" s="289"/>
      <c r="X1065" s="245"/>
      <c r="Y1065" s="289"/>
      <c r="Z1065" s="245"/>
    </row>
    <row r="1066" spans="1:26" s="436" customFormat="1" ht="15" hidden="1">
      <c r="A1066" s="443"/>
      <c r="B1066" s="444"/>
      <c r="C1066" s="445" t="s">
        <v>983</v>
      </c>
      <c r="D1066" s="543" t="s">
        <v>222</v>
      </c>
      <c r="E1066" s="444" t="s">
        <v>1130</v>
      </c>
      <c r="F1066" s="446">
        <f t="shared" si="123"/>
        <v>0</v>
      </c>
      <c r="G1066" s="447">
        <f t="shared" si="124"/>
        <v>150</v>
      </c>
      <c r="H1066" s="442">
        <f t="shared" si="125"/>
        <v>0</v>
      </c>
      <c r="I1066" s="447">
        <f t="shared" si="126"/>
        <v>0</v>
      </c>
      <c r="J1066" s="544"/>
      <c r="K1066" s="444" t="s">
        <v>1130</v>
      </c>
      <c r="L1066" s="449">
        <v>150</v>
      </c>
      <c r="M1066" s="289"/>
      <c r="N1066" s="245"/>
      <c r="O1066" s="450">
        <v>0</v>
      </c>
      <c r="P1066" s="451">
        <f t="shared" si="127"/>
        <v>0</v>
      </c>
      <c r="Q1066" s="289"/>
      <c r="R1066" s="245"/>
      <c r="S1066" s="289"/>
      <c r="T1066" s="245"/>
      <c r="U1066" s="289"/>
      <c r="V1066" s="245"/>
      <c r="W1066" s="289"/>
      <c r="X1066" s="245"/>
      <c r="Y1066" s="289"/>
      <c r="Z1066" s="245"/>
    </row>
    <row r="1067" spans="1:26" s="436" customFormat="1" ht="15" hidden="1">
      <c r="A1067" s="443"/>
      <c r="B1067" s="444"/>
      <c r="C1067" s="445" t="s">
        <v>984</v>
      </c>
      <c r="D1067" s="543" t="s">
        <v>223</v>
      </c>
      <c r="E1067" s="444" t="s">
        <v>1130</v>
      </c>
      <c r="F1067" s="446">
        <f t="shared" si="123"/>
        <v>0</v>
      </c>
      <c r="G1067" s="447">
        <f t="shared" si="124"/>
        <v>186</v>
      </c>
      <c r="H1067" s="442">
        <f t="shared" si="125"/>
        <v>0</v>
      </c>
      <c r="I1067" s="447">
        <f t="shared" si="126"/>
        <v>0</v>
      </c>
      <c r="J1067" s="544"/>
      <c r="K1067" s="444" t="s">
        <v>1130</v>
      </c>
      <c r="L1067" s="449">
        <v>186</v>
      </c>
      <c r="M1067" s="289"/>
      <c r="N1067" s="245"/>
      <c r="O1067" s="450">
        <v>0</v>
      </c>
      <c r="P1067" s="451">
        <f t="shared" si="127"/>
        <v>0</v>
      </c>
      <c r="Q1067" s="289"/>
      <c r="R1067" s="245"/>
      <c r="S1067" s="289"/>
      <c r="T1067" s="245"/>
      <c r="U1067" s="289"/>
      <c r="V1067" s="245"/>
      <c r="W1067" s="289"/>
      <c r="X1067" s="245"/>
      <c r="Y1067" s="289"/>
      <c r="Z1067" s="245"/>
    </row>
    <row r="1068" spans="1:26" s="436" customFormat="1" ht="15" hidden="1">
      <c r="A1068" s="443"/>
      <c r="B1068" s="444"/>
      <c r="C1068" s="445" t="s">
        <v>985</v>
      </c>
      <c r="D1068" s="543" t="s">
        <v>224</v>
      </c>
      <c r="E1068" s="444" t="s">
        <v>1130</v>
      </c>
      <c r="F1068" s="446">
        <f t="shared" si="123"/>
        <v>0</v>
      </c>
      <c r="G1068" s="447">
        <f t="shared" si="124"/>
        <v>245</v>
      </c>
      <c r="H1068" s="442">
        <f t="shared" si="125"/>
        <v>0</v>
      </c>
      <c r="I1068" s="447">
        <f t="shared" si="126"/>
        <v>0</v>
      </c>
      <c r="J1068" s="544"/>
      <c r="K1068" s="444" t="s">
        <v>1130</v>
      </c>
      <c r="L1068" s="449">
        <v>245</v>
      </c>
      <c r="M1068" s="289"/>
      <c r="N1068" s="245"/>
      <c r="O1068" s="450">
        <v>0</v>
      </c>
      <c r="P1068" s="451">
        <f t="shared" si="127"/>
        <v>0</v>
      </c>
      <c r="Q1068" s="289"/>
      <c r="R1068" s="245"/>
      <c r="S1068" s="289"/>
      <c r="T1068" s="245"/>
      <c r="U1068" s="289"/>
      <c r="V1068" s="245"/>
      <c r="W1068" s="289"/>
      <c r="X1068" s="245"/>
      <c r="Y1068" s="289"/>
      <c r="Z1068" s="245"/>
    </row>
    <row r="1069" spans="1:26" s="436" customFormat="1" ht="15" hidden="1">
      <c r="A1069" s="443"/>
      <c r="B1069" s="444"/>
      <c r="C1069" s="445" t="s">
        <v>986</v>
      </c>
      <c r="D1069" s="543" t="s">
        <v>235</v>
      </c>
      <c r="E1069" s="444" t="s">
        <v>1130</v>
      </c>
      <c r="F1069" s="446">
        <f t="shared" si="123"/>
        <v>0</v>
      </c>
      <c r="G1069" s="447">
        <f t="shared" si="124"/>
        <v>415</v>
      </c>
      <c r="H1069" s="442">
        <f t="shared" si="125"/>
        <v>0</v>
      </c>
      <c r="I1069" s="447">
        <f t="shared" si="126"/>
        <v>0</v>
      </c>
      <c r="J1069" s="544"/>
      <c r="K1069" s="444" t="s">
        <v>1130</v>
      </c>
      <c r="L1069" s="449">
        <v>415</v>
      </c>
      <c r="M1069" s="289"/>
      <c r="N1069" s="245"/>
      <c r="O1069" s="450">
        <v>0</v>
      </c>
      <c r="P1069" s="451">
        <f t="shared" si="127"/>
        <v>0</v>
      </c>
      <c r="Q1069" s="289"/>
      <c r="R1069" s="245"/>
      <c r="S1069" s="289"/>
      <c r="T1069" s="245"/>
      <c r="U1069" s="289"/>
      <c r="V1069" s="245"/>
      <c r="W1069" s="289"/>
      <c r="X1069" s="245"/>
      <c r="Y1069" s="289"/>
      <c r="Z1069" s="245"/>
    </row>
    <row r="1070" spans="1:26" s="436" customFormat="1" ht="15" hidden="1">
      <c r="A1070" s="443"/>
      <c r="B1070" s="444"/>
      <c r="C1070" s="445" t="s">
        <v>987</v>
      </c>
      <c r="D1070" s="543" t="s">
        <v>236</v>
      </c>
      <c r="E1070" s="444" t="s">
        <v>1130</v>
      </c>
      <c r="F1070" s="446">
        <f t="shared" si="123"/>
        <v>0</v>
      </c>
      <c r="G1070" s="447">
        <f t="shared" si="124"/>
        <v>470</v>
      </c>
      <c r="H1070" s="442">
        <f t="shared" si="125"/>
        <v>0</v>
      </c>
      <c r="I1070" s="447">
        <f t="shared" si="126"/>
        <v>0</v>
      </c>
      <c r="J1070" s="544"/>
      <c r="K1070" s="444" t="s">
        <v>1130</v>
      </c>
      <c r="L1070" s="449">
        <v>470</v>
      </c>
      <c r="M1070" s="289"/>
      <c r="N1070" s="245"/>
      <c r="O1070" s="450">
        <v>0</v>
      </c>
      <c r="P1070" s="451">
        <f t="shared" si="127"/>
        <v>0</v>
      </c>
      <c r="Q1070" s="289"/>
      <c r="R1070" s="245"/>
      <c r="S1070" s="289"/>
      <c r="T1070" s="245"/>
      <c r="U1070" s="289"/>
      <c r="V1070" s="245"/>
      <c r="W1070" s="289"/>
      <c r="X1070" s="245"/>
      <c r="Y1070" s="289"/>
      <c r="Z1070" s="245"/>
    </row>
    <row r="1071" spans="1:26" s="454" customFormat="1" ht="15">
      <c r="A1071" s="284"/>
      <c r="B1071" s="237"/>
      <c r="C1071" s="460"/>
      <c r="D1071" s="238"/>
      <c r="E1071" s="237"/>
      <c r="F1071" s="304"/>
      <c r="G1071" s="240"/>
      <c r="H1071" s="459"/>
      <c r="I1071" s="240"/>
      <c r="J1071" s="545"/>
      <c r="K1071" s="237"/>
      <c r="L1071" s="306"/>
      <c r="M1071" s="289"/>
      <c r="N1071" s="245"/>
      <c r="O1071" s="289"/>
      <c r="P1071" s="245"/>
      <c r="Q1071" s="289"/>
      <c r="R1071" s="245"/>
      <c r="S1071" s="289"/>
      <c r="T1071" s="245"/>
      <c r="U1071" s="289"/>
      <c r="V1071" s="245"/>
      <c r="W1071" s="289"/>
      <c r="X1071" s="245"/>
      <c r="Y1071" s="289"/>
      <c r="Z1071" s="245"/>
    </row>
    <row r="1072" spans="1:26" s="436" customFormat="1" ht="15">
      <c r="A1072" s="443"/>
      <c r="B1072" s="444"/>
      <c r="C1072" s="445"/>
      <c r="D1072" s="543" t="s">
        <v>2020</v>
      </c>
      <c r="E1072" s="444"/>
      <c r="F1072" s="446"/>
      <c r="G1072" s="447"/>
      <c r="H1072" s="459"/>
      <c r="I1072" s="447">
        <f>P1072</f>
        <v>207475.12999999995</v>
      </c>
      <c r="J1072" s="544"/>
      <c r="K1072" s="444"/>
      <c r="L1072" s="449"/>
      <c r="M1072" s="289"/>
      <c r="N1072" s="245"/>
      <c r="O1072" s="450"/>
      <c r="P1072" s="451">
        <f>(250-100+250+70)*700*1.05-P1967-P1940</f>
        <v>207475.12999999995</v>
      </c>
      <c r="Q1072" s="289"/>
      <c r="R1072" s="245"/>
      <c r="S1072" s="289"/>
      <c r="T1072" s="245"/>
      <c r="U1072" s="289"/>
      <c r="V1072" s="245"/>
      <c r="W1072" s="289"/>
      <c r="X1072" s="245"/>
      <c r="Y1072" s="289"/>
      <c r="Z1072" s="245"/>
    </row>
    <row r="1073" spans="1:26" ht="15" customHeight="1">
      <c r="A1073" s="250"/>
      <c r="B1073" s="251"/>
      <c r="C1073" s="453"/>
      <c r="D1073" s="330"/>
      <c r="E1073" s="251"/>
      <c r="F1073" s="252"/>
      <c r="G1073" s="253"/>
      <c r="H1073" s="254"/>
      <c r="I1073" s="253"/>
      <c r="J1073" s="253"/>
      <c r="K1073" s="251"/>
      <c r="L1073" s="261"/>
      <c r="M1073" s="289"/>
      <c r="N1073" s="245"/>
      <c r="O1073" s="258"/>
      <c r="P1073" s="257"/>
      <c r="Q1073" s="258"/>
      <c r="R1073" s="257"/>
      <c r="S1073" s="258"/>
      <c r="T1073" s="257"/>
      <c r="U1073" s="258"/>
      <c r="V1073" s="257"/>
      <c r="W1073" s="258"/>
      <c r="X1073" s="257"/>
      <c r="Y1073" s="258"/>
      <c r="Z1073" s="257"/>
    </row>
    <row r="1074" spans="1:26" s="303" customFormat="1" ht="30">
      <c r="A1074" s="298"/>
      <c r="B1074" s="299"/>
      <c r="C1074" s="267"/>
      <c r="D1074" s="333" t="s">
        <v>989</v>
      </c>
      <c r="E1074" s="299"/>
      <c r="F1074" s="301"/>
      <c r="G1074" s="263"/>
      <c r="H1074" s="272"/>
      <c r="I1074" s="272">
        <f>N1074+P1074+R1074+T1074+V1074+X1074+Z1074</f>
        <v>207475.12999999995</v>
      </c>
      <c r="J1074" s="269">
        <f>SUM(N1074:Z1074)</f>
        <v>207475.12999999995</v>
      </c>
      <c r="K1074" s="299"/>
      <c r="L1074" s="271"/>
      <c r="M1074" s="323"/>
      <c r="N1074" s="323">
        <f>SUM(N719:N1073)</f>
        <v>0</v>
      </c>
      <c r="O1074" s="273"/>
      <c r="P1074" s="323">
        <f>SUM(P719:P1073)</f>
        <v>207475.12999999995</v>
      </c>
      <c r="Q1074" s="273"/>
      <c r="R1074" s="323">
        <f>SUM(R719:R1073)</f>
        <v>0</v>
      </c>
      <c r="S1074" s="273"/>
      <c r="T1074" s="323">
        <f>SUM(T719:T1073)</f>
        <v>0</v>
      </c>
      <c r="U1074" s="273"/>
      <c r="V1074" s="323">
        <f>SUM(V719:V1073)</f>
        <v>0</v>
      </c>
      <c r="W1074" s="273"/>
      <c r="X1074" s="323">
        <f>SUM(X719:X1073)</f>
        <v>0</v>
      </c>
      <c r="Y1074" s="273"/>
      <c r="Z1074" s="323">
        <f>SUM(Z719:Z1073)</f>
        <v>0</v>
      </c>
    </row>
    <row r="1075" spans="1:26" ht="15" customHeight="1">
      <c r="A1075" s="250"/>
      <c r="B1075" s="251"/>
      <c r="C1075" s="453"/>
      <c r="D1075" s="330"/>
      <c r="E1075" s="251"/>
      <c r="F1075" s="252"/>
      <c r="G1075" s="253"/>
      <c r="H1075" s="254"/>
      <c r="I1075" s="695">
        <f>I1074/'CompSolo Wolf'!I1063</f>
        <v>1.2506918360542507</v>
      </c>
      <c r="J1075" s="253"/>
      <c r="K1075" s="251"/>
      <c r="L1075" s="261"/>
      <c r="M1075" s="289"/>
      <c r="N1075" s="494">
        <f>N1074/$N$1941</f>
        <v>0</v>
      </c>
      <c r="O1075" s="258"/>
      <c r="P1075" s="257"/>
      <c r="Q1075" s="258"/>
      <c r="R1075" s="257"/>
      <c r="S1075" s="258"/>
      <c r="T1075" s="257"/>
      <c r="U1075" s="258"/>
      <c r="V1075" s="257"/>
      <c r="W1075" s="258"/>
      <c r="X1075" s="257"/>
      <c r="Y1075" s="258"/>
      <c r="Z1075" s="257"/>
    </row>
    <row r="1076" spans="1:26" ht="25.5">
      <c r="A1076" s="250"/>
      <c r="B1076" s="251"/>
      <c r="C1076" s="453" t="s">
        <v>1572</v>
      </c>
      <c r="D1076" s="330" t="s">
        <v>1573</v>
      </c>
      <c r="E1076" s="251"/>
      <c r="F1076" s="252"/>
      <c r="G1076" s="253"/>
      <c r="H1076" s="254"/>
      <c r="I1076" s="253"/>
      <c r="J1076" s="253"/>
      <c r="K1076" s="251"/>
      <c r="L1076" s="261"/>
      <c r="M1076" s="289"/>
      <c r="N1076" s="245"/>
      <c r="O1076" s="258"/>
      <c r="P1076" s="257"/>
      <c r="Q1076" s="258"/>
      <c r="R1076" s="257"/>
      <c r="S1076" s="258"/>
      <c r="T1076" s="257"/>
      <c r="U1076" s="258"/>
      <c r="V1076" s="257"/>
      <c r="W1076" s="258"/>
      <c r="X1076" s="257"/>
      <c r="Y1076" s="258"/>
      <c r="Z1076" s="257"/>
    </row>
    <row r="1077" spans="1:26" ht="25.5">
      <c r="A1077" s="250">
        <f>A710+1</f>
        <v>194</v>
      </c>
      <c r="B1077" s="251"/>
      <c r="C1077" s="526" t="s">
        <v>837</v>
      </c>
      <c r="D1077" s="526" t="s">
        <v>2507</v>
      </c>
      <c r="E1077" s="251"/>
      <c r="F1077" s="252"/>
      <c r="G1077" s="253"/>
      <c r="H1077" s="254"/>
      <c r="I1077" s="253"/>
      <c r="J1077" s="253"/>
      <c r="K1077" s="251"/>
      <c r="L1077" s="261"/>
      <c r="M1077" s="289"/>
      <c r="N1077" s="245"/>
      <c r="O1077" s="258"/>
      <c r="P1077" s="257"/>
      <c r="Q1077" s="258"/>
      <c r="R1077" s="257"/>
      <c r="S1077" s="258"/>
      <c r="T1077" s="257"/>
      <c r="U1077" s="258"/>
      <c r="V1077" s="257"/>
      <c r="W1077" s="258"/>
      <c r="X1077" s="257"/>
      <c r="Y1077" s="258"/>
      <c r="Z1077" s="257"/>
    </row>
    <row r="1078" spans="1:26" ht="25.5">
      <c r="A1078" s="250"/>
      <c r="B1078" s="251"/>
      <c r="C1078" s="526"/>
      <c r="D1078" s="526" t="s">
        <v>2506</v>
      </c>
      <c r="E1078" s="251"/>
      <c r="F1078" s="252"/>
      <c r="G1078" s="253"/>
      <c r="H1078" s="254"/>
      <c r="I1078" s="253"/>
      <c r="J1078" s="253"/>
      <c r="K1078" s="251"/>
      <c r="L1078" s="261"/>
      <c r="M1078" s="289"/>
      <c r="N1078" s="245"/>
      <c r="O1078" s="258"/>
      <c r="P1078" s="257"/>
      <c r="Q1078" s="258"/>
      <c r="R1078" s="257"/>
      <c r="S1078" s="258"/>
      <c r="T1078" s="257"/>
      <c r="U1078" s="258"/>
      <c r="V1078" s="257"/>
      <c r="W1078" s="258"/>
      <c r="X1078" s="257"/>
      <c r="Y1078" s="258"/>
      <c r="Z1078" s="257"/>
    </row>
    <row r="1079" spans="1:26" ht="15" customHeight="1">
      <c r="A1079" s="250" t="s">
        <v>726</v>
      </c>
      <c r="B1079" s="251"/>
      <c r="C1079" s="647" t="s">
        <v>830</v>
      </c>
      <c r="D1079" s="526" t="s">
        <v>2176</v>
      </c>
      <c r="E1079" s="251" t="s">
        <v>2475</v>
      </c>
      <c r="F1079" s="304">
        <f t="shared" ref="F1079:F1086" si="128">M1079+O1079+Q1079+S1079+U1079+W1079+Y1079</f>
        <v>40</v>
      </c>
      <c r="G1079" s="253">
        <f t="shared" ref="G1079:G1086" si="129">L1079</f>
        <v>15.259999999999998</v>
      </c>
      <c r="H1079" s="254">
        <f>INT(F1079*G1079*100+0.5)/100</f>
        <v>610.4</v>
      </c>
      <c r="I1079" s="253">
        <f t="shared" ref="I1079:I1086" si="130">N1079+P1079+R1079+T1079+V1079+X1079+Z1079</f>
        <v>610.4</v>
      </c>
      <c r="J1079" s="253"/>
      <c r="K1079" s="251" t="s">
        <v>2475</v>
      </c>
      <c r="L1079" s="255">
        <f>(60.75-45.49)</f>
        <v>15.259999999999998</v>
      </c>
      <c r="M1079" s="289">
        <f>5*8</f>
        <v>40</v>
      </c>
      <c r="N1079" s="245">
        <f t="shared" ref="N1079:N1086" si="131">INT($L1079*M1079*100+0.5)/100</f>
        <v>610.4</v>
      </c>
      <c r="O1079" s="258">
        <v>0</v>
      </c>
      <c r="P1079" s="257">
        <f t="shared" ref="P1079:P1086" si="132">INT($L1079*O1079*100+0.5)/100</f>
        <v>0</v>
      </c>
      <c r="Q1079" s="258">
        <v>0</v>
      </c>
      <c r="R1079" s="257">
        <f t="shared" ref="R1079:R1086" si="133">INT($L1079*Q1079*100+0.5)/100</f>
        <v>0</v>
      </c>
      <c r="S1079" s="258">
        <v>0</v>
      </c>
      <c r="T1079" s="257">
        <f t="shared" ref="T1079:T1086" si="134">INT($L1079*S1079*100+0.5)/100</f>
        <v>0</v>
      </c>
      <c r="U1079" s="258">
        <v>0</v>
      </c>
      <c r="V1079" s="257">
        <f t="shared" ref="V1079:V1086" si="135">INT($L1079*U1079*100+0.5)/100</f>
        <v>0</v>
      </c>
      <c r="W1079" s="258">
        <v>0</v>
      </c>
      <c r="X1079" s="257">
        <f t="shared" ref="X1079:X1086" si="136">INT($L1079*W1079*100+0.5)/100</f>
        <v>0</v>
      </c>
      <c r="Y1079" s="258">
        <v>0</v>
      </c>
      <c r="Z1079" s="257">
        <f t="shared" ref="Z1079:Z1086" si="137">INT($L1079*Y1079*100+0.5)/100</f>
        <v>0</v>
      </c>
    </row>
    <row r="1080" spans="1:26" ht="15" customHeight="1">
      <c r="A1080" s="250" t="s">
        <v>727</v>
      </c>
      <c r="B1080" s="251"/>
      <c r="C1080" s="647" t="s">
        <v>831</v>
      </c>
      <c r="D1080" s="292" t="s">
        <v>2177</v>
      </c>
      <c r="E1080" s="251" t="s">
        <v>2475</v>
      </c>
      <c r="F1080" s="304">
        <f t="shared" si="128"/>
        <v>105</v>
      </c>
      <c r="G1080" s="253">
        <f t="shared" si="129"/>
        <v>18.32</v>
      </c>
      <c r="H1080" s="254">
        <f t="shared" ref="H1080:H1086" si="138">INT(F1080*G1080*100+0.5)/100</f>
        <v>1923.6</v>
      </c>
      <c r="I1080" s="253">
        <f t="shared" si="130"/>
        <v>1923.6</v>
      </c>
      <c r="J1080" s="253"/>
      <c r="K1080" s="251" t="s">
        <v>2475</v>
      </c>
      <c r="L1080" s="255">
        <f>(69.28-50.96)</f>
        <v>18.32</v>
      </c>
      <c r="M1080" s="289">
        <f>90+5+5+5</f>
        <v>105</v>
      </c>
      <c r="N1080" s="245">
        <f t="shared" si="131"/>
        <v>1923.6</v>
      </c>
      <c r="O1080" s="258">
        <v>0</v>
      </c>
      <c r="P1080" s="257">
        <f t="shared" si="132"/>
        <v>0</v>
      </c>
      <c r="Q1080" s="258">
        <v>0</v>
      </c>
      <c r="R1080" s="257">
        <f t="shared" si="133"/>
        <v>0</v>
      </c>
      <c r="S1080" s="258">
        <v>0</v>
      </c>
      <c r="T1080" s="257">
        <f t="shared" si="134"/>
        <v>0</v>
      </c>
      <c r="U1080" s="258">
        <v>0</v>
      </c>
      <c r="V1080" s="257">
        <f t="shared" si="135"/>
        <v>0</v>
      </c>
      <c r="W1080" s="258">
        <v>0</v>
      </c>
      <c r="X1080" s="257">
        <f t="shared" si="136"/>
        <v>0</v>
      </c>
      <c r="Y1080" s="258">
        <v>0</v>
      </c>
      <c r="Z1080" s="257">
        <f t="shared" si="137"/>
        <v>0</v>
      </c>
    </row>
    <row r="1081" spans="1:26" s="281" customFormat="1" ht="15" customHeight="1">
      <c r="A1081" s="463"/>
      <c r="B1081" s="277"/>
      <c r="C1081" s="647"/>
      <c r="D1081" s="335" t="s">
        <v>2068</v>
      </c>
      <c r="E1081" s="251" t="s">
        <v>2475</v>
      </c>
      <c r="F1081" s="304">
        <f t="shared" si="128"/>
        <v>12</v>
      </c>
      <c r="G1081" s="253">
        <f t="shared" si="129"/>
        <v>18.32</v>
      </c>
      <c r="H1081" s="254">
        <f>INT(F1081*G1081*100+0.5)/100</f>
        <v>219.84</v>
      </c>
      <c r="I1081" s="253">
        <f t="shared" si="130"/>
        <v>219.84</v>
      </c>
      <c r="J1081" s="456"/>
      <c r="K1081" s="251" t="s">
        <v>2475</v>
      </c>
      <c r="L1081" s="255">
        <f>(69.28-50.96)</f>
        <v>18.32</v>
      </c>
      <c r="M1081" s="464">
        <v>12</v>
      </c>
      <c r="N1081" s="347">
        <f t="shared" si="131"/>
        <v>219.84</v>
      </c>
      <c r="O1081" s="258">
        <v>0</v>
      </c>
      <c r="P1081" s="257">
        <f t="shared" si="132"/>
        <v>0</v>
      </c>
      <c r="Q1081" s="258">
        <v>0</v>
      </c>
      <c r="R1081" s="257">
        <f t="shared" si="133"/>
        <v>0</v>
      </c>
      <c r="S1081" s="258">
        <v>0</v>
      </c>
      <c r="T1081" s="257">
        <f t="shared" si="134"/>
        <v>0</v>
      </c>
      <c r="U1081" s="258">
        <v>0</v>
      </c>
      <c r="V1081" s="257">
        <f t="shared" si="135"/>
        <v>0</v>
      </c>
      <c r="W1081" s="258">
        <v>0</v>
      </c>
      <c r="X1081" s="257">
        <f t="shared" si="136"/>
        <v>0</v>
      </c>
      <c r="Y1081" s="258">
        <v>0</v>
      </c>
      <c r="Z1081" s="257">
        <f t="shared" si="137"/>
        <v>0</v>
      </c>
    </row>
    <row r="1082" spans="1:26" ht="15" customHeight="1">
      <c r="A1082" s="250" t="s">
        <v>728</v>
      </c>
      <c r="B1082" s="251"/>
      <c r="C1082" s="647" t="s">
        <v>832</v>
      </c>
      <c r="D1082" s="292" t="s">
        <v>2174</v>
      </c>
      <c r="E1082" s="251" t="s">
        <v>2475</v>
      </c>
      <c r="F1082" s="304">
        <f t="shared" si="128"/>
        <v>12</v>
      </c>
      <c r="G1082" s="253">
        <f t="shared" si="129"/>
        <v>25.270000000000003</v>
      </c>
      <c r="H1082" s="254">
        <f t="shared" si="138"/>
        <v>303.24</v>
      </c>
      <c r="I1082" s="253">
        <f t="shared" si="130"/>
        <v>303.24</v>
      </c>
      <c r="J1082" s="253"/>
      <c r="K1082" s="251" t="s">
        <v>2475</v>
      </c>
      <c r="L1082" s="255">
        <f>(85.92-60.65)</f>
        <v>25.270000000000003</v>
      </c>
      <c r="M1082" s="464">
        <v>12</v>
      </c>
      <c r="N1082" s="347">
        <f t="shared" si="131"/>
        <v>303.24</v>
      </c>
      <c r="O1082" s="258">
        <v>0</v>
      </c>
      <c r="P1082" s="257">
        <f t="shared" si="132"/>
        <v>0</v>
      </c>
      <c r="Q1082" s="258">
        <v>0</v>
      </c>
      <c r="R1082" s="257">
        <f t="shared" si="133"/>
        <v>0</v>
      </c>
      <c r="S1082" s="258">
        <v>0</v>
      </c>
      <c r="T1082" s="257">
        <f t="shared" si="134"/>
        <v>0</v>
      </c>
      <c r="U1082" s="258">
        <v>0</v>
      </c>
      <c r="V1082" s="257">
        <f t="shared" si="135"/>
        <v>0</v>
      </c>
      <c r="W1082" s="258">
        <v>0</v>
      </c>
      <c r="X1082" s="257">
        <f t="shared" si="136"/>
        <v>0</v>
      </c>
      <c r="Y1082" s="258">
        <v>0</v>
      </c>
      <c r="Z1082" s="257">
        <f t="shared" si="137"/>
        <v>0</v>
      </c>
    </row>
    <row r="1083" spans="1:26" ht="15" customHeight="1">
      <c r="A1083" s="250" t="s">
        <v>732</v>
      </c>
      <c r="B1083" s="251"/>
      <c r="C1083" s="647" t="s">
        <v>833</v>
      </c>
      <c r="D1083" s="292" t="s">
        <v>1774</v>
      </c>
      <c r="E1083" s="251" t="s">
        <v>2475</v>
      </c>
      <c r="F1083" s="304">
        <f t="shared" si="128"/>
        <v>415</v>
      </c>
      <c r="G1083" s="253">
        <f t="shared" si="129"/>
        <v>34.549999999999997</v>
      </c>
      <c r="H1083" s="254">
        <f t="shared" si="138"/>
        <v>14338.25</v>
      </c>
      <c r="I1083" s="253">
        <f t="shared" si="130"/>
        <v>14338.25</v>
      </c>
      <c r="J1083" s="253"/>
      <c r="K1083" s="251" t="s">
        <v>2475</v>
      </c>
      <c r="L1083" s="255">
        <f>(105.25-70.7)</f>
        <v>34.549999999999997</v>
      </c>
      <c r="M1083" s="289">
        <f>145+250+20</f>
        <v>415</v>
      </c>
      <c r="N1083" s="245">
        <f t="shared" si="131"/>
        <v>14338.25</v>
      </c>
      <c r="O1083" s="258">
        <v>0</v>
      </c>
      <c r="P1083" s="257">
        <f t="shared" si="132"/>
        <v>0</v>
      </c>
      <c r="Q1083" s="258">
        <v>0</v>
      </c>
      <c r="R1083" s="257">
        <f t="shared" si="133"/>
        <v>0</v>
      </c>
      <c r="S1083" s="258">
        <v>0</v>
      </c>
      <c r="T1083" s="257">
        <f t="shared" si="134"/>
        <v>0</v>
      </c>
      <c r="U1083" s="258">
        <v>0</v>
      </c>
      <c r="V1083" s="257">
        <f t="shared" si="135"/>
        <v>0</v>
      </c>
      <c r="W1083" s="258">
        <v>0</v>
      </c>
      <c r="X1083" s="257">
        <f t="shared" si="136"/>
        <v>0</v>
      </c>
      <c r="Y1083" s="258">
        <v>0</v>
      </c>
      <c r="Z1083" s="257">
        <f t="shared" si="137"/>
        <v>0</v>
      </c>
    </row>
    <row r="1084" spans="1:26" ht="15" customHeight="1">
      <c r="A1084" s="250" t="s">
        <v>733</v>
      </c>
      <c r="B1084" s="251"/>
      <c r="C1084" s="647" t="s">
        <v>834</v>
      </c>
      <c r="D1084" s="292" t="s">
        <v>2145</v>
      </c>
      <c r="E1084" s="251" t="s">
        <v>2475</v>
      </c>
      <c r="F1084" s="304">
        <f t="shared" si="128"/>
        <v>0</v>
      </c>
      <c r="G1084" s="253">
        <f t="shared" si="129"/>
        <v>34.000000000000014</v>
      </c>
      <c r="H1084" s="254">
        <f t="shared" si="138"/>
        <v>0</v>
      </c>
      <c r="I1084" s="253">
        <f t="shared" si="130"/>
        <v>0</v>
      </c>
      <c r="J1084" s="253"/>
      <c r="K1084" s="251" t="s">
        <v>2475</v>
      </c>
      <c r="L1084" s="255">
        <f>(131.55-97.55)</f>
        <v>34.000000000000014</v>
      </c>
      <c r="M1084" s="289">
        <v>0</v>
      </c>
      <c r="N1084" s="245">
        <f t="shared" si="131"/>
        <v>0</v>
      </c>
      <c r="O1084" s="258">
        <v>0</v>
      </c>
      <c r="P1084" s="257">
        <f t="shared" si="132"/>
        <v>0</v>
      </c>
      <c r="Q1084" s="258">
        <v>0</v>
      </c>
      <c r="R1084" s="257">
        <f t="shared" si="133"/>
        <v>0</v>
      </c>
      <c r="S1084" s="258">
        <v>0</v>
      </c>
      <c r="T1084" s="257">
        <f t="shared" si="134"/>
        <v>0</v>
      </c>
      <c r="U1084" s="258">
        <v>0</v>
      </c>
      <c r="V1084" s="257">
        <f t="shared" si="135"/>
        <v>0</v>
      </c>
      <c r="W1084" s="258">
        <v>0</v>
      </c>
      <c r="X1084" s="257">
        <f t="shared" si="136"/>
        <v>0</v>
      </c>
      <c r="Y1084" s="258">
        <v>0</v>
      </c>
      <c r="Z1084" s="257">
        <f t="shared" si="137"/>
        <v>0</v>
      </c>
    </row>
    <row r="1085" spans="1:26" ht="15" customHeight="1">
      <c r="A1085" s="250" t="s">
        <v>734</v>
      </c>
      <c r="B1085" s="251"/>
      <c r="C1085" s="647" t="s">
        <v>835</v>
      </c>
      <c r="D1085" s="292" t="s">
        <v>2146</v>
      </c>
      <c r="E1085" s="251" t="s">
        <v>2475</v>
      </c>
      <c r="F1085" s="304">
        <f t="shared" si="128"/>
        <v>0</v>
      </c>
      <c r="G1085" s="253">
        <f t="shared" si="129"/>
        <v>49.349999999999994</v>
      </c>
      <c r="H1085" s="254">
        <f t="shared" si="138"/>
        <v>0</v>
      </c>
      <c r="I1085" s="253">
        <f t="shared" si="130"/>
        <v>0</v>
      </c>
      <c r="J1085" s="253"/>
      <c r="K1085" s="251" t="s">
        <v>2475</v>
      </c>
      <c r="L1085" s="255">
        <f>(183.35-134)</f>
        <v>49.349999999999994</v>
      </c>
      <c r="M1085" s="289">
        <v>0</v>
      </c>
      <c r="N1085" s="245">
        <f t="shared" si="131"/>
        <v>0</v>
      </c>
      <c r="O1085" s="258">
        <v>0</v>
      </c>
      <c r="P1085" s="257">
        <f t="shared" si="132"/>
        <v>0</v>
      </c>
      <c r="Q1085" s="258">
        <v>0</v>
      </c>
      <c r="R1085" s="257">
        <f t="shared" si="133"/>
        <v>0</v>
      </c>
      <c r="S1085" s="258">
        <v>0</v>
      </c>
      <c r="T1085" s="257">
        <f t="shared" si="134"/>
        <v>0</v>
      </c>
      <c r="U1085" s="258">
        <v>0</v>
      </c>
      <c r="V1085" s="257">
        <f t="shared" si="135"/>
        <v>0</v>
      </c>
      <c r="W1085" s="258">
        <v>0</v>
      </c>
      <c r="X1085" s="257">
        <f t="shared" si="136"/>
        <v>0</v>
      </c>
      <c r="Y1085" s="258">
        <v>0</v>
      </c>
      <c r="Z1085" s="257">
        <f t="shared" si="137"/>
        <v>0</v>
      </c>
    </row>
    <row r="1086" spans="1:26" ht="15" customHeight="1">
      <c r="A1086" s="250" t="s">
        <v>735</v>
      </c>
      <c r="B1086" s="251"/>
      <c r="C1086" s="647" t="s">
        <v>836</v>
      </c>
      <c r="D1086" s="292" t="s">
        <v>920</v>
      </c>
      <c r="E1086" s="251" t="s">
        <v>2475</v>
      </c>
      <c r="F1086" s="304">
        <f t="shared" si="128"/>
        <v>0</v>
      </c>
      <c r="G1086" s="253">
        <f t="shared" si="129"/>
        <v>55.870000000000005</v>
      </c>
      <c r="H1086" s="254">
        <f t="shared" si="138"/>
        <v>0</v>
      </c>
      <c r="I1086" s="253">
        <f t="shared" si="130"/>
        <v>0</v>
      </c>
      <c r="J1086" s="253"/>
      <c r="K1086" s="251" t="s">
        <v>2475</v>
      </c>
      <c r="L1086" s="255">
        <f>(235.46-179.59)</f>
        <v>55.870000000000005</v>
      </c>
      <c r="M1086" s="289">
        <v>0</v>
      </c>
      <c r="N1086" s="245">
        <f t="shared" si="131"/>
        <v>0</v>
      </c>
      <c r="O1086" s="258">
        <v>0</v>
      </c>
      <c r="P1086" s="257">
        <f t="shared" si="132"/>
        <v>0</v>
      </c>
      <c r="Q1086" s="258">
        <v>0</v>
      </c>
      <c r="R1086" s="257">
        <f t="shared" si="133"/>
        <v>0</v>
      </c>
      <c r="S1086" s="258">
        <v>0</v>
      </c>
      <c r="T1086" s="257">
        <f t="shared" si="134"/>
        <v>0</v>
      </c>
      <c r="U1086" s="258">
        <v>0</v>
      </c>
      <c r="V1086" s="257">
        <f t="shared" si="135"/>
        <v>0</v>
      </c>
      <c r="W1086" s="258">
        <v>0</v>
      </c>
      <c r="X1086" s="257">
        <f t="shared" si="136"/>
        <v>0</v>
      </c>
      <c r="Y1086" s="258">
        <v>0</v>
      </c>
      <c r="Z1086" s="257">
        <f t="shared" si="137"/>
        <v>0</v>
      </c>
    </row>
    <row r="1087" spans="1:26" ht="15" customHeight="1">
      <c r="A1087" s="250"/>
      <c r="B1087" s="251"/>
      <c r="C1087" s="526"/>
      <c r="D1087" s="292"/>
      <c r="E1087" s="251"/>
      <c r="F1087" s="252"/>
      <c r="G1087" s="253"/>
      <c r="H1087" s="254"/>
      <c r="I1087" s="253"/>
      <c r="J1087" s="253"/>
      <c r="K1087" s="251"/>
      <c r="L1087" s="262"/>
      <c r="M1087" s="289"/>
      <c r="N1087" s="245"/>
      <c r="O1087" s="258"/>
      <c r="P1087" s="257"/>
      <c r="Q1087" s="258"/>
      <c r="R1087" s="257"/>
      <c r="S1087" s="258"/>
      <c r="T1087" s="257"/>
      <c r="U1087" s="258"/>
      <c r="V1087" s="257"/>
      <c r="W1087" s="258"/>
      <c r="X1087" s="257"/>
      <c r="Y1087" s="258"/>
      <c r="Z1087" s="257"/>
    </row>
    <row r="1088" spans="1:26" ht="25.5">
      <c r="A1088" s="250">
        <f>A1077+1</f>
        <v>195</v>
      </c>
      <c r="B1088" s="251"/>
      <c r="C1088" s="665" t="s">
        <v>2490</v>
      </c>
      <c r="D1088" s="526" t="s">
        <v>945</v>
      </c>
      <c r="E1088" s="251"/>
      <c r="F1088" s="252"/>
      <c r="G1088" s="253"/>
      <c r="H1088" s="254"/>
      <c r="I1088" s="253"/>
      <c r="J1088" s="253"/>
      <c r="K1088" s="251"/>
      <c r="L1088" s="262"/>
      <c r="M1088" s="289"/>
      <c r="N1088" s="245"/>
      <c r="O1088" s="258"/>
      <c r="P1088" s="257"/>
      <c r="Q1088" s="258"/>
      <c r="R1088" s="257"/>
      <c r="S1088" s="258"/>
      <c r="T1088" s="257"/>
      <c r="U1088" s="258"/>
      <c r="V1088" s="257"/>
      <c r="W1088" s="258"/>
      <c r="X1088" s="257"/>
      <c r="Y1088" s="258"/>
      <c r="Z1088" s="257"/>
    </row>
    <row r="1089" spans="1:35" ht="25.5">
      <c r="A1089" s="250"/>
      <c r="B1089" s="251"/>
      <c r="C1089" s="665"/>
      <c r="D1089" s="526" t="s">
        <v>839</v>
      </c>
      <c r="E1089" s="251"/>
      <c r="F1089" s="252"/>
      <c r="G1089" s="253"/>
      <c r="H1089" s="254"/>
      <c r="I1089" s="253"/>
      <c r="J1089" s="253"/>
      <c r="K1089" s="251"/>
      <c r="L1089" s="262"/>
      <c r="M1089" s="289"/>
      <c r="N1089" s="245"/>
      <c r="O1089" s="258"/>
      <c r="P1089" s="257"/>
      <c r="Q1089" s="258"/>
      <c r="R1089" s="257"/>
      <c r="S1089" s="258"/>
      <c r="T1089" s="257"/>
      <c r="U1089" s="258"/>
      <c r="V1089" s="257"/>
      <c r="W1089" s="258"/>
      <c r="X1089" s="257"/>
      <c r="Y1089" s="258"/>
      <c r="Z1089" s="257"/>
    </row>
    <row r="1090" spans="1:35" ht="15" customHeight="1">
      <c r="A1090" s="250" t="s">
        <v>726</v>
      </c>
      <c r="B1090" s="251"/>
      <c r="C1090" s="665" t="s">
        <v>740</v>
      </c>
      <c r="D1090" s="556" t="s">
        <v>223</v>
      </c>
      <c r="E1090" s="251" t="s">
        <v>1901</v>
      </c>
      <c r="F1090" s="304">
        <f>M1090+O1090+Q1090+S1090+U1090+W1090+Y1090</f>
        <v>0</v>
      </c>
      <c r="G1090" s="253">
        <f>L1090</f>
        <v>12.189999999999998</v>
      </c>
      <c r="H1090" s="254">
        <f>F1090*G1090</f>
        <v>0</v>
      </c>
      <c r="I1090" s="253">
        <f>N1090+P1090+R1090+T1090+V1090+X1090+Z1090</f>
        <v>0</v>
      </c>
      <c r="J1090" s="253"/>
      <c r="K1090" s="251" t="s">
        <v>1901</v>
      </c>
      <c r="L1090" s="255">
        <f>151.37-139.18</f>
        <v>12.189999999999998</v>
      </c>
      <c r="M1090" s="289">
        <v>0</v>
      </c>
      <c r="N1090" s="245">
        <f>INT($L1090*M1090*100+0.5)/100</f>
        <v>0</v>
      </c>
      <c r="O1090" s="258">
        <v>0</v>
      </c>
      <c r="P1090" s="257">
        <f>INT($L1090*O1090*100+0.5)/100</f>
        <v>0</v>
      </c>
      <c r="Q1090" s="258">
        <v>0</v>
      </c>
      <c r="R1090" s="257">
        <f>INT($L1090*Q1090*100+0.5)/100</f>
        <v>0</v>
      </c>
      <c r="S1090" s="258">
        <v>0</v>
      </c>
      <c r="T1090" s="257">
        <f>INT($L1090*S1090*100+0.5)/100</f>
        <v>0</v>
      </c>
      <c r="U1090" s="258">
        <v>0</v>
      </c>
      <c r="V1090" s="257">
        <f>INT($L1090*U1090*100+0.5)/100</f>
        <v>0</v>
      </c>
      <c r="W1090" s="258">
        <v>0</v>
      </c>
      <c r="X1090" s="257">
        <f>INT($L1090*W1090*100+0.5)/100</f>
        <v>0</v>
      </c>
      <c r="Y1090" s="258">
        <v>0</v>
      </c>
      <c r="Z1090" s="257">
        <f>INT($L1090*Y1090*100+0.5)/100</f>
        <v>0</v>
      </c>
    </row>
    <row r="1091" spans="1:35" ht="15" customHeight="1">
      <c r="A1091" s="250" t="s">
        <v>727</v>
      </c>
      <c r="B1091" s="251"/>
      <c r="C1091" s="665" t="s">
        <v>741</v>
      </c>
      <c r="D1091" s="556" t="s">
        <v>224</v>
      </c>
      <c r="E1091" s="251" t="s">
        <v>1901</v>
      </c>
      <c r="F1091" s="304">
        <f>M1091+O1091+Q1091+S1091+U1091+W1091+Y1091</f>
        <v>0</v>
      </c>
      <c r="G1091" s="253">
        <f>L1091</f>
        <v>12.199999999999989</v>
      </c>
      <c r="H1091" s="254">
        <f>F1091*G1091</f>
        <v>0</v>
      </c>
      <c r="I1091" s="253">
        <f>N1091+P1091+R1091+T1091+V1091+X1091+Z1091</f>
        <v>0</v>
      </c>
      <c r="J1091" s="253"/>
      <c r="K1091" s="251" t="s">
        <v>1901</v>
      </c>
      <c r="L1091" s="255">
        <f>171.25-159.05</f>
        <v>12.199999999999989</v>
      </c>
      <c r="M1091" s="289">
        <v>0</v>
      </c>
      <c r="N1091" s="245">
        <f>INT($L1091*M1091*100+0.5)/100</f>
        <v>0</v>
      </c>
      <c r="O1091" s="258">
        <v>0</v>
      </c>
      <c r="P1091" s="257">
        <f>INT($L1091*O1091*100+0.5)/100</f>
        <v>0</v>
      </c>
      <c r="Q1091" s="258">
        <v>0</v>
      </c>
      <c r="R1091" s="257">
        <f>INT($L1091*Q1091*100+0.5)/100</f>
        <v>0</v>
      </c>
      <c r="S1091" s="258">
        <v>0</v>
      </c>
      <c r="T1091" s="257">
        <f>INT($L1091*S1091*100+0.5)/100</f>
        <v>0</v>
      </c>
      <c r="U1091" s="258">
        <v>0</v>
      </c>
      <c r="V1091" s="257">
        <f>INT($L1091*U1091*100+0.5)/100</f>
        <v>0</v>
      </c>
      <c r="W1091" s="258">
        <v>0</v>
      </c>
      <c r="X1091" s="257">
        <f>INT($L1091*W1091*100+0.5)/100</f>
        <v>0</v>
      </c>
      <c r="Y1091" s="258">
        <v>0</v>
      </c>
      <c r="Z1091" s="257">
        <f>INT($L1091*Y1091*100+0.5)/100</f>
        <v>0</v>
      </c>
      <c r="AG1091" s="183" t="s">
        <v>1454</v>
      </c>
    </row>
    <row r="1092" spans="1:35" ht="15" customHeight="1">
      <c r="A1092" s="250" t="s">
        <v>728</v>
      </c>
      <c r="B1092" s="251"/>
      <c r="C1092" s="665" t="s">
        <v>742</v>
      </c>
      <c r="D1092" s="556" t="s">
        <v>235</v>
      </c>
      <c r="E1092" s="251" t="s">
        <v>1901</v>
      </c>
      <c r="F1092" s="304">
        <f>M1092+O1092+Q1092+S1092+U1092+W1092+Y1092</f>
        <v>0</v>
      </c>
      <c r="G1092" s="253">
        <f>L1092</f>
        <v>12.200000000000017</v>
      </c>
      <c r="H1092" s="254">
        <f>F1092*G1092</f>
        <v>0</v>
      </c>
      <c r="I1092" s="253">
        <f>N1092+P1092+R1092+T1092+V1092+X1092+Z1092</f>
        <v>0</v>
      </c>
      <c r="J1092" s="253"/>
      <c r="K1092" s="251" t="s">
        <v>1901</v>
      </c>
      <c r="L1092" s="255">
        <f>228.08-215.88</f>
        <v>12.200000000000017</v>
      </c>
      <c r="M1092" s="289">
        <v>0</v>
      </c>
      <c r="N1092" s="245">
        <f>INT($L1092*M1092*100+0.5)/100</f>
        <v>0</v>
      </c>
      <c r="O1092" s="258">
        <v>0</v>
      </c>
      <c r="P1092" s="257">
        <f>INT($L1092*O1092*100+0.5)/100</f>
        <v>0</v>
      </c>
      <c r="Q1092" s="258">
        <v>0</v>
      </c>
      <c r="R1092" s="257">
        <f>INT($L1092*Q1092*100+0.5)/100</f>
        <v>0</v>
      </c>
      <c r="S1092" s="258">
        <v>0</v>
      </c>
      <c r="T1092" s="257">
        <f>INT($L1092*S1092*100+0.5)/100</f>
        <v>0</v>
      </c>
      <c r="U1092" s="258">
        <v>0</v>
      </c>
      <c r="V1092" s="257">
        <f>INT($L1092*U1092*100+0.5)/100</f>
        <v>0</v>
      </c>
      <c r="W1092" s="258">
        <v>0</v>
      </c>
      <c r="X1092" s="257">
        <f>INT($L1092*W1092*100+0.5)/100</f>
        <v>0</v>
      </c>
      <c r="Y1092" s="258">
        <v>0</v>
      </c>
      <c r="Z1092" s="257">
        <f>INT($L1092*Y1092*100+0.5)/100</f>
        <v>0</v>
      </c>
    </row>
    <row r="1093" spans="1:35" ht="15" customHeight="1">
      <c r="A1093" s="250" t="s">
        <v>732</v>
      </c>
      <c r="B1093" s="251"/>
      <c r="C1093" s="665" t="s">
        <v>743</v>
      </c>
      <c r="D1093" s="556" t="s">
        <v>236</v>
      </c>
      <c r="E1093" s="251" t="s">
        <v>1901</v>
      </c>
      <c r="F1093" s="304">
        <f>M1093+O1093+Q1093+S1093+U1093+W1093+Y1093</f>
        <v>3</v>
      </c>
      <c r="G1093" s="253">
        <f>L1093</f>
        <v>12.200000000000017</v>
      </c>
      <c r="H1093" s="254">
        <f>F1093*G1093</f>
        <v>36.600000000000051</v>
      </c>
      <c r="I1093" s="253">
        <f>N1093+P1093+R1093+T1093+V1093+X1093+Z1093</f>
        <v>36.6</v>
      </c>
      <c r="J1093" s="253"/>
      <c r="K1093" s="251" t="s">
        <v>1901</v>
      </c>
      <c r="L1093" s="255">
        <f>262.72-250.52</f>
        <v>12.200000000000017</v>
      </c>
      <c r="M1093" s="289">
        <v>3</v>
      </c>
      <c r="N1093" s="245">
        <f>INT($L1093*M1093*100+0.5)/100</f>
        <v>36.6</v>
      </c>
      <c r="O1093" s="258">
        <v>0</v>
      </c>
      <c r="P1093" s="257">
        <f>INT($L1093*O1093*100+0.5)/100</f>
        <v>0</v>
      </c>
      <c r="Q1093" s="258">
        <v>0</v>
      </c>
      <c r="R1093" s="257">
        <f>INT($L1093*Q1093*100+0.5)/100</f>
        <v>0</v>
      </c>
      <c r="S1093" s="258">
        <v>0</v>
      </c>
      <c r="T1093" s="257">
        <f>INT($L1093*S1093*100+0.5)/100</f>
        <v>0</v>
      </c>
      <c r="U1093" s="258">
        <v>0</v>
      </c>
      <c r="V1093" s="257">
        <f>INT($L1093*U1093*100+0.5)/100</f>
        <v>0</v>
      </c>
      <c r="W1093" s="258">
        <v>0</v>
      </c>
      <c r="X1093" s="257">
        <f>INT($L1093*W1093*100+0.5)/100</f>
        <v>0</v>
      </c>
      <c r="Y1093" s="258">
        <v>0</v>
      </c>
      <c r="Z1093" s="257">
        <f>INT($L1093*Y1093*100+0.5)/100</f>
        <v>0</v>
      </c>
      <c r="AG1093" s="255">
        <v>147.72</v>
      </c>
      <c r="AH1093" s="289">
        <v>5</v>
      </c>
      <c r="AI1093" s="245">
        <f>AG1093*AH1093</f>
        <v>738.6</v>
      </c>
    </row>
    <row r="1094" spans="1:35" ht="15" customHeight="1">
      <c r="A1094" s="250"/>
      <c r="B1094" s="251"/>
      <c r="C1094" s="665"/>
      <c r="D1094" s="556"/>
      <c r="E1094" s="251"/>
      <c r="F1094" s="252"/>
      <c r="G1094" s="253"/>
      <c r="H1094" s="254"/>
      <c r="I1094" s="253"/>
      <c r="J1094" s="253"/>
      <c r="K1094" s="251"/>
      <c r="L1094" s="262"/>
      <c r="M1094" s="289"/>
      <c r="N1094" s="245"/>
      <c r="O1094" s="258"/>
      <c r="P1094" s="257"/>
      <c r="Q1094" s="258"/>
      <c r="R1094" s="257"/>
      <c r="S1094" s="258"/>
      <c r="T1094" s="257"/>
      <c r="U1094" s="258"/>
      <c r="V1094" s="257"/>
      <c r="W1094" s="258"/>
      <c r="X1094" s="257"/>
      <c r="Y1094" s="258"/>
      <c r="Z1094" s="257"/>
      <c r="AG1094" s="262"/>
      <c r="AH1094" s="289"/>
      <c r="AI1094" s="245"/>
    </row>
    <row r="1095" spans="1:35" ht="25.5">
      <c r="A1095" s="250">
        <f>A1088+1</f>
        <v>196</v>
      </c>
      <c r="B1095" s="251"/>
      <c r="C1095" s="665" t="s">
        <v>2491</v>
      </c>
      <c r="D1095" s="526" t="s">
        <v>946</v>
      </c>
      <c r="E1095" s="251"/>
      <c r="F1095" s="252"/>
      <c r="G1095" s="253"/>
      <c r="H1095" s="254"/>
      <c r="I1095" s="253"/>
      <c r="J1095" s="253"/>
      <c r="K1095" s="251"/>
      <c r="L1095" s="262"/>
      <c r="M1095" s="289"/>
      <c r="N1095" s="245"/>
      <c r="O1095" s="258"/>
      <c r="P1095" s="257"/>
      <c r="Q1095" s="258"/>
      <c r="R1095" s="257"/>
      <c r="S1095" s="258"/>
      <c r="T1095" s="257"/>
      <c r="U1095" s="258"/>
      <c r="V1095" s="257"/>
      <c r="W1095" s="258"/>
      <c r="X1095" s="257"/>
      <c r="Y1095" s="258"/>
      <c r="Z1095" s="257"/>
      <c r="AG1095" s="262"/>
      <c r="AH1095" s="289"/>
      <c r="AI1095" s="245"/>
    </row>
    <row r="1096" spans="1:35" ht="25.5">
      <c r="A1096" s="250"/>
      <c r="B1096" s="251"/>
      <c r="C1096" s="665"/>
      <c r="D1096" s="526" t="s">
        <v>2497</v>
      </c>
      <c r="E1096" s="251"/>
      <c r="F1096" s="252"/>
      <c r="G1096" s="253"/>
      <c r="H1096" s="254"/>
      <c r="I1096" s="253"/>
      <c r="J1096" s="253"/>
      <c r="K1096" s="251"/>
      <c r="L1096" s="262"/>
      <c r="M1096" s="289"/>
      <c r="N1096" s="245"/>
      <c r="O1096" s="258"/>
      <c r="P1096" s="257"/>
      <c r="Q1096" s="258"/>
      <c r="R1096" s="257"/>
      <c r="S1096" s="258"/>
      <c r="T1096" s="257"/>
      <c r="U1096" s="258"/>
      <c r="V1096" s="257"/>
      <c r="W1096" s="258"/>
      <c r="X1096" s="257"/>
      <c r="Y1096" s="258"/>
      <c r="Z1096" s="257"/>
      <c r="AG1096" s="262"/>
      <c r="AH1096" s="289"/>
      <c r="AI1096" s="245"/>
    </row>
    <row r="1097" spans="1:35" ht="15" customHeight="1">
      <c r="A1097" s="250" t="s">
        <v>726</v>
      </c>
      <c r="B1097" s="251"/>
      <c r="C1097" s="665" t="s">
        <v>744</v>
      </c>
      <c r="D1097" s="556" t="s">
        <v>223</v>
      </c>
      <c r="E1097" s="251" t="s">
        <v>1901</v>
      </c>
      <c r="F1097" s="304">
        <f>M1097+O1097+Q1097+S1097+U1097+W1097+Y1097</f>
        <v>0</v>
      </c>
      <c r="G1097" s="253">
        <f>L1097</f>
        <v>12.200000000000017</v>
      </c>
      <c r="H1097" s="254">
        <f>F1097*G1097</f>
        <v>0</v>
      </c>
      <c r="I1097" s="253">
        <f>N1097+P1097+R1097+T1097+V1097+X1097+Z1097</f>
        <v>0</v>
      </c>
      <c r="J1097" s="253"/>
      <c r="K1097" s="251" t="s">
        <v>1901</v>
      </c>
      <c r="L1097" s="255">
        <f>L1093</f>
        <v>12.200000000000017</v>
      </c>
      <c r="M1097" s="289">
        <v>0</v>
      </c>
      <c r="N1097" s="245">
        <f>INT($L1097*M1097*100+0.5)/100</f>
        <v>0</v>
      </c>
      <c r="O1097" s="258">
        <v>0</v>
      </c>
      <c r="P1097" s="257">
        <f>INT($L1097*O1097*100+0.5)/100</f>
        <v>0</v>
      </c>
      <c r="Q1097" s="258">
        <v>0</v>
      </c>
      <c r="R1097" s="257">
        <f>INT($L1097*Q1097*100+0.5)/100</f>
        <v>0</v>
      </c>
      <c r="S1097" s="258">
        <v>0</v>
      </c>
      <c r="T1097" s="257">
        <f>INT($L1097*S1097*100+0.5)/100</f>
        <v>0</v>
      </c>
      <c r="U1097" s="258">
        <v>0</v>
      </c>
      <c r="V1097" s="257">
        <f>INT($L1097*U1097*100+0.5)/100</f>
        <v>0</v>
      </c>
      <c r="W1097" s="258">
        <v>0</v>
      </c>
      <c r="X1097" s="257">
        <f>INT($L1097*W1097*100+0.5)/100</f>
        <v>0</v>
      </c>
      <c r="Y1097" s="258">
        <v>0</v>
      </c>
      <c r="Z1097" s="257">
        <f>INT($L1097*Y1097*100+0.5)/100</f>
        <v>0</v>
      </c>
      <c r="AG1097" s="255">
        <v>101.81</v>
      </c>
      <c r="AH1097" s="289">
        <v>0</v>
      </c>
      <c r="AI1097" s="245">
        <f>AG1097*AH1097</f>
        <v>0</v>
      </c>
    </row>
    <row r="1098" spans="1:35" ht="15" customHeight="1">
      <c r="A1098" s="250" t="s">
        <v>727</v>
      </c>
      <c r="B1098" s="251"/>
      <c r="C1098" s="665" t="s">
        <v>745</v>
      </c>
      <c r="D1098" s="556" t="s">
        <v>224</v>
      </c>
      <c r="E1098" s="251" t="s">
        <v>1901</v>
      </c>
      <c r="F1098" s="304">
        <f>M1098+O1098+Q1098+S1098+U1098+W1098+Y1098</f>
        <v>0</v>
      </c>
      <c r="G1098" s="253">
        <f>L1098</f>
        <v>12.200000000000017</v>
      </c>
      <c r="H1098" s="254">
        <f>F1098*G1098</f>
        <v>0</v>
      </c>
      <c r="I1098" s="253">
        <f>N1098+P1098+R1098+T1098+V1098+X1098+Z1098</f>
        <v>0</v>
      </c>
      <c r="J1098" s="253"/>
      <c r="K1098" s="251" t="s">
        <v>1901</v>
      </c>
      <c r="L1098" s="255">
        <f>L1097</f>
        <v>12.200000000000017</v>
      </c>
      <c r="M1098" s="289">
        <v>0</v>
      </c>
      <c r="N1098" s="245">
        <f>INT($L1098*M1098*100+0.5)/100</f>
        <v>0</v>
      </c>
      <c r="O1098" s="258">
        <v>0</v>
      </c>
      <c r="P1098" s="257">
        <f>INT($L1098*O1098*100+0.5)/100</f>
        <v>0</v>
      </c>
      <c r="Q1098" s="258">
        <v>0</v>
      </c>
      <c r="R1098" s="257">
        <f>INT($L1098*Q1098*100+0.5)/100</f>
        <v>0</v>
      </c>
      <c r="S1098" s="258">
        <v>0</v>
      </c>
      <c r="T1098" s="257">
        <f>INT($L1098*S1098*100+0.5)/100</f>
        <v>0</v>
      </c>
      <c r="U1098" s="258">
        <v>0</v>
      </c>
      <c r="V1098" s="257">
        <f>INT($L1098*U1098*100+0.5)/100</f>
        <v>0</v>
      </c>
      <c r="W1098" s="258">
        <v>0</v>
      </c>
      <c r="X1098" s="257">
        <f>INT($L1098*W1098*100+0.5)/100</f>
        <v>0</v>
      </c>
      <c r="Y1098" s="258">
        <v>0</v>
      </c>
      <c r="Z1098" s="257">
        <f>INT($L1098*Y1098*100+0.5)/100</f>
        <v>0</v>
      </c>
      <c r="AG1098" s="255">
        <v>114.24</v>
      </c>
      <c r="AH1098" s="289">
        <v>0</v>
      </c>
      <c r="AI1098" s="245">
        <f>AG1098*AH1098</f>
        <v>0</v>
      </c>
    </row>
    <row r="1099" spans="1:35" ht="15" customHeight="1">
      <c r="A1099" s="250" t="s">
        <v>728</v>
      </c>
      <c r="B1099" s="251"/>
      <c r="C1099" s="665" t="s">
        <v>746</v>
      </c>
      <c r="D1099" s="556" t="s">
        <v>235</v>
      </c>
      <c r="E1099" s="251" t="s">
        <v>1901</v>
      </c>
      <c r="F1099" s="304">
        <f>M1099+O1099+Q1099+S1099+U1099+W1099+Y1099</f>
        <v>0</v>
      </c>
      <c r="G1099" s="253">
        <f>L1099</f>
        <v>12.200000000000017</v>
      </c>
      <c r="H1099" s="254">
        <f>F1099*G1099</f>
        <v>0</v>
      </c>
      <c r="I1099" s="253">
        <f>N1099+P1099+R1099+T1099+V1099+X1099+Z1099</f>
        <v>0</v>
      </c>
      <c r="J1099" s="253"/>
      <c r="K1099" s="251" t="s">
        <v>1901</v>
      </c>
      <c r="L1099" s="255">
        <f>L1098</f>
        <v>12.200000000000017</v>
      </c>
      <c r="M1099" s="289">
        <v>0</v>
      </c>
      <c r="N1099" s="245">
        <f>INT($L1099*M1099*100+0.5)/100</f>
        <v>0</v>
      </c>
      <c r="O1099" s="258">
        <v>0</v>
      </c>
      <c r="P1099" s="257">
        <f>INT($L1099*O1099*100+0.5)/100</f>
        <v>0</v>
      </c>
      <c r="Q1099" s="258">
        <v>0</v>
      </c>
      <c r="R1099" s="257">
        <f>INT($L1099*Q1099*100+0.5)/100</f>
        <v>0</v>
      </c>
      <c r="S1099" s="258">
        <v>0</v>
      </c>
      <c r="T1099" s="257">
        <f>INT($L1099*S1099*100+0.5)/100</f>
        <v>0</v>
      </c>
      <c r="U1099" s="258">
        <v>0</v>
      </c>
      <c r="V1099" s="257">
        <f>INT($L1099*U1099*100+0.5)/100</f>
        <v>0</v>
      </c>
      <c r="W1099" s="258">
        <v>0</v>
      </c>
      <c r="X1099" s="257">
        <f>INT($L1099*W1099*100+0.5)/100</f>
        <v>0</v>
      </c>
      <c r="Y1099" s="258">
        <v>0</v>
      </c>
      <c r="Z1099" s="257">
        <f>INT($L1099*Y1099*100+0.5)/100</f>
        <v>0</v>
      </c>
      <c r="AG1099" s="255">
        <v>158.44999999999999</v>
      </c>
      <c r="AH1099" s="289">
        <v>0</v>
      </c>
      <c r="AI1099" s="245">
        <f>AG1099*AH1099</f>
        <v>0</v>
      </c>
    </row>
    <row r="1100" spans="1:35" ht="15" customHeight="1">
      <c r="A1100" s="250" t="s">
        <v>732</v>
      </c>
      <c r="B1100" s="251"/>
      <c r="C1100" s="665" t="s">
        <v>747</v>
      </c>
      <c r="D1100" s="556" t="s">
        <v>236</v>
      </c>
      <c r="E1100" s="251" t="s">
        <v>1901</v>
      </c>
      <c r="F1100" s="304">
        <f>M1100+O1100+Q1100+S1100+U1100+W1100+Y1100</f>
        <v>3</v>
      </c>
      <c r="G1100" s="253">
        <f>L1100</f>
        <v>12.200000000000017</v>
      </c>
      <c r="H1100" s="254">
        <f>F1100*G1100</f>
        <v>36.600000000000051</v>
      </c>
      <c r="I1100" s="253">
        <f>N1100+P1100+R1100+T1100+V1100+X1100+Z1100</f>
        <v>36.6</v>
      </c>
      <c r="J1100" s="253"/>
      <c r="K1100" s="251" t="s">
        <v>1901</v>
      </c>
      <c r="L1100" s="255">
        <f>L1099</f>
        <v>12.200000000000017</v>
      </c>
      <c r="M1100" s="289">
        <v>3</v>
      </c>
      <c r="N1100" s="245">
        <f>INT($L1100*M1100*100+0.5)/100</f>
        <v>36.6</v>
      </c>
      <c r="O1100" s="258">
        <v>0</v>
      </c>
      <c r="P1100" s="257">
        <f>INT($L1100*O1100*100+0.5)/100</f>
        <v>0</v>
      </c>
      <c r="Q1100" s="258">
        <v>0</v>
      </c>
      <c r="R1100" s="257">
        <f>INT($L1100*Q1100*100+0.5)/100</f>
        <v>0</v>
      </c>
      <c r="S1100" s="258">
        <v>0</v>
      </c>
      <c r="T1100" s="257">
        <f>INT($L1100*S1100*100+0.5)/100</f>
        <v>0</v>
      </c>
      <c r="U1100" s="258">
        <v>0</v>
      </c>
      <c r="V1100" s="257">
        <f>INT($L1100*U1100*100+0.5)/100</f>
        <v>0</v>
      </c>
      <c r="W1100" s="258">
        <v>0</v>
      </c>
      <c r="X1100" s="257">
        <f>INT($L1100*W1100*100+0.5)/100</f>
        <v>0</v>
      </c>
      <c r="Y1100" s="258">
        <v>0</v>
      </c>
      <c r="Z1100" s="257">
        <f>INT($L1100*Y1100*100+0.5)/100</f>
        <v>0</v>
      </c>
      <c r="AG1100" s="255">
        <v>200.39</v>
      </c>
      <c r="AH1100" s="289">
        <v>5</v>
      </c>
      <c r="AI1100" s="245">
        <f>AG1100*AH1100</f>
        <v>1001.9499999999999</v>
      </c>
    </row>
    <row r="1101" spans="1:35" ht="15" customHeight="1">
      <c r="A1101" s="250"/>
      <c r="B1101" s="251"/>
      <c r="C1101" s="665"/>
      <c r="D1101" s="556"/>
      <c r="E1101" s="251"/>
      <c r="F1101" s="252"/>
      <c r="G1101" s="253"/>
      <c r="H1101" s="254"/>
      <c r="I1101" s="253"/>
      <c r="J1101" s="253"/>
      <c r="K1101" s="251"/>
      <c r="L1101" s="262"/>
      <c r="M1101" s="289"/>
      <c r="N1101" s="245"/>
      <c r="O1101" s="258"/>
      <c r="P1101" s="257"/>
      <c r="Q1101" s="258"/>
      <c r="R1101" s="257"/>
      <c r="S1101" s="258"/>
      <c r="T1101" s="257"/>
      <c r="U1101" s="258"/>
      <c r="V1101" s="257"/>
      <c r="W1101" s="258"/>
      <c r="X1101" s="257"/>
      <c r="Y1101" s="258"/>
      <c r="Z1101" s="257"/>
      <c r="AG1101" s="262"/>
      <c r="AH1101" s="289"/>
      <c r="AI1101" s="245"/>
    </row>
    <row r="1102" spans="1:35" ht="25.5">
      <c r="A1102" s="250">
        <f>A1095+1</f>
        <v>197</v>
      </c>
      <c r="B1102" s="251"/>
      <c r="C1102" s="665" t="s">
        <v>2492</v>
      </c>
      <c r="D1102" s="526" t="s">
        <v>947</v>
      </c>
      <c r="E1102" s="251"/>
      <c r="F1102" s="252"/>
      <c r="G1102" s="253"/>
      <c r="H1102" s="254"/>
      <c r="I1102" s="253"/>
      <c r="J1102" s="253"/>
      <c r="K1102" s="251"/>
      <c r="L1102" s="262"/>
      <c r="M1102" s="289"/>
      <c r="N1102" s="245"/>
      <c r="O1102" s="258"/>
      <c r="P1102" s="257"/>
      <c r="Q1102" s="258"/>
      <c r="R1102" s="257"/>
      <c r="S1102" s="258"/>
      <c r="T1102" s="257"/>
      <c r="U1102" s="258"/>
      <c r="V1102" s="257"/>
      <c r="W1102" s="258"/>
      <c r="X1102" s="257"/>
      <c r="Y1102" s="258"/>
      <c r="Z1102" s="257"/>
      <c r="AG1102" s="262"/>
      <c r="AH1102" s="289"/>
      <c r="AI1102" s="245"/>
    </row>
    <row r="1103" spans="1:35" ht="25.5">
      <c r="A1103" s="250"/>
      <c r="B1103" s="251"/>
      <c r="C1103" s="665"/>
      <c r="D1103" s="526" t="s">
        <v>873</v>
      </c>
      <c r="E1103" s="251"/>
      <c r="F1103" s="252"/>
      <c r="G1103" s="253"/>
      <c r="H1103" s="254"/>
      <c r="I1103" s="253"/>
      <c r="J1103" s="253"/>
      <c r="K1103" s="251"/>
      <c r="L1103" s="262"/>
      <c r="M1103" s="289"/>
      <c r="N1103" s="245"/>
      <c r="O1103" s="258"/>
      <c r="P1103" s="257"/>
      <c r="Q1103" s="258"/>
      <c r="R1103" s="257"/>
      <c r="S1103" s="258"/>
      <c r="T1103" s="257"/>
      <c r="U1103" s="258"/>
      <c r="V1103" s="257"/>
      <c r="W1103" s="258"/>
      <c r="X1103" s="257"/>
      <c r="Y1103" s="258"/>
      <c r="Z1103" s="257"/>
      <c r="AG1103" s="262"/>
      <c r="AH1103" s="289"/>
      <c r="AI1103" s="245"/>
    </row>
    <row r="1104" spans="1:35" ht="15">
      <c r="A1104" s="250" t="s">
        <v>726</v>
      </c>
      <c r="B1104" s="251"/>
      <c r="C1104" s="665" t="s">
        <v>748</v>
      </c>
      <c r="D1104" s="556" t="s">
        <v>223</v>
      </c>
      <c r="E1104" s="251" t="s">
        <v>1901</v>
      </c>
      <c r="F1104" s="304">
        <f>M1104+O1104+Q1104+S1104+U1104+W1104+Y1104</f>
        <v>0</v>
      </c>
      <c r="G1104" s="253">
        <f>L1104</f>
        <v>12.200000000000017</v>
      </c>
      <c r="H1104" s="254">
        <f>F1104*G1104</f>
        <v>0</v>
      </c>
      <c r="I1104" s="253">
        <f>N1104+P1104+R1104+T1104+V1104+X1104+Z1104</f>
        <v>0</v>
      </c>
      <c r="J1104" s="253"/>
      <c r="K1104" s="251" t="s">
        <v>1901</v>
      </c>
      <c r="L1104" s="255">
        <f>L1093</f>
        <v>12.200000000000017</v>
      </c>
      <c r="M1104" s="289">
        <v>0</v>
      </c>
      <c r="N1104" s="245">
        <f>INT($L1104*M1104*100+0.5)/100</f>
        <v>0</v>
      </c>
      <c r="O1104" s="258">
        <v>0</v>
      </c>
      <c r="P1104" s="257">
        <f>INT($L1104*O1104*100+0.5)/100</f>
        <v>0</v>
      </c>
      <c r="Q1104" s="258">
        <v>0</v>
      </c>
      <c r="R1104" s="257">
        <f>INT($L1104*Q1104*100+0.5)/100</f>
        <v>0</v>
      </c>
      <c r="S1104" s="258">
        <v>0</v>
      </c>
      <c r="T1104" s="257">
        <f>INT($L1104*S1104*100+0.5)/100</f>
        <v>0</v>
      </c>
      <c r="U1104" s="258">
        <v>0</v>
      </c>
      <c r="V1104" s="257">
        <f>INT($L1104*U1104*100+0.5)/100</f>
        <v>0</v>
      </c>
      <c r="W1104" s="258">
        <v>0</v>
      </c>
      <c r="X1104" s="257">
        <f>INT($L1104*W1104*100+0.5)/100</f>
        <v>0</v>
      </c>
      <c r="Y1104" s="258">
        <v>0</v>
      </c>
      <c r="Z1104" s="257">
        <f>INT($L1104*Y1104*100+0.5)/100</f>
        <v>0</v>
      </c>
      <c r="AG1104" s="255">
        <v>81.27</v>
      </c>
      <c r="AH1104" s="289">
        <v>0</v>
      </c>
      <c r="AI1104" s="245">
        <f>AG1104*AH1104</f>
        <v>0</v>
      </c>
    </row>
    <row r="1105" spans="1:35" ht="15">
      <c r="A1105" s="250" t="s">
        <v>727</v>
      </c>
      <c r="B1105" s="251"/>
      <c r="C1105" s="665" t="s">
        <v>749</v>
      </c>
      <c r="D1105" s="556" t="s">
        <v>224</v>
      </c>
      <c r="E1105" s="251" t="s">
        <v>1901</v>
      </c>
      <c r="F1105" s="304">
        <f>M1105+O1105+Q1105+S1105+U1105+W1105+Y1105</f>
        <v>0</v>
      </c>
      <c r="G1105" s="253">
        <f>L1105</f>
        <v>12.200000000000017</v>
      </c>
      <c r="H1105" s="254">
        <f>F1105*G1105</f>
        <v>0</v>
      </c>
      <c r="I1105" s="253">
        <f>N1105+P1105+R1105+T1105+V1105+X1105+Z1105</f>
        <v>0</v>
      </c>
      <c r="J1105" s="253"/>
      <c r="K1105" s="251" t="s">
        <v>1901</v>
      </c>
      <c r="L1105" s="255">
        <f>L1104</f>
        <v>12.200000000000017</v>
      </c>
      <c r="M1105" s="289">
        <v>0</v>
      </c>
      <c r="N1105" s="245">
        <f>INT($L1105*M1105*100+0.5)/100</f>
        <v>0</v>
      </c>
      <c r="O1105" s="258">
        <v>0</v>
      </c>
      <c r="P1105" s="257">
        <f>INT($L1105*O1105*100+0.5)/100</f>
        <v>0</v>
      </c>
      <c r="Q1105" s="258">
        <v>0</v>
      </c>
      <c r="R1105" s="257">
        <f>INT($L1105*Q1105*100+0.5)/100</f>
        <v>0</v>
      </c>
      <c r="S1105" s="258">
        <v>0</v>
      </c>
      <c r="T1105" s="257">
        <f>INT($L1105*S1105*100+0.5)/100</f>
        <v>0</v>
      </c>
      <c r="U1105" s="258">
        <v>0</v>
      </c>
      <c r="V1105" s="257">
        <f>INT($L1105*U1105*100+0.5)/100</f>
        <v>0</v>
      </c>
      <c r="W1105" s="258">
        <v>0</v>
      </c>
      <c r="X1105" s="257">
        <f>INT($L1105*W1105*100+0.5)/100</f>
        <v>0</v>
      </c>
      <c r="Y1105" s="258">
        <v>0</v>
      </c>
      <c r="Z1105" s="257">
        <f>INT($L1105*Y1105*100+0.5)/100</f>
        <v>0</v>
      </c>
      <c r="AG1105" s="255">
        <v>95.52</v>
      </c>
      <c r="AH1105" s="289">
        <v>0</v>
      </c>
      <c r="AI1105" s="245">
        <f>AG1105*AH1105</f>
        <v>0</v>
      </c>
    </row>
    <row r="1106" spans="1:35" ht="15">
      <c r="A1106" s="250" t="s">
        <v>728</v>
      </c>
      <c r="B1106" s="251"/>
      <c r="C1106" s="665" t="s">
        <v>751</v>
      </c>
      <c r="D1106" s="556" t="s">
        <v>235</v>
      </c>
      <c r="E1106" s="251" t="s">
        <v>1901</v>
      </c>
      <c r="F1106" s="304">
        <f>M1106+O1106+Q1106+S1106+U1106+W1106+Y1106</f>
        <v>0</v>
      </c>
      <c r="G1106" s="253">
        <f>L1106</f>
        <v>12.200000000000017</v>
      </c>
      <c r="H1106" s="254">
        <f>F1106*G1106</f>
        <v>0</v>
      </c>
      <c r="I1106" s="253">
        <f>N1106+P1106+R1106+T1106+V1106+X1106+Z1106</f>
        <v>0</v>
      </c>
      <c r="J1106" s="253"/>
      <c r="K1106" s="251" t="s">
        <v>1901</v>
      </c>
      <c r="L1106" s="255">
        <f>L1105</f>
        <v>12.200000000000017</v>
      </c>
      <c r="M1106" s="289">
        <v>0</v>
      </c>
      <c r="N1106" s="245">
        <f>INT($L1106*M1106*100+0.5)/100</f>
        <v>0</v>
      </c>
      <c r="O1106" s="258">
        <v>0</v>
      </c>
      <c r="P1106" s="257">
        <f>INT($L1106*O1106*100+0.5)/100</f>
        <v>0</v>
      </c>
      <c r="Q1106" s="258">
        <v>0</v>
      </c>
      <c r="R1106" s="257">
        <f>INT($L1106*Q1106*100+0.5)/100</f>
        <v>0</v>
      </c>
      <c r="S1106" s="258">
        <v>0</v>
      </c>
      <c r="T1106" s="257">
        <f>INT($L1106*S1106*100+0.5)/100</f>
        <v>0</v>
      </c>
      <c r="U1106" s="258">
        <v>0</v>
      </c>
      <c r="V1106" s="257">
        <f>INT($L1106*U1106*100+0.5)/100</f>
        <v>0</v>
      </c>
      <c r="W1106" s="258">
        <v>0</v>
      </c>
      <c r="X1106" s="257">
        <f>INT($L1106*W1106*100+0.5)/100</f>
        <v>0</v>
      </c>
      <c r="Y1106" s="258">
        <v>0</v>
      </c>
      <c r="Z1106" s="257">
        <f>INT($L1106*Y1106*100+0.5)/100</f>
        <v>0</v>
      </c>
      <c r="AG1106" s="255">
        <v>125.79</v>
      </c>
      <c r="AH1106" s="289">
        <v>0</v>
      </c>
      <c r="AI1106" s="245">
        <f>AG1106*AH1106</f>
        <v>0</v>
      </c>
    </row>
    <row r="1107" spans="1:35" ht="15">
      <c r="A1107" s="250" t="s">
        <v>732</v>
      </c>
      <c r="B1107" s="251"/>
      <c r="C1107" s="665" t="s">
        <v>750</v>
      </c>
      <c r="D1107" s="556" t="s">
        <v>236</v>
      </c>
      <c r="E1107" s="251" t="s">
        <v>1901</v>
      </c>
      <c r="F1107" s="304">
        <f>M1107+O1107+Q1107+S1107+U1107+W1107+Y1107</f>
        <v>3</v>
      </c>
      <c r="G1107" s="253">
        <f>L1107</f>
        <v>12.200000000000017</v>
      </c>
      <c r="H1107" s="254">
        <f>F1107*G1107</f>
        <v>36.600000000000051</v>
      </c>
      <c r="I1107" s="253">
        <f>N1107+P1107+R1107+T1107+V1107+X1107+Z1107</f>
        <v>36.6</v>
      </c>
      <c r="J1107" s="253"/>
      <c r="K1107" s="251" t="s">
        <v>1901</v>
      </c>
      <c r="L1107" s="255">
        <f>L1106</f>
        <v>12.200000000000017</v>
      </c>
      <c r="M1107" s="289">
        <v>3</v>
      </c>
      <c r="N1107" s="245">
        <f>INT($L1107*M1107*100+0.5)/100</f>
        <v>36.6</v>
      </c>
      <c r="O1107" s="258">
        <v>0</v>
      </c>
      <c r="P1107" s="257">
        <f>INT($L1107*O1107*100+0.5)/100</f>
        <v>0</v>
      </c>
      <c r="Q1107" s="258">
        <v>0</v>
      </c>
      <c r="R1107" s="257">
        <f>INT($L1107*Q1107*100+0.5)/100</f>
        <v>0</v>
      </c>
      <c r="S1107" s="258">
        <v>0</v>
      </c>
      <c r="T1107" s="257">
        <f>INT($L1107*S1107*100+0.5)/100</f>
        <v>0</v>
      </c>
      <c r="U1107" s="258">
        <v>0</v>
      </c>
      <c r="V1107" s="257">
        <f>INT($L1107*U1107*100+0.5)/100</f>
        <v>0</v>
      </c>
      <c r="W1107" s="258">
        <v>0</v>
      </c>
      <c r="X1107" s="257">
        <f>INT($L1107*W1107*100+0.5)/100</f>
        <v>0</v>
      </c>
      <c r="Y1107" s="258">
        <v>0</v>
      </c>
      <c r="Z1107" s="257">
        <f>INT($L1107*Y1107*100+0.5)/100</f>
        <v>0</v>
      </c>
      <c r="AG1107" s="255">
        <v>170.99</v>
      </c>
      <c r="AH1107" s="289">
        <v>5</v>
      </c>
      <c r="AI1107" s="245">
        <f>AG1107*AH1107</f>
        <v>854.95</v>
      </c>
    </row>
    <row r="1108" spans="1:35" ht="15">
      <c r="A1108" s="250"/>
      <c r="B1108" s="251"/>
      <c r="C1108" s="665"/>
      <c r="D1108" s="556"/>
      <c r="E1108" s="251"/>
      <c r="F1108" s="252"/>
      <c r="G1108" s="253"/>
      <c r="H1108" s="254"/>
      <c r="I1108" s="253"/>
      <c r="J1108" s="253"/>
      <c r="K1108" s="251"/>
      <c r="L1108" s="262"/>
      <c r="M1108" s="289"/>
      <c r="N1108" s="245"/>
      <c r="O1108" s="258"/>
      <c r="P1108" s="257"/>
      <c r="Q1108" s="258"/>
      <c r="R1108" s="257"/>
      <c r="S1108" s="258"/>
      <c r="T1108" s="257"/>
      <c r="U1108" s="258"/>
      <c r="V1108" s="257"/>
      <c r="W1108" s="258"/>
      <c r="X1108" s="257"/>
      <c r="Y1108" s="258"/>
      <c r="Z1108" s="257"/>
      <c r="AG1108" s="262"/>
      <c r="AH1108" s="289"/>
      <c r="AI1108" s="245"/>
    </row>
    <row r="1109" spans="1:35" ht="25.5">
      <c r="A1109" s="250">
        <f>A1102+1</f>
        <v>198</v>
      </c>
      <c r="B1109" s="251"/>
      <c r="C1109" s="665" t="s">
        <v>2493</v>
      </c>
      <c r="D1109" s="526" t="s">
        <v>948</v>
      </c>
      <c r="E1109" s="251"/>
      <c r="F1109" s="252"/>
      <c r="G1109" s="253"/>
      <c r="H1109" s="254"/>
      <c r="I1109" s="253"/>
      <c r="J1109" s="253"/>
      <c r="K1109" s="251"/>
      <c r="L1109" s="262"/>
      <c r="M1109" s="289"/>
      <c r="N1109" s="245"/>
      <c r="O1109" s="258"/>
      <c r="P1109" s="257"/>
      <c r="Q1109" s="258"/>
      <c r="R1109" s="257"/>
      <c r="S1109" s="258"/>
      <c r="T1109" s="257"/>
      <c r="U1109" s="258"/>
      <c r="V1109" s="257"/>
      <c r="W1109" s="258"/>
      <c r="X1109" s="257"/>
      <c r="Y1109" s="258"/>
      <c r="Z1109" s="257"/>
      <c r="AG1109" s="262"/>
      <c r="AH1109" s="289"/>
      <c r="AI1109" s="245"/>
    </row>
    <row r="1110" spans="1:35" ht="25.5">
      <c r="A1110" s="250"/>
      <c r="B1110" s="251"/>
      <c r="C1110" s="665"/>
      <c r="D1110" s="526" t="s">
        <v>838</v>
      </c>
      <c r="E1110" s="251"/>
      <c r="F1110" s="252"/>
      <c r="G1110" s="253"/>
      <c r="H1110" s="254"/>
      <c r="I1110" s="253"/>
      <c r="J1110" s="253"/>
      <c r="K1110" s="251"/>
      <c r="L1110" s="262"/>
      <c r="M1110" s="289"/>
      <c r="N1110" s="245"/>
      <c r="O1110" s="258"/>
      <c r="P1110" s="257"/>
      <c r="Q1110" s="258"/>
      <c r="R1110" s="257"/>
      <c r="S1110" s="258"/>
      <c r="T1110" s="257"/>
      <c r="U1110" s="258"/>
      <c r="V1110" s="257"/>
      <c r="W1110" s="258"/>
      <c r="X1110" s="257"/>
      <c r="Y1110" s="258"/>
      <c r="Z1110" s="257"/>
      <c r="AG1110" s="262"/>
      <c r="AH1110" s="289"/>
      <c r="AI1110" s="245"/>
    </row>
    <row r="1111" spans="1:35" ht="15">
      <c r="A1111" s="250" t="s">
        <v>726</v>
      </c>
      <c r="B1111" s="251"/>
      <c r="C1111" s="665" t="s">
        <v>752</v>
      </c>
      <c r="D1111" s="556" t="s">
        <v>223</v>
      </c>
      <c r="E1111" s="251" t="s">
        <v>1901</v>
      </c>
      <c r="F1111" s="304">
        <f>M1111+O1111+Q1111+S1111+U1111+W1111+Y1111</f>
        <v>0</v>
      </c>
      <c r="G1111" s="253">
        <f>L1111</f>
        <v>12.199999999999989</v>
      </c>
      <c r="H1111" s="254">
        <f>F1111*G1111</f>
        <v>0</v>
      </c>
      <c r="I1111" s="253">
        <f>N1111+P1111+R1111+T1111+V1111+X1111+Z1111</f>
        <v>0</v>
      </c>
      <c r="J1111" s="253"/>
      <c r="K1111" s="251" t="s">
        <v>1901</v>
      </c>
      <c r="L1111" s="255">
        <f>168.38-156.18</f>
        <v>12.199999999999989</v>
      </c>
      <c r="M1111" s="289">
        <v>0</v>
      </c>
      <c r="N1111" s="245">
        <f>INT($L1111*M1111*100+0.5)/100</f>
        <v>0</v>
      </c>
      <c r="O1111" s="258">
        <v>0</v>
      </c>
      <c r="P1111" s="257">
        <f>INT($L1111*O1111*100+0.5)/100</f>
        <v>0</v>
      </c>
      <c r="Q1111" s="258">
        <v>0</v>
      </c>
      <c r="R1111" s="257">
        <f>INT($L1111*Q1111*100+0.5)/100</f>
        <v>0</v>
      </c>
      <c r="S1111" s="258">
        <v>0</v>
      </c>
      <c r="T1111" s="257">
        <f>INT($L1111*S1111*100+0.5)/100</f>
        <v>0</v>
      </c>
      <c r="U1111" s="258">
        <v>0</v>
      </c>
      <c r="V1111" s="257">
        <f>INT($L1111*U1111*100+0.5)/100</f>
        <v>0</v>
      </c>
      <c r="W1111" s="258">
        <v>0</v>
      </c>
      <c r="X1111" s="257">
        <f>INT($L1111*W1111*100+0.5)/100</f>
        <v>0</v>
      </c>
      <c r="Y1111" s="258">
        <v>0</v>
      </c>
      <c r="Z1111" s="257">
        <f>INT($L1111*Y1111*100+0.5)/100</f>
        <v>0</v>
      </c>
      <c r="AG1111" s="255">
        <v>83.98</v>
      </c>
      <c r="AH1111" s="289">
        <v>0</v>
      </c>
      <c r="AI1111" s="245">
        <f>AG1111*AH1111</f>
        <v>0</v>
      </c>
    </row>
    <row r="1112" spans="1:35" ht="15">
      <c r="A1112" s="250" t="s">
        <v>727</v>
      </c>
      <c r="B1112" s="251"/>
      <c r="C1112" s="665" t="s">
        <v>753</v>
      </c>
      <c r="D1112" s="556" t="s">
        <v>224</v>
      </c>
      <c r="E1112" s="251" t="s">
        <v>1901</v>
      </c>
      <c r="F1112" s="304">
        <f>M1112+O1112+Q1112+S1112+U1112+W1112+Y1112</f>
        <v>0</v>
      </c>
      <c r="G1112" s="253">
        <f>L1112</f>
        <v>12.199999999999989</v>
      </c>
      <c r="H1112" s="254">
        <f>F1112*G1112</f>
        <v>0</v>
      </c>
      <c r="I1112" s="253">
        <f>N1112+P1112+R1112+T1112+V1112+X1112+Z1112</f>
        <v>0</v>
      </c>
      <c r="J1112" s="253"/>
      <c r="K1112" s="251" t="s">
        <v>1901</v>
      </c>
      <c r="L1112" s="255">
        <f>190.69-178.49</f>
        <v>12.199999999999989</v>
      </c>
      <c r="M1112" s="289">
        <v>0</v>
      </c>
      <c r="N1112" s="245">
        <f>INT($L1112*M1112*100+0.5)/100</f>
        <v>0</v>
      </c>
      <c r="O1112" s="258">
        <v>0</v>
      </c>
      <c r="P1112" s="257">
        <f>INT($L1112*O1112*100+0.5)/100</f>
        <v>0</v>
      </c>
      <c r="Q1112" s="258">
        <v>0</v>
      </c>
      <c r="R1112" s="257">
        <f>INT($L1112*Q1112*100+0.5)/100</f>
        <v>0</v>
      </c>
      <c r="S1112" s="258">
        <v>0</v>
      </c>
      <c r="T1112" s="257">
        <f>INT($L1112*S1112*100+0.5)/100</f>
        <v>0</v>
      </c>
      <c r="U1112" s="258">
        <v>0</v>
      </c>
      <c r="V1112" s="257">
        <f>INT($L1112*U1112*100+0.5)/100</f>
        <v>0</v>
      </c>
      <c r="W1112" s="258">
        <v>0</v>
      </c>
      <c r="X1112" s="257">
        <f>INT($L1112*W1112*100+0.5)/100</f>
        <v>0</v>
      </c>
      <c r="Y1112" s="258">
        <v>0</v>
      </c>
      <c r="Z1112" s="257">
        <f>INT($L1112*Y1112*100+0.5)/100</f>
        <v>0</v>
      </c>
      <c r="AG1112" s="255">
        <v>96.97</v>
      </c>
      <c r="AH1112" s="289">
        <v>0</v>
      </c>
      <c r="AI1112" s="245">
        <f>AG1112*AH1112</f>
        <v>0</v>
      </c>
    </row>
    <row r="1113" spans="1:35" ht="15">
      <c r="A1113" s="250" t="s">
        <v>728</v>
      </c>
      <c r="B1113" s="251"/>
      <c r="C1113" s="665" t="s">
        <v>754</v>
      </c>
      <c r="D1113" s="556" t="s">
        <v>235</v>
      </c>
      <c r="E1113" s="251" t="s">
        <v>1901</v>
      </c>
      <c r="F1113" s="304">
        <f>M1113+O1113+Q1113+S1113+U1113+W1113+Y1113</f>
        <v>0</v>
      </c>
      <c r="G1113" s="253">
        <f>L1113</f>
        <v>12.199999999999989</v>
      </c>
      <c r="H1113" s="254">
        <f>F1113*G1113</f>
        <v>0</v>
      </c>
      <c r="I1113" s="253">
        <f>N1113+P1113+R1113+T1113+V1113+X1113+Z1113</f>
        <v>0</v>
      </c>
      <c r="J1113" s="253"/>
      <c r="K1113" s="251" t="s">
        <v>1901</v>
      </c>
      <c r="L1113" s="255">
        <f>257.4-245.2</f>
        <v>12.199999999999989</v>
      </c>
      <c r="M1113" s="289">
        <v>0</v>
      </c>
      <c r="N1113" s="245">
        <f>INT($L1113*M1113*100+0.5)/100</f>
        <v>0</v>
      </c>
      <c r="O1113" s="258">
        <v>0</v>
      </c>
      <c r="P1113" s="257">
        <f>INT($L1113*O1113*100+0.5)/100</f>
        <v>0</v>
      </c>
      <c r="Q1113" s="258">
        <v>0</v>
      </c>
      <c r="R1113" s="257">
        <f>INT($L1113*Q1113*100+0.5)/100</f>
        <v>0</v>
      </c>
      <c r="S1113" s="258">
        <v>0</v>
      </c>
      <c r="T1113" s="257">
        <f>INT($L1113*S1113*100+0.5)/100</f>
        <v>0</v>
      </c>
      <c r="U1113" s="258">
        <v>0</v>
      </c>
      <c r="V1113" s="257">
        <f>INT($L1113*U1113*100+0.5)/100</f>
        <v>0</v>
      </c>
      <c r="W1113" s="258">
        <v>0</v>
      </c>
      <c r="X1113" s="257">
        <f>INT($L1113*W1113*100+0.5)/100</f>
        <v>0</v>
      </c>
      <c r="Y1113" s="258">
        <v>0</v>
      </c>
      <c r="Z1113" s="257">
        <f>INT($L1113*Y1113*100+0.5)/100</f>
        <v>0</v>
      </c>
      <c r="AG1113" s="255">
        <v>133</v>
      </c>
      <c r="AH1113" s="289">
        <v>0</v>
      </c>
      <c r="AI1113" s="245">
        <f>AG1113*AH1113</f>
        <v>0</v>
      </c>
    </row>
    <row r="1114" spans="1:35" ht="15">
      <c r="A1114" s="250" t="s">
        <v>732</v>
      </c>
      <c r="B1114" s="251"/>
      <c r="C1114" s="665" t="s">
        <v>755</v>
      </c>
      <c r="D1114" s="556" t="s">
        <v>236</v>
      </c>
      <c r="E1114" s="251" t="s">
        <v>1901</v>
      </c>
      <c r="F1114" s="304">
        <f>M1114+O1114+Q1114+S1114+U1114+W1114+Y1114</f>
        <v>3</v>
      </c>
      <c r="G1114" s="253">
        <f>L1114</f>
        <v>12.200000000000045</v>
      </c>
      <c r="H1114" s="254">
        <f>F1114*G1114</f>
        <v>36.600000000000136</v>
      </c>
      <c r="I1114" s="253">
        <f>N1114+P1114+R1114+T1114+V1114+X1114+Z1114</f>
        <v>36.6</v>
      </c>
      <c r="J1114" s="253"/>
      <c r="K1114" s="251" t="s">
        <v>1901</v>
      </c>
      <c r="L1114" s="255">
        <f>311.66-299.46</f>
        <v>12.200000000000045</v>
      </c>
      <c r="M1114" s="289">
        <v>3</v>
      </c>
      <c r="N1114" s="245">
        <f>INT($L1114*M1114*100+0.5)/100</f>
        <v>36.6</v>
      </c>
      <c r="O1114" s="258">
        <v>0</v>
      </c>
      <c r="P1114" s="257">
        <f>INT($L1114*O1114*100+0.5)/100</f>
        <v>0</v>
      </c>
      <c r="Q1114" s="258">
        <v>0</v>
      </c>
      <c r="R1114" s="257">
        <f>INT($L1114*Q1114*100+0.5)/100</f>
        <v>0</v>
      </c>
      <c r="S1114" s="258">
        <v>0</v>
      </c>
      <c r="T1114" s="257">
        <f>INT($L1114*S1114*100+0.5)/100</f>
        <v>0</v>
      </c>
      <c r="U1114" s="258">
        <v>0</v>
      </c>
      <c r="V1114" s="257">
        <f>INT($L1114*U1114*100+0.5)/100</f>
        <v>0</v>
      </c>
      <c r="W1114" s="258">
        <v>0</v>
      </c>
      <c r="X1114" s="257">
        <f>INT($L1114*W1114*100+0.5)/100</f>
        <v>0</v>
      </c>
      <c r="Y1114" s="258">
        <v>0</v>
      </c>
      <c r="Z1114" s="257">
        <f>INT($L1114*Y1114*100+0.5)/100</f>
        <v>0</v>
      </c>
      <c r="AG1114" s="255">
        <v>176.22</v>
      </c>
      <c r="AH1114" s="289">
        <v>5</v>
      </c>
      <c r="AI1114" s="245">
        <f>AG1114*AH1114</f>
        <v>881.1</v>
      </c>
    </row>
    <row r="1115" spans="1:35" ht="15">
      <c r="A1115" s="250"/>
      <c r="B1115" s="251"/>
      <c r="C1115" s="665"/>
      <c r="D1115" s="556"/>
      <c r="E1115" s="251"/>
      <c r="F1115" s="252"/>
      <c r="G1115" s="253"/>
      <c r="H1115" s="254"/>
      <c r="I1115" s="253"/>
      <c r="J1115" s="253"/>
      <c r="K1115" s="251"/>
      <c r="L1115" s="262"/>
      <c r="M1115" s="289"/>
      <c r="N1115" s="245"/>
      <c r="O1115" s="258"/>
      <c r="P1115" s="257"/>
      <c r="Q1115" s="258"/>
      <c r="R1115" s="257"/>
      <c r="S1115" s="258"/>
      <c r="T1115" s="257"/>
      <c r="U1115" s="258"/>
      <c r="V1115" s="257"/>
      <c r="W1115" s="258"/>
      <c r="X1115" s="257"/>
      <c r="Y1115" s="258"/>
      <c r="Z1115" s="257"/>
      <c r="AG1115" s="262"/>
      <c r="AH1115" s="289"/>
      <c r="AI1115" s="245"/>
    </row>
    <row r="1116" spans="1:35" ht="25.5">
      <c r="A1116" s="250">
        <f>A1109+1</f>
        <v>199</v>
      </c>
      <c r="B1116" s="251"/>
      <c r="C1116" s="665" t="s">
        <v>2494</v>
      </c>
      <c r="D1116" s="526" t="s">
        <v>949</v>
      </c>
      <c r="E1116" s="251"/>
      <c r="F1116" s="252"/>
      <c r="G1116" s="253"/>
      <c r="H1116" s="254"/>
      <c r="I1116" s="253"/>
      <c r="J1116" s="253"/>
      <c r="K1116" s="251"/>
      <c r="L1116" s="262"/>
      <c r="M1116" s="289"/>
      <c r="N1116" s="245"/>
      <c r="O1116" s="258"/>
      <c r="P1116" s="257"/>
      <c r="Q1116" s="258"/>
      <c r="R1116" s="257"/>
      <c r="S1116" s="258"/>
      <c r="T1116" s="257"/>
      <c r="U1116" s="258"/>
      <c r="V1116" s="257"/>
      <c r="W1116" s="258"/>
      <c r="X1116" s="257"/>
      <c r="Y1116" s="258"/>
      <c r="Z1116" s="257"/>
      <c r="AG1116" s="262"/>
      <c r="AH1116" s="289"/>
      <c r="AI1116" s="245"/>
    </row>
    <row r="1117" spans="1:35" ht="25.5">
      <c r="A1117" s="250"/>
      <c r="B1117" s="251"/>
      <c r="C1117" s="665"/>
      <c r="D1117" s="526" t="s">
        <v>944</v>
      </c>
      <c r="E1117" s="251"/>
      <c r="F1117" s="252"/>
      <c r="G1117" s="253"/>
      <c r="H1117" s="254"/>
      <c r="I1117" s="253"/>
      <c r="J1117" s="253"/>
      <c r="K1117" s="251"/>
      <c r="L1117" s="262"/>
      <c r="M1117" s="289"/>
      <c r="N1117" s="245"/>
      <c r="O1117" s="258"/>
      <c r="P1117" s="257"/>
      <c r="Q1117" s="258"/>
      <c r="R1117" s="257"/>
      <c r="S1117" s="258"/>
      <c r="T1117" s="257"/>
      <c r="U1117" s="258"/>
      <c r="V1117" s="257"/>
      <c r="W1117" s="258"/>
      <c r="X1117" s="257"/>
      <c r="Y1117" s="258"/>
      <c r="Z1117" s="257"/>
      <c r="AG1117" s="262"/>
      <c r="AH1117" s="289"/>
      <c r="AI1117" s="245"/>
    </row>
    <row r="1118" spans="1:35" ht="15">
      <c r="A1118" s="250" t="s">
        <v>726</v>
      </c>
      <c r="B1118" s="251"/>
      <c r="C1118" s="665" t="s">
        <v>756</v>
      </c>
      <c r="D1118" s="556" t="s">
        <v>223</v>
      </c>
      <c r="E1118" s="251" t="s">
        <v>1901</v>
      </c>
      <c r="F1118" s="304">
        <f>M1118+O1118+Q1118+S1118+U1118+W1118+Y1118</f>
        <v>0</v>
      </c>
      <c r="G1118" s="253">
        <f>L1118</f>
        <v>12.200000000000017</v>
      </c>
      <c r="H1118" s="254">
        <f>F1118*G1118</f>
        <v>0</v>
      </c>
      <c r="I1118" s="253">
        <f>N1118+P1118+R1118+T1118+V1118+X1118+Z1118</f>
        <v>0</v>
      </c>
      <c r="J1118" s="253"/>
      <c r="K1118" s="251" t="s">
        <v>1901</v>
      </c>
      <c r="L1118" s="255">
        <f>L1093</f>
        <v>12.200000000000017</v>
      </c>
      <c r="M1118" s="289">
        <v>0</v>
      </c>
      <c r="N1118" s="245">
        <f>INT($L1118*M1118*100+0.5)/100</f>
        <v>0</v>
      </c>
      <c r="O1118" s="258">
        <v>0</v>
      </c>
      <c r="P1118" s="257">
        <f>INT($L1118*O1118*100+0.5)/100</f>
        <v>0</v>
      </c>
      <c r="Q1118" s="258">
        <v>0</v>
      </c>
      <c r="R1118" s="257">
        <f>INT($L1118*Q1118*100+0.5)/100</f>
        <v>0</v>
      </c>
      <c r="S1118" s="258">
        <v>0</v>
      </c>
      <c r="T1118" s="257">
        <f>INT($L1118*S1118*100+0.5)/100</f>
        <v>0</v>
      </c>
      <c r="U1118" s="258">
        <v>0</v>
      </c>
      <c r="V1118" s="257">
        <f>INT($L1118*U1118*100+0.5)/100</f>
        <v>0</v>
      </c>
      <c r="W1118" s="258">
        <v>0</v>
      </c>
      <c r="X1118" s="257">
        <f>INT($L1118*W1118*100+0.5)/100</f>
        <v>0</v>
      </c>
      <c r="Y1118" s="258">
        <v>0</v>
      </c>
      <c r="Z1118" s="257">
        <f>INT($L1118*Y1118*100+0.5)/100</f>
        <v>0</v>
      </c>
      <c r="AG1118" s="255">
        <v>86.7</v>
      </c>
      <c r="AH1118" s="289">
        <v>0</v>
      </c>
      <c r="AI1118" s="245">
        <f>AG1118*AH1118</f>
        <v>0</v>
      </c>
    </row>
    <row r="1119" spans="1:35" ht="15">
      <c r="A1119" s="250" t="s">
        <v>727</v>
      </c>
      <c r="B1119" s="251"/>
      <c r="C1119" s="665" t="s">
        <v>757</v>
      </c>
      <c r="D1119" s="556" t="s">
        <v>224</v>
      </c>
      <c r="E1119" s="251" t="s">
        <v>1901</v>
      </c>
      <c r="F1119" s="304">
        <f>M1119+O1119+Q1119+S1119+U1119+W1119+Y1119</f>
        <v>0</v>
      </c>
      <c r="G1119" s="253">
        <f>L1119</f>
        <v>12.199999999999989</v>
      </c>
      <c r="H1119" s="254">
        <f>F1119*G1119</f>
        <v>0</v>
      </c>
      <c r="I1119" s="253">
        <f>N1119+P1119+R1119+T1119+V1119+X1119+Z1119</f>
        <v>0</v>
      </c>
      <c r="J1119" s="253"/>
      <c r="K1119" s="251" t="s">
        <v>1901</v>
      </c>
      <c r="L1119" s="255">
        <f>190.69-178.49</f>
        <v>12.199999999999989</v>
      </c>
      <c r="M1119" s="289">
        <v>0</v>
      </c>
      <c r="N1119" s="245">
        <f>INT($L1119*M1119*100+0.5)/100</f>
        <v>0</v>
      </c>
      <c r="O1119" s="258">
        <v>0</v>
      </c>
      <c r="P1119" s="257">
        <f>INT($L1119*O1119*100+0.5)/100</f>
        <v>0</v>
      </c>
      <c r="Q1119" s="258">
        <v>0</v>
      </c>
      <c r="R1119" s="257">
        <f>INT($L1119*Q1119*100+0.5)/100</f>
        <v>0</v>
      </c>
      <c r="S1119" s="258">
        <v>0</v>
      </c>
      <c r="T1119" s="257">
        <f>INT($L1119*S1119*100+0.5)/100</f>
        <v>0</v>
      </c>
      <c r="U1119" s="258">
        <v>0</v>
      </c>
      <c r="V1119" s="257">
        <f>INT($L1119*U1119*100+0.5)/100</f>
        <v>0</v>
      </c>
      <c r="W1119" s="258">
        <v>0</v>
      </c>
      <c r="X1119" s="257">
        <f>INT($L1119*W1119*100+0.5)/100</f>
        <v>0</v>
      </c>
      <c r="Y1119" s="258">
        <v>0</v>
      </c>
      <c r="Z1119" s="257">
        <f>INT($L1119*Y1119*100+0.5)/100</f>
        <v>0</v>
      </c>
      <c r="AG1119" s="255">
        <v>104.3</v>
      </c>
      <c r="AH1119" s="289">
        <v>0</v>
      </c>
      <c r="AI1119" s="245">
        <f>AG1119*AH1119</f>
        <v>0</v>
      </c>
    </row>
    <row r="1120" spans="1:35" ht="15">
      <c r="A1120" s="250" t="s">
        <v>728</v>
      </c>
      <c r="B1120" s="251"/>
      <c r="C1120" s="665" t="s">
        <v>758</v>
      </c>
      <c r="D1120" s="556" t="s">
        <v>235</v>
      </c>
      <c r="E1120" s="251" t="s">
        <v>1901</v>
      </c>
      <c r="F1120" s="304">
        <f>M1120+O1120+Q1120+S1120+U1120+W1120+Y1120</f>
        <v>0</v>
      </c>
      <c r="G1120" s="253">
        <f>L1120</f>
        <v>12.199999999999989</v>
      </c>
      <c r="H1120" s="254">
        <f>F1120*G1120</f>
        <v>0</v>
      </c>
      <c r="I1120" s="253">
        <f>N1120+P1120+R1120+T1120+V1120+X1120+Z1120</f>
        <v>0</v>
      </c>
      <c r="J1120" s="253"/>
      <c r="K1120" s="251" t="s">
        <v>1901</v>
      </c>
      <c r="L1120" s="255">
        <f>257.4-245.2</f>
        <v>12.199999999999989</v>
      </c>
      <c r="M1120" s="289">
        <v>0</v>
      </c>
      <c r="N1120" s="245">
        <f>INT($L1120*M1120*100+0.5)/100</f>
        <v>0</v>
      </c>
      <c r="O1120" s="258">
        <v>0</v>
      </c>
      <c r="P1120" s="257">
        <f>INT($L1120*O1120*100+0.5)/100</f>
        <v>0</v>
      </c>
      <c r="Q1120" s="258">
        <v>0</v>
      </c>
      <c r="R1120" s="257">
        <f>INT($L1120*Q1120*100+0.5)/100</f>
        <v>0</v>
      </c>
      <c r="S1120" s="258">
        <v>0</v>
      </c>
      <c r="T1120" s="257">
        <f>INT($L1120*S1120*100+0.5)/100</f>
        <v>0</v>
      </c>
      <c r="U1120" s="258">
        <v>0</v>
      </c>
      <c r="V1120" s="257">
        <f>INT($L1120*U1120*100+0.5)/100</f>
        <v>0</v>
      </c>
      <c r="W1120" s="258">
        <v>0</v>
      </c>
      <c r="X1120" s="257">
        <f>INT($L1120*W1120*100+0.5)/100</f>
        <v>0</v>
      </c>
      <c r="Y1120" s="258">
        <v>0</v>
      </c>
      <c r="Z1120" s="257">
        <f>INT($L1120*Y1120*100+0.5)/100</f>
        <v>0</v>
      </c>
      <c r="AG1120" s="255">
        <v>132.82</v>
      </c>
      <c r="AH1120" s="289">
        <v>0</v>
      </c>
      <c r="AI1120" s="245">
        <f>AG1120*AH1120</f>
        <v>0</v>
      </c>
    </row>
    <row r="1121" spans="1:35" ht="15">
      <c r="A1121" s="250" t="s">
        <v>732</v>
      </c>
      <c r="B1121" s="251"/>
      <c r="C1121" s="665" t="s">
        <v>759</v>
      </c>
      <c r="D1121" s="556" t="s">
        <v>236</v>
      </c>
      <c r="E1121" s="251" t="s">
        <v>1901</v>
      </c>
      <c r="F1121" s="304">
        <f>M1121+O1121+Q1121+S1121+U1121+W1121+Y1121</f>
        <v>2</v>
      </c>
      <c r="G1121" s="253">
        <f>L1121</f>
        <v>12.200000000000045</v>
      </c>
      <c r="H1121" s="254">
        <f>F1121*G1121</f>
        <v>24.400000000000091</v>
      </c>
      <c r="I1121" s="253">
        <f>N1121+P1121+R1121+T1121+V1121+X1121+Z1121</f>
        <v>24.4</v>
      </c>
      <c r="J1121" s="253"/>
      <c r="K1121" s="251" t="s">
        <v>1901</v>
      </c>
      <c r="L1121" s="255">
        <f>311.66-299.46</f>
        <v>12.200000000000045</v>
      </c>
      <c r="M1121" s="289">
        <v>2</v>
      </c>
      <c r="N1121" s="245">
        <f>INT($L1121*M1121*100+0.5)/100</f>
        <v>24.4</v>
      </c>
      <c r="O1121" s="258">
        <v>0</v>
      </c>
      <c r="P1121" s="257">
        <f>INT($L1121*O1121*100+0.5)/100</f>
        <v>0</v>
      </c>
      <c r="Q1121" s="258">
        <v>0</v>
      </c>
      <c r="R1121" s="257">
        <f>INT($L1121*Q1121*100+0.5)/100</f>
        <v>0</v>
      </c>
      <c r="S1121" s="258">
        <v>0</v>
      </c>
      <c r="T1121" s="257">
        <f>INT($L1121*S1121*100+0.5)/100</f>
        <v>0</v>
      </c>
      <c r="U1121" s="258">
        <v>0</v>
      </c>
      <c r="V1121" s="257">
        <f>INT($L1121*U1121*100+0.5)/100</f>
        <v>0</v>
      </c>
      <c r="W1121" s="258">
        <v>0</v>
      </c>
      <c r="X1121" s="257">
        <f>INT($L1121*W1121*100+0.5)/100</f>
        <v>0</v>
      </c>
      <c r="Y1121" s="258">
        <v>0</v>
      </c>
      <c r="Z1121" s="257">
        <f>INT($L1121*Y1121*100+0.5)/100</f>
        <v>0</v>
      </c>
      <c r="AG1121" s="255">
        <v>169.03</v>
      </c>
      <c r="AH1121" s="289">
        <v>3</v>
      </c>
      <c r="AI1121" s="245">
        <f>AG1121*AH1121</f>
        <v>507.09000000000003</v>
      </c>
    </row>
    <row r="1122" spans="1:35" ht="15">
      <c r="A1122" s="250"/>
      <c r="B1122" s="251"/>
      <c r="C1122" s="665"/>
      <c r="D1122" s="556"/>
      <c r="E1122" s="251"/>
      <c r="F1122" s="252"/>
      <c r="G1122" s="253"/>
      <c r="H1122" s="254"/>
      <c r="I1122" s="253"/>
      <c r="J1122" s="253"/>
      <c r="K1122" s="251"/>
      <c r="L1122" s="262"/>
      <c r="M1122" s="289"/>
      <c r="N1122" s="245"/>
      <c r="O1122" s="258"/>
      <c r="P1122" s="257"/>
      <c r="Q1122" s="258"/>
      <c r="R1122" s="257"/>
      <c r="S1122" s="258"/>
      <c r="T1122" s="257"/>
      <c r="U1122" s="258"/>
      <c r="V1122" s="257"/>
      <c r="W1122" s="258"/>
      <c r="X1122" s="257"/>
      <c r="Y1122" s="258"/>
      <c r="Z1122" s="257"/>
      <c r="AG1122" s="262"/>
      <c r="AH1122" s="289"/>
      <c r="AI1122" s="245"/>
    </row>
    <row r="1123" spans="1:35" ht="25.5">
      <c r="A1123" s="250">
        <f>A1116+1</f>
        <v>200</v>
      </c>
      <c r="B1123" s="251"/>
      <c r="C1123" s="665" t="s">
        <v>2495</v>
      </c>
      <c r="D1123" s="526" t="s">
        <v>950</v>
      </c>
      <c r="E1123" s="251"/>
      <c r="F1123" s="252"/>
      <c r="G1123" s="253"/>
      <c r="H1123" s="254"/>
      <c r="I1123" s="253"/>
      <c r="J1123" s="253"/>
      <c r="K1123" s="251"/>
      <c r="L1123" s="262"/>
      <c r="M1123" s="289"/>
      <c r="N1123" s="245"/>
      <c r="O1123" s="258"/>
      <c r="P1123" s="257"/>
      <c r="Q1123" s="258"/>
      <c r="R1123" s="257"/>
      <c r="S1123" s="258"/>
      <c r="T1123" s="257"/>
      <c r="U1123" s="258"/>
      <c r="V1123" s="257"/>
      <c r="W1123" s="258"/>
      <c r="X1123" s="257"/>
      <c r="Y1123" s="258"/>
      <c r="Z1123" s="257"/>
      <c r="AG1123" s="262"/>
      <c r="AH1123" s="289"/>
      <c r="AI1123" s="245"/>
    </row>
    <row r="1124" spans="1:35" ht="25.5">
      <c r="A1124" s="250"/>
      <c r="B1124" s="251"/>
      <c r="C1124" s="665"/>
      <c r="D1124" s="526" t="s">
        <v>840</v>
      </c>
      <c r="E1124" s="251"/>
      <c r="F1124" s="252"/>
      <c r="G1124" s="253"/>
      <c r="H1124" s="254"/>
      <c r="I1124" s="253"/>
      <c r="J1124" s="253"/>
      <c r="K1124" s="251"/>
      <c r="L1124" s="262"/>
      <c r="M1124" s="289"/>
      <c r="N1124" s="245"/>
      <c r="O1124" s="258"/>
      <c r="P1124" s="257"/>
      <c r="Q1124" s="258"/>
      <c r="R1124" s="257"/>
      <c r="S1124" s="258"/>
      <c r="T1124" s="257"/>
      <c r="U1124" s="258"/>
      <c r="V1124" s="257"/>
      <c r="W1124" s="258"/>
      <c r="X1124" s="257"/>
      <c r="Y1124" s="258"/>
      <c r="Z1124" s="257"/>
      <c r="AG1124" s="262"/>
      <c r="AH1124" s="289"/>
      <c r="AI1124" s="245"/>
    </row>
    <row r="1125" spans="1:35" ht="15" customHeight="1">
      <c r="A1125" s="250" t="s">
        <v>726</v>
      </c>
      <c r="B1125" s="251"/>
      <c r="C1125" s="665" t="s">
        <v>760</v>
      </c>
      <c r="D1125" s="556" t="s">
        <v>223</v>
      </c>
      <c r="E1125" s="251" t="s">
        <v>1901</v>
      </c>
      <c r="F1125" s="304">
        <f>M1125+O1125+Q1125+S1125+U1125+W1125+Y1125</f>
        <v>0</v>
      </c>
      <c r="G1125" s="253">
        <f>L1125</f>
        <v>12.200000000000017</v>
      </c>
      <c r="H1125" s="254">
        <f>F1125*G1125</f>
        <v>0</v>
      </c>
      <c r="I1125" s="253">
        <f>N1125+P1125+R1125+T1125+V1125+X1125+Z1125</f>
        <v>0</v>
      </c>
      <c r="J1125" s="253"/>
      <c r="K1125" s="251" t="s">
        <v>1901</v>
      </c>
      <c r="L1125" s="255">
        <f>169.09-156.89</f>
        <v>12.200000000000017</v>
      </c>
      <c r="M1125" s="289">
        <v>0</v>
      </c>
      <c r="N1125" s="245">
        <f>INT($L1125*M1125*100+0.5)/100</f>
        <v>0</v>
      </c>
      <c r="O1125" s="258">
        <v>0</v>
      </c>
      <c r="P1125" s="257">
        <f>INT($L1125*O1125*100+0.5)/100</f>
        <v>0</v>
      </c>
      <c r="Q1125" s="258">
        <v>0</v>
      </c>
      <c r="R1125" s="257">
        <f>INT($L1125*Q1125*100+0.5)/100</f>
        <v>0</v>
      </c>
      <c r="S1125" s="258">
        <v>0</v>
      </c>
      <c r="T1125" s="257">
        <f>INT($L1125*S1125*100+0.5)/100</f>
        <v>0</v>
      </c>
      <c r="U1125" s="258">
        <v>0</v>
      </c>
      <c r="V1125" s="257">
        <f>INT($L1125*U1125*100+0.5)/100</f>
        <v>0</v>
      </c>
      <c r="W1125" s="258">
        <v>0</v>
      </c>
      <c r="X1125" s="257">
        <f>INT($L1125*W1125*100+0.5)/100</f>
        <v>0</v>
      </c>
      <c r="Y1125" s="258">
        <v>0</v>
      </c>
      <c r="Z1125" s="257">
        <f>INT($L1125*Y1125*100+0.5)/100</f>
        <v>0</v>
      </c>
      <c r="AG1125" s="255">
        <v>76.63</v>
      </c>
      <c r="AH1125" s="289">
        <v>0</v>
      </c>
      <c r="AI1125" s="245">
        <f>AG1125*AH1125</f>
        <v>0</v>
      </c>
    </row>
    <row r="1126" spans="1:35" ht="15" customHeight="1">
      <c r="A1126" s="250" t="s">
        <v>727</v>
      </c>
      <c r="B1126" s="251"/>
      <c r="C1126" s="665" t="s">
        <v>761</v>
      </c>
      <c r="D1126" s="556" t="s">
        <v>224</v>
      </c>
      <c r="E1126" s="251" t="s">
        <v>1901</v>
      </c>
      <c r="F1126" s="304">
        <f>M1126+O1126+Q1126+S1126+U1126+W1126+Y1126</f>
        <v>0</v>
      </c>
      <c r="G1126" s="253">
        <f>L1126</f>
        <v>12.200000000000017</v>
      </c>
      <c r="H1126" s="254">
        <f>F1126*G1126</f>
        <v>0</v>
      </c>
      <c r="I1126" s="253">
        <f>N1126+P1126+R1126+T1126+V1126+X1126+Z1126</f>
        <v>0</v>
      </c>
      <c r="J1126" s="253"/>
      <c r="K1126" s="251" t="s">
        <v>1901</v>
      </c>
      <c r="L1126" s="255">
        <f>L1125</f>
        <v>12.200000000000017</v>
      </c>
      <c r="M1126" s="289">
        <v>0</v>
      </c>
      <c r="N1126" s="245">
        <f>INT($L1126*M1126*100+0.5)/100</f>
        <v>0</v>
      </c>
      <c r="O1126" s="258">
        <v>0</v>
      </c>
      <c r="P1126" s="257">
        <f>INT($L1126*O1126*100+0.5)/100</f>
        <v>0</v>
      </c>
      <c r="Q1126" s="258">
        <v>0</v>
      </c>
      <c r="R1126" s="257">
        <f>INT($L1126*Q1126*100+0.5)/100</f>
        <v>0</v>
      </c>
      <c r="S1126" s="258">
        <v>0</v>
      </c>
      <c r="T1126" s="257">
        <f>INT($L1126*S1126*100+0.5)/100</f>
        <v>0</v>
      </c>
      <c r="U1126" s="258">
        <v>0</v>
      </c>
      <c r="V1126" s="257">
        <f>INT($L1126*U1126*100+0.5)/100</f>
        <v>0</v>
      </c>
      <c r="W1126" s="258">
        <v>0</v>
      </c>
      <c r="X1126" s="257">
        <f>INT($L1126*W1126*100+0.5)/100</f>
        <v>0</v>
      </c>
      <c r="Y1126" s="258">
        <v>0</v>
      </c>
      <c r="Z1126" s="257">
        <f>INT($L1126*Y1126*100+0.5)/100</f>
        <v>0</v>
      </c>
      <c r="AG1126" s="255">
        <v>136.83000000000001</v>
      </c>
      <c r="AH1126" s="289">
        <v>0</v>
      </c>
      <c r="AI1126" s="245">
        <f>AG1126*AH1126</f>
        <v>0</v>
      </c>
    </row>
    <row r="1127" spans="1:35" ht="15" customHeight="1">
      <c r="A1127" s="250" t="s">
        <v>728</v>
      </c>
      <c r="B1127" s="251"/>
      <c r="C1127" s="665" t="s">
        <v>762</v>
      </c>
      <c r="D1127" s="556" t="s">
        <v>235</v>
      </c>
      <c r="E1127" s="251" t="s">
        <v>1901</v>
      </c>
      <c r="F1127" s="304">
        <f>M1127+O1127+Q1127+S1127+U1127+W1127+Y1127</f>
        <v>0</v>
      </c>
      <c r="G1127" s="253">
        <f>L1127</f>
        <v>12.200000000000017</v>
      </c>
      <c r="H1127" s="254">
        <f>F1127*G1127</f>
        <v>0</v>
      </c>
      <c r="I1127" s="253">
        <f>N1127+P1127+R1127+T1127+V1127+X1127+Z1127</f>
        <v>0</v>
      </c>
      <c r="J1127" s="253"/>
      <c r="K1127" s="251" t="s">
        <v>1901</v>
      </c>
      <c r="L1127" s="255">
        <f>L1125</f>
        <v>12.200000000000017</v>
      </c>
      <c r="M1127" s="289">
        <v>0</v>
      </c>
      <c r="N1127" s="245">
        <f>INT($L1127*M1127*100+0.5)/100</f>
        <v>0</v>
      </c>
      <c r="O1127" s="258">
        <v>0</v>
      </c>
      <c r="P1127" s="257">
        <f>INT($L1127*O1127*100+0.5)/100</f>
        <v>0</v>
      </c>
      <c r="Q1127" s="258">
        <v>0</v>
      </c>
      <c r="R1127" s="257">
        <f>INT($L1127*Q1127*100+0.5)/100</f>
        <v>0</v>
      </c>
      <c r="S1127" s="258">
        <v>0</v>
      </c>
      <c r="T1127" s="257">
        <f>INT($L1127*S1127*100+0.5)/100</f>
        <v>0</v>
      </c>
      <c r="U1127" s="258">
        <v>0</v>
      </c>
      <c r="V1127" s="257">
        <f>INT($L1127*U1127*100+0.5)/100</f>
        <v>0</v>
      </c>
      <c r="W1127" s="258">
        <v>0</v>
      </c>
      <c r="X1127" s="257">
        <f>INT($L1127*W1127*100+0.5)/100</f>
        <v>0</v>
      </c>
      <c r="Y1127" s="258">
        <v>0</v>
      </c>
      <c r="Z1127" s="257">
        <f>INT($L1127*Y1127*100+0.5)/100</f>
        <v>0</v>
      </c>
      <c r="AG1127" s="255">
        <v>161.18</v>
      </c>
      <c r="AH1127" s="289">
        <v>0</v>
      </c>
      <c r="AI1127" s="245">
        <f>AG1127*AH1127</f>
        <v>0</v>
      </c>
    </row>
    <row r="1128" spans="1:35" ht="15" customHeight="1">
      <c r="A1128" s="250" t="s">
        <v>732</v>
      </c>
      <c r="B1128" s="251"/>
      <c r="C1128" s="665" t="s">
        <v>763</v>
      </c>
      <c r="D1128" s="556" t="s">
        <v>236</v>
      </c>
      <c r="E1128" s="251" t="s">
        <v>1901</v>
      </c>
      <c r="F1128" s="304">
        <f>M1128+O1128+Q1128+S1128+U1128+W1128+Y1128</f>
        <v>17</v>
      </c>
      <c r="G1128" s="253">
        <f>L1128</f>
        <v>12.200000000000017</v>
      </c>
      <c r="H1128" s="254">
        <f>F1128*G1128</f>
        <v>207.40000000000029</v>
      </c>
      <c r="I1128" s="253">
        <f>N1128+P1128+R1128+T1128+V1128+X1128+Z1128</f>
        <v>207.4</v>
      </c>
      <c r="J1128" s="253"/>
      <c r="K1128" s="251" t="s">
        <v>1901</v>
      </c>
      <c r="L1128" s="255">
        <f>L1125</f>
        <v>12.200000000000017</v>
      </c>
      <c r="M1128" s="289">
        <f>(3+3+3+3+3+2)</f>
        <v>17</v>
      </c>
      <c r="N1128" s="245">
        <f>INT($L1128*M1128*100+0.5)/100</f>
        <v>207.4</v>
      </c>
      <c r="O1128" s="258">
        <v>0</v>
      </c>
      <c r="P1128" s="257">
        <f>INT($L1128*O1128*100+0.5)/100</f>
        <v>0</v>
      </c>
      <c r="Q1128" s="258">
        <v>0</v>
      </c>
      <c r="R1128" s="257">
        <f>INT($L1128*Q1128*100+0.5)/100</f>
        <v>0</v>
      </c>
      <c r="S1128" s="258">
        <v>0</v>
      </c>
      <c r="T1128" s="257">
        <f>INT($L1128*S1128*100+0.5)/100</f>
        <v>0</v>
      </c>
      <c r="U1128" s="258">
        <v>0</v>
      </c>
      <c r="V1128" s="257">
        <f>INT($L1128*U1128*100+0.5)/100</f>
        <v>0</v>
      </c>
      <c r="W1128" s="258">
        <v>0</v>
      </c>
      <c r="X1128" s="257">
        <f>INT($L1128*W1128*100+0.5)/100</f>
        <v>0</v>
      </c>
      <c r="Y1128" s="258">
        <v>0</v>
      </c>
      <c r="Z1128" s="257">
        <f>INT($L1128*Y1128*100+0.5)/100</f>
        <v>0</v>
      </c>
      <c r="AG1128" s="255">
        <v>207.37</v>
      </c>
      <c r="AH1128" s="289">
        <f>3+3+3+3+3+3+3+2</f>
        <v>23</v>
      </c>
      <c r="AI1128" s="245">
        <f>AG1128*AH1128</f>
        <v>4769.51</v>
      </c>
    </row>
    <row r="1129" spans="1:35" ht="15" customHeight="1">
      <c r="A1129" s="250"/>
      <c r="B1129" s="251"/>
      <c r="C1129" s="665"/>
      <c r="D1129" s="556"/>
      <c r="E1129" s="251"/>
      <c r="F1129" s="252"/>
      <c r="G1129" s="253"/>
      <c r="H1129" s="254"/>
      <c r="I1129" s="253"/>
      <c r="J1129" s="253"/>
      <c r="K1129" s="251"/>
      <c r="L1129" s="262"/>
      <c r="M1129" s="289"/>
      <c r="N1129" s="245"/>
      <c r="O1129" s="258"/>
      <c r="P1129" s="257"/>
      <c r="Q1129" s="258"/>
      <c r="R1129" s="257"/>
      <c r="S1129" s="258"/>
      <c r="T1129" s="257"/>
      <c r="U1129" s="258"/>
      <c r="V1129" s="257"/>
      <c r="W1129" s="258"/>
      <c r="X1129" s="257"/>
      <c r="Y1129" s="258"/>
      <c r="Z1129" s="257"/>
      <c r="AG1129" s="262"/>
      <c r="AH1129" s="289"/>
      <c r="AI1129" s="245"/>
    </row>
    <row r="1130" spans="1:35" ht="15" customHeight="1">
      <c r="A1130" s="250">
        <f>A1123+1</f>
        <v>201</v>
      </c>
      <c r="B1130" s="251"/>
      <c r="C1130" s="665" t="s">
        <v>2496</v>
      </c>
      <c r="D1130" s="556" t="s">
        <v>951</v>
      </c>
      <c r="E1130" s="251"/>
      <c r="F1130" s="252"/>
      <c r="G1130" s="253"/>
      <c r="H1130" s="254"/>
      <c r="I1130" s="253"/>
      <c r="J1130" s="253"/>
      <c r="K1130" s="251"/>
      <c r="L1130" s="262"/>
      <c r="M1130" s="289"/>
      <c r="N1130" s="245"/>
      <c r="O1130" s="258"/>
      <c r="P1130" s="257"/>
      <c r="Q1130" s="258"/>
      <c r="R1130" s="257"/>
      <c r="S1130" s="258"/>
      <c r="T1130" s="257"/>
      <c r="U1130" s="258"/>
      <c r="V1130" s="257"/>
      <c r="W1130" s="258"/>
      <c r="X1130" s="257"/>
      <c r="Y1130" s="258"/>
      <c r="Z1130" s="257"/>
      <c r="AG1130" s="262"/>
      <c r="AH1130" s="289"/>
      <c r="AI1130" s="245"/>
    </row>
    <row r="1131" spans="1:35" ht="15" customHeight="1">
      <c r="A1131" s="250"/>
      <c r="B1131" s="251"/>
      <c r="C1131" s="665"/>
      <c r="D1131" s="680" t="s">
        <v>841</v>
      </c>
      <c r="E1131" s="251"/>
      <c r="F1131" s="252"/>
      <c r="G1131" s="253"/>
      <c r="H1131" s="254"/>
      <c r="I1131" s="253"/>
      <c r="J1131" s="253"/>
      <c r="K1131" s="251"/>
      <c r="L1131" s="262"/>
      <c r="M1131" s="289"/>
      <c r="N1131" s="245"/>
      <c r="O1131" s="258"/>
      <c r="P1131" s="257"/>
      <c r="Q1131" s="258"/>
      <c r="R1131" s="257"/>
      <c r="S1131" s="258"/>
      <c r="T1131" s="257"/>
      <c r="U1131" s="258"/>
      <c r="V1131" s="257"/>
      <c r="W1131" s="258"/>
      <c r="X1131" s="257"/>
      <c r="Y1131" s="258"/>
      <c r="Z1131" s="257"/>
      <c r="AG1131" s="262"/>
      <c r="AH1131" s="289"/>
      <c r="AI1131" s="245"/>
    </row>
    <row r="1132" spans="1:35" ht="15" customHeight="1">
      <c r="A1132" s="250" t="s">
        <v>726</v>
      </c>
      <c r="B1132" s="251"/>
      <c r="C1132" s="665" t="s">
        <v>764</v>
      </c>
      <c r="D1132" s="556" t="s">
        <v>223</v>
      </c>
      <c r="E1132" s="251" t="s">
        <v>1901</v>
      </c>
      <c r="F1132" s="304">
        <f>M1132+O1132+Q1132+S1132+U1132+W1132+Y1132</f>
        <v>0</v>
      </c>
      <c r="G1132" s="253">
        <f>L1132</f>
        <v>12.200000000000017</v>
      </c>
      <c r="H1132" s="254">
        <f>F1132*G1132</f>
        <v>0</v>
      </c>
      <c r="I1132" s="253">
        <f>N1132+P1132+R1132+T1132+V1132+X1132+Z1132</f>
        <v>0</v>
      </c>
      <c r="J1132" s="253"/>
      <c r="K1132" s="251" t="s">
        <v>1901</v>
      </c>
      <c r="L1132" s="255">
        <f>L1128</f>
        <v>12.200000000000017</v>
      </c>
      <c r="M1132" s="289">
        <v>0</v>
      </c>
      <c r="N1132" s="245">
        <f>INT($L1132*M1132*100+0.5)/100</f>
        <v>0</v>
      </c>
      <c r="O1132" s="258">
        <v>0</v>
      </c>
      <c r="P1132" s="257">
        <f>INT($L1132*O1132*100+0.5)/100</f>
        <v>0</v>
      </c>
      <c r="Q1132" s="258">
        <v>0</v>
      </c>
      <c r="R1132" s="257">
        <f>INT($L1132*Q1132*100+0.5)/100</f>
        <v>0</v>
      </c>
      <c r="S1132" s="258">
        <v>0</v>
      </c>
      <c r="T1132" s="257">
        <f>INT($L1132*S1132*100+0.5)/100</f>
        <v>0</v>
      </c>
      <c r="U1132" s="258">
        <v>0</v>
      </c>
      <c r="V1132" s="257">
        <f>INT($L1132*U1132*100+0.5)/100</f>
        <v>0</v>
      </c>
      <c r="W1132" s="258">
        <v>0</v>
      </c>
      <c r="X1132" s="257">
        <f>INT($L1132*W1132*100+0.5)/100</f>
        <v>0</v>
      </c>
      <c r="Y1132" s="258">
        <v>0</v>
      </c>
      <c r="Z1132" s="257">
        <f>INT($L1132*Y1132*100+0.5)/100</f>
        <v>0</v>
      </c>
      <c r="AG1132" s="255">
        <v>92.05</v>
      </c>
      <c r="AH1132" s="289">
        <v>0</v>
      </c>
      <c r="AI1132" s="245">
        <f>AG1132*AH1132</f>
        <v>0</v>
      </c>
    </row>
    <row r="1133" spans="1:35" ht="15" customHeight="1">
      <c r="A1133" s="250" t="s">
        <v>727</v>
      </c>
      <c r="B1133" s="251"/>
      <c r="C1133" s="665" t="s">
        <v>765</v>
      </c>
      <c r="D1133" s="556" t="s">
        <v>224</v>
      </c>
      <c r="E1133" s="251" t="s">
        <v>1901</v>
      </c>
      <c r="F1133" s="304">
        <f>M1133+O1133+Q1133+S1133+U1133+W1133+Y1133</f>
        <v>0</v>
      </c>
      <c r="G1133" s="253">
        <f>L1133</f>
        <v>12.200000000000017</v>
      </c>
      <c r="H1133" s="254">
        <f>F1133*G1133</f>
        <v>0</v>
      </c>
      <c r="I1133" s="253">
        <f>N1133+P1133+R1133+T1133+V1133+X1133+Z1133</f>
        <v>0</v>
      </c>
      <c r="J1133" s="253"/>
      <c r="K1133" s="251" t="s">
        <v>1901</v>
      </c>
      <c r="L1133" s="255">
        <f>L1132</f>
        <v>12.200000000000017</v>
      </c>
      <c r="M1133" s="289">
        <v>0</v>
      </c>
      <c r="N1133" s="245">
        <f>INT($L1133*M1133*100+0.5)/100</f>
        <v>0</v>
      </c>
      <c r="O1133" s="258">
        <v>0</v>
      </c>
      <c r="P1133" s="257">
        <f>INT($L1133*O1133*100+0.5)/100</f>
        <v>0</v>
      </c>
      <c r="Q1133" s="258">
        <v>0</v>
      </c>
      <c r="R1133" s="257">
        <f>INT($L1133*Q1133*100+0.5)/100</f>
        <v>0</v>
      </c>
      <c r="S1133" s="258">
        <v>0</v>
      </c>
      <c r="T1133" s="257">
        <f>INT($L1133*S1133*100+0.5)/100</f>
        <v>0</v>
      </c>
      <c r="U1133" s="258">
        <v>0</v>
      </c>
      <c r="V1133" s="257">
        <f>INT($L1133*U1133*100+0.5)/100</f>
        <v>0</v>
      </c>
      <c r="W1133" s="258">
        <v>0</v>
      </c>
      <c r="X1133" s="257">
        <f>INT($L1133*W1133*100+0.5)/100</f>
        <v>0</v>
      </c>
      <c r="Y1133" s="258">
        <v>0</v>
      </c>
      <c r="Z1133" s="257">
        <f>INT($L1133*Y1133*100+0.5)/100</f>
        <v>0</v>
      </c>
      <c r="AG1133" s="255">
        <v>122.72</v>
      </c>
      <c r="AH1133" s="289">
        <v>0</v>
      </c>
      <c r="AI1133" s="245">
        <f>AG1133*AH1133</f>
        <v>0</v>
      </c>
    </row>
    <row r="1134" spans="1:35" ht="15" customHeight="1">
      <c r="A1134" s="250" t="s">
        <v>728</v>
      </c>
      <c r="B1134" s="251"/>
      <c r="C1134" s="665" t="s">
        <v>766</v>
      </c>
      <c r="D1134" s="556" t="s">
        <v>235</v>
      </c>
      <c r="E1134" s="251" t="s">
        <v>1901</v>
      </c>
      <c r="F1134" s="304">
        <f>M1134+O1134+Q1134+S1134+U1134+W1134+Y1134</f>
        <v>0</v>
      </c>
      <c r="G1134" s="253">
        <f>L1134</f>
        <v>12.200000000000017</v>
      </c>
      <c r="H1134" s="254">
        <f>F1134*G1134</f>
        <v>0</v>
      </c>
      <c r="I1134" s="253">
        <f>N1134+P1134+R1134+T1134+V1134+X1134+Z1134</f>
        <v>0</v>
      </c>
      <c r="J1134" s="253"/>
      <c r="K1134" s="251" t="s">
        <v>1901</v>
      </c>
      <c r="L1134" s="255">
        <f>L1133</f>
        <v>12.200000000000017</v>
      </c>
      <c r="M1134" s="289">
        <v>0</v>
      </c>
      <c r="N1134" s="245">
        <f>INT($L1134*M1134*100+0.5)/100</f>
        <v>0</v>
      </c>
      <c r="O1134" s="258">
        <v>0</v>
      </c>
      <c r="P1134" s="257">
        <f>INT($L1134*O1134*100+0.5)/100</f>
        <v>0</v>
      </c>
      <c r="Q1134" s="258">
        <v>0</v>
      </c>
      <c r="R1134" s="257">
        <f>INT($L1134*Q1134*100+0.5)/100</f>
        <v>0</v>
      </c>
      <c r="S1134" s="258">
        <v>0</v>
      </c>
      <c r="T1134" s="257">
        <f>INT($L1134*S1134*100+0.5)/100</f>
        <v>0</v>
      </c>
      <c r="U1134" s="258">
        <v>0</v>
      </c>
      <c r="V1134" s="257">
        <f>INT($L1134*U1134*100+0.5)/100</f>
        <v>0</v>
      </c>
      <c r="W1134" s="258">
        <v>0</v>
      </c>
      <c r="X1134" s="257">
        <f>INT($L1134*W1134*100+0.5)/100</f>
        <v>0</v>
      </c>
      <c r="Y1134" s="258">
        <v>0</v>
      </c>
      <c r="Z1134" s="257">
        <f>INT($L1134*Y1134*100+0.5)/100</f>
        <v>0</v>
      </c>
      <c r="AG1134" s="255">
        <v>175.14</v>
      </c>
      <c r="AH1134" s="289">
        <v>0</v>
      </c>
      <c r="AI1134" s="245">
        <f>AG1134*AH1134</f>
        <v>0</v>
      </c>
    </row>
    <row r="1135" spans="1:35" ht="15" customHeight="1">
      <c r="A1135" s="250" t="s">
        <v>732</v>
      </c>
      <c r="B1135" s="251"/>
      <c r="C1135" s="665" t="s">
        <v>767</v>
      </c>
      <c r="D1135" s="556" t="s">
        <v>236</v>
      </c>
      <c r="E1135" s="251" t="s">
        <v>1901</v>
      </c>
      <c r="F1135" s="304">
        <f>M1135+O1135+Q1135+S1135+U1135+W1135+Y1135</f>
        <v>3</v>
      </c>
      <c r="G1135" s="253">
        <f>L1135</f>
        <v>12.200000000000017</v>
      </c>
      <c r="H1135" s="254">
        <f>F1135*G1135</f>
        <v>36.600000000000051</v>
      </c>
      <c r="I1135" s="253">
        <f>N1135+P1135+R1135+T1135+V1135+X1135+Z1135</f>
        <v>36.6</v>
      </c>
      <c r="J1135" s="253"/>
      <c r="K1135" s="251" t="s">
        <v>1901</v>
      </c>
      <c r="L1135" s="255">
        <f>L1134</f>
        <v>12.200000000000017</v>
      </c>
      <c r="M1135" s="289">
        <v>3</v>
      </c>
      <c r="N1135" s="245">
        <f>INT($L1135*M1135*100+0.5)/100</f>
        <v>36.6</v>
      </c>
      <c r="O1135" s="258">
        <v>0</v>
      </c>
      <c r="P1135" s="257">
        <f>INT($L1135*O1135*100+0.5)/100</f>
        <v>0</v>
      </c>
      <c r="Q1135" s="258">
        <v>0</v>
      </c>
      <c r="R1135" s="257">
        <f>INT($L1135*Q1135*100+0.5)/100</f>
        <v>0</v>
      </c>
      <c r="S1135" s="258">
        <v>0</v>
      </c>
      <c r="T1135" s="257">
        <f>INT($L1135*S1135*100+0.5)/100</f>
        <v>0</v>
      </c>
      <c r="U1135" s="258">
        <v>0</v>
      </c>
      <c r="V1135" s="257">
        <f>INT($L1135*U1135*100+0.5)/100</f>
        <v>0</v>
      </c>
      <c r="W1135" s="258">
        <v>0</v>
      </c>
      <c r="X1135" s="257">
        <f>INT($L1135*W1135*100+0.5)/100</f>
        <v>0</v>
      </c>
      <c r="Y1135" s="258">
        <v>0</v>
      </c>
      <c r="Z1135" s="257">
        <f>INT($L1135*Y1135*100+0.5)/100</f>
        <v>0</v>
      </c>
      <c r="AG1135" s="255">
        <v>215.39</v>
      </c>
      <c r="AH1135" s="289">
        <v>5</v>
      </c>
      <c r="AI1135" s="245">
        <f>AG1135*AH1135</f>
        <v>1076.9499999999998</v>
      </c>
    </row>
    <row r="1136" spans="1:35" ht="15" customHeight="1">
      <c r="A1136" s="250"/>
      <c r="B1136" s="251"/>
      <c r="C1136" s="526"/>
      <c r="D1136" s="292"/>
      <c r="E1136" s="251"/>
      <c r="F1136" s="252"/>
      <c r="G1136" s="253"/>
      <c r="H1136" s="254"/>
      <c r="I1136" s="253"/>
      <c r="J1136" s="253"/>
      <c r="K1136" s="251"/>
      <c r="L1136" s="487"/>
      <c r="M1136" s="289"/>
      <c r="N1136" s="245"/>
      <c r="O1136" s="258"/>
      <c r="P1136" s="257"/>
      <c r="Q1136" s="258"/>
      <c r="R1136" s="257"/>
      <c r="S1136" s="258"/>
      <c r="T1136" s="257"/>
      <c r="U1136" s="258"/>
      <c r="V1136" s="257"/>
      <c r="W1136" s="258"/>
      <c r="X1136" s="257"/>
      <c r="Y1136" s="258"/>
      <c r="Z1136" s="257"/>
    </row>
    <row r="1137" spans="1:35" ht="25.5" hidden="1">
      <c r="A1137" s="250">
        <f>A1130+1</f>
        <v>202</v>
      </c>
      <c r="B1137" s="251"/>
      <c r="C1137" s="526" t="s">
        <v>1784</v>
      </c>
      <c r="D1137" s="526" t="s">
        <v>370</v>
      </c>
      <c r="E1137" s="251"/>
      <c r="F1137" s="252"/>
      <c r="G1137" s="253"/>
      <c r="H1137" s="290"/>
      <c r="I1137" s="253"/>
      <c r="J1137" s="253"/>
      <c r="K1137" s="251"/>
      <c r="L1137" s="261"/>
      <c r="M1137" s="289"/>
      <c r="N1137" s="242"/>
      <c r="O1137" s="258"/>
      <c r="P1137" s="257"/>
      <c r="Q1137" s="258"/>
      <c r="R1137" s="257"/>
      <c r="S1137" s="258"/>
      <c r="T1137" s="257"/>
      <c r="U1137" s="258"/>
      <c r="V1137" s="257"/>
      <c r="W1137" s="258"/>
      <c r="X1137" s="257"/>
      <c r="Y1137" s="258"/>
      <c r="Z1137" s="257"/>
      <c r="AI1137" s="218">
        <f>SUM(AI1093:AI1136)</f>
        <v>9830.1500000000015</v>
      </c>
    </row>
    <row r="1138" spans="1:35" ht="15" hidden="1" customHeight="1">
      <c r="A1138" s="250"/>
      <c r="B1138" s="251"/>
      <c r="C1138" s="526"/>
      <c r="D1138" s="526" t="s">
        <v>541</v>
      </c>
      <c r="E1138" s="251"/>
      <c r="F1138" s="252"/>
      <c r="G1138" s="253"/>
      <c r="H1138" s="290"/>
      <c r="I1138" s="253"/>
      <c r="J1138" s="253"/>
      <c r="K1138" s="251"/>
      <c r="L1138" s="261"/>
      <c r="M1138" s="289"/>
      <c r="N1138" s="242"/>
      <c r="O1138" s="258"/>
      <c r="P1138" s="257"/>
      <c r="Q1138" s="258"/>
      <c r="R1138" s="257"/>
      <c r="S1138" s="258"/>
      <c r="T1138" s="257"/>
      <c r="U1138" s="258"/>
      <c r="V1138" s="257"/>
      <c r="W1138" s="258"/>
      <c r="X1138" s="257"/>
      <c r="Y1138" s="258"/>
      <c r="Z1138" s="257"/>
    </row>
    <row r="1139" spans="1:35" ht="15" hidden="1" customHeight="1">
      <c r="A1139" s="250" t="s">
        <v>726</v>
      </c>
      <c r="B1139" s="251"/>
      <c r="C1139" s="526" t="s">
        <v>768</v>
      </c>
      <c r="D1139" s="292" t="s">
        <v>371</v>
      </c>
      <c r="E1139" s="251" t="s">
        <v>2475</v>
      </c>
      <c r="F1139" s="304">
        <f t="shared" ref="F1139:F1150" si="139">M1139+O1139+Q1139+S1139+U1139+W1139+Y1139</f>
        <v>0</v>
      </c>
      <c r="G1139" s="253">
        <f t="shared" ref="G1139:G1150" si="140">L1139</f>
        <v>6.09</v>
      </c>
      <c r="H1139" s="254">
        <f>F1139*G1139</f>
        <v>0</v>
      </c>
      <c r="I1139" s="253">
        <f t="shared" ref="I1139:I1150" si="141">N1139+P1139+R1139+T1139+V1139+X1139+Z1139</f>
        <v>0</v>
      </c>
      <c r="J1139" s="253"/>
      <c r="K1139" s="251" t="s">
        <v>2475</v>
      </c>
      <c r="L1139" s="663">
        <v>6.09</v>
      </c>
      <c r="M1139" s="289">
        <v>0</v>
      </c>
      <c r="N1139" s="245">
        <f t="shared" ref="N1139:N1150" si="142">INT($L1139*M1139*100+0.5)/100</f>
        <v>0</v>
      </c>
      <c r="O1139" s="258">
        <v>0</v>
      </c>
      <c r="P1139" s="257">
        <f t="shared" ref="P1139:P1150" si="143">INT($L1139*O1139*100+0.5)/100</f>
        <v>0</v>
      </c>
      <c r="Q1139" s="258">
        <v>0</v>
      </c>
      <c r="R1139" s="257">
        <f t="shared" ref="R1139:R1150" si="144">INT($L1139*Q1139*100+0.5)/100</f>
        <v>0</v>
      </c>
      <c r="S1139" s="258">
        <v>0</v>
      </c>
      <c r="T1139" s="257">
        <f t="shared" ref="T1139:T1150" si="145">INT($L1139*S1139*100+0.5)/100</f>
        <v>0</v>
      </c>
      <c r="U1139" s="258">
        <v>0</v>
      </c>
      <c r="V1139" s="257">
        <f t="shared" ref="V1139:V1150" si="146">INT($L1139*U1139*100+0.5)/100</f>
        <v>0</v>
      </c>
      <c r="W1139" s="258">
        <v>0</v>
      </c>
      <c r="X1139" s="257">
        <f t="shared" ref="X1139:X1150" si="147">INT($L1139*W1139*100+0.5)/100</f>
        <v>0</v>
      </c>
      <c r="Y1139" s="258">
        <v>0</v>
      </c>
      <c r="Z1139" s="257">
        <f t="shared" ref="Z1139:Z1150" si="148">INT($L1139*Y1139*100+0.5)/100</f>
        <v>0</v>
      </c>
    </row>
    <row r="1140" spans="1:35" ht="15" hidden="1" customHeight="1">
      <c r="A1140" s="250" t="s">
        <v>727</v>
      </c>
      <c r="B1140" s="251"/>
      <c r="C1140" s="526" t="s">
        <v>769</v>
      </c>
      <c r="D1140" s="292" t="s">
        <v>546</v>
      </c>
      <c r="E1140" s="251" t="s">
        <v>2475</v>
      </c>
      <c r="F1140" s="304">
        <f t="shared" si="139"/>
        <v>0</v>
      </c>
      <c r="G1140" s="253">
        <f t="shared" si="140"/>
        <v>6.74</v>
      </c>
      <c r="H1140" s="254">
        <f t="shared" ref="H1140:H1148" si="149">F1140*G1140</f>
        <v>0</v>
      </c>
      <c r="I1140" s="253">
        <f t="shared" si="141"/>
        <v>0</v>
      </c>
      <c r="J1140" s="253"/>
      <c r="K1140" s="251" t="s">
        <v>2475</v>
      </c>
      <c r="L1140" s="663">
        <v>6.74</v>
      </c>
      <c r="M1140" s="289">
        <v>0</v>
      </c>
      <c r="N1140" s="245">
        <f t="shared" si="142"/>
        <v>0</v>
      </c>
      <c r="O1140" s="258">
        <v>0</v>
      </c>
      <c r="P1140" s="257">
        <f t="shared" si="143"/>
        <v>0</v>
      </c>
      <c r="Q1140" s="258">
        <v>0</v>
      </c>
      <c r="R1140" s="257">
        <f t="shared" si="144"/>
        <v>0</v>
      </c>
      <c r="S1140" s="258">
        <v>0</v>
      </c>
      <c r="T1140" s="257">
        <f t="shared" si="145"/>
        <v>0</v>
      </c>
      <c r="U1140" s="258">
        <v>0</v>
      </c>
      <c r="V1140" s="257">
        <f t="shared" si="146"/>
        <v>0</v>
      </c>
      <c r="W1140" s="258">
        <v>0</v>
      </c>
      <c r="X1140" s="257">
        <f t="shared" si="147"/>
        <v>0</v>
      </c>
      <c r="Y1140" s="258">
        <v>0</v>
      </c>
      <c r="Z1140" s="257">
        <f t="shared" si="148"/>
        <v>0</v>
      </c>
    </row>
    <row r="1141" spans="1:35" ht="15" hidden="1" customHeight="1">
      <c r="A1141" s="250" t="s">
        <v>728</v>
      </c>
      <c r="B1141" s="251"/>
      <c r="C1141" s="526" t="s">
        <v>770</v>
      </c>
      <c r="D1141" s="292" t="s">
        <v>547</v>
      </c>
      <c r="E1141" s="251" t="s">
        <v>2475</v>
      </c>
      <c r="F1141" s="304">
        <f t="shared" si="139"/>
        <v>0</v>
      </c>
      <c r="G1141" s="253">
        <f t="shared" si="140"/>
        <v>6.98</v>
      </c>
      <c r="H1141" s="254">
        <f t="shared" si="149"/>
        <v>0</v>
      </c>
      <c r="I1141" s="253">
        <f t="shared" si="141"/>
        <v>0</v>
      </c>
      <c r="J1141" s="253"/>
      <c r="K1141" s="251" t="s">
        <v>2475</v>
      </c>
      <c r="L1141" s="663">
        <v>6.98</v>
      </c>
      <c r="M1141" s="289">
        <v>0</v>
      </c>
      <c r="N1141" s="245">
        <f t="shared" si="142"/>
        <v>0</v>
      </c>
      <c r="O1141" s="258">
        <v>0</v>
      </c>
      <c r="P1141" s="257">
        <f t="shared" si="143"/>
        <v>0</v>
      </c>
      <c r="Q1141" s="258">
        <v>0</v>
      </c>
      <c r="R1141" s="257">
        <f t="shared" si="144"/>
        <v>0</v>
      </c>
      <c r="S1141" s="258">
        <v>0</v>
      </c>
      <c r="T1141" s="257">
        <f t="shared" si="145"/>
        <v>0</v>
      </c>
      <c r="U1141" s="258">
        <v>0</v>
      </c>
      <c r="V1141" s="257">
        <f t="shared" si="146"/>
        <v>0</v>
      </c>
      <c r="W1141" s="258">
        <v>0</v>
      </c>
      <c r="X1141" s="257">
        <f t="shared" si="147"/>
        <v>0</v>
      </c>
      <c r="Y1141" s="258">
        <v>0</v>
      </c>
      <c r="Z1141" s="257">
        <f t="shared" si="148"/>
        <v>0</v>
      </c>
    </row>
    <row r="1142" spans="1:35" ht="15" hidden="1" customHeight="1">
      <c r="A1142" s="250" t="s">
        <v>732</v>
      </c>
      <c r="B1142" s="251"/>
      <c r="C1142" s="526" t="s">
        <v>771</v>
      </c>
      <c r="D1142" s="292" t="s">
        <v>548</v>
      </c>
      <c r="E1142" s="251" t="s">
        <v>2475</v>
      </c>
      <c r="F1142" s="304">
        <f t="shared" si="139"/>
        <v>0</v>
      </c>
      <c r="G1142" s="253">
        <f t="shared" si="140"/>
        <v>7.53</v>
      </c>
      <c r="H1142" s="254">
        <f t="shared" si="149"/>
        <v>0</v>
      </c>
      <c r="I1142" s="253">
        <f t="shared" si="141"/>
        <v>0</v>
      </c>
      <c r="J1142" s="253"/>
      <c r="K1142" s="251" t="s">
        <v>2475</v>
      </c>
      <c r="L1142" s="663">
        <v>7.53</v>
      </c>
      <c r="M1142" s="289">
        <v>0</v>
      </c>
      <c r="N1142" s="245">
        <f t="shared" si="142"/>
        <v>0</v>
      </c>
      <c r="O1142" s="258">
        <v>0</v>
      </c>
      <c r="P1142" s="257">
        <f t="shared" si="143"/>
        <v>0</v>
      </c>
      <c r="Q1142" s="258">
        <v>0</v>
      </c>
      <c r="R1142" s="257">
        <f t="shared" si="144"/>
        <v>0</v>
      </c>
      <c r="S1142" s="258">
        <v>0</v>
      </c>
      <c r="T1142" s="257">
        <f t="shared" si="145"/>
        <v>0</v>
      </c>
      <c r="U1142" s="258">
        <v>0</v>
      </c>
      <c r="V1142" s="257">
        <f t="shared" si="146"/>
        <v>0</v>
      </c>
      <c r="W1142" s="258">
        <v>0</v>
      </c>
      <c r="X1142" s="257">
        <f t="shared" si="147"/>
        <v>0</v>
      </c>
      <c r="Y1142" s="258">
        <v>0</v>
      </c>
      <c r="Z1142" s="257">
        <f t="shared" si="148"/>
        <v>0</v>
      </c>
    </row>
    <row r="1143" spans="1:35" ht="15" hidden="1" customHeight="1">
      <c r="A1143" s="250" t="s">
        <v>733</v>
      </c>
      <c r="B1143" s="251"/>
      <c r="C1143" s="526" t="s">
        <v>772</v>
      </c>
      <c r="D1143" s="292" t="s">
        <v>549</v>
      </c>
      <c r="E1143" s="251" t="s">
        <v>2475</v>
      </c>
      <c r="F1143" s="304">
        <f t="shared" si="139"/>
        <v>0</v>
      </c>
      <c r="G1143" s="253">
        <f t="shared" si="140"/>
        <v>9.81</v>
      </c>
      <c r="H1143" s="254">
        <f t="shared" si="149"/>
        <v>0</v>
      </c>
      <c r="I1143" s="253">
        <f t="shared" si="141"/>
        <v>0</v>
      </c>
      <c r="J1143" s="253"/>
      <c r="K1143" s="251" t="s">
        <v>2475</v>
      </c>
      <c r="L1143" s="663">
        <v>9.81</v>
      </c>
      <c r="M1143" s="289">
        <v>0</v>
      </c>
      <c r="N1143" s="245">
        <f t="shared" si="142"/>
        <v>0</v>
      </c>
      <c r="O1143" s="258">
        <v>0</v>
      </c>
      <c r="P1143" s="257">
        <f t="shared" si="143"/>
        <v>0</v>
      </c>
      <c r="Q1143" s="258">
        <v>0</v>
      </c>
      <c r="R1143" s="257">
        <f t="shared" si="144"/>
        <v>0</v>
      </c>
      <c r="S1143" s="258">
        <v>0</v>
      </c>
      <c r="T1143" s="257">
        <f t="shared" si="145"/>
        <v>0</v>
      </c>
      <c r="U1143" s="258">
        <v>0</v>
      </c>
      <c r="V1143" s="257">
        <f t="shared" si="146"/>
        <v>0</v>
      </c>
      <c r="W1143" s="258">
        <v>0</v>
      </c>
      <c r="X1143" s="257">
        <f t="shared" si="147"/>
        <v>0</v>
      </c>
      <c r="Y1143" s="258">
        <v>0</v>
      </c>
      <c r="Z1143" s="257">
        <f t="shared" si="148"/>
        <v>0</v>
      </c>
    </row>
    <row r="1144" spans="1:35" ht="15" hidden="1" customHeight="1">
      <c r="A1144" s="250" t="s">
        <v>734</v>
      </c>
      <c r="B1144" s="251"/>
      <c r="C1144" s="526" t="s">
        <v>773</v>
      </c>
      <c r="D1144" s="292" t="s">
        <v>550</v>
      </c>
      <c r="E1144" s="251" t="s">
        <v>2475</v>
      </c>
      <c r="F1144" s="304">
        <f t="shared" si="139"/>
        <v>0</v>
      </c>
      <c r="G1144" s="253">
        <f t="shared" si="140"/>
        <v>12.5</v>
      </c>
      <c r="H1144" s="254">
        <f t="shared" si="149"/>
        <v>0</v>
      </c>
      <c r="I1144" s="253">
        <f t="shared" si="141"/>
        <v>0</v>
      </c>
      <c r="J1144" s="253"/>
      <c r="K1144" s="251" t="s">
        <v>2475</v>
      </c>
      <c r="L1144" s="663">
        <v>12.5</v>
      </c>
      <c r="M1144" s="289">
        <v>0</v>
      </c>
      <c r="N1144" s="245">
        <f t="shared" si="142"/>
        <v>0</v>
      </c>
      <c r="O1144" s="258">
        <v>0</v>
      </c>
      <c r="P1144" s="257">
        <f t="shared" si="143"/>
        <v>0</v>
      </c>
      <c r="Q1144" s="258">
        <v>0</v>
      </c>
      <c r="R1144" s="257">
        <f t="shared" si="144"/>
        <v>0</v>
      </c>
      <c r="S1144" s="258">
        <v>0</v>
      </c>
      <c r="T1144" s="257">
        <f t="shared" si="145"/>
        <v>0</v>
      </c>
      <c r="U1144" s="258">
        <v>0</v>
      </c>
      <c r="V1144" s="257">
        <f t="shared" si="146"/>
        <v>0</v>
      </c>
      <c r="W1144" s="258">
        <v>0</v>
      </c>
      <c r="X1144" s="257">
        <f t="shared" si="147"/>
        <v>0</v>
      </c>
      <c r="Y1144" s="258">
        <v>0</v>
      </c>
      <c r="Z1144" s="257">
        <f t="shared" si="148"/>
        <v>0</v>
      </c>
    </row>
    <row r="1145" spans="1:35" ht="15" hidden="1" customHeight="1">
      <c r="A1145" s="250" t="s">
        <v>735</v>
      </c>
      <c r="B1145" s="251"/>
      <c r="C1145" s="526" t="s">
        <v>774</v>
      </c>
      <c r="D1145" s="292" t="s">
        <v>551</v>
      </c>
      <c r="E1145" s="251" t="s">
        <v>2475</v>
      </c>
      <c r="F1145" s="304">
        <f t="shared" si="139"/>
        <v>0</v>
      </c>
      <c r="G1145" s="253">
        <f t="shared" si="140"/>
        <v>15.29</v>
      </c>
      <c r="H1145" s="254">
        <f t="shared" si="149"/>
        <v>0</v>
      </c>
      <c r="I1145" s="253">
        <f t="shared" si="141"/>
        <v>0</v>
      </c>
      <c r="J1145" s="253"/>
      <c r="K1145" s="251" t="s">
        <v>2475</v>
      </c>
      <c r="L1145" s="663">
        <v>15.29</v>
      </c>
      <c r="M1145" s="289">
        <v>0</v>
      </c>
      <c r="N1145" s="245">
        <f t="shared" si="142"/>
        <v>0</v>
      </c>
      <c r="O1145" s="258">
        <v>0</v>
      </c>
      <c r="P1145" s="257">
        <f t="shared" si="143"/>
        <v>0</v>
      </c>
      <c r="Q1145" s="258">
        <v>0</v>
      </c>
      <c r="R1145" s="257">
        <f t="shared" si="144"/>
        <v>0</v>
      </c>
      <c r="S1145" s="258">
        <v>0</v>
      </c>
      <c r="T1145" s="257">
        <f t="shared" si="145"/>
        <v>0</v>
      </c>
      <c r="U1145" s="258">
        <v>0</v>
      </c>
      <c r="V1145" s="257">
        <f t="shared" si="146"/>
        <v>0</v>
      </c>
      <c r="W1145" s="258">
        <v>0</v>
      </c>
      <c r="X1145" s="257">
        <f t="shared" si="147"/>
        <v>0</v>
      </c>
      <c r="Y1145" s="258">
        <v>0</v>
      </c>
      <c r="Z1145" s="257">
        <f t="shared" si="148"/>
        <v>0</v>
      </c>
    </row>
    <row r="1146" spans="1:35" ht="15" hidden="1" customHeight="1">
      <c r="A1146" s="250" t="s">
        <v>736</v>
      </c>
      <c r="B1146" s="251"/>
      <c r="C1146" s="526" t="s">
        <v>775</v>
      </c>
      <c r="D1146" s="292" t="s">
        <v>2161</v>
      </c>
      <c r="E1146" s="251" t="s">
        <v>2475</v>
      </c>
      <c r="F1146" s="304">
        <f t="shared" si="139"/>
        <v>0</v>
      </c>
      <c r="G1146" s="253">
        <f t="shared" si="140"/>
        <v>20.69</v>
      </c>
      <c r="H1146" s="254">
        <f t="shared" si="149"/>
        <v>0</v>
      </c>
      <c r="I1146" s="253">
        <f t="shared" si="141"/>
        <v>0</v>
      </c>
      <c r="J1146" s="253"/>
      <c r="K1146" s="251" t="s">
        <v>2475</v>
      </c>
      <c r="L1146" s="663">
        <v>20.69</v>
      </c>
      <c r="M1146" s="289">
        <v>0</v>
      </c>
      <c r="N1146" s="245">
        <f t="shared" si="142"/>
        <v>0</v>
      </c>
      <c r="O1146" s="258">
        <v>0</v>
      </c>
      <c r="P1146" s="257">
        <f t="shared" si="143"/>
        <v>0</v>
      </c>
      <c r="Q1146" s="258">
        <v>0</v>
      </c>
      <c r="R1146" s="257">
        <f t="shared" si="144"/>
        <v>0</v>
      </c>
      <c r="S1146" s="258">
        <v>0</v>
      </c>
      <c r="T1146" s="257">
        <f t="shared" si="145"/>
        <v>0</v>
      </c>
      <c r="U1146" s="258">
        <v>0</v>
      </c>
      <c r="V1146" s="257">
        <f t="shared" si="146"/>
        <v>0</v>
      </c>
      <c r="W1146" s="258">
        <v>0</v>
      </c>
      <c r="X1146" s="257">
        <f t="shared" si="147"/>
        <v>0</v>
      </c>
      <c r="Y1146" s="258">
        <v>0</v>
      </c>
      <c r="Z1146" s="257">
        <f t="shared" si="148"/>
        <v>0</v>
      </c>
    </row>
    <row r="1147" spans="1:35" ht="15" hidden="1" customHeight="1">
      <c r="A1147" s="250" t="s">
        <v>654</v>
      </c>
      <c r="B1147" s="251"/>
      <c r="C1147" s="526" t="s">
        <v>776</v>
      </c>
      <c r="D1147" s="292" t="s">
        <v>2162</v>
      </c>
      <c r="E1147" s="251" t="s">
        <v>2475</v>
      </c>
      <c r="F1147" s="304">
        <f t="shared" si="139"/>
        <v>0</v>
      </c>
      <c r="G1147" s="253">
        <f t="shared" si="140"/>
        <v>24.95</v>
      </c>
      <c r="H1147" s="254">
        <f t="shared" si="149"/>
        <v>0</v>
      </c>
      <c r="I1147" s="253">
        <f t="shared" si="141"/>
        <v>0</v>
      </c>
      <c r="J1147" s="253"/>
      <c r="K1147" s="251" t="s">
        <v>2475</v>
      </c>
      <c r="L1147" s="663">
        <v>24.95</v>
      </c>
      <c r="M1147" s="289">
        <v>0</v>
      </c>
      <c r="N1147" s="245">
        <f t="shared" si="142"/>
        <v>0</v>
      </c>
      <c r="O1147" s="258">
        <v>0</v>
      </c>
      <c r="P1147" s="257">
        <f t="shared" si="143"/>
        <v>0</v>
      </c>
      <c r="Q1147" s="258">
        <v>0</v>
      </c>
      <c r="R1147" s="257">
        <f t="shared" si="144"/>
        <v>0</v>
      </c>
      <c r="S1147" s="258">
        <v>0</v>
      </c>
      <c r="T1147" s="257">
        <f t="shared" si="145"/>
        <v>0</v>
      </c>
      <c r="U1147" s="258">
        <v>0</v>
      </c>
      <c r="V1147" s="257">
        <f t="shared" si="146"/>
        <v>0</v>
      </c>
      <c r="W1147" s="258">
        <v>0</v>
      </c>
      <c r="X1147" s="257">
        <f t="shared" si="147"/>
        <v>0</v>
      </c>
      <c r="Y1147" s="258">
        <v>0</v>
      </c>
      <c r="Z1147" s="257">
        <f t="shared" si="148"/>
        <v>0</v>
      </c>
    </row>
    <row r="1148" spans="1:35" ht="15" hidden="1" customHeight="1">
      <c r="A1148" s="250" t="s">
        <v>737</v>
      </c>
      <c r="B1148" s="251"/>
      <c r="C1148" s="534" t="s">
        <v>777</v>
      </c>
      <c r="D1148" s="292" t="s">
        <v>2107</v>
      </c>
      <c r="E1148" s="251" t="s">
        <v>2475</v>
      </c>
      <c r="F1148" s="304">
        <f t="shared" si="139"/>
        <v>0</v>
      </c>
      <c r="G1148" s="253">
        <f t="shared" si="140"/>
        <v>30.82</v>
      </c>
      <c r="H1148" s="254">
        <f t="shared" si="149"/>
        <v>0</v>
      </c>
      <c r="I1148" s="253">
        <f t="shared" si="141"/>
        <v>0</v>
      </c>
      <c r="J1148" s="253"/>
      <c r="K1148" s="251" t="s">
        <v>2475</v>
      </c>
      <c r="L1148" s="663">
        <f>(L1147+L1149)/2</f>
        <v>30.82</v>
      </c>
      <c r="M1148" s="289">
        <v>0</v>
      </c>
      <c r="N1148" s="245">
        <f t="shared" si="142"/>
        <v>0</v>
      </c>
      <c r="O1148" s="258">
        <v>0</v>
      </c>
      <c r="P1148" s="257">
        <f t="shared" si="143"/>
        <v>0</v>
      </c>
      <c r="Q1148" s="258">
        <v>0</v>
      </c>
      <c r="R1148" s="257">
        <f t="shared" si="144"/>
        <v>0</v>
      </c>
      <c r="S1148" s="258">
        <v>0</v>
      </c>
      <c r="T1148" s="257">
        <f t="shared" si="145"/>
        <v>0</v>
      </c>
      <c r="U1148" s="258">
        <v>0</v>
      </c>
      <c r="V1148" s="257">
        <f t="shared" si="146"/>
        <v>0</v>
      </c>
      <c r="W1148" s="258">
        <v>0</v>
      </c>
      <c r="X1148" s="257">
        <f t="shared" si="147"/>
        <v>0</v>
      </c>
      <c r="Y1148" s="258">
        <v>0</v>
      </c>
      <c r="Z1148" s="257">
        <f t="shared" si="148"/>
        <v>0</v>
      </c>
    </row>
    <row r="1149" spans="1:35" ht="15" hidden="1" customHeight="1">
      <c r="A1149" s="250" t="s">
        <v>738</v>
      </c>
      <c r="B1149" s="251"/>
      <c r="C1149" s="526" t="s">
        <v>778</v>
      </c>
      <c r="D1149" s="292" t="s">
        <v>2108</v>
      </c>
      <c r="E1149" s="251" t="s">
        <v>2475</v>
      </c>
      <c r="F1149" s="304">
        <f t="shared" si="139"/>
        <v>0</v>
      </c>
      <c r="G1149" s="253">
        <f t="shared" si="140"/>
        <v>36.69</v>
      </c>
      <c r="H1149" s="254">
        <f>F1149*G1149</f>
        <v>0</v>
      </c>
      <c r="I1149" s="253">
        <f t="shared" si="141"/>
        <v>0</v>
      </c>
      <c r="J1149" s="253"/>
      <c r="K1149" s="251" t="s">
        <v>2475</v>
      </c>
      <c r="L1149" s="663">
        <v>36.69</v>
      </c>
      <c r="M1149" s="289">
        <v>0</v>
      </c>
      <c r="N1149" s="245">
        <f t="shared" si="142"/>
        <v>0</v>
      </c>
      <c r="O1149" s="258">
        <v>0</v>
      </c>
      <c r="P1149" s="257">
        <f t="shared" si="143"/>
        <v>0</v>
      </c>
      <c r="Q1149" s="258">
        <v>0</v>
      </c>
      <c r="R1149" s="257">
        <f t="shared" si="144"/>
        <v>0</v>
      </c>
      <c r="S1149" s="258">
        <v>0</v>
      </c>
      <c r="T1149" s="257">
        <f t="shared" si="145"/>
        <v>0</v>
      </c>
      <c r="U1149" s="258">
        <v>0</v>
      </c>
      <c r="V1149" s="257">
        <f t="shared" si="146"/>
        <v>0</v>
      </c>
      <c r="W1149" s="258">
        <v>0</v>
      </c>
      <c r="X1149" s="257">
        <f t="shared" si="147"/>
        <v>0</v>
      </c>
      <c r="Y1149" s="258">
        <v>0</v>
      </c>
      <c r="Z1149" s="257">
        <f t="shared" si="148"/>
        <v>0</v>
      </c>
    </row>
    <row r="1150" spans="1:35" ht="15" hidden="1" customHeight="1">
      <c r="A1150" s="250" t="s">
        <v>739</v>
      </c>
      <c r="B1150" s="251"/>
      <c r="C1150" s="526" t="s">
        <v>779</v>
      </c>
      <c r="D1150" s="292" t="s">
        <v>2109</v>
      </c>
      <c r="E1150" s="251" t="s">
        <v>2475</v>
      </c>
      <c r="F1150" s="304">
        <f t="shared" si="139"/>
        <v>0</v>
      </c>
      <c r="G1150" s="253">
        <f t="shared" si="140"/>
        <v>54.42</v>
      </c>
      <c r="H1150" s="254">
        <f>F1150*G1150</f>
        <v>0</v>
      </c>
      <c r="I1150" s="253">
        <f t="shared" si="141"/>
        <v>0</v>
      </c>
      <c r="J1150" s="253"/>
      <c r="K1150" s="251" t="s">
        <v>2475</v>
      </c>
      <c r="L1150" s="663">
        <v>54.42</v>
      </c>
      <c r="M1150" s="289">
        <v>0</v>
      </c>
      <c r="N1150" s="245">
        <f t="shared" si="142"/>
        <v>0</v>
      </c>
      <c r="O1150" s="258">
        <v>0</v>
      </c>
      <c r="P1150" s="257">
        <f t="shared" si="143"/>
        <v>0</v>
      </c>
      <c r="Q1150" s="258">
        <v>0</v>
      </c>
      <c r="R1150" s="257">
        <f t="shared" si="144"/>
        <v>0</v>
      </c>
      <c r="S1150" s="258">
        <v>0</v>
      </c>
      <c r="T1150" s="257">
        <f t="shared" si="145"/>
        <v>0</v>
      </c>
      <c r="U1150" s="258">
        <v>0</v>
      </c>
      <c r="V1150" s="257">
        <f t="shared" si="146"/>
        <v>0</v>
      </c>
      <c r="W1150" s="258">
        <v>0</v>
      </c>
      <c r="X1150" s="257">
        <f t="shared" si="147"/>
        <v>0</v>
      </c>
      <c r="Y1150" s="258">
        <v>0</v>
      </c>
      <c r="Z1150" s="257">
        <f t="shared" si="148"/>
        <v>0</v>
      </c>
    </row>
    <row r="1151" spans="1:35" ht="15" hidden="1" customHeight="1">
      <c r="A1151" s="250"/>
      <c r="B1151" s="251"/>
      <c r="C1151" s="526"/>
      <c r="D1151" s="292"/>
      <c r="E1151" s="251"/>
      <c r="F1151" s="252"/>
      <c r="G1151" s="253"/>
      <c r="H1151" s="290"/>
      <c r="I1151" s="253"/>
      <c r="J1151" s="253"/>
      <c r="K1151" s="251"/>
      <c r="L1151" s="255"/>
      <c r="M1151" s="289"/>
      <c r="N1151" s="242"/>
      <c r="O1151" s="258"/>
      <c r="P1151" s="257"/>
      <c r="Q1151" s="258"/>
      <c r="R1151" s="257"/>
      <c r="S1151" s="258"/>
      <c r="T1151" s="257"/>
      <c r="U1151" s="258"/>
      <c r="V1151" s="257"/>
      <c r="W1151" s="258"/>
      <c r="X1151" s="257"/>
      <c r="Y1151" s="258"/>
      <c r="Z1151" s="257"/>
    </row>
    <row r="1152" spans="1:35" ht="15" hidden="1" customHeight="1">
      <c r="A1152" s="250">
        <f>A1137+1</f>
        <v>203</v>
      </c>
      <c r="B1152" s="251"/>
      <c r="C1152" s="526" t="s">
        <v>1783</v>
      </c>
      <c r="D1152" s="526" t="s">
        <v>370</v>
      </c>
      <c r="E1152" s="251"/>
      <c r="F1152" s="252"/>
      <c r="G1152" s="253"/>
      <c r="H1152" s="290"/>
      <c r="I1152" s="253"/>
      <c r="J1152" s="253"/>
      <c r="K1152" s="251"/>
      <c r="L1152" s="255"/>
      <c r="M1152" s="289"/>
      <c r="N1152" s="242"/>
      <c r="O1152" s="258"/>
      <c r="P1152" s="257"/>
      <c r="Q1152" s="258"/>
      <c r="R1152" s="257"/>
      <c r="S1152" s="258"/>
      <c r="T1152" s="257"/>
      <c r="U1152" s="258"/>
      <c r="V1152" s="257"/>
      <c r="W1152" s="258"/>
      <c r="X1152" s="257"/>
      <c r="Y1152" s="258"/>
      <c r="Z1152" s="257"/>
    </row>
    <row r="1153" spans="1:26" ht="15" hidden="1" customHeight="1">
      <c r="A1153" s="250"/>
      <c r="B1153" s="251"/>
      <c r="C1153" s="526"/>
      <c r="D1153" s="526" t="s">
        <v>541</v>
      </c>
      <c r="E1153" s="251"/>
      <c r="F1153" s="252"/>
      <c r="G1153" s="253"/>
      <c r="H1153" s="290"/>
      <c r="I1153" s="253"/>
      <c r="J1153" s="253"/>
      <c r="K1153" s="251"/>
      <c r="L1153" s="255"/>
      <c r="M1153" s="289"/>
      <c r="N1153" s="242"/>
      <c r="O1153" s="258"/>
      <c r="P1153" s="257"/>
      <c r="Q1153" s="258"/>
      <c r="R1153" s="257"/>
      <c r="S1153" s="258"/>
      <c r="T1153" s="257"/>
      <c r="U1153" s="258"/>
      <c r="V1153" s="257"/>
      <c r="W1153" s="258"/>
      <c r="X1153" s="257"/>
      <c r="Y1153" s="258"/>
      <c r="Z1153" s="257"/>
    </row>
    <row r="1154" spans="1:26" ht="15" hidden="1" customHeight="1">
      <c r="A1154" s="250" t="s">
        <v>726</v>
      </c>
      <c r="B1154" s="251"/>
      <c r="C1154" s="526" t="s">
        <v>780</v>
      </c>
      <c r="D1154" s="292" t="s">
        <v>372</v>
      </c>
      <c r="E1154" s="251" t="s">
        <v>2475</v>
      </c>
      <c r="F1154" s="304">
        <f t="shared" ref="F1154:F1165" si="150">M1154+O1154+Q1154+S1154+U1154+W1154+Y1154</f>
        <v>0</v>
      </c>
      <c r="G1154" s="253">
        <f t="shared" ref="G1154:G1165" si="151">L1154</f>
        <v>6.74</v>
      </c>
      <c r="H1154" s="254">
        <f t="shared" ref="H1154:H1162" si="152">F1154*G1154</f>
        <v>0</v>
      </c>
      <c r="I1154" s="253">
        <f t="shared" ref="I1154:I1165" si="153">N1154+P1154+R1154+T1154+V1154+X1154+Z1154</f>
        <v>0</v>
      </c>
      <c r="J1154" s="253"/>
      <c r="K1154" s="251" t="s">
        <v>2475</v>
      </c>
      <c r="L1154" s="663">
        <v>6.74</v>
      </c>
      <c r="M1154" s="289"/>
      <c r="N1154" s="242"/>
      <c r="O1154" s="258"/>
      <c r="P1154" s="257"/>
      <c r="Q1154" s="258"/>
      <c r="R1154" s="257"/>
      <c r="S1154" s="258"/>
      <c r="T1154" s="257"/>
      <c r="U1154" s="258"/>
      <c r="V1154" s="257"/>
      <c r="W1154" s="258"/>
      <c r="X1154" s="257"/>
      <c r="Y1154" s="258"/>
      <c r="Z1154" s="257"/>
    </row>
    <row r="1155" spans="1:26" ht="15" hidden="1" customHeight="1">
      <c r="A1155" s="250" t="s">
        <v>727</v>
      </c>
      <c r="B1155" s="251"/>
      <c r="C1155" s="526" t="s">
        <v>781</v>
      </c>
      <c r="D1155" s="292" t="s">
        <v>2163</v>
      </c>
      <c r="E1155" s="251" t="s">
        <v>2475</v>
      </c>
      <c r="F1155" s="304">
        <f t="shared" si="150"/>
        <v>0</v>
      </c>
      <c r="G1155" s="253">
        <f t="shared" si="151"/>
        <v>7.17</v>
      </c>
      <c r="H1155" s="254">
        <f t="shared" si="152"/>
        <v>0</v>
      </c>
      <c r="I1155" s="253">
        <f t="shared" si="153"/>
        <v>0</v>
      </c>
      <c r="J1155" s="253"/>
      <c r="K1155" s="251" t="s">
        <v>2475</v>
      </c>
      <c r="L1155" s="663">
        <v>7.17</v>
      </c>
      <c r="M1155" s="289">
        <v>0</v>
      </c>
      <c r="N1155" s="245">
        <f t="shared" ref="N1155:N1165" si="154">INT($L1155*M1155*100+0.5)/100</f>
        <v>0</v>
      </c>
      <c r="O1155" s="258">
        <v>0</v>
      </c>
      <c r="P1155" s="257">
        <f t="shared" ref="P1155:P1165" si="155">INT($L1155*O1155*100+0.5)/100</f>
        <v>0</v>
      </c>
      <c r="Q1155" s="258">
        <v>0</v>
      </c>
      <c r="R1155" s="257">
        <f t="shared" ref="R1155:R1165" si="156">INT($L1155*Q1155*100+0.5)/100</f>
        <v>0</v>
      </c>
      <c r="S1155" s="258">
        <v>0</v>
      </c>
      <c r="T1155" s="257">
        <f t="shared" ref="T1155:T1165" si="157">INT($L1155*S1155*100+0.5)/100</f>
        <v>0</v>
      </c>
      <c r="U1155" s="258">
        <v>0</v>
      </c>
      <c r="V1155" s="257">
        <f t="shared" ref="V1155:V1165" si="158">INT($L1155*U1155*100+0.5)/100</f>
        <v>0</v>
      </c>
      <c r="W1155" s="258">
        <v>0</v>
      </c>
      <c r="X1155" s="257">
        <f t="shared" ref="X1155:X1165" si="159">INT($L1155*W1155*100+0.5)/100</f>
        <v>0</v>
      </c>
      <c r="Y1155" s="258">
        <v>0</v>
      </c>
      <c r="Z1155" s="257">
        <f t="shared" ref="Z1155:Z1165" si="160">INT($L1155*Y1155*100+0.5)/100</f>
        <v>0</v>
      </c>
    </row>
    <row r="1156" spans="1:26" ht="15" hidden="1" customHeight="1">
      <c r="A1156" s="250" t="s">
        <v>728</v>
      </c>
      <c r="B1156" s="251"/>
      <c r="C1156" s="526" t="s">
        <v>782</v>
      </c>
      <c r="D1156" s="292" t="s">
        <v>2164</v>
      </c>
      <c r="E1156" s="251" t="s">
        <v>2475</v>
      </c>
      <c r="F1156" s="304">
        <f t="shared" si="150"/>
        <v>0</v>
      </c>
      <c r="G1156" s="253">
        <f t="shared" si="151"/>
        <v>7.82</v>
      </c>
      <c r="H1156" s="254">
        <f>F1156*G1156</f>
        <v>0</v>
      </c>
      <c r="I1156" s="253">
        <f t="shared" si="153"/>
        <v>0</v>
      </c>
      <c r="J1156" s="253"/>
      <c r="K1156" s="251" t="s">
        <v>2475</v>
      </c>
      <c r="L1156" s="663">
        <v>7.82</v>
      </c>
      <c r="M1156" s="289">
        <v>0</v>
      </c>
      <c r="N1156" s="245">
        <f t="shared" si="154"/>
        <v>0</v>
      </c>
      <c r="O1156" s="258">
        <v>0</v>
      </c>
      <c r="P1156" s="257">
        <f t="shared" si="155"/>
        <v>0</v>
      </c>
      <c r="Q1156" s="258">
        <v>0</v>
      </c>
      <c r="R1156" s="257">
        <f t="shared" si="156"/>
        <v>0</v>
      </c>
      <c r="S1156" s="258">
        <v>0</v>
      </c>
      <c r="T1156" s="257">
        <f t="shared" si="157"/>
        <v>0</v>
      </c>
      <c r="U1156" s="258">
        <v>0</v>
      </c>
      <c r="V1156" s="257">
        <f t="shared" si="158"/>
        <v>0</v>
      </c>
      <c r="W1156" s="258">
        <v>0</v>
      </c>
      <c r="X1156" s="257">
        <f t="shared" si="159"/>
        <v>0</v>
      </c>
      <c r="Y1156" s="258">
        <v>0</v>
      </c>
      <c r="Z1156" s="257">
        <f t="shared" si="160"/>
        <v>0</v>
      </c>
    </row>
    <row r="1157" spans="1:26" ht="15" hidden="1" customHeight="1">
      <c r="A1157" s="250" t="s">
        <v>732</v>
      </c>
      <c r="B1157" s="251"/>
      <c r="C1157" s="526" t="s">
        <v>783</v>
      </c>
      <c r="D1157" s="292" t="s">
        <v>2165</v>
      </c>
      <c r="E1157" s="251" t="s">
        <v>2475</v>
      </c>
      <c r="F1157" s="304">
        <f t="shared" si="150"/>
        <v>0</v>
      </c>
      <c r="G1157" s="253">
        <f t="shared" si="151"/>
        <v>9.39</v>
      </c>
      <c r="H1157" s="254">
        <f t="shared" si="152"/>
        <v>0</v>
      </c>
      <c r="I1157" s="253">
        <f t="shared" si="153"/>
        <v>0</v>
      </c>
      <c r="J1157" s="253"/>
      <c r="K1157" s="251" t="s">
        <v>2475</v>
      </c>
      <c r="L1157" s="663">
        <v>9.39</v>
      </c>
      <c r="M1157" s="289">
        <v>0</v>
      </c>
      <c r="N1157" s="245">
        <f t="shared" si="154"/>
        <v>0</v>
      </c>
      <c r="O1157" s="258">
        <v>0</v>
      </c>
      <c r="P1157" s="257">
        <f t="shared" si="155"/>
        <v>0</v>
      </c>
      <c r="Q1157" s="258">
        <v>0</v>
      </c>
      <c r="R1157" s="257">
        <f t="shared" si="156"/>
        <v>0</v>
      </c>
      <c r="S1157" s="258">
        <v>0</v>
      </c>
      <c r="T1157" s="257">
        <f t="shared" si="157"/>
        <v>0</v>
      </c>
      <c r="U1157" s="258">
        <v>0</v>
      </c>
      <c r="V1157" s="257">
        <f t="shared" si="158"/>
        <v>0</v>
      </c>
      <c r="W1157" s="258">
        <v>0</v>
      </c>
      <c r="X1157" s="257">
        <f t="shared" si="159"/>
        <v>0</v>
      </c>
      <c r="Y1157" s="258">
        <v>0</v>
      </c>
      <c r="Z1157" s="257">
        <f t="shared" si="160"/>
        <v>0</v>
      </c>
    </row>
    <row r="1158" spans="1:26" ht="15" hidden="1" customHeight="1">
      <c r="A1158" s="250" t="s">
        <v>733</v>
      </c>
      <c r="B1158" s="251"/>
      <c r="C1158" s="526" t="s">
        <v>784</v>
      </c>
      <c r="D1158" s="292" t="s">
        <v>2166</v>
      </c>
      <c r="E1158" s="251" t="s">
        <v>2475</v>
      </c>
      <c r="F1158" s="304">
        <f t="shared" si="150"/>
        <v>0</v>
      </c>
      <c r="G1158" s="253">
        <f t="shared" si="151"/>
        <v>12.93</v>
      </c>
      <c r="H1158" s="254">
        <f t="shared" si="152"/>
        <v>0</v>
      </c>
      <c r="I1158" s="253">
        <f t="shared" si="153"/>
        <v>0</v>
      </c>
      <c r="J1158" s="253"/>
      <c r="K1158" s="251" t="s">
        <v>2475</v>
      </c>
      <c r="L1158" s="663">
        <v>12.93</v>
      </c>
      <c r="M1158" s="289">
        <v>0</v>
      </c>
      <c r="N1158" s="245">
        <f t="shared" si="154"/>
        <v>0</v>
      </c>
      <c r="O1158" s="258">
        <v>0</v>
      </c>
      <c r="P1158" s="257">
        <f t="shared" si="155"/>
        <v>0</v>
      </c>
      <c r="Q1158" s="258">
        <v>0</v>
      </c>
      <c r="R1158" s="257">
        <f t="shared" si="156"/>
        <v>0</v>
      </c>
      <c r="S1158" s="258">
        <v>0</v>
      </c>
      <c r="T1158" s="257">
        <f t="shared" si="157"/>
        <v>0</v>
      </c>
      <c r="U1158" s="258">
        <v>0</v>
      </c>
      <c r="V1158" s="257">
        <f t="shared" si="158"/>
        <v>0</v>
      </c>
      <c r="W1158" s="258">
        <v>0</v>
      </c>
      <c r="X1158" s="257">
        <f t="shared" si="159"/>
        <v>0</v>
      </c>
      <c r="Y1158" s="258">
        <v>0</v>
      </c>
      <c r="Z1158" s="257">
        <f t="shared" si="160"/>
        <v>0</v>
      </c>
    </row>
    <row r="1159" spans="1:26" ht="15" hidden="1" customHeight="1">
      <c r="A1159" s="250" t="s">
        <v>734</v>
      </c>
      <c r="B1159" s="251"/>
      <c r="C1159" s="526" t="s">
        <v>785</v>
      </c>
      <c r="D1159" s="292" t="s">
        <v>2167</v>
      </c>
      <c r="E1159" s="251" t="s">
        <v>2475</v>
      </c>
      <c r="F1159" s="304">
        <f t="shared" si="150"/>
        <v>0</v>
      </c>
      <c r="G1159" s="253">
        <f t="shared" si="151"/>
        <v>15.7</v>
      </c>
      <c r="H1159" s="254">
        <f t="shared" si="152"/>
        <v>0</v>
      </c>
      <c r="I1159" s="253">
        <f t="shared" si="153"/>
        <v>0</v>
      </c>
      <c r="J1159" s="253"/>
      <c r="K1159" s="251" t="s">
        <v>2475</v>
      </c>
      <c r="L1159" s="663">
        <v>15.7</v>
      </c>
      <c r="M1159" s="289">
        <v>0</v>
      </c>
      <c r="N1159" s="245">
        <f t="shared" si="154"/>
        <v>0</v>
      </c>
      <c r="O1159" s="258">
        <v>0</v>
      </c>
      <c r="P1159" s="257">
        <f t="shared" si="155"/>
        <v>0</v>
      </c>
      <c r="Q1159" s="258">
        <v>0</v>
      </c>
      <c r="R1159" s="257">
        <f t="shared" si="156"/>
        <v>0</v>
      </c>
      <c r="S1159" s="258">
        <v>0</v>
      </c>
      <c r="T1159" s="257">
        <f t="shared" si="157"/>
        <v>0</v>
      </c>
      <c r="U1159" s="258">
        <v>0</v>
      </c>
      <c r="V1159" s="257">
        <f t="shared" si="158"/>
        <v>0</v>
      </c>
      <c r="W1159" s="258">
        <v>0</v>
      </c>
      <c r="X1159" s="257">
        <f t="shared" si="159"/>
        <v>0</v>
      </c>
      <c r="Y1159" s="258">
        <v>0</v>
      </c>
      <c r="Z1159" s="257">
        <f t="shared" si="160"/>
        <v>0</v>
      </c>
    </row>
    <row r="1160" spans="1:26" ht="15" hidden="1" customHeight="1">
      <c r="A1160" s="250" t="s">
        <v>735</v>
      </c>
      <c r="B1160" s="251"/>
      <c r="C1160" s="526" t="s">
        <v>786</v>
      </c>
      <c r="D1160" s="292" t="s">
        <v>2168</v>
      </c>
      <c r="E1160" s="251" t="s">
        <v>2475</v>
      </c>
      <c r="F1160" s="304">
        <f t="shared" si="150"/>
        <v>0</v>
      </c>
      <c r="G1160" s="253">
        <f t="shared" si="151"/>
        <v>20.34</v>
      </c>
      <c r="H1160" s="254">
        <f>F1160*G1160</f>
        <v>0</v>
      </c>
      <c r="I1160" s="253">
        <f t="shared" si="153"/>
        <v>0</v>
      </c>
      <c r="J1160" s="253"/>
      <c r="K1160" s="251" t="s">
        <v>2475</v>
      </c>
      <c r="L1160" s="663">
        <v>20.34</v>
      </c>
      <c r="M1160" s="289">
        <v>0</v>
      </c>
      <c r="N1160" s="245">
        <f t="shared" si="154"/>
        <v>0</v>
      </c>
      <c r="O1160" s="258">
        <v>0</v>
      </c>
      <c r="P1160" s="257">
        <f t="shared" si="155"/>
        <v>0</v>
      </c>
      <c r="Q1160" s="258">
        <v>0</v>
      </c>
      <c r="R1160" s="257">
        <f t="shared" si="156"/>
        <v>0</v>
      </c>
      <c r="S1160" s="258">
        <v>0</v>
      </c>
      <c r="T1160" s="257">
        <f t="shared" si="157"/>
        <v>0</v>
      </c>
      <c r="U1160" s="258">
        <v>0</v>
      </c>
      <c r="V1160" s="257">
        <f t="shared" si="158"/>
        <v>0</v>
      </c>
      <c r="W1160" s="258">
        <v>0</v>
      </c>
      <c r="X1160" s="257">
        <f t="shared" si="159"/>
        <v>0</v>
      </c>
      <c r="Y1160" s="258">
        <v>0</v>
      </c>
      <c r="Z1160" s="257">
        <f t="shared" si="160"/>
        <v>0</v>
      </c>
    </row>
    <row r="1161" spans="1:26" ht="15" hidden="1" customHeight="1">
      <c r="A1161" s="250" t="s">
        <v>736</v>
      </c>
      <c r="B1161" s="251"/>
      <c r="C1161" s="526" t="s">
        <v>787</v>
      </c>
      <c r="D1161" s="292" t="s">
        <v>2169</v>
      </c>
      <c r="E1161" s="251" t="s">
        <v>2475</v>
      </c>
      <c r="F1161" s="304">
        <f t="shared" si="150"/>
        <v>0</v>
      </c>
      <c r="G1161" s="253">
        <f t="shared" si="151"/>
        <v>27.5</v>
      </c>
      <c r="H1161" s="254">
        <f t="shared" si="152"/>
        <v>0</v>
      </c>
      <c r="I1161" s="253">
        <f t="shared" si="153"/>
        <v>0</v>
      </c>
      <c r="J1161" s="253"/>
      <c r="K1161" s="251" t="s">
        <v>2475</v>
      </c>
      <c r="L1161" s="663">
        <v>27.5</v>
      </c>
      <c r="M1161" s="289">
        <v>0</v>
      </c>
      <c r="N1161" s="245">
        <f t="shared" si="154"/>
        <v>0</v>
      </c>
      <c r="O1161" s="258">
        <v>0</v>
      </c>
      <c r="P1161" s="257">
        <f t="shared" si="155"/>
        <v>0</v>
      </c>
      <c r="Q1161" s="258">
        <v>0</v>
      </c>
      <c r="R1161" s="257">
        <f t="shared" si="156"/>
        <v>0</v>
      </c>
      <c r="S1161" s="258">
        <v>0</v>
      </c>
      <c r="T1161" s="257">
        <f t="shared" si="157"/>
        <v>0</v>
      </c>
      <c r="U1161" s="258">
        <v>0</v>
      </c>
      <c r="V1161" s="257">
        <f t="shared" si="158"/>
        <v>0</v>
      </c>
      <c r="W1161" s="258">
        <v>0</v>
      </c>
      <c r="X1161" s="257">
        <f t="shared" si="159"/>
        <v>0</v>
      </c>
      <c r="Y1161" s="258">
        <v>0</v>
      </c>
      <c r="Z1161" s="257">
        <f t="shared" si="160"/>
        <v>0</v>
      </c>
    </row>
    <row r="1162" spans="1:26" ht="15" hidden="1" customHeight="1">
      <c r="A1162" s="250" t="s">
        <v>654</v>
      </c>
      <c r="B1162" s="251"/>
      <c r="C1162" s="526" t="s">
        <v>788</v>
      </c>
      <c r="D1162" s="292" t="s">
        <v>2170</v>
      </c>
      <c r="E1162" s="251" t="s">
        <v>2475</v>
      </c>
      <c r="F1162" s="304">
        <f t="shared" si="150"/>
        <v>0</v>
      </c>
      <c r="G1162" s="253">
        <f t="shared" si="151"/>
        <v>33.380000000000003</v>
      </c>
      <c r="H1162" s="254">
        <f t="shared" si="152"/>
        <v>0</v>
      </c>
      <c r="I1162" s="253">
        <f t="shared" si="153"/>
        <v>0</v>
      </c>
      <c r="J1162" s="253"/>
      <c r="K1162" s="251" t="s">
        <v>2475</v>
      </c>
      <c r="L1162" s="663">
        <v>33.380000000000003</v>
      </c>
      <c r="M1162" s="289">
        <v>0</v>
      </c>
      <c r="N1162" s="245">
        <f t="shared" si="154"/>
        <v>0</v>
      </c>
      <c r="O1162" s="258">
        <v>0</v>
      </c>
      <c r="P1162" s="257">
        <f t="shared" si="155"/>
        <v>0</v>
      </c>
      <c r="Q1162" s="258">
        <v>0</v>
      </c>
      <c r="R1162" s="257">
        <f t="shared" si="156"/>
        <v>0</v>
      </c>
      <c r="S1162" s="258">
        <v>0</v>
      </c>
      <c r="T1162" s="257">
        <f t="shared" si="157"/>
        <v>0</v>
      </c>
      <c r="U1162" s="258">
        <v>0</v>
      </c>
      <c r="V1162" s="257">
        <f t="shared" si="158"/>
        <v>0</v>
      </c>
      <c r="W1162" s="258">
        <v>0</v>
      </c>
      <c r="X1162" s="257">
        <f t="shared" si="159"/>
        <v>0</v>
      </c>
      <c r="Y1162" s="258">
        <v>0</v>
      </c>
      <c r="Z1162" s="257">
        <f t="shared" si="160"/>
        <v>0</v>
      </c>
    </row>
    <row r="1163" spans="1:26" ht="15" hidden="1" customHeight="1">
      <c r="A1163" s="250" t="s">
        <v>737</v>
      </c>
      <c r="B1163" s="251"/>
      <c r="C1163" s="534" t="s">
        <v>789</v>
      </c>
      <c r="D1163" s="292" t="s">
        <v>2110</v>
      </c>
      <c r="E1163" s="251" t="s">
        <v>2475</v>
      </c>
      <c r="F1163" s="304">
        <f t="shared" si="150"/>
        <v>0</v>
      </c>
      <c r="G1163" s="253">
        <f t="shared" si="151"/>
        <v>46.010000000000005</v>
      </c>
      <c r="H1163" s="254">
        <f>F1163*G1163</f>
        <v>0</v>
      </c>
      <c r="I1163" s="253">
        <f t="shared" si="153"/>
        <v>0</v>
      </c>
      <c r="J1163" s="253"/>
      <c r="K1163" s="251" t="s">
        <v>2475</v>
      </c>
      <c r="L1163" s="663">
        <f>(L1148+L1178)/2</f>
        <v>46.010000000000005</v>
      </c>
      <c r="M1163" s="289">
        <v>0</v>
      </c>
      <c r="N1163" s="245">
        <f t="shared" si="154"/>
        <v>0</v>
      </c>
      <c r="O1163" s="258">
        <v>0</v>
      </c>
      <c r="P1163" s="257">
        <f t="shared" si="155"/>
        <v>0</v>
      </c>
      <c r="Q1163" s="258">
        <v>0</v>
      </c>
      <c r="R1163" s="257">
        <f t="shared" si="156"/>
        <v>0</v>
      </c>
      <c r="S1163" s="258">
        <v>0</v>
      </c>
      <c r="T1163" s="257">
        <f t="shared" si="157"/>
        <v>0</v>
      </c>
      <c r="U1163" s="258">
        <v>0</v>
      </c>
      <c r="V1163" s="257">
        <f t="shared" si="158"/>
        <v>0</v>
      </c>
      <c r="W1163" s="258">
        <v>0</v>
      </c>
      <c r="X1163" s="257">
        <f t="shared" si="159"/>
        <v>0</v>
      </c>
      <c r="Y1163" s="258">
        <v>0</v>
      </c>
      <c r="Z1163" s="257">
        <f t="shared" si="160"/>
        <v>0</v>
      </c>
    </row>
    <row r="1164" spans="1:26" ht="15" hidden="1" customHeight="1">
      <c r="A1164" s="250" t="s">
        <v>738</v>
      </c>
      <c r="B1164" s="251"/>
      <c r="C1164" s="534" t="s">
        <v>790</v>
      </c>
      <c r="D1164" s="292" t="s">
        <v>2111</v>
      </c>
      <c r="E1164" s="251" t="s">
        <v>2475</v>
      </c>
      <c r="F1164" s="304">
        <f t="shared" si="150"/>
        <v>0</v>
      </c>
      <c r="G1164" s="253">
        <f t="shared" si="151"/>
        <v>55.244999999999997</v>
      </c>
      <c r="H1164" s="254">
        <f>F1164*G1164</f>
        <v>0</v>
      </c>
      <c r="I1164" s="253">
        <f t="shared" si="153"/>
        <v>0</v>
      </c>
      <c r="J1164" s="253"/>
      <c r="K1164" s="251" t="s">
        <v>2475</v>
      </c>
      <c r="L1164" s="663">
        <f>(L1149+L1179)/2</f>
        <v>55.244999999999997</v>
      </c>
      <c r="M1164" s="289">
        <v>0</v>
      </c>
      <c r="N1164" s="245">
        <f t="shared" si="154"/>
        <v>0</v>
      </c>
      <c r="O1164" s="258">
        <v>0</v>
      </c>
      <c r="P1164" s="257">
        <f t="shared" si="155"/>
        <v>0</v>
      </c>
      <c r="Q1164" s="258">
        <v>0</v>
      </c>
      <c r="R1164" s="257">
        <f t="shared" si="156"/>
        <v>0</v>
      </c>
      <c r="S1164" s="258">
        <v>0</v>
      </c>
      <c r="T1164" s="257">
        <f t="shared" si="157"/>
        <v>0</v>
      </c>
      <c r="U1164" s="258">
        <v>0</v>
      </c>
      <c r="V1164" s="257">
        <f t="shared" si="158"/>
        <v>0</v>
      </c>
      <c r="W1164" s="258">
        <v>0</v>
      </c>
      <c r="X1164" s="257">
        <f t="shared" si="159"/>
        <v>0</v>
      </c>
      <c r="Y1164" s="258">
        <v>0</v>
      </c>
      <c r="Z1164" s="257">
        <f t="shared" si="160"/>
        <v>0</v>
      </c>
    </row>
    <row r="1165" spans="1:26" ht="15" hidden="1" customHeight="1">
      <c r="A1165" s="250" t="s">
        <v>739</v>
      </c>
      <c r="B1165" s="251"/>
      <c r="C1165" s="534" t="s">
        <v>791</v>
      </c>
      <c r="D1165" s="292" t="s">
        <v>2112</v>
      </c>
      <c r="E1165" s="251" t="s">
        <v>2475</v>
      </c>
      <c r="F1165" s="304">
        <f t="shared" si="150"/>
        <v>0</v>
      </c>
      <c r="G1165" s="253">
        <f t="shared" si="151"/>
        <v>83.594999999999999</v>
      </c>
      <c r="H1165" s="254">
        <f>F1165*G1165</f>
        <v>0</v>
      </c>
      <c r="I1165" s="253">
        <f t="shared" si="153"/>
        <v>0</v>
      </c>
      <c r="J1165" s="253"/>
      <c r="K1165" s="251" t="s">
        <v>2475</v>
      </c>
      <c r="L1165" s="663">
        <f>(L1150+L1180)/2</f>
        <v>83.594999999999999</v>
      </c>
      <c r="M1165" s="289">
        <v>0</v>
      </c>
      <c r="N1165" s="245">
        <f t="shared" si="154"/>
        <v>0</v>
      </c>
      <c r="O1165" s="258">
        <v>0</v>
      </c>
      <c r="P1165" s="257">
        <f t="shared" si="155"/>
        <v>0</v>
      </c>
      <c r="Q1165" s="258">
        <v>0</v>
      </c>
      <c r="R1165" s="257">
        <f t="shared" si="156"/>
        <v>0</v>
      </c>
      <c r="S1165" s="258">
        <v>0</v>
      </c>
      <c r="T1165" s="257">
        <f t="shared" si="157"/>
        <v>0</v>
      </c>
      <c r="U1165" s="258">
        <v>0</v>
      </c>
      <c r="V1165" s="257">
        <f t="shared" si="158"/>
        <v>0</v>
      </c>
      <c r="W1165" s="258">
        <v>0</v>
      </c>
      <c r="X1165" s="257">
        <f t="shared" si="159"/>
        <v>0</v>
      </c>
      <c r="Y1165" s="258">
        <v>0</v>
      </c>
      <c r="Z1165" s="257">
        <f t="shared" si="160"/>
        <v>0</v>
      </c>
    </row>
    <row r="1166" spans="1:26" ht="15" hidden="1" customHeight="1">
      <c r="A1166" s="250"/>
      <c r="B1166" s="251"/>
      <c r="C1166" s="526"/>
      <c r="D1166" s="292"/>
      <c r="E1166" s="251"/>
      <c r="F1166" s="252"/>
      <c r="G1166" s="253"/>
      <c r="H1166" s="290"/>
      <c r="I1166" s="253"/>
      <c r="J1166" s="253"/>
      <c r="K1166" s="251"/>
      <c r="L1166" s="255"/>
      <c r="M1166" s="289"/>
      <c r="N1166" s="242"/>
      <c r="O1166" s="258"/>
      <c r="P1166" s="257"/>
      <c r="Q1166" s="258"/>
      <c r="R1166" s="257"/>
      <c r="S1166" s="258"/>
      <c r="T1166" s="257"/>
      <c r="U1166" s="258"/>
      <c r="V1166" s="257"/>
      <c r="W1166" s="258"/>
      <c r="X1166" s="257"/>
      <c r="Y1166" s="258"/>
      <c r="Z1166" s="257"/>
    </row>
    <row r="1167" spans="1:26" ht="15" hidden="1" customHeight="1">
      <c r="A1167" s="250">
        <f>A1152+1</f>
        <v>204</v>
      </c>
      <c r="B1167" s="251"/>
      <c r="C1167" s="526" t="s">
        <v>2465</v>
      </c>
      <c r="D1167" s="526" t="s">
        <v>373</v>
      </c>
      <c r="E1167" s="251"/>
      <c r="F1167" s="252"/>
      <c r="G1167" s="253"/>
      <c r="H1167" s="290"/>
      <c r="I1167" s="253"/>
      <c r="J1167" s="253"/>
      <c r="K1167" s="251"/>
      <c r="L1167" s="255"/>
      <c r="M1167" s="289"/>
      <c r="N1167" s="242"/>
      <c r="O1167" s="258"/>
      <c r="P1167" s="257"/>
      <c r="Q1167" s="258"/>
      <c r="R1167" s="257"/>
      <c r="S1167" s="258"/>
      <c r="T1167" s="257"/>
      <c r="U1167" s="258"/>
      <c r="V1167" s="257"/>
      <c r="W1167" s="258"/>
      <c r="X1167" s="257"/>
      <c r="Y1167" s="258"/>
      <c r="Z1167" s="257"/>
    </row>
    <row r="1168" spans="1:26" ht="15" hidden="1" customHeight="1">
      <c r="A1168" s="250"/>
      <c r="B1168" s="251"/>
      <c r="C1168" s="526"/>
      <c r="D1168" s="526" t="s">
        <v>541</v>
      </c>
      <c r="E1168" s="251"/>
      <c r="F1168" s="252"/>
      <c r="G1168" s="253"/>
      <c r="H1168" s="290"/>
      <c r="I1168" s="253"/>
      <c r="J1168" s="253"/>
      <c r="K1168" s="251"/>
      <c r="L1168" s="255"/>
      <c r="M1168" s="289"/>
      <c r="N1168" s="242"/>
      <c r="O1168" s="258"/>
      <c r="P1168" s="257"/>
      <c r="Q1168" s="258"/>
      <c r="R1168" s="257"/>
      <c r="S1168" s="258"/>
      <c r="T1168" s="257"/>
      <c r="U1168" s="258"/>
      <c r="V1168" s="257"/>
      <c r="W1168" s="258"/>
      <c r="X1168" s="257"/>
      <c r="Y1168" s="258"/>
      <c r="Z1168" s="257"/>
    </row>
    <row r="1169" spans="1:26" ht="15" hidden="1" customHeight="1">
      <c r="A1169" s="250" t="s">
        <v>726</v>
      </c>
      <c r="B1169" s="251"/>
      <c r="C1169" s="526" t="s">
        <v>792</v>
      </c>
      <c r="D1169" s="292" t="s">
        <v>1972</v>
      </c>
      <c r="E1169" s="251" t="s">
        <v>2475</v>
      </c>
      <c r="F1169" s="304">
        <f t="shared" ref="F1169:F1180" si="161">M1169+O1169+Q1169+S1169+U1169+W1169+Y1169</f>
        <v>0</v>
      </c>
      <c r="G1169" s="253">
        <f t="shared" ref="G1169:G1232" si="162">L1169</f>
        <v>8.9</v>
      </c>
      <c r="H1169" s="254">
        <f>F1169*G1169</f>
        <v>0</v>
      </c>
      <c r="I1169" s="253">
        <f t="shared" ref="I1169:I1180" si="163">N1169+P1169+R1169+T1169+V1169+X1169+Z1169</f>
        <v>0</v>
      </c>
      <c r="J1169" s="253"/>
      <c r="K1169" s="251" t="s">
        <v>2475</v>
      </c>
      <c r="L1169" s="663">
        <v>8.9</v>
      </c>
      <c r="M1169" s="289"/>
      <c r="N1169" s="242"/>
      <c r="O1169" s="258"/>
      <c r="P1169" s="257"/>
      <c r="Q1169" s="258"/>
      <c r="R1169" s="257"/>
      <c r="S1169" s="258"/>
      <c r="T1169" s="257"/>
      <c r="U1169" s="258"/>
      <c r="V1169" s="257"/>
      <c r="W1169" s="258"/>
      <c r="X1169" s="257"/>
      <c r="Y1169" s="258"/>
      <c r="Z1169" s="257"/>
    </row>
    <row r="1170" spans="1:26" ht="15" hidden="1" customHeight="1">
      <c r="A1170" s="250" t="s">
        <v>727</v>
      </c>
      <c r="B1170" s="251"/>
      <c r="C1170" s="526" t="s">
        <v>793</v>
      </c>
      <c r="D1170" s="292" t="s">
        <v>1405</v>
      </c>
      <c r="E1170" s="251" t="s">
        <v>2475</v>
      </c>
      <c r="F1170" s="304">
        <f t="shared" si="161"/>
        <v>0</v>
      </c>
      <c r="G1170" s="253">
        <f t="shared" si="162"/>
        <v>9.08</v>
      </c>
      <c r="H1170" s="254">
        <f t="shared" ref="H1170:H1180" si="164">F1170*G1170</f>
        <v>0</v>
      </c>
      <c r="I1170" s="253">
        <f t="shared" si="163"/>
        <v>0</v>
      </c>
      <c r="J1170" s="253"/>
      <c r="K1170" s="251" t="s">
        <v>2475</v>
      </c>
      <c r="L1170" s="663">
        <v>9.08</v>
      </c>
      <c r="M1170" s="289">
        <v>0</v>
      </c>
      <c r="N1170" s="245">
        <f t="shared" ref="N1170:N1180" si="165">INT($L1170*M1170*100+0.5)/100</f>
        <v>0</v>
      </c>
      <c r="O1170" s="258">
        <v>0</v>
      </c>
      <c r="P1170" s="257">
        <f t="shared" ref="P1170:P1180" si="166">INT($L1170*O1170*100+0.5)/100</f>
        <v>0</v>
      </c>
      <c r="Q1170" s="258">
        <v>0</v>
      </c>
      <c r="R1170" s="257">
        <f t="shared" ref="R1170:R1180" si="167">INT($L1170*Q1170*100+0.5)/100</f>
        <v>0</v>
      </c>
      <c r="S1170" s="258">
        <v>0</v>
      </c>
      <c r="T1170" s="257">
        <f t="shared" ref="T1170:T1180" si="168">INT($L1170*S1170*100+0.5)/100</f>
        <v>0</v>
      </c>
      <c r="U1170" s="258">
        <v>0</v>
      </c>
      <c r="V1170" s="257">
        <f t="shared" ref="V1170:V1180" si="169">INT($L1170*U1170*100+0.5)/100</f>
        <v>0</v>
      </c>
      <c r="W1170" s="258">
        <v>0</v>
      </c>
      <c r="X1170" s="257">
        <f t="shared" ref="X1170:X1180" si="170">INT($L1170*W1170*100+0.5)/100</f>
        <v>0</v>
      </c>
      <c r="Y1170" s="258">
        <v>0</v>
      </c>
      <c r="Z1170" s="257">
        <f t="shared" ref="Z1170:Z1180" si="171">INT($L1170*Y1170*100+0.5)/100</f>
        <v>0</v>
      </c>
    </row>
    <row r="1171" spans="1:26" ht="15" hidden="1" customHeight="1">
      <c r="A1171" s="250" t="s">
        <v>728</v>
      </c>
      <c r="B1171" s="251"/>
      <c r="C1171" s="526" t="s">
        <v>794</v>
      </c>
      <c r="D1171" s="292" t="s">
        <v>1406</v>
      </c>
      <c r="E1171" s="251" t="s">
        <v>2475</v>
      </c>
      <c r="F1171" s="304">
        <f t="shared" si="161"/>
        <v>0</v>
      </c>
      <c r="G1171" s="253">
        <f t="shared" si="162"/>
        <v>9.75</v>
      </c>
      <c r="H1171" s="254">
        <f t="shared" si="164"/>
        <v>0</v>
      </c>
      <c r="I1171" s="253">
        <f t="shared" si="163"/>
        <v>0</v>
      </c>
      <c r="J1171" s="253"/>
      <c r="K1171" s="251" t="s">
        <v>2475</v>
      </c>
      <c r="L1171" s="663">
        <v>9.75</v>
      </c>
      <c r="M1171" s="289">
        <v>0</v>
      </c>
      <c r="N1171" s="245">
        <f t="shared" si="165"/>
        <v>0</v>
      </c>
      <c r="O1171" s="258">
        <v>0</v>
      </c>
      <c r="P1171" s="257">
        <f t="shared" si="166"/>
        <v>0</v>
      </c>
      <c r="Q1171" s="258">
        <v>0</v>
      </c>
      <c r="R1171" s="257">
        <f t="shared" si="167"/>
        <v>0</v>
      </c>
      <c r="S1171" s="258">
        <v>0</v>
      </c>
      <c r="T1171" s="257">
        <f t="shared" si="168"/>
        <v>0</v>
      </c>
      <c r="U1171" s="258">
        <v>0</v>
      </c>
      <c r="V1171" s="257">
        <f t="shared" si="169"/>
        <v>0</v>
      </c>
      <c r="W1171" s="258">
        <v>0</v>
      </c>
      <c r="X1171" s="257">
        <f t="shared" si="170"/>
        <v>0</v>
      </c>
      <c r="Y1171" s="258">
        <v>0</v>
      </c>
      <c r="Z1171" s="257">
        <f t="shared" si="171"/>
        <v>0</v>
      </c>
    </row>
    <row r="1172" spans="1:26" ht="15" hidden="1" customHeight="1">
      <c r="A1172" s="250" t="s">
        <v>732</v>
      </c>
      <c r="B1172" s="251"/>
      <c r="C1172" s="526" t="s">
        <v>795</v>
      </c>
      <c r="D1172" s="292" t="s">
        <v>1407</v>
      </c>
      <c r="E1172" s="251" t="s">
        <v>2475</v>
      </c>
      <c r="F1172" s="304">
        <f t="shared" si="161"/>
        <v>0</v>
      </c>
      <c r="G1172" s="253">
        <f t="shared" si="162"/>
        <v>11.34</v>
      </c>
      <c r="H1172" s="254">
        <f t="shared" si="164"/>
        <v>0</v>
      </c>
      <c r="I1172" s="253">
        <f t="shared" si="163"/>
        <v>0</v>
      </c>
      <c r="J1172" s="253"/>
      <c r="K1172" s="251" t="s">
        <v>2475</v>
      </c>
      <c r="L1172" s="663">
        <v>11.34</v>
      </c>
      <c r="M1172" s="289">
        <v>0</v>
      </c>
      <c r="N1172" s="245">
        <f t="shared" si="165"/>
        <v>0</v>
      </c>
      <c r="O1172" s="258">
        <v>0</v>
      </c>
      <c r="P1172" s="257">
        <f t="shared" si="166"/>
        <v>0</v>
      </c>
      <c r="Q1172" s="258">
        <v>0</v>
      </c>
      <c r="R1172" s="257">
        <f t="shared" si="167"/>
        <v>0</v>
      </c>
      <c r="S1172" s="258">
        <v>0</v>
      </c>
      <c r="T1172" s="257">
        <f t="shared" si="168"/>
        <v>0</v>
      </c>
      <c r="U1172" s="258">
        <v>0</v>
      </c>
      <c r="V1172" s="257">
        <f t="shared" si="169"/>
        <v>0</v>
      </c>
      <c r="W1172" s="258">
        <v>0</v>
      </c>
      <c r="X1172" s="257">
        <f t="shared" si="170"/>
        <v>0</v>
      </c>
      <c r="Y1172" s="258">
        <v>0</v>
      </c>
      <c r="Z1172" s="257">
        <f t="shared" si="171"/>
        <v>0</v>
      </c>
    </row>
    <row r="1173" spans="1:26" ht="15" hidden="1" customHeight="1">
      <c r="A1173" s="250" t="s">
        <v>733</v>
      </c>
      <c r="B1173" s="251"/>
      <c r="C1173" s="526" t="s">
        <v>796</v>
      </c>
      <c r="D1173" s="292" t="s">
        <v>1408</v>
      </c>
      <c r="E1173" s="251" t="s">
        <v>2475</v>
      </c>
      <c r="F1173" s="304">
        <f t="shared" si="161"/>
        <v>0</v>
      </c>
      <c r="G1173" s="253">
        <f t="shared" si="162"/>
        <v>16.23</v>
      </c>
      <c r="H1173" s="254">
        <f t="shared" si="164"/>
        <v>0</v>
      </c>
      <c r="I1173" s="253">
        <f t="shared" si="163"/>
        <v>0</v>
      </c>
      <c r="J1173" s="253"/>
      <c r="K1173" s="251" t="s">
        <v>2475</v>
      </c>
      <c r="L1173" s="663">
        <v>16.23</v>
      </c>
      <c r="M1173" s="289">
        <v>0</v>
      </c>
      <c r="N1173" s="245">
        <f t="shared" si="165"/>
        <v>0</v>
      </c>
      <c r="O1173" s="258">
        <v>0</v>
      </c>
      <c r="P1173" s="257">
        <f t="shared" si="166"/>
        <v>0</v>
      </c>
      <c r="Q1173" s="258">
        <v>0</v>
      </c>
      <c r="R1173" s="257">
        <f t="shared" si="167"/>
        <v>0</v>
      </c>
      <c r="S1173" s="258">
        <v>0</v>
      </c>
      <c r="T1173" s="257">
        <f t="shared" si="168"/>
        <v>0</v>
      </c>
      <c r="U1173" s="258">
        <v>0</v>
      </c>
      <c r="V1173" s="257">
        <f t="shared" si="169"/>
        <v>0</v>
      </c>
      <c r="W1173" s="258">
        <v>0</v>
      </c>
      <c r="X1173" s="257">
        <f t="shared" si="170"/>
        <v>0</v>
      </c>
      <c r="Y1173" s="258">
        <v>0</v>
      </c>
      <c r="Z1173" s="257">
        <f t="shared" si="171"/>
        <v>0</v>
      </c>
    </row>
    <row r="1174" spans="1:26" ht="15" hidden="1" customHeight="1">
      <c r="A1174" s="250" t="s">
        <v>734</v>
      </c>
      <c r="B1174" s="251"/>
      <c r="C1174" s="526" t="s">
        <v>797</v>
      </c>
      <c r="D1174" s="292" t="s">
        <v>1409</v>
      </c>
      <c r="E1174" s="251" t="s">
        <v>2475</v>
      </c>
      <c r="F1174" s="304">
        <f t="shared" si="161"/>
        <v>0</v>
      </c>
      <c r="G1174" s="253">
        <f t="shared" si="162"/>
        <v>21.18</v>
      </c>
      <c r="H1174" s="254">
        <f t="shared" si="164"/>
        <v>0</v>
      </c>
      <c r="I1174" s="253">
        <f t="shared" si="163"/>
        <v>0</v>
      </c>
      <c r="J1174" s="253"/>
      <c r="K1174" s="251" t="s">
        <v>2475</v>
      </c>
      <c r="L1174" s="663">
        <v>21.18</v>
      </c>
      <c r="M1174" s="289">
        <v>0</v>
      </c>
      <c r="N1174" s="245">
        <f t="shared" si="165"/>
        <v>0</v>
      </c>
      <c r="O1174" s="258">
        <v>0</v>
      </c>
      <c r="P1174" s="257">
        <f t="shared" si="166"/>
        <v>0</v>
      </c>
      <c r="Q1174" s="258">
        <v>0</v>
      </c>
      <c r="R1174" s="257">
        <f t="shared" si="167"/>
        <v>0</v>
      </c>
      <c r="S1174" s="258">
        <v>0</v>
      </c>
      <c r="T1174" s="257">
        <f t="shared" si="168"/>
        <v>0</v>
      </c>
      <c r="U1174" s="258">
        <v>0</v>
      </c>
      <c r="V1174" s="257">
        <f t="shared" si="169"/>
        <v>0</v>
      </c>
      <c r="W1174" s="258">
        <v>0</v>
      </c>
      <c r="X1174" s="257">
        <f t="shared" si="170"/>
        <v>0</v>
      </c>
      <c r="Y1174" s="258">
        <v>0</v>
      </c>
      <c r="Z1174" s="257">
        <f t="shared" si="171"/>
        <v>0</v>
      </c>
    </row>
    <row r="1175" spans="1:26" ht="15" hidden="1" customHeight="1">
      <c r="A1175" s="250" t="s">
        <v>735</v>
      </c>
      <c r="B1175" s="251"/>
      <c r="C1175" s="526" t="s">
        <v>798</v>
      </c>
      <c r="D1175" s="292" t="s">
        <v>1410</v>
      </c>
      <c r="E1175" s="251" t="s">
        <v>2475</v>
      </c>
      <c r="F1175" s="304">
        <f t="shared" si="161"/>
        <v>0</v>
      </c>
      <c r="G1175" s="253">
        <f t="shared" si="162"/>
        <v>26.4</v>
      </c>
      <c r="H1175" s="254">
        <f t="shared" si="164"/>
        <v>0</v>
      </c>
      <c r="I1175" s="253">
        <f t="shared" si="163"/>
        <v>0</v>
      </c>
      <c r="J1175" s="253"/>
      <c r="K1175" s="251" t="s">
        <v>2475</v>
      </c>
      <c r="L1175" s="663">
        <v>26.4</v>
      </c>
      <c r="M1175" s="289">
        <v>0</v>
      </c>
      <c r="N1175" s="245">
        <f t="shared" si="165"/>
        <v>0</v>
      </c>
      <c r="O1175" s="258">
        <v>0</v>
      </c>
      <c r="P1175" s="257">
        <f t="shared" si="166"/>
        <v>0</v>
      </c>
      <c r="Q1175" s="258">
        <v>0</v>
      </c>
      <c r="R1175" s="257">
        <f t="shared" si="167"/>
        <v>0</v>
      </c>
      <c r="S1175" s="258">
        <v>0</v>
      </c>
      <c r="T1175" s="257">
        <f t="shared" si="168"/>
        <v>0</v>
      </c>
      <c r="U1175" s="258">
        <v>0</v>
      </c>
      <c r="V1175" s="257">
        <f t="shared" si="169"/>
        <v>0</v>
      </c>
      <c r="W1175" s="258">
        <v>0</v>
      </c>
      <c r="X1175" s="257">
        <f t="shared" si="170"/>
        <v>0</v>
      </c>
      <c r="Y1175" s="258">
        <v>0</v>
      </c>
      <c r="Z1175" s="257">
        <f t="shared" si="171"/>
        <v>0</v>
      </c>
    </row>
    <row r="1176" spans="1:26" ht="15" hidden="1" customHeight="1">
      <c r="A1176" s="250" t="s">
        <v>736</v>
      </c>
      <c r="B1176" s="251"/>
      <c r="C1176" s="526" t="s">
        <v>799</v>
      </c>
      <c r="D1176" s="292" t="s">
        <v>1411</v>
      </c>
      <c r="E1176" s="251" t="s">
        <v>2475</v>
      </c>
      <c r="F1176" s="304">
        <f t="shared" si="161"/>
        <v>0</v>
      </c>
      <c r="G1176" s="253">
        <f t="shared" si="162"/>
        <v>39.21</v>
      </c>
      <c r="H1176" s="254">
        <f t="shared" si="164"/>
        <v>0</v>
      </c>
      <c r="I1176" s="253">
        <f t="shared" si="163"/>
        <v>0</v>
      </c>
      <c r="J1176" s="253"/>
      <c r="K1176" s="251" t="s">
        <v>2475</v>
      </c>
      <c r="L1176" s="663">
        <v>39.21</v>
      </c>
      <c r="M1176" s="289">
        <v>0</v>
      </c>
      <c r="N1176" s="245">
        <f t="shared" si="165"/>
        <v>0</v>
      </c>
      <c r="O1176" s="258">
        <v>0</v>
      </c>
      <c r="P1176" s="257">
        <f t="shared" si="166"/>
        <v>0</v>
      </c>
      <c r="Q1176" s="258">
        <v>0</v>
      </c>
      <c r="R1176" s="257">
        <f t="shared" si="167"/>
        <v>0</v>
      </c>
      <c r="S1176" s="258">
        <v>0</v>
      </c>
      <c r="T1176" s="257">
        <f t="shared" si="168"/>
        <v>0</v>
      </c>
      <c r="U1176" s="258">
        <v>0</v>
      </c>
      <c r="V1176" s="257">
        <f t="shared" si="169"/>
        <v>0</v>
      </c>
      <c r="W1176" s="258">
        <v>0</v>
      </c>
      <c r="X1176" s="257">
        <f t="shared" si="170"/>
        <v>0</v>
      </c>
      <c r="Y1176" s="258">
        <v>0</v>
      </c>
      <c r="Z1176" s="257">
        <f t="shared" si="171"/>
        <v>0</v>
      </c>
    </row>
    <row r="1177" spans="1:26" ht="15" hidden="1" customHeight="1">
      <c r="A1177" s="250" t="s">
        <v>654</v>
      </c>
      <c r="B1177" s="251"/>
      <c r="C1177" s="526" t="s">
        <v>800</v>
      </c>
      <c r="D1177" s="292" t="s">
        <v>1412</v>
      </c>
      <c r="E1177" s="251" t="s">
        <v>2475</v>
      </c>
      <c r="F1177" s="304">
        <f t="shared" si="161"/>
        <v>0</v>
      </c>
      <c r="G1177" s="253">
        <f t="shared" si="162"/>
        <v>48.6</v>
      </c>
      <c r="H1177" s="254">
        <f t="shared" si="164"/>
        <v>0</v>
      </c>
      <c r="I1177" s="253">
        <f t="shared" si="163"/>
        <v>0</v>
      </c>
      <c r="J1177" s="253"/>
      <c r="K1177" s="251" t="s">
        <v>2475</v>
      </c>
      <c r="L1177" s="663">
        <v>48.6</v>
      </c>
      <c r="M1177" s="289">
        <v>0</v>
      </c>
      <c r="N1177" s="245">
        <f t="shared" si="165"/>
        <v>0</v>
      </c>
      <c r="O1177" s="258">
        <v>0</v>
      </c>
      <c r="P1177" s="257">
        <f t="shared" si="166"/>
        <v>0</v>
      </c>
      <c r="Q1177" s="258">
        <v>0</v>
      </c>
      <c r="R1177" s="257">
        <f t="shared" si="167"/>
        <v>0</v>
      </c>
      <c r="S1177" s="258">
        <v>0</v>
      </c>
      <c r="T1177" s="257">
        <f t="shared" si="168"/>
        <v>0</v>
      </c>
      <c r="U1177" s="258">
        <v>0</v>
      </c>
      <c r="V1177" s="257">
        <f t="shared" si="169"/>
        <v>0</v>
      </c>
      <c r="W1177" s="258">
        <v>0</v>
      </c>
      <c r="X1177" s="257">
        <f t="shared" si="170"/>
        <v>0</v>
      </c>
      <c r="Y1177" s="258">
        <v>0</v>
      </c>
      <c r="Z1177" s="257">
        <f t="shared" si="171"/>
        <v>0</v>
      </c>
    </row>
    <row r="1178" spans="1:26" ht="15" hidden="1" customHeight="1">
      <c r="A1178" s="250" t="s">
        <v>737</v>
      </c>
      <c r="B1178" s="251"/>
      <c r="C1178" s="532" t="s">
        <v>801</v>
      </c>
      <c r="D1178" s="292" t="s">
        <v>1413</v>
      </c>
      <c r="E1178" s="251" t="s">
        <v>2475</v>
      </c>
      <c r="F1178" s="304">
        <f t="shared" si="161"/>
        <v>0</v>
      </c>
      <c r="G1178" s="253">
        <f t="shared" si="162"/>
        <v>61.2</v>
      </c>
      <c r="H1178" s="254">
        <f t="shared" si="164"/>
        <v>0</v>
      </c>
      <c r="I1178" s="253">
        <f t="shared" si="163"/>
        <v>0</v>
      </c>
      <c r="J1178" s="253"/>
      <c r="K1178" s="251" t="s">
        <v>2475</v>
      </c>
      <c r="L1178" s="663">
        <f>(L1177+L1179)/2</f>
        <v>61.2</v>
      </c>
      <c r="M1178" s="289">
        <v>0</v>
      </c>
      <c r="N1178" s="245">
        <f t="shared" si="165"/>
        <v>0</v>
      </c>
      <c r="O1178" s="258">
        <v>0</v>
      </c>
      <c r="P1178" s="257">
        <f t="shared" si="166"/>
        <v>0</v>
      </c>
      <c r="Q1178" s="258">
        <v>0</v>
      </c>
      <c r="R1178" s="257">
        <f t="shared" si="167"/>
        <v>0</v>
      </c>
      <c r="S1178" s="258">
        <v>0</v>
      </c>
      <c r="T1178" s="257">
        <f t="shared" si="168"/>
        <v>0</v>
      </c>
      <c r="U1178" s="258">
        <v>0</v>
      </c>
      <c r="V1178" s="257">
        <f t="shared" si="169"/>
        <v>0</v>
      </c>
      <c r="W1178" s="258">
        <v>0</v>
      </c>
      <c r="X1178" s="257">
        <f t="shared" si="170"/>
        <v>0</v>
      </c>
      <c r="Y1178" s="258">
        <v>0</v>
      </c>
      <c r="Z1178" s="257">
        <f t="shared" si="171"/>
        <v>0</v>
      </c>
    </row>
    <row r="1179" spans="1:26" ht="15" hidden="1" customHeight="1">
      <c r="A1179" s="250" t="s">
        <v>738</v>
      </c>
      <c r="B1179" s="251"/>
      <c r="C1179" s="534" t="s">
        <v>802</v>
      </c>
      <c r="D1179" s="292" t="s">
        <v>1414</v>
      </c>
      <c r="E1179" s="251" t="s">
        <v>2475</v>
      </c>
      <c r="F1179" s="304">
        <f t="shared" si="161"/>
        <v>0</v>
      </c>
      <c r="G1179" s="253">
        <f t="shared" si="162"/>
        <v>73.8</v>
      </c>
      <c r="H1179" s="254">
        <f t="shared" si="164"/>
        <v>0</v>
      </c>
      <c r="I1179" s="253">
        <f t="shared" si="163"/>
        <v>0</v>
      </c>
      <c r="J1179" s="253"/>
      <c r="K1179" s="251" t="s">
        <v>2475</v>
      </c>
      <c r="L1179" s="663">
        <v>73.8</v>
      </c>
      <c r="M1179" s="289">
        <v>0</v>
      </c>
      <c r="N1179" s="245">
        <f t="shared" si="165"/>
        <v>0</v>
      </c>
      <c r="O1179" s="258">
        <v>0</v>
      </c>
      <c r="P1179" s="257">
        <f t="shared" si="166"/>
        <v>0</v>
      </c>
      <c r="Q1179" s="258">
        <v>0</v>
      </c>
      <c r="R1179" s="257">
        <f t="shared" si="167"/>
        <v>0</v>
      </c>
      <c r="S1179" s="258">
        <v>0</v>
      </c>
      <c r="T1179" s="257">
        <f t="shared" si="168"/>
        <v>0</v>
      </c>
      <c r="U1179" s="258">
        <v>0</v>
      </c>
      <c r="V1179" s="257">
        <f t="shared" si="169"/>
        <v>0</v>
      </c>
      <c r="W1179" s="258">
        <v>0</v>
      </c>
      <c r="X1179" s="257">
        <f t="shared" si="170"/>
        <v>0</v>
      </c>
      <c r="Y1179" s="258">
        <v>0</v>
      </c>
      <c r="Z1179" s="257">
        <f t="shared" si="171"/>
        <v>0</v>
      </c>
    </row>
    <row r="1180" spans="1:26" ht="15" hidden="1" customHeight="1">
      <c r="A1180" s="250" t="s">
        <v>739</v>
      </c>
      <c r="B1180" s="251"/>
      <c r="C1180" s="532" t="s">
        <v>803</v>
      </c>
      <c r="D1180" s="292" t="s">
        <v>1415</v>
      </c>
      <c r="E1180" s="251" t="s">
        <v>2475</v>
      </c>
      <c r="F1180" s="304">
        <f t="shared" si="161"/>
        <v>0</v>
      </c>
      <c r="G1180" s="253">
        <f t="shared" si="162"/>
        <v>112.77</v>
      </c>
      <c r="H1180" s="254">
        <f t="shared" si="164"/>
        <v>0</v>
      </c>
      <c r="I1180" s="253">
        <f t="shared" si="163"/>
        <v>0</v>
      </c>
      <c r="J1180" s="253"/>
      <c r="K1180" s="251" t="s">
        <v>2475</v>
      </c>
      <c r="L1180" s="663">
        <v>112.77</v>
      </c>
      <c r="M1180" s="289">
        <v>0</v>
      </c>
      <c r="N1180" s="245">
        <f t="shared" si="165"/>
        <v>0</v>
      </c>
      <c r="O1180" s="258">
        <v>0</v>
      </c>
      <c r="P1180" s="257">
        <f t="shared" si="166"/>
        <v>0</v>
      </c>
      <c r="Q1180" s="258">
        <v>0</v>
      </c>
      <c r="R1180" s="257">
        <f t="shared" si="167"/>
        <v>0</v>
      </c>
      <c r="S1180" s="258">
        <v>0</v>
      </c>
      <c r="T1180" s="257">
        <f t="shared" si="168"/>
        <v>0</v>
      </c>
      <c r="U1180" s="258">
        <v>0</v>
      </c>
      <c r="V1180" s="257">
        <f t="shared" si="169"/>
        <v>0</v>
      </c>
      <c r="W1180" s="258">
        <v>0</v>
      </c>
      <c r="X1180" s="257">
        <f t="shared" si="170"/>
        <v>0</v>
      </c>
      <c r="Y1180" s="258">
        <v>0</v>
      </c>
      <c r="Z1180" s="257">
        <f t="shared" si="171"/>
        <v>0</v>
      </c>
    </row>
    <row r="1181" spans="1:26" ht="15" hidden="1" customHeight="1">
      <c r="A1181" s="250"/>
      <c r="B1181" s="251"/>
      <c r="C1181" s="526"/>
      <c r="D1181" s="292"/>
      <c r="E1181" s="251"/>
      <c r="F1181" s="252"/>
      <c r="G1181" s="253"/>
      <c r="H1181" s="254"/>
      <c r="I1181" s="253"/>
      <c r="J1181" s="253"/>
      <c r="K1181" s="251"/>
      <c r="L1181" s="261"/>
      <c r="M1181" s="289"/>
      <c r="N1181" s="245"/>
      <c r="O1181" s="258"/>
      <c r="P1181" s="257"/>
      <c r="Q1181" s="258"/>
      <c r="R1181" s="257"/>
      <c r="S1181" s="258"/>
      <c r="T1181" s="257"/>
      <c r="U1181" s="258"/>
      <c r="V1181" s="257"/>
      <c r="W1181" s="258"/>
      <c r="X1181" s="257"/>
      <c r="Y1181" s="258"/>
      <c r="Z1181" s="257"/>
    </row>
    <row r="1182" spans="1:26" ht="15" customHeight="1">
      <c r="A1182" s="250">
        <f>A1167+1</f>
        <v>205</v>
      </c>
      <c r="B1182" s="251"/>
      <c r="C1182" s="647" t="s">
        <v>36</v>
      </c>
      <c r="D1182" s="526" t="s">
        <v>2149</v>
      </c>
      <c r="E1182" s="251"/>
      <c r="F1182" s="252"/>
      <c r="G1182" s="253"/>
      <c r="H1182" s="254"/>
      <c r="I1182" s="253"/>
      <c r="J1182" s="253"/>
      <c r="K1182" s="251"/>
      <c r="L1182" s="261"/>
      <c r="M1182" s="289"/>
      <c r="N1182" s="245"/>
      <c r="O1182" s="258"/>
      <c r="P1182" s="257"/>
      <c r="Q1182" s="258"/>
      <c r="R1182" s="257"/>
      <c r="S1182" s="258"/>
      <c r="T1182" s="257"/>
      <c r="U1182" s="258"/>
      <c r="V1182" s="257"/>
      <c r="W1182" s="258"/>
      <c r="X1182" s="257"/>
      <c r="Y1182" s="258"/>
      <c r="Z1182" s="257"/>
    </row>
    <row r="1183" spans="1:26" ht="15" customHeight="1">
      <c r="A1183" s="250"/>
      <c r="B1183" s="251"/>
      <c r="C1183" s="326"/>
      <c r="D1183" s="526" t="s">
        <v>2148</v>
      </c>
      <c r="E1183" s="251"/>
      <c r="F1183" s="252"/>
      <c r="G1183" s="253"/>
      <c r="H1183" s="254"/>
      <c r="I1183" s="253"/>
      <c r="J1183" s="253"/>
      <c r="K1183" s="251"/>
      <c r="L1183" s="261"/>
      <c r="M1183" s="289"/>
      <c r="N1183" s="245"/>
      <c r="O1183" s="258"/>
      <c r="P1183" s="257"/>
      <c r="Q1183" s="258"/>
      <c r="R1183" s="257"/>
      <c r="S1183" s="258"/>
      <c r="T1183" s="257"/>
      <c r="U1183" s="258"/>
      <c r="V1183" s="257"/>
      <c r="W1183" s="258"/>
      <c r="X1183" s="257"/>
      <c r="Y1183" s="258"/>
      <c r="Z1183" s="257"/>
    </row>
    <row r="1184" spans="1:26" ht="15" customHeight="1">
      <c r="A1184" s="250" t="s">
        <v>726</v>
      </c>
      <c r="B1184" s="251"/>
      <c r="C1184" s="661" t="s">
        <v>804</v>
      </c>
      <c r="D1184" s="292" t="s">
        <v>2150</v>
      </c>
      <c r="E1184" s="251" t="s">
        <v>2475</v>
      </c>
      <c r="F1184" s="304">
        <f t="shared" ref="F1184:F1189" si="172">M1184+O1184+Q1184+S1184+U1184+W1184+Y1184</f>
        <v>0</v>
      </c>
      <c r="G1184" s="253">
        <f t="shared" si="162"/>
        <v>7.16</v>
      </c>
      <c r="H1184" s="254">
        <f t="shared" ref="H1184:H1189" si="173">F1184*G1184</f>
        <v>0</v>
      </c>
      <c r="I1184" s="253">
        <f t="shared" ref="I1184:I1189" si="174">N1184+P1184+R1184+T1184+V1184+X1184+Z1184</f>
        <v>0</v>
      </c>
      <c r="J1184" s="253"/>
      <c r="K1184" s="251" t="s">
        <v>2475</v>
      </c>
      <c r="L1184" s="255">
        <v>7.16</v>
      </c>
      <c r="M1184" s="289">
        <v>0</v>
      </c>
      <c r="N1184" s="245">
        <f t="shared" ref="N1184:N1189" si="175">INT($L1184*M1184*100+0.5)/100</f>
        <v>0</v>
      </c>
      <c r="O1184" s="258">
        <v>0</v>
      </c>
      <c r="P1184" s="257">
        <f t="shared" ref="P1184:P1189" si="176">INT($L1184*O1184*100+0.5)/100</f>
        <v>0</v>
      </c>
      <c r="Q1184" s="258">
        <v>0</v>
      </c>
      <c r="R1184" s="257">
        <f t="shared" ref="R1184:R1189" si="177">INT($L1184*Q1184*100+0.5)/100</f>
        <v>0</v>
      </c>
      <c r="S1184" s="258">
        <v>0</v>
      </c>
      <c r="T1184" s="257">
        <f t="shared" ref="T1184:T1189" si="178">INT($L1184*S1184*100+0.5)/100</f>
        <v>0</v>
      </c>
      <c r="U1184" s="258">
        <v>0</v>
      </c>
      <c r="V1184" s="257">
        <f t="shared" ref="V1184:V1189" si="179">INT($L1184*U1184*100+0.5)/100</f>
        <v>0</v>
      </c>
      <c r="W1184" s="258">
        <v>0</v>
      </c>
      <c r="X1184" s="257">
        <f t="shared" ref="X1184:X1189" si="180">INT($L1184*W1184*100+0.5)/100</f>
        <v>0</v>
      </c>
      <c r="Y1184" s="258">
        <v>0</v>
      </c>
      <c r="Z1184" s="257">
        <f t="shared" ref="Z1184:Z1189" si="181">INT($L1184*Y1184*100+0.5)/100</f>
        <v>0</v>
      </c>
    </row>
    <row r="1185" spans="1:26" ht="15" customHeight="1">
      <c r="A1185" s="250" t="s">
        <v>727</v>
      </c>
      <c r="B1185" s="251"/>
      <c r="C1185" s="661" t="s">
        <v>805</v>
      </c>
      <c r="D1185" s="292" t="s">
        <v>2173</v>
      </c>
      <c r="E1185" s="251" t="s">
        <v>2475</v>
      </c>
      <c r="F1185" s="304">
        <f t="shared" si="172"/>
        <v>0</v>
      </c>
      <c r="G1185" s="253">
        <f t="shared" si="162"/>
        <v>7.78</v>
      </c>
      <c r="H1185" s="254">
        <f t="shared" si="173"/>
        <v>0</v>
      </c>
      <c r="I1185" s="253">
        <f t="shared" si="174"/>
        <v>0</v>
      </c>
      <c r="J1185" s="253"/>
      <c r="K1185" s="251" t="s">
        <v>2475</v>
      </c>
      <c r="L1185" s="255">
        <v>7.78</v>
      </c>
      <c r="M1185" s="289">
        <v>0</v>
      </c>
      <c r="N1185" s="245">
        <f t="shared" si="175"/>
        <v>0</v>
      </c>
      <c r="O1185" s="258">
        <v>0</v>
      </c>
      <c r="P1185" s="257">
        <f t="shared" si="176"/>
        <v>0</v>
      </c>
      <c r="Q1185" s="258">
        <v>0</v>
      </c>
      <c r="R1185" s="257">
        <f t="shared" si="177"/>
        <v>0</v>
      </c>
      <c r="S1185" s="258">
        <v>0</v>
      </c>
      <c r="T1185" s="257">
        <f t="shared" si="178"/>
        <v>0</v>
      </c>
      <c r="U1185" s="258">
        <v>0</v>
      </c>
      <c r="V1185" s="257">
        <f t="shared" si="179"/>
        <v>0</v>
      </c>
      <c r="W1185" s="258">
        <v>0</v>
      </c>
      <c r="X1185" s="257">
        <f t="shared" si="180"/>
        <v>0</v>
      </c>
      <c r="Y1185" s="258">
        <v>0</v>
      </c>
      <c r="Z1185" s="257">
        <f t="shared" si="181"/>
        <v>0</v>
      </c>
    </row>
    <row r="1186" spans="1:26" ht="15" customHeight="1">
      <c r="A1186" s="250" t="s">
        <v>728</v>
      </c>
      <c r="B1186" s="251"/>
      <c r="C1186" s="661" t="s">
        <v>806</v>
      </c>
      <c r="D1186" s="292" t="s">
        <v>540</v>
      </c>
      <c r="E1186" s="251" t="s">
        <v>2475</v>
      </c>
      <c r="F1186" s="304">
        <f t="shared" si="172"/>
        <v>130</v>
      </c>
      <c r="G1186" s="253">
        <f t="shared" si="162"/>
        <v>8.31</v>
      </c>
      <c r="H1186" s="254">
        <f t="shared" si="173"/>
        <v>1080.3</v>
      </c>
      <c r="I1186" s="253">
        <f t="shared" si="174"/>
        <v>1080.3</v>
      </c>
      <c r="J1186" s="253"/>
      <c r="K1186" s="251" t="s">
        <v>2475</v>
      </c>
      <c r="L1186" s="255">
        <v>8.31</v>
      </c>
      <c r="M1186" s="289">
        <v>0</v>
      </c>
      <c r="N1186" s="245">
        <f t="shared" si="175"/>
        <v>0</v>
      </c>
      <c r="O1186" s="258">
        <v>0</v>
      </c>
      <c r="P1186" s="257">
        <f t="shared" si="176"/>
        <v>0</v>
      </c>
      <c r="Q1186" s="258">
        <v>0</v>
      </c>
      <c r="R1186" s="257">
        <f t="shared" si="177"/>
        <v>0</v>
      </c>
      <c r="S1186" s="258">
        <f>10*(3.5+6+3.5)</f>
        <v>130</v>
      </c>
      <c r="T1186" s="257">
        <f t="shared" si="178"/>
        <v>1080.3</v>
      </c>
      <c r="U1186" s="258">
        <v>0</v>
      </c>
      <c r="V1186" s="257">
        <f t="shared" si="179"/>
        <v>0</v>
      </c>
      <c r="W1186" s="258">
        <v>0</v>
      </c>
      <c r="X1186" s="257">
        <f t="shared" si="180"/>
        <v>0</v>
      </c>
      <c r="Y1186" s="258">
        <v>0</v>
      </c>
      <c r="Z1186" s="257">
        <f t="shared" si="181"/>
        <v>0</v>
      </c>
    </row>
    <row r="1187" spans="1:26" ht="15" customHeight="1">
      <c r="A1187" s="250" t="s">
        <v>732</v>
      </c>
      <c r="B1187" s="251"/>
      <c r="C1187" s="661" t="s">
        <v>807</v>
      </c>
      <c r="D1187" s="292" t="s">
        <v>2174</v>
      </c>
      <c r="E1187" s="251" t="s">
        <v>2475</v>
      </c>
      <c r="F1187" s="304">
        <f t="shared" si="172"/>
        <v>0</v>
      </c>
      <c r="G1187" s="253">
        <f t="shared" si="162"/>
        <v>9.24</v>
      </c>
      <c r="H1187" s="254">
        <f t="shared" si="173"/>
        <v>0</v>
      </c>
      <c r="I1187" s="253">
        <f t="shared" si="174"/>
        <v>0</v>
      </c>
      <c r="J1187" s="253"/>
      <c r="K1187" s="251" t="s">
        <v>2475</v>
      </c>
      <c r="L1187" s="255">
        <v>9.24</v>
      </c>
      <c r="M1187" s="289">
        <v>0</v>
      </c>
      <c r="N1187" s="245">
        <f t="shared" si="175"/>
        <v>0</v>
      </c>
      <c r="O1187" s="258">
        <v>0</v>
      </c>
      <c r="P1187" s="257">
        <f t="shared" si="176"/>
        <v>0</v>
      </c>
      <c r="Q1187" s="258">
        <v>0</v>
      </c>
      <c r="R1187" s="257">
        <f t="shared" si="177"/>
        <v>0</v>
      </c>
      <c r="S1187" s="258">
        <v>0</v>
      </c>
      <c r="T1187" s="257">
        <f t="shared" si="178"/>
        <v>0</v>
      </c>
      <c r="U1187" s="258">
        <v>0</v>
      </c>
      <c r="V1187" s="257">
        <f t="shared" si="179"/>
        <v>0</v>
      </c>
      <c r="W1187" s="258">
        <v>0</v>
      </c>
      <c r="X1187" s="257">
        <f t="shared" si="180"/>
        <v>0</v>
      </c>
      <c r="Y1187" s="258">
        <v>0</v>
      </c>
      <c r="Z1187" s="257">
        <f t="shared" si="181"/>
        <v>0</v>
      </c>
    </row>
    <row r="1188" spans="1:26" ht="15" customHeight="1">
      <c r="A1188" s="250" t="s">
        <v>733</v>
      </c>
      <c r="B1188" s="251"/>
      <c r="C1188" s="661" t="s">
        <v>808</v>
      </c>
      <c r="D1188" s="292" t="s">
        <v>1973</v>
      </c>
      <c r="E1188" s="251" t="s">
        <v>2475</v>
      </c>
      <c r="F1188" s="304">
        <f t="shared" si="172"/>
        <v>0</v>
      </c>
      <c r="G1188" s="253">
        <f t="shared" si="162"/>
        <v>10.6</v>
      </c>
      <c r="H1188" s="254">
        <f t="shared" si="173"/>
        <v>0</v>
      </c>
      <c r="I1188" s="253">
        <f t="shared" si="174"/>
        <v>0</v>
      </c>
      <c r="J1188" s="253"/>
      <c r="K1188" s="251" t="s">
        <v>2475</v>
      </c>
      <c r="L1188" s="255">
        <v>10.6</v>
      </c>
      <c r="M1188" s="289">
        <v>0</v>
      </c>
      <c r="N1188" s="245">
        <f t="shared" si="175"/>
        <v>0</v>
      </c>
      <c r="O1188" s="258">
        <v>0</v>
      </c>
      <c r="P1188" s="257">
        <f t="shared" si="176"/>
        <v>0</v>
      </c>
      <c r="Q1188" s="258">
        <v>0</v>
      </c>
      <c r="R1188" s="257">
        <f t="shared" si="177"/>
        <v>0</v>
      </c>
      <c r="S1188" s="258">
        <v>0</v>
      </c>
      <c r="T1188" s="257">
        <f t="shared" si="178"/>
        <v>0</v>
      </c>
      <c r="U1188" s="258">
        <v>0</v>
      </c>
      <c r="V1188" s="257">
        <f t="shared" si="179"/>
        <v>0</v>
      </c>
      <c r="W1188" s="258">
        <v>0</v>
      </c>
      <c r="X1188" s="257">
        <f t="shared" si="180"/>
        <v>0</v>
      </c>
      <c r="Y1188" s="258">
        <v>0</v>
      </c>
      <c r="Z1188" s="257">
        <f t="shared" si="181"/>
        <v>0</v>
      </c>
    </row>
    <row r="1189" spans="1:26" ht="15" customHeight="1">
      <c r="A1189" s="250" t="s">
        <v>734</v>
      </c>
      <c r="B1189" s="251"/>
      <c r="C1189" s="661" t="s">
        <v>809</v>
      </c>
      <c r="D1189" s="292" t="s">
        <v>2175</v>
      </c>
      <c r="E1189" s="251" t="s">
        <v>2475</v>
      </c>
      <c r="F1189" s="304">
        <f t="shared" si="172"/>
        <v>0</v>
      </c>
      <c r="G1189" s="253">
        <f t="shared" si="162"/>
        <v>13.23</v>
      </c>
      <c r="H1189" s="254">
        <f t="shared" si="173"/>
        <v>0</v>
      </c>
      <c r="I1189" s="253">
        <f t="shared" si="174"/>
        <v>0</v>
      </c>
      <c r="J1189" s="253"/>
      <c r="K1189" s="251" t="s">
        <v>2475</v>
      </c>
      <c r="L1189" s="255">
        <v>13.23</v>
      </c>
      <c r="M1189" s="289">
        <v>0</v>
      </c>
      <c r="N1189" s="245">
        <f t="shared" si="175"/>
        <v>0</v>
      </c>
      <c r="O1189" s="258">
        <v>0</v>
      </c>
      <c r="P1189" s="257">
        <f t="shared" si="176"/>
        <v>0</v>
      </c>
      <c r="Q1189" s="258">
        <v>0</v>
      </c>
      <c r="R1189" s="257">
        <f t="shared" si="177"/>
        <v>0</v>
      </c>
      <c r="S1189" s="258">
        <v>0</v>
      </c>
      <c r="T1189" s="257">
        <f t="shared" si="178"/>
        <v>0</v>
      </c>
      <c r="U1189" s="258">
        <v>0</v>
      </c>
      <c r="V1189" s="257">
        <f t="shared" si="179"/>
        <v>0</v>
      </c>
      <c r="W1189" s="258">
        <v>0</v>
      </c>
      <c r="X1189" s="257">
        <f t="shared" si="180"/>
        <v>0</v>
      </c>
      <c r="Y1189" s="258">
        <v>0</v>
      </c>
      <c r="Z1189" s="257">
        <f t="shared" si="181"/>
        <v>0</v>
      </c>
    </row>
    <row r="1190" spans="1:26" ht="15" customHeight="1">
      <c r="A1190" s="250"/>
      <c r="B1190" s="251"/>
      <c r="C1190" s="661"/>
      <c r="D1190" s="292"/>
      <c r="E1190" s="251"/>
      <c r="F1190" s="252"/>
      <c r="G1190" s="253"/>
      <c r="H1190" s="254"/>
      <c r="I1190" s="253"/>
      <c r="J1190" s="253"/>
      <c r="K1190" s="251"/>
      <c r="L1190" s="261"/>
      <c r="M1190" s="289"/>
      <c r="N1190" s="245"/>
      <c r="O1190" s="258"/>
      <c r="P1190" s="257"/>
      <c r="Q1190" s="258"/>
      <c r="R1190" s="257"/>
      <c r="S1190" s="258"/>
      <c r="T1190" s="257"/>
      <c r="U1190" s="258"/>
      <c r="V1190" s="257"/>
      <c r="W1190" s="258"/>
      <c r="X1190" s="257"/>
      <c r="Y1190" s="258"/>
      <c r="Z1190" s="257"/>
    </row>
    <row r="1191" spans="1:26" ht="15" customHeight="1">
      <c r="A1191" s="250">
        <f>A1182+1</f>
        <v>206</v>
      </c>
      <c r="B1191" s="251"/>
      <c r="C1191" s="654" t="s">
        <v>1974</v>
      </c>
      <c r="D1191" s="532" t="s">
        <v>921</v>
      </c>
      <c r="E1191" s="251" t="s">
        <v>2475</v>
      </c>
      <c r="F1191" s="252"/>
      <c r="G1191" s="253"/>
      <c r="H1191" s="254"/>
      <c r="I1191" s="253"/>
      <c r="J1191" s="253"/>
      <c r="K1191" s="251" t="s">
        <v>2475</v>
      </c>
      <c r="L1191" s="255"/>
      <c r="M1191" s="289"/>
      <c r="N1191" s="245"/>
      <c r="O1191" s="258"/>
      <c r="P1191" s="257"/>
      <c r="Q1191" s="258"/>
      <c r="R1191" s="257"/>
      <c r="S1191" s="258"/>
      <c r="T1191" s="257"/>
      <c r="U1191" s="258"/>
      <c r="V1191" s="257"/>
      <c r="W1191" s="258"/>
      <c r="X1191" s="257"/>
      <c r="Y1191" s="258"/>
      <c r="Z1191" s="257"/>
    </row>
    <row r="1192" spans="1:26" ht="15" customHeight="1">
      <c r="A1192" s="250"/>
      <c r="B1192" s="251"/>
      <c r="C1192" s="526"/>
      <c r="D1192" s="532" t="s">
        <v>922</v>
      </c>
      <c r="E1192" s="251"/>
      <c r="F1192" s="252"/>
      <c r="G1192" s="253"/>
      <c r="H1192" s="254"/>
      <c r="I1192" s="253"/>
      <c r="J1192" s="253"/>
      <c r="K1192" s="251"/>
      <c r="L1192" s="261"/>
      <c r="M1192" s="289"/>
      <c r="N1192" s="245"/>
      <c r="O1192" s="258"/>
      <c r="P1192" s="257"/>
      <c r="Q1192" s="258"/>
      <c r="R1192" s="257"/>
      <c r="S1192" s="258"/>
      <c r="T1192" s="257"/>
      <c r="U1192" s="258"/>
      <c r="V1192" s="257"/>
      <c r="W1192" s="258"/>
      <c r="X1192" s="257"/>
      <c r="Y1192" s="258"/>
      <c r="Z1192" s="257"/>
    </row>
    <row r="1193" spans="1:26" ht="15" customHeight="1">
      <c r="A1193" s="250"/>
      <c r="B1193" s="251"/>
      <c r="C1193" s="532"/>
      <c r="D1193" s="532"/>
      <c r="E1193" s="251"/>
      <c r="F1193" s="304">
        <f>M1193+O1193+Q1193+S1193+U1193+W1193+Y1193</f>
        <v>485</v>
      </c>
      <c r="G1193" s="253">
        <f t="shared" si="162"/>
        <v>21.73</v>
      </c>
      <c r="H1193" s="254">
        <f>F1193*G1193</f>
        <v>10539.050000000001</v>
      </c>
      <c r="I1193" s="253">
        <f>N1193+P1193+R1193+T1193+V1193+X1193+Z1193</f>
        <v>10539.05</v>
      </c>
      <c r="J1193" s="253"/>
      <c r="K1193" s="251"/>
      <c r="L1193" s="664">
        <v>21.73</v>
      </c>
      <c r="M1193" s="289">
        <f>145+250+20+70</f>
        <v>485</v>
      </c>
      <c r="N1193" s="245">
        <f>INT($L1193*M1193*100+0.5)/100</f>
        <v>10539.05</v>
      </c>
      <c r="O1193" s="258">
        <v>0</v>
      </c>
      <c r="P1193" s="257">
        <f>INT($L1193*O1193*100+0.5)/100</f>
        <v>0</v>
      </c>
      <c r="Q1193" s="258">
        <v>0</v>
      </c>
      <c r="R1193" s="257">
        <f>INT($L1193*Q1193*100+0.5)/100</f>
        <v>0</v>
      </c>
      <c r="S1193" s="258">
        <v>0</v>
      </c>
      <c r="T1193" s="257">
        <f>INT($L1193*S1193*100+0.5)/100</f>
        <v>0</v>
      </c>
      <c r="U1193" s="258">
        <v>0</v>
      </c>
      <c r="V1193" s="257">
        <f>INT($L1193*U1193*100+0.5)/100</f>
        <v>0</v>
      </c>
      <c r="W1193" s="258">
        <v>0</v>
      </c>
      <c r="X1193" s="257">
        <f>INT($L1193*W1193*100+0.5)/100</f>
        <v>0</v>
      </c>
      <c r="Y1193" s="258">
        <v>0</v>
      </c>
      <c r="Z1193" s="257">
        <f>INT($L1193*Y1193*100+0.5)/100</f>
        <v>0</v>
      </c>
    </row>
    <row r="1194" spans="1:26" ht="15" customHeight="1">
      <c r="A1194" s="250"/>
      <c r="B1194" s="251"/>
      <c r="C1194" s="532"/>
      <c r="D1194" s="532"/>
      <c r="E1194" s="251"/>
      <c r="F1194" s="252"/>
      <c r="G1194" s="253"/>
      <c r="H1194" s="254"/>
      <c r="I1194" s="253"/>
      <c r="J1194" s="253"/>
      <c r="K1194" s="251"/>
      <c r="L1194" s="255"/>
      <c r="M1194" s="289"/>
      <c r="N1194" s="245"/>
      <c r="O1194" s="258"/>
      <c r="P1194" s="257"/>
      <c r="Q1194" s="258"/>
      <c r="R1194" s="257"/>
      <c r="S1194" s="258"/>
      <c r="T1194" s="257"/>
      <c r="U1194" s="258"/>
      <c r="V1194" s="257"/>
      <c r="W1194" s="258"/>
      <c r="X1194" s="257"/>
      <c r="Y1194" s="258"/>
      <c r="Z1194" s="257"/>
    </row>
    <row r="1195" spans="1:26" ht="15" customHeight="1">
      <c r="A1195" s="250">
        <f>A1191+1</f>
        <v>207</v>
      </c>
      <c r="B1195" s="251"/>
      <c r="C1195" s="526" t="s">
        <v>1785</v>
      </c>
      <c r="D1195" s="526" t="s">
        <v>2144</v>
      </c>
      <c r="E1195" s="251"/>
      <c r="F1195" s="252"/>
      <c r="G1195" s="253"/>
      <c r="H1195" s="254"/>
      <c r="I1195" s="253"/>
      <c r="J1195" s="253"/>
      <c r="K1195" s="251"/>
      <c r="L1195" s="261"/>
      <c r="M1195" s="289"/>
      <c r="N1195" s="245"/>
      <c r="O1195" s="258"/>
      <c r="P1195" s="257"/>
      <c r="Q1195" s="258"/>
      <c r="R1195" s="257"/>
      <c r="S1195" s="258"/>
      <c r="T1195" s="257"/>
      <c r="U1195" s="258"/>
      <c r="V1195" s="257"/>
      <c r="W1195" s="258"/>
      <c r="X1195" s="257"/>
      <c r="Y1195" s="258"/>
      <c r="Z1195" s="257"/>
    </row>
    <row r="1196" spans="1:26" ht="15" customHeight="1">
      <c r="A1196" s="250"/>
      <c r="B1196" s="251"/>
      <c r="C1196" s="526"/>
      <c r="D1196" s="526" t="s">
        <v>2143</v>
      </c>
      <c r="E1196" s="251"/>
      <c r="F1196" s="252"/>
      <c r="G1196" s="253"/>
      <c r="H1196" s="254"/>
      <c r="I1196" s="253"/>
      <c r="J1196" s="253"/>
      <c r="K1196" s="251"/>
      <c r="L1196" s="261"/>
      <c r="M1196" s="289"/>
      <c r="N1196" s="245"/>
      <c r="O1196" s="258"/>
      <c r="P1196" s="257"/>
      <c r="Q1196" s="258"/>
      <c r="R1196" s="257"/>
      <c r="S1196" s="258"/>
      <c r="T1196" s="257"/>
      <c r="U1196" s="258"/>
      <c r="V1196" s="257"/>
      <c r="W1196" s="258"/>
      <c r="X1196" s="257"/>
      <c r="Y1196" s="258"/>
      <c r="Z1196" s="257"/>
    </row>
    <row r="1197" spans="1:26" ht="15" customHeight="1">
      <c r="A1197" s="250" t="s">
        <v>726</v>
      </c>
      <c r="B1197" s="251"/>
      <c r="C1197" s="526" t="s">
        <v>810</v>
      </c>
      <c r="D1197" s="292" t="s">
        <v>540</v>
      </c>
      <c r="E1197" s="251" t="s">
        <v>2475</v>
      </c>
      <c r="F1197" s="304">
        <f t="shared" ref="F1197:F1202" si="182">M1197+O1197+Q1197+S1197+U1197+W1197+Y1197</f>
        <v>0</v>
      </c>
      <c r="G1197" s="253">
        <f t="shared" si="162"/>
        <v>14.68</v>
      </c>
      <c r="H1197" s="254">
        <f t="shared" ref="H1197:H1202" si="183">INT(F1197*G1197*100+0.5)/100</f>
        <v>0</v>
      </c>
      <c r="I1197" s="253">
        <f t="shared" ref="I1197:I1202" si="184">N1197+P1197+R1197+T1197+V1197+X1197+Z1197</f>
        <v>0</v>
      </c>
      <c r="J1197" s="253"/>
      <c r="K1197" s="251" t="s">
        <v>2475</v>
      </c>
      <c r="L1197" s="663">
        <v>14.68</v>
      </c>
      <c r="M1197" s="289">
        <v>0</v>
      </c>
      <c r="N1197" s="245">
        <f t="shared" ref="N1197:N1202" si="185">INT($L1197*M1197*100+0.5)/100</f>
        <v>0</v>
      </c>
      <c r="O1197" s="258">
        <v>0</v>
      </c>
      <c r="P1197" s="257">
        <f t="shared" ref="P1197:P1202" si="186">INT($L1197*O1197*100+0.5)/100</f>
        <v>0</v>
      </c>
      <c r="Q1197" s="258">
        <v>0</v>
      </c>
      <c r="R1197" s="257">
        <f t="shared" ref="R1197:R1202" si="187">INT($L1197*Q1197*100+0.5)/100</f>
        <v>0</v>
      </c>
      <c r="S1197" s="258">
        <v>0</v>
      </c>
      <c r="T1197" s="257">
        <f t="shared" ref="T1197:T1202" si="188">INT($L1197*S1197*100+0.5)/100</f>
        <v>0</v>
      </c>
      <c r="U1197" s="258">
        <v>0</v>
      </c>
      <c r="V1197" s="257">
        <f t="shared" ref="V1197:V1202" si="189">INT($L1197*U1197*100+0.5)/100</f>
        <v>0</v>
      </c>
      <c r="W1197" s="258">
        <v>0</v>
      </c>
      <c r="X1197" s="257">
        <f t="shared" ref="X1197:X1202" si="190">INT($L1197*W1197*100+0.5)/100</f>
        <v>0</v>
      </c>
      <c r="Y1197" s="258">
        <v>0</v>
      </c>
      <c r="Z1197" s="257">
        <f t="shared" ref="Z1197:Z1202" si="191">INT($L1197*Y1197*100+0.5)/100</f>
        <v>0</v>
      </c>
    </row>
    <row r="1198" spans="1:26" ht="15" customHeight="1">
      <c r="A1198" s="250" t="s">
        <v>727</v>
      </c>
      <c r="B1198" s="251"/>
      <c r="C1198" s="526" t="s">
        <v>811</v>
      </c>
      <c r="D1198" s="292" t="s">
        <v>2174</v>
      </c>
      <c r="E1198" s="251" t="s">
        <v>2475</v>
      </c>
      <c r="F1198" s="304">
        <f t="shared" si="182"/>
        <v>0</v>
      </c>
      <c r="G1198" s="253">
        <f t="shared" si="162"/>
        <v>16.899999999999999</v>
      </c>
      <c r="H1198" s="254">
        <f t="shared" si="183"/>
        <v>0</v>
      </c>
      <c r="I1198" s="253">
        <f t="shared" si="184"/>
        <v>0</v>
      </c>
      <c r="J1198" s="253"/>
      <c r="K1198" s="251" t="s">
        <v>2475</v>
      </c>
      <c r="L1198" s="663">
        <v>16.899999999999999</v>
      </c>
      <c r="M1198" s="289">
        <v>0</v>
      </c>
      <c r="N1198" s="245">
        <f t="shared" si="185"/>
        <v>0</v>
      </c>
      <c r="O1198" s="258">
        <v>0</v>
      </c>
      <c r="P1198" s="257">
        <f t="shared" si="186"/>
        <v>0</v>
      </c>
      <c r="Q1198" s="258">
        <v>0</v>
      </c>
      <c r="R1198" s="257">
        <f t="shared" si="187"/>
        <v>0</v>
      </c>
      <c r="S1198" s="258">
        <v>0</v>
      </c>
      <c r="T1198" s="257">
        <f t="shared" si="188"/>
        <v>0</v>
      </c>
      <c r="U1198" s="258">
        <v>0</v>
      </c>
      <c r="V1198" s="257">
        <f t="shared" si="189"/>
        <v>0</v>
      </c>
      <c r="W1198" s="258">
        <v>0</v>
      </c>
      <c r="X1198" s="257">
        <f t="shared" si="190"/>
        <v>0</v>
      </c>
      <c r="Y1198" s="258">
        <v>0</v>
      </c>
      <c r="Z1198" s="257">
        <f t="shared" si="191"/>
        <v>0</v>
      </c>
    </row>
    <row r="1199" spans="1:26" ht="15" customHeight="1">
      <c r="A1199" s="250" t="s">
        <v>728</v>
      </c>
      <c r="B1199" s="251"/>
      <c r="C1199" s="526" t="s">
        <v>812</v>
      </c>
      <c r="D1199" s="292" t="s">
        <v>2175</v>
      </c>
      <c r="E1199" s="251" t="s">
        <v>2475</v>
      </c>
      <c r="F1199" s="304">
        <f t="shared" si="182"/>
        <v>0</v>
      </c>
      <c r="G1199" s="253">
        <f t="shared" si="162"/>
        <v>26.03</v>
      </c>
      <c r="H1199" s="254">
        <f t="shared" si="183"/>
        <v>0</v>
      </c>
      <c r="I1199" s="253">
        <f t="shared" si="184"/>
        <v>0</v>
      </c>
      <c r="J1199" s="253"/>
      <c r="K1199" s="251" t="s">
        <v>2475</v>
      </c>
      <c r="L1199" s="663">
        <v>26.03</v>
      </c>
      <c r="M1199" s="289">
        <v>0</v>
      </c>
      <c r="N1199" s="245">
        <f t="shared" si="185"/>
        <v>0</v>
      </c>
      <c r="O1199" s="258">
        <v>0</v>
      </c>
      <c r="P1199" s="257">
        <f t="shared" si="186"/>
        <v>0</v>
      </c>
      <c r="Q1199" s="258">
        <v>0</v>
      </c>
      <c r="R1199" s="257">
        <f t="shared" si="187"/>
        <v>0</v>
      </c>
      <c r="S1199" s="258">
        <v>0</v>
      </c>
      <c r="T1199" s="257">
        <f t="shared" si="188"/>
        <v>0</v>
      </c>
      <c r="U1199" s="258">
        <v>0</v>
      </c>
      <c r="V1199" s="257">
        <f t="shared" si="189"/>
        <v>0</v>
      </c>
      <c r="W1199" s="258">
        <v>0</v>
      </c>
      <c r="X1199" s="257">
        <f t="shared" si="190"/>
        <v>0</v>
      </c>
      <c r="Y1199" s="258">
        <v>0</v>
      </c>
      <c r="Z1199" s="257">
        <f t="shared" si="191"/>
        <v>0</v>
      </c>
    </row>
    <row r="1200" spans="1:26" ht="15" customHeight="1">
      <c r="A1200" s="250" t="s">
        <v>732</v>
      </c>
      <c r="B1200" s="251"/>
      <c r="C1200" s="526" t="s">
        <v>813</v>
      </c>
      <c r="D1200" s="292" t="s">
        <v>2145</v>
      </c>
      <c r="E1200" s="251" t="s">
        <v>2475</v>
      </c>
      <c r="F1200" s="304">
        <f t="shared" si="182"/>
        <v>0</v>
      </c>
      <c r="G1200" s="253">
        <f t="shared" si="162"/>
        <v>34.880000000000003</v>
      </c>
      <c r="H1200" s="254">
        <f t="shared" si="183"/>
        <v>0</v>
      </c>
      <c r="I1200" s="253">
        <f t="shared" si="184"/>
        <v>0</v>
      </c>
      <c r="J1200" s="253"/>
      <c r="K1200" s="251" t="s">
        <v>2475</v>
      </c>
      <c r="L1200" s="663">
        <v>34.880000000000003</v>
      </c>
      <c r="M1200" s="289">
        <v>0</v>
      </c>
      <c r="N1200" s="245">
        <f t="shared" si="185"/>
        <v>0</v>
      </c>
      <c r="O1200" s="258">
        <v>0</v>
      </c>
      <c r="P1200" s="257">
        <f t="shared" si="186"/>
        <v>0</v>
      </c>
      <c r="Q1200" s="258">
        <v>0</v>
      </c>
      <c r="R1200" s="257">
        <f t="shared" si="187"/>
        <v>0</v>
      </c>
      <c r="S1200" s="258">
        <v>0</v>
      </c>
      <c r="T1200" s="257">
        <f t="shared" si="188"/>
        <v>0</v>
      </c>
      <c r="U1200" s="258">
        <v>0</v>
      </c>
      <c r="V1200" s="257">
        <f t="shared" si="189"/>
        <v>0</v>
      </c>
      <c r="W1200" s="258">
        <v>0</v>
      </c>
      <c r="X1200" s="257">
        <f t="shared" si="190"/>
        <v>0</v>
      </c>
      <c r="Y1200" s="258">
        <v>0</v>
      </c>
      <c r="Z1200" s="257">
        <f t="shared" si="191"/>
        <v>0</v>
      </c>
    </row>
    <row r="1201" spans="1:26" ht="15" customHeight="1">
      <c r="A1201" s="250" t="s">
        <v>733</v>
      </c>
      <c r="B1201" s="251"/>
      <c r="C1201" s="526" t="s">
        <v>814</v>
      </c>
      <c r="D1201" s="292" t="s">
        <v>2146</v>
      </c>
      <c r="E1201" s="251" t="s">
        <v>2475</v>
      </c>
      <c r="F1201" s="304">
        <f t="shared" si="182"/>
        <v>0</v>
      </c>
      <c r="G1201" s="253">
        <f t="shared" si="162"/>
        <v>43.59</v>
      </c>
      <c r="H1201" s="254">
        <f t="shared" si="183"/>
        <v>0</v>
      </c>
      <c r="I1201" s="253">
        <f t="shared" si="184"/>
        <v>0</v>
      </c>
      <c r="J1201" s="253"/>
      <c r="K1201" s="251" t="s">
        <v>2475</v>
      </c>
      <c r="L1201" s="663">
        <v>43.59</v>
      </c>
      <c r="M1201" s="289">
        <v>0</v>
      </c>
      <c r="N1201" s="245">
        <f t="shared" si="185"/>
        <v>0</v>
      </c>
      <c r="O1201" s="258">
        <v>0</v>
      </c>
      <c r="P1201" s="257">
        <f t="shared" si="186"/>
        <v>0</v>
      </c>
      <c r="Q1201" s="258">
        <v>0</v>
      </c>
      <c r="R1201" s="257">
        <f t="shared" si="187"/>
        <v>0</v>
      </c>
      <c r="S1201" s="258">
        <v>0</v>
      </c>
      <c r="T1201" s="257">
        <f t="shared" si="188"/>
        <v>0</v>
      </c>
      <c r="U1201" s="258">
        <v>0</v>
      </c>
      <c r="V1201" s="257">
        <f t="shared" si="189"/>
        <v>0</v>
      </c>
      <c r="W1201" s="258">
        <v>0</v>
      </c>
      <c r="X1201" s="257">
        <f t="shared" si="190"/>
        <v>0</v>
      </c>
      <c r="Y1201" s="258">
        <v>0</v>
      </c>
      <c r="Z1201" s="257">
        <f t="shared" si="191"/>
        <v>0</v>
      </c>
    </row>
    <row r="1202" spans="1:26" ht="15" customHeight="1">
      <c r="A1202" s="250" t="s">
        <v>734</v>
      </c>
      <c r="B1202" s="251"/>
      <c r="C1202" s="526" t="s">
        <v>815</v>
      </c>
      <c r="D1202" s="292" t="s">
        <v>2147</v>
      </c>
      <c r="E1202" s="251" t="s">
        <v>2475</v>
      </c>
      <c r="F1202" s="304">
        <f t="shared" si="182"/>
        <v>0</v>
      </c>
      <c r="G1202" s="253">
        <f t="shared" si="162"/>
        <v>64.959999999999994</v>
      </c>
      <c r="H1202" s="254">
        <f t="shared" si="183"/>
        <v>0</v>
      </c>
      <c r="I1202" s="253">
        <f t="shared" si="184"/>
        <v>0</v>
      </c>
      <c r="J1202" s="253"/>
      <c r="K1202" s="251" t="s">
        <v>2475</v>
      </c>
      <c r="L1202" s="663">
        <v>64.959999999999994</v>
      </c>
      <c r="M1202" s="289">
        <v>0</v>
      </c>
      <c r="N1202" s="245">
        <f t="shared" si="185"/>
        <v>0</v>
      </c>
      <c r="O1202" s="258">
        <v>0</v>
      </c>
      <c r="P1202" s="257">
        <f t="shared" si="186"/>
        <v>0</v>
      </c>
      <c r="Q1202" s="258">
        <v>0</v>
      </c>
      <c r="R1202" s="257">
        <f t="shared" si="187"/>
        <v>0</v>
      </c>
      <c r="S1202" s="258">
        <v>0</v>
      </c>
      <c r="T1202" s="257">
        <f t="shared" si="188"/>
        <v>0</v>
      </c>
      <c r="U1202" s="258">
        <v>0</v>
      </c>
      <c r="V1202" s="257">
        <f t="shared" si="189"/>
        <v>0</v>
      </c>
      <c r="W1202" s="258">
        <v>0</v>
      </c>
      <c r="X1202" s="257">
        <f t="shared" si="190"/>
        <v>0</v>
      </c>
      <c r="Y1202" s="258">
        <v>0</v>
      </c>
      <c r="Z1202" s="257">
        <f t="shared" si="191"/>
        <v>0</v>
      </c>
    </row>
    <row r="1203" spans="1:26" ht="15" customHeight="1">
      <c r="A1203" s="250"/>
      <c r="B1203" s="251"/>
      <c r="C1203" s="526"/>
      <c r="D1203" s="292"/>
      <c r="E1203" s="251"/>
      <c r="F1203" s="252"/>
      <c r="G1203" s="253"/>
      <c r="H1203" s="254"/>
      <c r="I1203" s="253"/>
      <c r="J1203" s="253"/>
      <c r="K1203" s="251"/>
      <c r="L1203" s="261"/>
      <c r="M1203" s="289"/>
      <c r="N1203" s="245"/>
      <c r="O1203" s="258"/>
      <c r="P1203" s="257"/>
      <c r="Q1203" s="258"/>
      <c r="R1203" s="257"/>
      <c r="S1203" s="258"/>
      <c r="T1203" s="257"/>
      <c r="U1203" s="258"/>
      <c r="V1203" s="257"/>
      <c r="W1203" s="258"/>
      <c r="X1203" s="257"/>
      <c r="Y1203" s="258"/>
      <c r="Z1203" s="257"/>
    </row>
    <row r="1204" spans="1:26" ht="15" customHeight="1">
      <c r="A1204" s="250">
        <f>A1195+1</f>
        <v>208</v>
      </c>
      <c r="B1204" s="251"/>
      <c r="C1204" s="526" t="s">
        <v>1576</v>
      </c>
      <c r="D1204" s="526" t="s">
        <v>1577</v>
      </c>
      <c r="E1204" s="251"/>
      <c r="F1204" s="252"/>
      <c r="G1204" s="253"/>
      <c r="H1204" s="254"/>
      <c r="I1204" s="253"/>
      <c r="J1204" s="253"/>
      <c r="K1204" s="251"/>
      <c r="L1204" s="261"/>
      <c r="M1204" s="289"/>
      <c r="N1204" s="245"/>
      <c r="O1204" s="258"/>
      <c r="P1204" s="257"/>
      <c r="Q1204" s="258"/>
      <c r="R1204" s="257"/>
      <c r="S1204" s="258"/>
      <c r="T1204" s="257"/>
      <c r="U1204" s="258"/>
      <c r="V1204" s="257"/>
      <c r="W1204" s="258"/>
      <c r="X1204" s="257"/>
      <c r="Y1204" s="258"/>
      <c r="Z1204" s="257"/>
    </row>
    <row r="1205" spans="1:26" ht="15" customHeight="1">
      <c r="A1205" s="250"/>
      <c r="B1205" s="251"/>
      <c r="C1205" s="526"/>
      <c r="D1205" s="526" t="s">
        <v>1578</v>
      </c>
      <c r="E1205" s="251"/>
      <c r="F1205" s="252"/>
      <c r="G1205" s="253"/>
      <c r="H1205" s="254"/>
      <c r="I1205" s="253"/>
      <c r="J1205" s="253"/>
      <c r="K1205" s="251"/>
      <c r="L1205" s="261"/>
      <c r="M1205" s="289"/>
      <c r="N1205" s="245"/>
      <c r="O1205" s="258"/>
      <c r="P1205" s="257"/>
      <c r="Q1205" s="258"/>
      <c r="R1205" s="257"/>
      <c r="S1205" s="258"/>
      <c r="T1205" s="257"/>
      <c r="U1205" s="258"/>
      <c r="V1205" s="257"/>
      <c r="W1205" s="258"/>
      <c r="X1205" s="257"/>
      <c r="Y1205" s="258"/>
      <c r="Z1205" s="257"/>
    </row>
    <row r="1206" spans="1:26" ht="15" customHeight="1">
      <c r="A1206" s="250" t="s">
        <v>726</v>
      </c>
      <c r="B1206" s="251"/>
      <c r="C1206" s="526" t="s">
        <v>816</v>
      </c>
      <c r="D1206" s="292" t="s">
        <v>2176</v>
      </c>
      <c r="E1206" s="251" t="s">
        <v>2475</v>
      </c>
      <c r="F1206" s="304">
        <f>M1206+O1206+Q1206+S1206+U1206+W1206+Y1206</f>
        <v>0</v>
      </c>
      <c r="G1206" s="253">
        <f t="shared" si="162"/>
        <v>6.87</v>
      </c>
      <c r="H1206" s="254">
        <f>INT(F1206*G1206*100+0.5)/100</f>
        <v>0</v>
      </c>
      <c r="I1206" s="253">
        <f>N1206+P1206+R1206+T1206+V1206+X1206+Z1206</f>
        <v>0</v>
      </c>
      <c r="J1206" s="253"/>
      <c r="K1206" s="251" t="s">
        <v>2475</v>
      </c>
      <c r="L1206" s="663">
        <v>6.87</v>
      </c>
      <c r="M1206" s="289">
        <v>0</v>
      </c>
      <c r="N1206" s="245">
        <f>INT($L1206*M1206*100+0.5)/100</f>
        <v>0</v>
      </c>
      <c r="O1206" s="258">
        <v>0</v>
      </c>
      <c r="P1206" s="257">
        <f>INT($L1206*O1206*100+0.5)/100</f>
        <v>0</v>
      </c>
      <c r="Q1206" s="258">
        <v>0</v>
      </c>
      <c r="R1206" s="257">
        <f>INT($L1206*Q1206*100+0.5)/100</f>
        <v>0</v>
      </c>
      <c r="S1206" s="258">
        <v>0</v>
      </c>
      <c r="T1206" s="257">
        <f>INT($L1206*S1206*100+0.5)/100</f>
        <v>0</v>
      </c>
      <c r="U1206" s="258">
        <v>0</v>
      </c>
      <c r="V1206" s="257">
        <f>INT($L1206*U1206*100+0.5)/100</f>
        <v>0</v>
      </c>
      <c r="W1206" s="258">
        <v>0</v>
      </c>
      <c r="X1206" s="257">
        <f>INT($L1206*W1206*100+0.5)/100</f>
        <v>0</v>
      </c>
      <c r="Y1206" s="258">
        <v>0</v>
      </c>
      <c r="Z1206" s="257">
        <f>INT($L1206*Y1206*100+0.5)/100</f>
        <v>0</v>
      </c>
    </row>
    <row r="1207" spans="1:26" ht="15" customHeight="1">
      <c r="A1207" s="250" t="s">
        <v>727</v>
      </c>
      <c r="B1207" s="251"/>
      <c r="C1207" s="526" t="s">
        <v>817</v>
      </c>
      <c r="D1207" s="292" t="s">
        <v>2177</v>
      </c>
      <c r="E1207" s="251" t="s">
        <v>2475</v>
      </c>
      <c r="F1207" s="304">
        <f>M1207+O1207+Q1207+S1207+U1207+W1207+Y1207</f>
        <v>0</v>
      </c>
      <c r="G1207" s="253">
        <f t="shared" si="162"/>
        <v>7.76</v>
      </c>
      <c r="H1207" s="254">
        <f>INT(F1207*G1207*100+0.5)/100</f>
        <v>0</v>
      </c>
      <c r="I1207" s="253">
        <f>N1207+P1207+R1207+T1207+V1207+X1207+Z1207</f>
        <v>0</v>
      </c>
      <c r="J1207" s="253"/>
      <c r="K1207" s="251" t="s">
        <v>2475</v>
      </c>
      <c r="L1207" s="663">
        <v>7.76</v>
      </c>
      <c r="M1207" s="289">
        <v>0</v>
      </c>
      <c r="N1207" s="245">
        <f>INT($L1207*M1207*100+0.5)/100</f>
        <v>0</v>
      </c>
      <c r="O1207" s="258">
        <v>0</v>
      </c>
      <c r="P1207" s="257">
        <f>INT($L1207*O1207*100+0.5)/100</f>
        <v>0</v>
      </c>
      <c r="Q1207" s="258">
        <v>0</v>
      </c>
      <c r="R1207" s="257">
        <f>INT($L1207*Q1207*100+0.5)/100</f>
        <v>0</v>
      </c>
      <c r="S1207" s="258">
        <v>0</v>
      </c>
      <c r="T1207" s="257">
        <f>INT($L1207*S1207*100+0.5)/100</f>
        <v>0</v>
      </c>
      <c r="U1207" s="258">
        <v>0</v>
      </c>
      <c r="V1207" s="257">
        <f>INT($L1207*U1207*100+0.5)/100</f>
        <v>0</v>
      </c>
      <c r="W1207" s="258">
        <v>0</v>
      </c>
      <c r="X1207" s="257">
        <f>INT($L1207*W1207*100+0.5)/100</f>
        <v>0</v>
      </c>
      <c r="Y1207" s="258">
        <v>0</v>
      </c>
      <c r="Z1207" s="257">
        <f>INT($L1207*Y1207*100+0.5)/100</f>
        <v>0</v>
      </c>
    </row>
    <row r="1208" spans="1:26" ht="15" customHeight="1">
      <c r="A1208" s="250" t="s">
        <v>728</v>
      </c>
      <c r="B1208" s="251"/>
      <c r="C1208" s="526" t="s">
        <v>818</v>
      </c>
      <c r="D1208" s="292" t="s">
        <v>1774</v>
      </c>
      <c r="E1208" s="251" t="s">
        <v>2475</v>
      </c>
      <c r="F1208" s="304">
        <f>M1208+O1208+Q1208+S1208+U1208+W1208+Y1208</f>
        <v>0</v>
      </c>
      <c r="G1208" s="253">
        <f t="shared" si="162"/>
        <v>10.64</v>
      </c>
      <c r="H1208" s="254">
        <f>INT(F1208*G1208*100+0.5)/100</f>
        <v>0</v>
      </c>
      <c r="I1208" s="253">
        <f>N1208+P1208+R1208+T1208+V1208+X1208+Z1208</f>
        <v>0</v>
      </c>
      <c r="J1208" s="253"/>
      <c r="K1208" s="251" t="s">
        <v>2475</v>
      </c>
      <c r="L1208" s="663">
        <v>10.64</v>
      </c>
      <c r="M1208" s="289">
        <v>0</v>
      </c>
      <c r="N1208" s="245">
        <f>INT($L1208*M1208*100+0.5)/100</f>
        <v>0</v>
      </c>
      <c r="O1208" s="258">
        <v>0</v>
      </c>
      <c r="P1208" s="257">
        <f>INT($L1208*O1208*100+0.5)/100</f>
        <v>0</v>
      </c>
      <c r="Q1208" s="258">
        <v>0</v>
      </c>
      <c r="R1208" s="257">
        <f>INT($L1208*Q1208*100+0.5)/100</f>
        <v>0</v>
      </c>
      <c r="S1208" s="258">
        <v>0</v>
      </c>
      <c r="T1208" s="257">
        <f>INT($L1208*S1208*100+0.5)/100</f>
        <v>0</v>
      </c>
      <c r="U1208" s="258">
        <v>0</v>
      </c>
      <c r="V1208" s="257">
        <f>INT($L1208*U1208*100+0.5)/100</f>
        <v>0</v>
      </c>
      <c r="W1208" s="258">
        <v>0</v>
      </c>
      <c r="X1208" s="257">
        <f>INT($L1208*W1208*100+0.5)/100</f>
        <v>0</v>
      </c>
      <c r="Y1208" s="258">
        <v>0</v>
      </c>
      <c r="Z1208" s="257">
        <f>INT($L1208*Y1208*100+0.5)/100</f>
        <v>0</v>
      </c>
    </row>
    <row r="1209" spans="1:26" s="247" customFormat="1" ht="15" customHeight="1">
      <c r="A1209" s="250"/>
      <c r="B1209" s="237"/>
      <c r="C1209" s="532"/>
      <c r="D1209" s="238"/>
      <c r="E1209" s="237"/>
      <c r="F1209" s="304"/>
      <c r="G1209" s="253"/>
      <c r="H1209" s="244"/>
      <c r="I1209" s="240"/>
      <c r="J1209" s="240"/>
      <c r="K1209" s="237"/>
      <c r="L1209" s="306"/>
      <c r="M1209" s="289"/>
      <c r="N1209" s="245"/>
      <c r="O1209" s="289"/>
      <c r="P1209" s="245"/>
      <c r="Q1209" s="289"/>
      <c r="R1209" s="245"/>
      <c r="S1209" s="289"/>
      <c r="T1209" s="245"/>
      <c r="U1209" s="289"/>
      <c r="V1209" s="245"/>
      <c r="W1209" s="289"/>
      <c r="X1209" s="245"/>
      <c r="Y1209" s="289"/>
      <c r="Z1209" s="245"/>
    </row>
    <row r="1210" spans="1:26" ht="15" customHeight="1">
      <c r="A1210" s="250">
        <f>A1204+1</f>
        <v>209</v>
      </c>
      <c r="B1210" s="251"/>
      <c r="C1210" s="526" t="s">
        <v>1975</v>
      </c>
      <c r="D1210" s="526" t="s">
        <v>1976</v>
      </c>
      <c r="E1210" s="251"/>
      <c r="F1210" s="252"/>
      <c r="G1210" s="253"/>
      <c r="H1210" s="254"/>
      <c r="I1210" s="253"/>
      <c r="J1210" s="253"/>
      <c r="K1210" s="251"/>
      <c r="L1210" s="261"/>
      <c r="M1210" s="289"/>
      <c r="N1210" s="245"/>
      <c r="O1210" s="258"/>
      <c r="P1210" s="257"/>
      <c r="Q1210" s="258"/>
      <c r="R1210" s="257"/>
      <c r="S1210" s="258"/>
      <c r="T1210" s="257"/>
      <c r="U1210" s="258"/>
      <c r="V1210" s="257"/>
      <c r="W1210" s="258"/>
      <c r="X1210" s="257"/>
      <c r="Y1210" s="258"/>
      <c r="Z1210" s="257"/>
    </row>
    <row r="1211" spans="1:26" ht="15" customHeight="1">
      <c r="A1211" s="250"/>
      <c r="B1211" s="251"/>
      <c r="C1211" s="526"/>
      <c r="D1211" s="526" t="s">
        <v>1977</v>
      </c>
      <c r="E1211" s="251"/>
      <c r="F1211" s="252"/>
      <c r="G1211" s="253"/>
      <c r="H1211" s="254"/>
      <c r="I1211" s="253"/>
      <c r="J1211" s="253"/>
      <c r="K1211" s="251"/>
      <c r="L1211" s="261"/>
      <c r="M1211" s="289"/>
      <c r="N1211" s="245"/>
      <c r="O1211" s="258"/>
      <c r="P1211" s="257"/>
      <c r="Q1211" s="258"/>
      <c r="R1211" s="257"/>
      <c r="S1211" s="258"/>
      <c r="T1211" s="257"/>
      <c r="U1211" s="258"/>
      <c r="V1211" s="257"/>
      <c r="W1211" s="258"/>
      <c r="X1211" s="257"/>
      <c r="Y1211" s="258"/>
      <c r="Z1211" s="257"/>
    </row>
    <row r="1212" spans="1:26" ht="15" customHeight="1">
      <c r="A1212" s="250" t="s">
        <v>726</v>
      </c>
      <c r="B1212" s="251"/>
      <c r="C1212" s="647" t="s">
        <v>819</v>
      </c>
      <c r="D1212" s="292" t="s">
        <v>540</v>
      </c>
      <c r="E1212" s="251" t="s">
        <v>2475</v>
      </c>
      <c r="F1212" s="304">
        <f t="shared" ref="F1212:F1219" si="192">M1212+O1212+Q1212+S1212+U1212+W1212+Y1212</f>
        <v>0</v>
      </c>
      <c r="G1212" s="253">
        <f t="shared" si="162"/>
        <v>25.55</v>
      </c>
      <c r="H1212" s="254"/>
      <c r="I1212" s="253">
        <f t="shared" ref="I1212:I1219" si="193">N1212+P1212+R1212+T1212+V1212+X1212+Z1212</f>
        <v>0</v>
      </c>
      <c r="J1212" s="253"/>
      <c r="K1212" s="251" t="s">
        <v>2475</v>
      </c>
      <c r="L1212" s="255">
        <v>25.55</v>
      </c>
      <c r="M1212" s="289">
        <v>0</v>
      </c>
      <c r="N1212" s="245">
        <f t="shared" ref="N1212:N1219" si="194">INT($L1212*M1212*100+0.5)/100</f>
        <v>0</v>
      </c>
      <c r="O1212" s="258">
        <v>0</v>
      </c>
      <c r="P1212" s="257">
        <f t="shared" ref="P1212:P1219" si="195">INT($L1212*O1212*100+0.5)/100</f>
        <v>0</v>
      </c>
      <c r="Q1212" s="258">
        <v>0</v>
      </c>
      <c r="R1212" s="257">
        <f t="shared" ref="R1212:R1219" si="196">INT($L1212*Q1212*100+0.5)/100</f>
        <v>0</v>
      </c>
      <c r="S1212" s="258">
        <v>0</v>
      </c>
      <c r="T1212" s="257">
        <f t="shared" ref="T1212:T1219" si="197">INT($L1212*S1212*100+0.5)/100</f>
        <v>0</v>
      </c>
      <c r="U1212" s="258">
        <v>0</v>
      </c>
      <c r="V1212" s="257">
        <f t="shared" ref="V1212:V1219" si="198">INT($L1212*U1212*100+0.5)/100</f>
        <v>0</v>
      </c>
      <c r="W1212" s="258">
        <v>0</v>
      </c>
      <c r="X1212" s="257">
        <f t="shared" ref="X1212:X1219" si="199">INT($L1212*W1212*100+0.5)/100</f>
        <v>0</v>
      </c>
      <c r="Y1212" s="258">
        <v>0</v>
      </c>
      <c r="Z1212" s="257">
        <f t="shared" ref="Z1212:Z1219" si="200">INT($L1212*Y1212*100+0.5)/100</f>
        <v>0</v>
      </c>
    </row>
    <row r="1213" spans="1:26" ht="15" customHeight="1">
      <c r="A1213" s="250" t="s">
        <v>727</v>
      </c>
      <c r="B1213" s="251"/>
      <c r="C1213" s="647" t="s">
        <v>400</v>
      </c>
      <c r="D1213" s="292" t="s">
        <v>2174</v>
      </c>
      <c r="E1213" s="251" t="s">
        <v>2475</v>
      </c>
      <c r="F1213" s="304">
        <f t="shared" si="192"/>
        <v>0</v>
      </c>
      <c r="G1213" s="253">
        <f t="shared" si="162"/>
        <v>27.94</v>
      </c>
      <c r="H1213" s="254"/>
      <c r="I1213" s="253">
        <f t="shared" si="193"/>
        <v>0</v>
      </c>
      <c r="J1213" s="253"/>
      <c r="K1213" s="251" t="s">
        <v>2475</v>
      </c>
      <c r="L1213" s="255">
        <v>27.94</v>
      </c>
      <c r="M1213" s="289">
        <v>0</v>
      </c>
      <c r="N1213" s="245">
        <f t="shared" si="194"/>
        <v>0</v>
      </c>
      <c r="O1213" s="258">
        <v>0</v>
      </c>
      <c r="P1213" s="257">
        <f t="shared" si="195"/>
        <v>0</v>
      </c>
      <c r="Q1213" s="258">
        <v>0</v>
      </c>
      <c r="R1213" s="257">
        <f t="shared" si="196"/>
        <v>0</v>
      </c>
      <c r="S1213" s="258">
        <v>0</v>
      </c>
      <c r="T1213" s="257">
        <f t="shared" si="197"/>
        <v>0</v>
      </c>
      <c r="U1213" s="258">
        <v>0</v>
      </c>
      <c r="V1213" s="257">
        <f t="shared" si="198"/>
        <v>0</v>
      </c>
      <c r="W1213" s="258">
        <v>0</v>
      </c>
      <c r="X1213" s="257">
        <f t="shared" si="199"/>
        <v>0</v>
      </c>
      <c r="Y1213" s="258">
        <v>0</v>
      </c>
      <c r="Z1213" s="257">
        <f t="shared" si="200"/>
        <v>0</v>
      </c>
    </row>
    <row r="1214" spans="1:26" ht="15" customHeight="1">
      <c r="A1214" s="250" t="s">
        <v>728</v>
      </c>
      <c r="B1214" s="251"/>
      <c r="C1214" s="647" t="s">
        <v>820</v>
      </c>
      <c r="D1214" s="292" t="s">
        <v>2175</v>
      </c>
      <c r="E1214" s="251" t="s">
        <v>2475</v>
      </c>
      <c r="F1214" s="304">
        <f t="shared" si="192"/>
        <v>537</v>
      </c>
      <c r="G1214" s="253">
        <f>L1214</f>
        <v>34.08</v>
      </c>
      <c r="H1214" s="254">
        <f>INT(F1214*G1214*100+0.5)/100</f>
        <v>18300.96</v>
      </c>
      <c r="I1214" s="253">
        <f t="shared" si="193"/>
        <v>18300.96</v>
      </c>
      <c r="J1214" s="253"/>
      <c r="K1214" s="251" t="s">
        <v>2475</v>
      </c>
      <c r="L1214" s="255">
        <v>34.08</v>
      </c>
      <c r="M1214" s="289">
        <v>0</v>
      </c>
      <c r="N1214" s="245">
        <f t="shared" si="194"/>
        <v>0</v>
      </c>
      <c r="O1214" s="258">
        <v>0</v>
      </c>
      <c r="P1214" s="257">
        <f t="shared" si="195"/>
        <v>0</v>
      </c>
      <c r="Q1214" s="258">
        <f>INT(((711/20+1)*0.6)*((4.5+1.5+1.5+3)+(1+1.5+1.5+3))*1.4)</f>
        <v>537</v>
      </c>
      <c r="R1214" s="257">
        <f t="shared" si="196"/>
        <v>18300.96</v>
      </c>
      <c r="S1214" s="258">
        <v>0</v>
      </c>
      <c r="T1214" s="257">
        <f t="shared" si="197"/>
        <v>0</v>
      </c>
      <c r="U1214" s="258">
        <v>0</v>
      </c>
      <c r="V1214" s="257">
        <f t="shared" si="198"/>
        <v>0</v>
      </c>
      <c r="W1214" s="258">
        <v>0</v>
      </c>
      <c r="X1214" s="257">
        <f t="shared" si="199"/>
        <v>0</v>
      </c>
      <c r="Y1214" s="258">
        <v>0</v>
      </c>
      <c r="Z1214" s="257">
        <f t="shared" si="200"/>
        <v>0</v>
      </c>
    </row>
    <row r="1215" spans="1:26" ht="15" customHeight="1">
      <c r="A1215" s="250" t="s">
        <v>733</v>
      </c>
      <c r="B1215" s="251"/>
      <c r="C1215" s="647" t="s">
        <v>844</v>
      </c>
      <c r="D1215" s="292" t="s">
        <v>2145</v>
      </c>
      <c r="E1215" s="251" t="s">
        <v>2475</v>
      </c>
      <c r="F1215" s="304">
        <f t="shared" si="192"/>
        <v>0</v>
      </c>
      <c r="G1215" s="253">
        <f t="shared" si="162"/>
        <v>44.34</v>
      </c>
      <c r="H1215" s="254"/>
      <c r="I1215" s="253">
        <f t="shared" si="193"/>
        <v>0</v>
      </c>
      <c r="J1215" s="253"/>
      <c r="K1215" s="251" t="s">
        <v>2475</v>
      </c>
      <c r="L1215" s="255">
        <v>44.34</v>
      </c>
      <c r="M1215" s="289">
        <v>0</v>
      </c>
      <c r="N1215" s="245">
        <f t="shared" si="194"/>
        <v>0</v>
      </c>
      <c r="O1215" s="258">
        <v>0</v>
      </c>
      <c r="P1215" s="257">
        <f t="shared" si="195"/>
        <v>0</v>
      </c>
      <c r="Q1215" s="258">
        <v>0</v>
      </c>
      <c r="R1215" s="257">
        <f t="shared" si="196"/>
        <v>0</v>
      </c>
      <c r="S1215" s="258">
        <v>0</v>
      </c>
      <c r="T1215" s="257">
        <f t="shared" si="197"/>
        <v>0</v>
      </c>
      <c r="U1215" s="258">
        <v>0</v>
      </c>
      <c r="V1215" s="257">
        <f t="shared" si="198"/>
        <v>0</v>
      </c>
      <c r="W1215" s="258">
        <v>0</v>
      </c>
      <c r="X1215" s="257">
        <f t="shared" si="199"/>
        <v>0</v>
      </c>
      <c r="Y1215" s="258">
        <v>0</v>
      </c>
      <c r="Z1215" s="257">
        <f t="shared" si="200"/>
        <v>0</v>
      </c>
    </row>
    <row r="1216" spans="1:26" ht="15" customHeight="1">
      <c r="A1216" s="250" t="s">
        <v>734</v>
      </c>
      <c r="B1216" s="251"/>
      <c r="C1216" s="647" t="s">
        <v>845</v>
      </c>
      <c r="D1216" s="292" t="s">
        <v>2146</v>
      </c>
      <c r="E1216" s="251" t="s">
        <v>2475</v>
      </c>
      <c r="F1216" s="304">
        <f t="shared" si="192"/>
        <v>0</v>
      </c>
      <c r="G1216" s="253">
        <f t="shared" si="162"/>
        <v>62.2</v>
      </c>
      <c r="H1216" s="254"/>
      <c r="I1216" s="253">
        <f t="shared" si="193"/>
        <v>0</v>
      </c>
      <c r="J1216" s="253"/>
      <c r="K1216" s="251" t="s">
        <v>2475</v>
      </c>
      <c r="L1216" s="255">
        <v>62.2</v>
      </c>
      <c r="M1216" s="289">
        <v>0</v>
      </c>
      <c r="N1216" s="245">
        <f t="shared" si="194"/>
        <v>0</v>
      </c>
      <c r="O1216" s="258">
        <v>0</v>
      </c>
      <c r="P1216" s="257">
        <f t="shared" si="195"/>
        <v>0</v>
      </c>
      <c r="Q1216" s="258">
        <v>0</v>
      </c>
      <c r="R1216" s="257">
        <f t="shared" si="196"/>
        <v>0</v>
      </c>
      <c r="S1216" s="258">
        <v>0</v>
      </c>
      <c r="T1216" s="257">
        <f t="shared" si="197"/>
        <v>0</v>
      </c>
      <c r="U1216" s="258">
        <v>0</v>
      </c>
      <c r="V1216" s="257">
        <f t="shared" si="198"/>
        <v>0</v>
      </c>
      <c r="W1216" s="258">
        <v>0</v>
      </c>
      <c r="X1216" s="257">
        <f t="shared" si="199"/>
        <v>0</v>
      </c>
      <c r="Y1216" s="258">
        <v>0</v>
      </c>
      <c r="Z1216" s="257">
        <f t="shared" si="200"/>
        <v>0</v>
      </c>
    </row>
    <row r="1217" spans="1:26" ht="15" customHeight="1">
      <c r="A1217" s="250" t="s">
        <v>735</v>
      </c>
      <c r="B1217" s="251"/>
      <c r="C1217" s="647" t="s">
        <v>821</v>
      </c>
      <c r="D1217" s="292" t="s">
        <v>2147</v>
      </c>
      <c r="E1217" s="251" t="s">
        <v>2475</v>
      </c>
      <c r="F1217" s="304">
        <f t="shared" si="192"/>
        <v>50</v>
      </c>
      <c r="G1217" s="253">
        <f t="shared" si="162"/>
        <v>83.75</v>
      </c>
      <c r="H1217" s="254">
        <f>INT(F1217*G1217*100+0.5)/100</f>
        <v>4187.5</v>
      </c>
      <c r="I1217" s="253">
        <f t="shared" si="193"/>
        <v>4187.5</v>
      </c>
      <c r="J1217" s="253"/>
      <c r="K1217" s="251" t="s">
        <v>2475</v>
      </c>
      <c r="L1217" s="255">
        <v>83.75</v>
      </c>
      <c r="M1217" s="289">
        <v>0</v>
      </c>
      <c r="N1217" s="245">
        <f t="shared" si="194"/>
        <v>0</v>
      </c>
      <c r="O1217" s="258">
        <v>0</v>
      </c>
      <c r="P1217" s="257">
        <f t="shared" si="195"/>
        <v>0</v>
      </c>
      <c r="Q1217" s="258">
        <v>50</v>
      </c>
      <c r="R1217" s="257">
        <f t="shared" si="196"/>
        <v>4187.5</v>
      </c>
      <c r="S1217" s="258">
        <v>0</v>
      </c>
      <c r="T1217" s="257">
        <f t="shared" si="197"/>
        <v>0</v>
      </c>
      <c r="U1217" s="258">
        <v>0</v>
      </c>
      <c r="V1217" s="257">
        <f t="shared" si="198"/>
        <v>0</v>
      </c>
      <c r="W1217" s="258">
        <v>0</v>
      </c>
      <c r="X1217" s="257">
        <f t="shared" si="199"/>
        <v>0</v>
      </c>
      <c r="Y1217" s="258">
        <v>0</v>
      </c>
      <c r="Z1217" s="257">
        <f t="shared" si="200"/>
        <v>0</v>
      </c>
    </row>
    <row r="1218" spans="1:26" ht="15" customHeight="1">
      <c r="A1218" s="250" t="s">
        <v>736</v>
      </c>
      <c r="B1218" s="251"/>
      <c r="C1218" s="647" t="s">
        <v>822</v>
      </c>
      <c r="D1218" s="292" t="s">
        <v>937</v>
      </c>
      <c r="E1218" s="251" t="s">
        <v>2475</v>
      </c>
      <c r="F1218" s="304">
        <f t="shared" si="192"/>
        <v>0</v>
      </c>
      <c r="G1218" s="253">
        <f>L1218</f>
        <v>131.97999999999999</v>
      </c>
      <c r="H1218" s="254">
        <f>INT(F1218*G1218*100+0.5)/100</f>
        <v>0</v>
      </c>
      <c r="I1218" s="253">
        <f t="shared" si="193"/>
        <v>0</v>
      </c>
      <c r="J1218" s="253"/>
      <c r="K1218" s="251" t="s">
        <v>2475</v>
      </c>
      <c r="L1218" s="255">
        <v>131.97999999999999</v>
      </c>
      <c r="M1218" s="289">
        <v>0</v>
      </c>
      <c r="N1218" s="245">
        <f t="shared" si="194"/>
        <v>0</v>
      </c>
      <c r="O1218" s="258">
        <v>0</v>
      </c>
      <c r="P1218" s="257">
        <f t="shared" si="195"/>
        <v>0</v>
      </c>
      <c r="Q1218" s="258">
        <v>0</v>
      </c>
      <c r="R1218" s="257">
        <f t="shared" si="196"/>
        <v>0</v>
      </c>
      <c r="S1218" s="258">
        <v>0</v>
      </c>
      <c r="T1218" s="257">
        <f t="shared" si="197"/>
        <v>0</v>
      </c>
      <c r="U1218" s="258">
        <v>0</v>
      </c>
      <c r="V1218" s="257">
        <f t="shared" si="198"/>
        <v>0</v>
      </c>
      <c r="W1218" s="258">
        <v>0</v>
      </c>
      <c r="X1218" s="257">
        <f t="shared" si="199"/>
        <v>0</v>
      </c>
      <c r="Y1218" s="258">
        <v>0</v>
      </c>
      <c r="Z1218" s="257">
        <f t="shared" si="200"/>
        <v>0</v>
      </c>
    </row>
    <row r="1219" spans="1:26" ht="15" customHeight="1">
      <c r="A1219" s="250" t="s">
        <v>654</v>
      </c>
      <c r="B1219" s="251"/>
      <c r="C1219" s="647" t="s">
        <v>823</v>
      </c>
      <c r="D1219" s="292" t="s">
        <v>938</v>
      </c>
      <c r="E1219" s="251" t="s">
        <v>2475</v>
      </c>
      <c r="F1219" s="304">
        <f t="shared" si="192"/>
        <v>405</v>
      </c>
      <c r="G1219" s="253">
        <f>L1219</f>
        <v>193.02</v>
      </c>
      <c r="H1219" s="254">
        <f>INT(F1219*G1219*100+0.5)/100</f>
        <v>78173.100000000006</v>
      </c>
      <c r="I1219" s="253">
        <f t="shared" si="193"/>
        <v>78173.100000000006</v>
      </c>
      <c r="J1219" s="253"/>
      <c r="K1219" s="251" t="s">
        <v>2475</v>
      </c>
      <c r="L1219" s="255">
        <v>193.02</v>
      </c>
      <c r="M1219" s="289">
        <v>0</v>
      </c>
      <c r="N1219" s="245">
        <f t="shared" si="194"/>
        <v>0</v>
      </c>
      <c r="O1219" s="258">
        <v>0</v>
      </c>
      <c r="P1219" s="257">
        <f t="shared" si="195"/>
        <v>0</v>
      </c>
      <c r="Q1219" s="258">
        <f>145+250+10</f>
        <v>405</v>
      </c>
      <c r="R1219" s="257">
        <f t="shared" si="196"/>
        <v>78173.100000000006</v>
      </c>
      <c r="S1219" s="258">
        <v>0</v>
      </c>
      <c r="T1219" s="257">
        <f t="shared" si="197"/>
        <v>0</v>
      </c>
      <c r="U1219" s="258">
        <v>0</v>
      </c>
      <c r="V1219" s="257">
        <f t="shared" si="198"/>
        <v>0</v>
      </c>
      <c r="W1219" s="258">
        <v>0</v>
      </c>
      <c r="X1219" s="257">
        <f t="shared" si="199"/>
        <v>0</v>
      </c>
      <c r="Y1219" s="258">
        <v>0</v>
      </c>
      <c r="Z1219" s="257">
        <f t="shared" si="200"/>
        <v>0</v>
      </c>
    </row>
    <row r="1220" spans="1:26" ht="15" customHeight="1">
      <c r="A1220" s="250"/>
      <c r="B1220" s="251"/>
      <c r="C1220" s="526"/>
      <c r="D1220" s="292"/>
      <c r="E1220" s="251"/>
      <c r="F1220" s="252"/>
      <c r="G1220" s="253"/>
      <c r="H1220" s="254"/>
      <c r="I1220" s="253"/>
      <c r="J1220" s="253"/>
      <c r="K1220" s="251"/>
      <c r="L1220" s="261"/>
      <c r="M1220" s="289"/>
      <c r="N1220" s="245"/>
      <c r="O1220" s="258"/>
      <c r="P1220" s="257"/>
      <c r="Q1220" s="258"/>
      <c r="R1220" s="257"/>
      <c r="S1220" s="258"/>
      <c r="T1220" s="257"/>
      <c r="U1220" s="258"/>
      <c r="V1220" s="257"/>
      <c r="W1220" s="258"/>
      <c r="X1220" s="257"/>
      <c r="Y1220" s="258"/>
      <c r="Z1220" s="257"/>
    </row>
    <row r="1221" spans="1:26" ht="15" customHeight="1">
      <c r="A1221" s="250">
        <f>A1210+1</f>
        <v>210</v>
      </c>
      <c r="B1221" s="251"/>
      <c r="C1221" s="526" t="s">
        <v>403</v>
      </c>
      <c r="D1221" s="526" t="s">
        <v>401</v>
      </c>
      <c r="E1221" s="251"/>
      <c r="F1221" s="252"/>
      <c r="G1221" s="253"/>
      <c r="H1221" s="254"/>
      <c r="I1221" s="253"/>
      <c r="J1221" s="253"/>
      <c r="K1221" s="251"/>
      <c r="L1221" s="261"/>
      <c r="M1221" s="289"/>
      <c r="N1221" s="245"/>
      <c r="O1221" s="258"/>
      <c r="P1221" s="257"/>
      <c r="Q1221" s="258"/>
      <c r="R1221" s="257"/>
      <c r="S1221" s="258"/>
      <c r="T1221" s="257"/>
      <c r="U1221" s="258"/>
      <c r="V1221" s="257"/>
      <c r="W1221" s="258"/>
      <c r="X1221" s="257"/>
      <c r="Y1221" s="258"/>
      <c r="Z1221" s="257"/>
    </row>
    <row r="1222" spans="1:26" ht="15" customHeight="1">
      <c r="A1222" s="250"/>
      <c r="B1222" s="251"/>
      <c r="C1222" s="526"/>
      <c r="D1222" s="526" t="s">
        <v>402</v>
      </c>
      <c r="E1222" s="251"/>
      <c r="F1222" s="252"/>
      <c r="G1222" s="253"/>
      <c r="H1222" s="254"/>
      <c r="I1222" s="253"/>
      <c r="J1222" s="253"/>
      <c r="K1222" s="251"/>
      <c r="L1222" s="261"/>
      <c r="M1222" s="289"/>
      <c r="N1222" s="245"/>
      <c r="O1222" s="258"/>
      <c r="P1222" s="257"/>
      <c r="Q1222" s="258"/>
      <c r="R1222" s="257"/>
      <c r="S1222" s="258"/>
      <c r="T1222" s="257"/>
      <c r="U1222" s="258"/>
      <c r="V1222" s="257"/>
      <c r="W1222" s="258"/>
      <c r="X1222" s="257"/>
      <c r="Y1222" s="258"/>
      <c r="Z1222" s="257"/>
    </row>
    <row r="1223" spans="1:26" ht="15" customHeight="1">
      <c r="A1223" s="250" t="s">
        <v>726</v>
      </c>
      <c r="B1223" s="251"/>
      <c r="C1223" s="526" t="s">
        <v>404</v>
      </c>
      <c r="D1223" s="292" t="s">
        <v>2175</v>
      </c>
      <c r="E1223" s="251" t="s">
        <v>2475</v>
      </c>
      <c r="F1223" s="304">
        <f>M1223+O1223+Q1223+S1223+U1223+W1223+Y1223</f>
        <v>0</v>
      </c>
      <c r="G1223" s="253">
        <f t="shared" si="162"/>
        <v>33.78</v>
      </c>
      <c r="H1223" s="254">
        <f>INT(F1223*G1223*100+0.5)/100</f>
        <v>0</v>
      </c>
      <c r="I1223" s="253">
        <f>N1223+P1223+R1223+T1223+V1223+X1223+Z1223</f>
        <v>0</v>
      </c>
      <c r="J1223" s="253"/>
      <c r="K1223" s="251" t="s">
        <v>2475</v>
      </c>
      <c r="L1223" s="663">
        <v>33.78</v>
      </c>
      <c r="M1223" s="289">
        <v>0</v>
      </c>
      <c r="N1223" s="245">
        <f>INT($L1223*M1223*100+0.5)/100</f>
        <v>0</v>
      </c>
      <c r="O1223" s="258">
        <v>0</v>
      </c>
      <c r="P1223" s="257">
        <f>INT($L1223*O1223*100+0.5)/100</f>
        <v>0</v>
      </c>
      <c r="Q1223" s="258">
        <v>0</v>
      </c>
      <c r="R1223" s="257">
        <f>INT($L1223*Q1223*100+0.5)/100</f>
        <v>0</v>
      </c>
      <c r="S1223" s="258">
        <v>0</v>
      </c>
      <c r="T1223" s="257">
        <f>INT($L1223*S1223*100+0.5)/100</f>
        <v>0</v>
      </c>
      <c r="U1223" s="258">
        <v>0</v>
      </c>
      <c r="V1223" s="257">
        <f>INT($L1223*U1223*100+0.5)/100</f>
        <v>0</v>
      </c>
      <c r="W1223" s="258">
        <v>0</v>
      </c>
      <c r="X1223" s="257">
        <f>INT($L1223*W1223*100+0.5)/100</f>
        <v>0</v>
      </c>
      <c r="Y1223" s="258">
        <v>0</v>
      </c>
      <c r="Z1223" s="257">
        <f>INT($L1223*Y1223*100+0.5)/100</f>
        <v>0</v>
      </c>
    </row>
    <row r="1224" spans="1:26" ht="15" customHeight="1">
      <c r="A1224" s="250" t="s">
        <v>727</v>
      </c>
      <c r="B1224" s="251"/>
      <c r="C1224" s="526" t="s">
        <v>405</v>
      </c>
      <c r="D1224" s="292" t="s">
        <v>2145</v>
      </c>
      <c r="E1224" s="251" t="s">
        <v>2475</v>
      </c>
      <c r="F1224" s="304">
        <f>M1224+O1224+Q1224+S1224+U1224+W1224+Y1224</f>
        <v>0</v>
      </c>
      <c r="G1224" s="253">
        <f t="shared" si="162"/>
        <v>56.16</v>
      </c>
      <c r="H1224" s="254">
        <f>INT(F1224*G1224*100+0.5)/100</f>
        <v>0</v>
      </c>
      <c r="I1224" s="253">
        <f>N1224+P1224+R1224+T1224+V1224+X1224+Z1224</f>
        <v>0</v>
      </c>
      <c r="J1224" s="253"/>
      <c r="K1224" s="251" t="s">
        <v>2475</v>
      </c>
      <c r="L1224" s="663">
        <v>56.16</v>
      </c>
      <c r="M1224" s="289">
        <v>0</v>
      </c>
      <c r="N1224" s="245">
        <f>INT($L1224*M1224*100+0.5)/100</f>
        <v>0</v>
      </c>
      <c r="O1224" s="258">
        <v>0</v>
      </c>
      <c r="P1224" s="257">
        <f>INT($L1224*O1224*100+0.5)/100</f>
        <v>0</v>
      </c>
      <c r="Q1224" s="258">
        <v>0</v>
      </c>
      <c r="R1224" s="257">
        <f>INT($L1224*Q1224*100+0.5)/100</f>
        <v>0</v>
      </c>
      <c r="S1224" s="258">
        <v>0</v>
      </c>
      <c r="T1224" s="257">
        <f>INT($L1224*S1224*100+0.5)/100</f>
        <v>0</v>
      </c>
      <c r="U1224" s="258">
        <v>0</v>
      </c>
      <c r="V1224" s="257">
        <f>INT($L1224*U1224*100+0.5)/100</f>
        <v>0</v>
      </c>
      <c r="W1224" s="258">
        <v>0</v>
      </c>
      <c r="X1224" s="257">
        <f>INT($L1224*W1224*100+0.5)/100</f>
        <v>0</v>
      </c>
      <c r="Y1224" s="258">
        <v>0</v>
      </c>
      <c r="Z1224" s="257">
        <f>INT($L1224*Y1224*100+0.5)/100</f>
        <v>0</v>
      </c>
    </row>
    <row r="1225" spans="1:26" ht="15" customHeight="1">
      <c r="A1225" s="250" t="s">
        <v>728</v>
      </c>
      <c r="B1225" s="251"/>
      <c r="C1225" s="526" t="s">
        <v>406</v>
      </c>
      <c r="D1225" s="292" t="s">
        <v>2146</v>
      </c>
      <c r="E1225" s="251" t="s">
        <v>2475</v>
      </c>
      <c r="F1225" s="304">
        <f>M1225+O1225+Q1225+S1225+U1225+W1225+Y1225</f>
        <v>0</v>
      </c>
      <c r="G1225" s="253">
        <f t="shared" si="162"/>
        <v>70.48</v>
      </c>
      <c r="H1225" s="254">
        <f>INT(F1225*G1225*100+0.5)/100</f>
        <v>0</v>
      </c>
      <c r="I1225" s="253">
        <f>N1225+P1225+R1225+T1225+V1225+X1225+Z1225</f>
        <v>0</v>
      </c>
      <c r="J1225" s="253"/>
      <c r="K1225" s="251" t="s">
        <v>2475</v>
      </c>
      <c r="L1225" s="663">
        <v>70.48</v>
      </c>
      <c r="M1225" s="289">
        <v>0</v>
      </c>
      <c r="N1225" s="245">
        <f>INT($L1225*M1225*100+0.5)/100</f>
        <v>0</v>
      </c>
      <c r="O1225" s="258">
        <v>0</v>
      </c>
      <c r="P1225" s="257">
        <f>INT($L1225*O1225*100+0.5)/100</f>
        <v>0</v>
      </c>
      <c r="Q1225" s="258">
        <v>0</v>
      </c>
      <c r="R1225" s="257">
        <f>INT($L1225*Q1225*100+0.5)/100</f>
        <v>0</v>
      </c>
      <c r="S1225" s="258">
        <v>0</v>
      </c>
      <c r="T1225" s="257">
        <f>INT($L1225*S1225*100+0.5)/100</f>
        <v>0</v>
      </c>
      <c r="U1225" s="258">
        <v>0</v>
      </c>
      <c r="V1225" s="257">
        <f>INT($L1225*U1225*100+0.5)/100</f>
        <v>0</v>
      </c>
      <c r="W1225" s="258">
        <v>0</v>
      </c>
      <c r="X1225" s="257">
        <f>INT($L1225*W1225*100+0.5)/100</f>
        <v>0</v>
      </c>
      <c r="Y1225" s="258">
        <v>0</v>
      </c>
      <c r="Z1225" s="257">
        <f>INT($L1225*Y1225*100+0.5)/100</f>
        <v>0</v>
      </c>
    </row>
    <row r="1226" spans="1:26" ht="15" customHeight="1">
      <c r="A1226" s="250" t="s">
        <v>732</v>
      </c>
      <c r="B1226" s="251"/>
      <c r="C1226" s="526" t="s">
        <v>407</v>
      </c>
      <c r="D1226" s="292" t="s">
        <v>2147</v>
      </c>
      <c r="E1226" s="251" t="s">
        <v>2475</v>
      </c>
      <c r="F1226" s="304">
        <f>M1226+O1226+Q1226+S1226+U1226+W1226+Y1226</f>
        <v>0</v>
      </c>
      <c r="G1226" s="253">
        <f t="shared" si="162"/>
        <v>96.22</v>
      </c>
      <c r="H1226" s="254">
        <f>INT(F1226*G1226*100+0.5)/100</f>
        <v>0</v>
      </c>
      <c r="I1226" s="253">
        <f>N1226+P1226+R1226+T1226+V1226+X1226+Z1226</f>
        <v>0</v>
      </c>
      <c r="J1226" s="253"/>
      <c r="K1226" s="251" t="s">
        <v>2475</v>
      </c>
      <c r="L1226" s="663">
        <v>96.22</v>
      </c>
      <c r="M1226" s="289">
        <v>0</v>
      </c>
      <c r="N1226" s="245">
        <f>INT($L1226*M1226*100+0.5)/100</f>
        <v>0</v>
      </c>
      <c r="O1226" s="258">
        <v>0</v>
      </c>
      <c r="P1226" s="257">
        <f>INT($L1226*O1226*100+0.5)/100</f>
        <v>0</v>
      </c>
      <c r="Q1226" s="258">
        <v>0</v>
      </c>
      <c r="R1226" s="257">
        <f>INT($L1226*Q1226*100+0.5)/100</f>
        <v>0</v>
      </c>
      <c r="S1226" s="258">
        <v>0</v>
      </c>
      <c r="T1226" s="257">
        <f>INT($L1226*S1226*100+0.5)/100</f>
        <v>0</v>
      </c>
      <c r="U1226" s="258">
        <v>0</v>
      </c>
      <c r="V1226" s="257">
        <f>INT($L1226*U1226*100+0.5)/100</f>
        <v>0</v>
      </c>
      <c r="W1226" s="258">
        <v>0</v>
      </c>
      <c r="X1226" s="257">
        <f>INT($L1226*W1226*100+0.5)/100</f>
        <v>0</v>
      </c>
      <c r="Y1226" s="258">
        <v>0</v>
      </c>
      <c r="Z1226" s="257">
        <f>INT($L1226*Y1226*100+0.5)/100</f>
        <v>0</v>
      </c>
    </row>
    <row r="1227" spans="1:26" ht="15" customHeight="1">
      <c r="A1227" s="250"/>
      <c r="B1227" s="251"/>
      <c r="C1227" s="526"/>
      <c r="D1227" s="292"/>
      <c r="E1227" s="251"/>
      <c r="F1227" s="252"/>
      <c r="G1227" s="253"/>
      <c r="H1227" s="254"/>
      <c r="I1227" s="253"/>
      <c r="J1227" s="253"/>
      <c r="K1227" s="251"/>
      <c r="L1227" s="261"/>
      <c r="M1227" s="289"/>
      <c r="N1227" s="245"/>
      <c r="O1227" s="258"/>
      <c r="P1227" s="257"/>
      <c r="Q1227" s="258"/>
      <c r="R1227" s="257"/>
      <c r="S1227" s="258"/>
      <c r="T1227" s="257"/>
      <c r="U1227" s="258"/>
      <c r="V1227" s="257"/>
      <c r="W1227" s="258"/>
      <c r="X1227" s="257"/>
      <c r="Y1227" s="258"/>
      <c r="Z1227" s="257"/>
    </row>
    <row r="1228" spans="1:26" ht="15" customHeight="1">
      <c r="A1228" s="250">
        <f>A1221+1</f>
        <v>211</v>
      </c>
      <c r="B1228" s="251"/>
      <c r="C1228" s="526" t="s">
        <v>409</v>
      </c>
      <c r="D1228" s="526" t="s">
        <v>410</v>
      </c>
      <c r="E1228" s="251"/>
      <c r="F1228" s="252"/>
      <c r="G1228" s="253"/>
      <c r="H1228" s="254"/>
      <c r="I1228" s="253"/>
      <c r="J1228" s="253"/>
      <c r="K1228" s="251"/>
      <c r="L1228" s="261"/>
      <c r="M1228" s="289"/>
      <c r="N1228" s="245"/>
      <c r="O1228" s="258"/>
      <c r="P1228" s="257"/>
      <c r="Q1228" s="258"/>
      <c r="R1228" s="257"/>
      <c r="S1228" s="258"/>
      <c r="T1228" s="257"/>
      <c r="U1228" s="258"/>
      <c r="V1228" s="257"/>
      <c r="W1228" s="258"/>
      <c r="X1228" s="257"/>
      <c r="Y1228" s="258"/>
      <c r="Z1228" s="257"/>
    </row>
    <row r="1229" spans="1:26" ht="15" customHeight="1">
      <c r="A1229" s="250"/>
      <c r="B1229" s="251"/>
      <c r="C1229" s="526"/>
      <c r="D1229" s="526" t="s">
        <v>411</v>
      </c>
      <c r="E1229" s="251"/>
      <c r="F1229" s="252"/>
      <c r="G1229" s="253"/>
      <c r="H1229" s="254"/>
      <c r="I1229" s="253"/>
      <c r="J1229" s="253"/>
      <c r="K1229" s="251"/>
      <c r="L1229" s="261"/>
      <c r="M1229" s="289"/>
      <c r="N1229" s="245"/>
      <c r="O1229" s="258"/>
      <c r="P1229" s="257"/>
      <c r="Q1229" s="258"/>
      <c r="R1229" s="327"/>
      <c r="S1229" s="258"/>
      <c r="T1229" s="257"/>
      <c r="U1229" s="258"/>
      <c r="V1229" s="257"/>
      <c r="W1229" s="258"/>
      <c r="X1229" s="257"/>
      <c r="Y1229" s="258"/>
      <c r="Z1229" s="257"/>
    </row>
    <row r="1230" spans="1:26" ht="15" customHeight="1">
      <c r="A1230" s="250" t="s">
        <v>726</v>
      </c>
      <c r="B1230" s="251"/>
      <c r="C1230" s="526" t="s">
        <v>412</v>
      </c>
      <c r="D1230" s="292" t="s">
        <v>418</v>
      </c>
      <c r="E1230" s="251" t="s">
        <v>2475</v>
      </c>
      <c r="F1230" s="304">
        <f t="shared" ref="F1230:F1235" si="201">M1230+O1230+Q1230+S1230+U1230+W1230+Y1230</f>
        <v>0</v>
      </c>
      <c r="G1230" s="253">
        <f t="shared" si="162"/>
        <v>61.96</v>
      </c>
      <c r="H1230" s="254">
        <f t="shared" ref="H1230:H1235" si="202">INT(F1230*G1230*100+0.5)/100</f>
        <v>0</v>
      </c>
      <c r="I1230" s="253">
        <f t="shared" ref="I1230:I1235" si="203">N1230+P1230+R1230+T1230+V1230+X1230+Z1230</f>
        <v>0</v>
      </c>
      <c r="J1230" s="253"/>
      <c r="K1230" s="251" t="s">
        <v>2475</v>
      </c>
      <c r="L1230" s="663">
        <v>61.96</v>
      </c>
      <c r="M1230" s="289">
        <v>0</v>
      </c>
      <c r="N1230" s="245">
        <f t="shared" ref="N1230:N1235" si="204">INT($L1230*M1230*100+0.5)/100</f>
        <v>0</v>
      </c>
      <c r="O1230" s="258">
        <v>0</v>
      </c>
      <c r="P1230" s="257">
        <f t="shared" ref="P1230:P1235" si="205">INT($L1230*O1230*100+0.5)/100</f>
        <v>0</v>
      </c>
      <c r="Q1230" s="258">
        <v>0</v>
      </c>
      <c r="R1230" s="257">
        <f t="shared" ref="R1230:R1235" si="206">INT($L1230*Q1230*100+0.5)/100</f>
        <v>0</v>
      </c>
      <c r="S1230" s="258">
        <v>0</v>
      </c>
      <c r="T1230" s="257">
        <f t="shared" ref="T1230:T1235" si="207">INT($L1230*S1230*100+0.5)/100</f>
        <v>0</v>
      </c>
      <c r="U1230" s="258">
        <v>0</v>
      </c>
      <c r="V1230" s="257">
        <f t="shared" ref="V1230:V1235" si="208">INT($L1230*U1230*100+0.5)/100</f>
        <v>0</v>
      </c>
      <c r="W1230" s="258">
        <v>0</v>
      </c>
      <c r="X1230" s="257">
        <f t="shared" ref="X1230:X1235" si="209">INT($L1230*W1230*100+0.5)/100</f>
        <v>0</v>
      </c>
      <c r="Y1230" s="258">
        <v>0</v>
      </c>
      <c r="Z1230" s="257">
        <f t="shared" ref="Z1230:Z1235" si="210">INT($L1230*Y1230*100+0.5)/100</f>
        <v>0</v>
      </c>
    </row>
    <row r="1231" spans="1:26" ht="15" customHeight="1">
      <c r="A1231" s="250" t="s">
        <v>727</v>
      </c>
      <c r="B1231" s="251"/>
      <c r="C1231" s="526" t="s">
        <v>413</v>
      </c>
      <c r="D1231" s="292" t="s">
        <v>419</v>
      </c>
      <c r="E1231" s="251" t="s">
        <v>2475</v>
      </c>
      <c r="F1231" s="304">
        <f t="shared" si="201"/>
        <v>0</v>
      </c>
      <c r="G1231" s="253">
        <f t="shared" si="162"/>
        <v>76.39</v>
      </c>
      <c r="H1231" s="254">
        <f t="shared" si="202"/>
        <v>0</v>
      </c>
      <c r="I1231" s="253">
        <f t="shared" si="203"/>
        <v>0</v>
      </c>
      <c r="J1231" s="253"/>
      <c r="K1231" s="251" t="s">
        <v>2475</v>
      </c>
      <c r="L1231" s="663">
        <v>76.39</v>
      </c>
      <c r="M1231" s="289">
        <v>0</v>
      </c>
      <c r="N1231" s="245">
        <f t="shared" si="204"/>
        <v>0</v>
      </c>
      <c r="O1231" s="258">
        <v>0</v>
      </c>
      <c r="P1231" s="257">
        <f t="shared" si="205"/>
        <v>0</v>
      </c>
      <c r="Q1231" s="258">
        <v>0</v>
      </c>
      <c r="R1231" s="257">
        <f t="shared" si="206"/>
        <v>0</v>
      </c>
      <c r="S1231" s="258">
        <v>0</v>
      </c>
      <c r="T1231" s="257">
        <f t="shared" si="207"/>
        <v>0</v>
      </c>
      <c r="U1231" s="258">
        <v>0</v>
      </c>
      <c r="V1231" s="257">
        <f t="shared" si="208"/>
        <v>0</v>
      </c>
      <c r="W1231" s="258">
        <v>0</v>
      </c>
      <c r="X1231" s="257">
        <f t="shared" si="209"/>
        <v>0</v>
      </c>
      <c r="Y1231" s="258">
        <v>0</v>
      </c>
      <c r="Z1231" s="257">
        <f t="shared" si="210"/>
        <v>0</v>
      </c>
    </row>
    <row r="1232" spans="1:26" ht="15" customHeight="1">
      <c r="A1232" s="250" t="s">
        <v>728</v>
      </c>
      <c r="B1232" s="251"/>
      <c r="C1232" s="526" t="s">
        <v>414</v>
      </c>
      <c r="D1232" s="292" t="s">
        <v>420</v>
      </c>
      <c r="E1232" s="251" t="s">
        <v>2475</v>
      </c>
      <c r="F1232" s="304">
        <f t="shared" si="201"/>
        <v>0</v>
      </c>
      <c r="G1232" s="253">
        <f t="shared" si="162"/>
        <v>90.8</v>
      </c>
      <c r="H1232" s="254">
        <f t="shared" si="202"/>
        <v>0</v>
      </c>
      <c r="I1232" s="253">
        <f t="shared" si="203"/>
        <v>0</v>
      </c>
      <c r="J1232" s="253"/>
      <c r="K1232" s="251" t="s">
        <v>2475</v>
      </c>
      <c r="L1232" s="663">
        <v>90.8</v>
      </c>
      <c r="M1232" s="289">
        <v>0</v>
      </c>
      <c r="N1232" s="245">
        <f t="shared" si="204"/>
        <v>0</v>
      </c>
      <c r="O1232" s="258">
        <v>0</v>
      </c>
      <c r="P1232" s="257">
        <f t="shared" si="205"/>
        <v>0</v>
      </c>
      <c r="Q1232" s="258">
        <v>0</v>
      </c>
      <c r="R1232" s="257">
        <f t="shared" si="206"/>
        <v>0</v>
      </c>
      <c r="S1232" s="258">
        <v>0</v>
      </c>
      <c r="T1232" s="257">
        <f t="shared" si="207"/>
        <v>0</v>
      </c>
      <c r="U1232" s="258">
        <v>0</v>
      </c>
      <c r="V1232" s="257">
        <f t="shared" si="208"/>
        <v>0</v>
      </c>
      <c r="W1232" s="258">
        <v>0</v>
      </c>
      <c r="X1232" s="257">
        <f t="shared" si="209"/>
        <v>0</v>
      </c>
      <c r="Y1232" s="258">
        <v>0</v>
      </c>
      <c r="Z1232" s="257">
        <f t="shared" si="210"/>
        <v>0</v>
      </c>
    </row>
    <row r="1233" spans="1:26" ht="15" customHeight="1">
      <c r="A1233" s="250" t="s">
        <v>733</v>
      </c>
      <c r="B1233" s="251"/>
      <c r="C1233" s="526" t="s">
        <v>415</v>
      </c>
      <c r="D1233" s="292" t="s">
        <v>421</v>
      </c>
      <c r="E1233" s="251" t="s">
        <v>2475</v>
      </c>
      <c r="F1233" s="304">
        <f t="shared" si="201"/>
        <v>0</v>
      </c>
      <c r="G1233" s="253">
        <f>L1233</f>
        <v>120.34</v>
      </c>
      <c r="H1233" s="254">
        <f t="shared" si="202"/>
        <v>0</v>
      </c>
      <c r="I1233" s="253">
        <f t="shared" si="203"/>
        <v>0</v>
      </c>
      <c r="J1233" s="253"/>
      <c r="K1233" s="251" t="s">
        <v>2475</v>
      </c>
      <c r="L1233" s="663">
        <v>120.34</v>
      </c>
      <c r="M1233" s="289">
        <v>0</v>
      </c>
      <c r="N1233" s="245">
        <f t="shared" si="204"/>
        <v>0</v>
      </c>
      <c r="O1233" s="258">
        <v>0</v>
      </c>
      <c r="P1233" s="257">
        <f t="shared" si="205"/>
        <v>0</v>
      </c>
      <c r="Q1233" s="258">
        <v>0</v>
      </c>
      <c r="R1233" s="257">
        <f t="shared" si="206"/>
        <v>0</v>
      </c>
      <c r="S1233" s="258">
        <v>0</v>
      </c>
      <c r="T1233" s="257">
        <f t="shared" si="207"/>
        <v>0</v>
      </c>
      <c r="U1233" s="258">
        <v>0</v>
      </c>
      <c r="V1233" s="257">
        <f t="shared" si="208"/>
        <v>0</v>
      </c>
      <c r="W1233" s="258">
        <v>0</v>
      </c>
      <c r="X1233" s="257">
        <f t="shared" si="209"/>
        <v>0</v>
      </c>
      <c r="Y1233" s="258">
        <v>0</v>
      </c>
      <c r="Z1233" s="257">
        <f t="shared" si="210"/>
        <v>0</v>
      </c>
    </row>
    <row r="1234" spans="1:26" ht="15" customHeight="1">
      <c r="A1234" s="250" t="s">
        <v>734</v>
      </c>
      <c r="B1234" s="251"/>
      <c r="C1234" s="526" t="s">
        <v>416</v>
      </c>
      <c r="D1234" s="292" t="s">
        <v>422</v>
      </c>
      <c r="E1234" s="251" t="s">
        <v>2475</v>
      </c>
      <c r="F1234" s="304">
        <f t="shared" si="201"/>
        <v>0</v>
      </c>
      <c r="G1234" s="253">
        <f>L1234</f>
        <v>143.55000000000001</v>
      </c>
      <c r="H1234" s="254">
        <f t="shared" si="202"/>
        <v>0</v>
      </c>
      <c r="I1234" s="253">
        <f t="shared" si="203"/>
        <v>0</v>
      </c>
      <c r="J1234" s="253"/>
      <c r="K1234" s="251" t="s">
        <v>2475</v>
      </c>
      <c r="L1234" s="663">
        <v>143.55000000000001</v>
      </c>
      <c r="M1234" s="289">
        <v>0</v>
      </c>
      <c r="N1234" s="245">
        <f t="shared" si="204"/>
        <v>0</v>
      </c>
      <c r="O1234" s="258">
        <v>0</v>
      </c>
      <c r="P1234" s="257">
        <f t="shared" si="205"/>
        <v>0</v>
      </c>
      <c r="Q1234" s="258">
        <v>0</v>
      </c>
      <c r="R1234" s="257">
        <f t="shared" si="206"/>
        <v>0</v>
      </c>
      <c r="S1234" s="258">
        <v>0</v>
      </c>
      <c r="T1234" s="257">
        <f t="shared" si="207"/>
        <v>0</v>
      </c>
      <c r="U1234" s="258">
        <v>0</v>
      </c>
      <c r="V1234" s="257">
        <f t="shared" si="208"/>
        <v>0</v>
      </c>
      <c r="W1234" s="258">
        <v>0</v>
      </c>
      <c r="X1234" s="257">
        <f t="shared" si="209"/>
        <v>0</v>
      </c>
      <c r="Y1234" s="258">
        <v>0</v>
      </c>
      <c r="Z1234" s="257">
        <f t="shared" si="210"/>
        <v>0</v>
      </c>
    </row>
    <row r="1235" spans="1:26" ht="15" customHeight="1">
      <c r="A1235" s="250" t="s">
        <v>735</v>
      </c>
      <c r="B1235" s="251"/>
      <c r="C1235" s="526" t="s">
        <v>417</v>
      </c>
      <c r="D1235" s="292" t="s">
        <v>2176</v>
      </c>
      <c r="E1235" s="251" t="s">
        <v>2475</v>
      </c>
      <c r="F1235" s="304">
        <f t="shared" si="201"/>
        <v>0</v>
      </c>
      <c r="G1235" s="253">
        <f>L1235</f>
        <v>167.85</v>
      </c>
      <c r="H1235" s="254">
        <f t="shared" si="202"/>
        <v>0</v>
      </c>
      <c r="I1235" s="253">
        <f t="shared" si="203"/>
        <v>0</v>
      </c>
      <c r="J1235" s="253"/>
      <c r="K1235" s="251" t="s">
        <v>2475</v>
      </c>
      <c r="L1235" s="663">
        <v>167.85</v>
      </c>
      <c r="M1235" s="289">
        <v>0</v>
      </c>
      <c r="N1235" s="245">
        <f t="shared" si="204"/>
        <v>0</v>
      </c>
      <c r="O1235" s="258">
        <v>0</v>
      </c>
      <c r="P1235" s="257">
        <f t="shared" si="205"/>
        <v>0</v>
      </c>
      <c r="Q1235" s="258">
        <v>0</v>
      </c>
      <c r="R1235" s="257">
        <f t="shared" si="206"/>
        <v>0</v>
      </c>
      <c r="S1235" s="258">
        <v>0</v>
      </c>
      <c r="T1235" s="257">
        <f t="shared" si="207"/>
        <v>0</v>
      </c>
      <c r="U1235" s="258">
        <v>0</v>
      </c>
      <c r="V1235" s="257">
        <f t="shared" si="208"/>
        <v>0</v>
      </c>
      <c r="W1235" s="258">
        <v>0</v>
      </c>
      <c r="X1235" s="257">
        <f t="shared" si="209"/>
        <v>0</v>
      </c>
      <c r="Y1235" s="258">
        <v>0</v>
      </c>
      <c r="Z1235" s="257">
        <f t="shared" si="210"/>
        <v>0</v>
      </c>
    </row>
    <row r="1236" spans="1:26" ht="15" customHeight="1">
      <c r="A1236" s="250"/>
      <c r="B1236" s="251"/>
      <c r="C1236" s="526"/>
      <c r="D1236" s="292"/>
      <c r="E1236" s="251"/>
      <c r="F1236" s="252"/>
      <c r="G1236" s="253"/>
      <c r="H1236" s="254"/>
      <c r="I1236" s="253"/>
      <c r="J1236" s="253"/>
      <c r="K1236" s="251"/>
      <c r="L1236" s="261"/>
      <c r="M1236" s="289"/>
      <c r="N1236" s="245"/>
      <c r="O1236" s="258"/>
      <c r="P1236" s="257"/>
      <c r="Q1236" s="258"/>
      <c r="R1236" s="257"/>
      <c r="S1236" s="258"/>
      <c r="T1236" s="257"/>
      <c r="U1236" s="258"/>
      <c r="V1236" s="257"/>
      <c r="W1236" s="258"/>
      <c r="X1236" s="257"/>
      <c r="Y1236" s="258"/>
      <c r="Z1236" s="257"/>
    </row>
    <row r="1237" spans="1:26" ht="15" customHeight="1">
      <c r="A1237" s="250">
        <f>A1228+1</f>
        <v>212</v>
      </c>
      <c r="B1237" s="251"/>
      <c r="C1237" s="647" t="s">
        <v>408</v>
      </c>
      <c r="D1237" s="678" t="s">
        <v>842</v>
      </c>
      <c r="E1237" s="251" t="s">
        <v>2475</v>
      </c>
      <c r="F1237" s="304">
        <f>M1237+O1237+Q1237+S1237+U1237+W1237+Y1237</f>
        <v>3320</v>
      </c>
      <c r="G1237" s="253">
        <f>L1237</f>
        <v>0.52</v>
      </c>
      <c r="H1237" s="254">
        <f>INT(F1237*G1237*100+0.5)/100</f>
        <v>1726.4</v>
      </c>
      <c r="I1237" s="253">
        <f>N1237+P1237+R1237+T1237+V1237+X1237+Z1237</f>
        <v>1726.4</v>
      </c>
      <c r="J1237" s="253"/>
      <c r="K1237" s="251" t="s">
        <v>2475</v>
      </c>
      <c r="L1237" s="255">
        <v>0.52</v>
      </c>
      <c r="M1237" s="289">
        <f>(145+19+250+20)*2+200</f>
        <v>1068</v>
      </c>
      <c r="N1237" s="245">
        <f>INT($L1237*M1237*100+0.5)/100</f>
        <v>555.36</v>
      </c>
      <c r="O1237" s="258">
        <f>(150+250+20)*3</f>
        <v>1260</v>
      </c>
      <c r="P1237" s="257">
        <f>INT($L1237*O1237*100+0.5)/100</f>
        <v>655.20000000000005</v>
      </c>
      <c r="Q1237" s="258">
        <f>SUM(Q1214:Q1219)</f>
        <v>992</v>
      </c>
      <c r="R1237" s="257">
        <f>INT($L1237*Q1237*100+0.5)/100</f>
        <v>515.84</v>
      </c>
      <c r="S1237" s="258">
        <v>0</v>
      </c>
      <c r="T1237" s="257">
        <f>INT($L1237*S1237*100+0.5)/100</f>
        <v>0</v>
      </c>
      <c r="U1237" s="258">
        <v>0</v>
      </c>
      <c r="V1237" s="257">
        <f>INT($L1237*U1237*100+0.5)/100</f>
        <v>0</v>
      </c>
      <c r="W1237" s="258">
        <v>0</v>
      </c>
      <c r="X1237" s="257">
        <f>INT($L1237*W1237*100+0.5)/100</f>
        <v>0</v>
      </c>
      <c r="Y1237" s="258">
        <v>0</v>
      </c>
      <c r="Z1237" s="257">
        <f>INT($L1237*Y1237*100+0.5)/100</f>
        <v>0</v>
      </c>
    </row>
    <row r="1238" spans="1:26" ht="15" customHeight="1">
      <c r="A1238" s="250"/>
      <c r="B1238" s="251"/>
      <c r="C1238" s="526"/>
      <c r="D1238" s="678" t="s">
        <v>843</v>
      </c>
      <c r="E1238" s="251"/>
      <c r="F1238" s="252"/>
      <c r="G1238" s="253"/>
      <c r="H1238" s="254"/>
      <c r="I1238" s="253"/>
      <c r="J1238" s="253"/>
      <c r="K1238" s="251"/>
      <c r="L1238" s="261"/>
      <c r="M1238" s="289"/>
      <c r="N1238" s="245"/>
      <c r="O1238" s="258"/>
      <c r="P1238" s="257"/>
      <c r="Q1238" s="258"/>
      <c r="R1238" s="257"/>
      <c r="S1238" s="258"/>
      <c r="T1238" s="257"/>
      <c r="U1238" s="258"/>
      <c r="V1238" s="257"/>
      <c r="W1238" s="258"/>
      <c r="X1238" s="257"/>
      <c r="Y1238" s="258"/>
      <c r="Z1238" s="257"/>
    </row>
    <row r="1239" spans="1:26" ht="15" customHeight="1">
      <c r="A1239" s="250"/>
      <c r="B1239" s="251"/>
      <c r="C1239" s="526"/>
      <c r="D1239" s="292"/>
      <c r="E1239" s="251"/>
      <c r="F1239" s="252"/>
      <c r="G1239" s="253"/>
      <c r="H1239" s="254"/>
      <c r="I1239" s="253"/>
      <c r="J1239" s="253"/>
      <c r="K1239" s="251"/>
      <c r="L1239" s="261"/>
      <c r="M1239" s="289"/>
      <c r="N1239" s="245"/>
      <c r="O1239" s="258"/>
      <c r="P1239" s="257"/>
      <c r="Q1239" s="258"/>
      <c r="R1239" s="257"/>
      <c r="S1239" s="258"/>
      <c r="T1239" s="257"/>
      <c r="U1239" s="258"/>
      <c r="V1239" s="257"/>
      <c r="W1239" s="258"/>
      <c r="X1239" s="257"/>
      <c r="Y1239" s="258"/>
      <c r="Z1239" s="257"/>
    </row>
    <row r="1240" spans="1:26" ht="15" customHeight="1">
      <c r="A1240" s="250">
        <f>A1237+1</f>
        <v>213</v>
      </c>
      <c r="B1240" s="251"/>
      <c r="C1240" s="526" t="s">
        <v>2474</v>
      </c>
      <c r="D1240" s="526" t="s">
        <v>2172</v>
      </c>
      <c r="E1240" s="251" t="s">
        <v>2475</v>
      </c>
      <c r="F1240" s="304">
        <f>M1240+O1240+Q1240+S1240+U1240+W1240+Y1240</f>
        <v>0</v>
      </c>
      <c r="G1240" s="253">
        <f>L1240</f>
        <v>0.68</v>
      </c>
      <c r="H1240" s="254">
        <f>F1240*G1240</f>
        <v>0</v>
      </c>
      <c r="I1240" s="253">
        <f>N1240+P1240+R1240+T1240+V1240+X1240+Z1240</f>
        <v>0</v>
      </c>
      <c r="J1240" s="253"/>
      <c r="K1240" s="251" t="s">
        <v>2475</v>
      </c>
      <c r="L1240" s="663">
        <v>0.68</v>
      </c>
      <c r="M1240" s="258">
        <v>0</v>
      </c>
      <c r="N1240" s="257">
        <f>INT($L1240*M1240*100+0.5)/100</f>
        <v>0</v>
      </c>
      <c r="O1240" s="258">
        <v>0</v>
      </c>
      <c r="P1240" s="257">
        <f>INT($L1240*O1240*100+0.5)/100</f>
        <v>0</v>
      </c>
      <c r="Q1240" s="258">
        <v>0</v>
      </c>
      <c r="R1240" s="257">
        <f>INT($L1240*Q1240*100+0.5)/100</f>
        <v>0</v>
      </c>
      <c r="S1240" s="258">
        <v>0</v>
      </c>
      <c r="T1240" s="257">
        <f>INT($L1240*S1240*100+0.5)/100</f>
        <v>0</v>
      </c>
      <c r="U1240" s="258">
        <v>0</v>
      </c>
      <c r="V1240" s="257">
        <f>INT($L1240*U1240*100+0.5)/100</f>
        <v>0</v>
      </c>
      <c r="W1240" s="258">
        <v>0</v>
      </c>
      <c r="X1240" s="257">
        <f>INT($L1240*W1240*100+0.5)/100</f>
        <v>0</v>
      </c>
      <c r="Y1240" s="258">
        <v>0</v>
      </c>
      <c r="Z1240" s="257">
        <f>INT($L1240*Y1240*100+0.5)/100</f>
        <v>0</v>
      </c>
    </row>
    <row r="1241" spans="1:26" ht="15" customHeight="1">
      <c r="A1241" s="250"/>
      <c r="B1241" s="251"/>
      <c r="C1241" s="526"/>
      <c r="D1241" s="526" t="s">
        <v>2171</v>
      </c>
      <c r="E1241" s="251"/>
      <c r="F1241" s="252"/>
      <c r="G1241" s="253"/>
      <c r="H1241" s="254"/>
      <c r="I1241" s="253"/>
      <c r="J1241" s="253"/>
      <c r="K1241" s="251"/>
      <c r="L1241" s="261"/>
      <c r="M1241" s="258"/>
      <c r="N1241" s="257"/>
      <c r="O1241" s="258"/>
      <c r="P1241" s="257"/>
      <c r="Q1241" s="258"/>
      <c r="R1241" s="257"/>
      <c r="S1241" s="258"/>
      <c r="T1241" s="257"/>
      <c r="U1241" s="258"/>
      <c r="V1241" s="257"/>
      <c r="W1241" s="258"/>
      <c r="X1241" s="257"/>
      <c r="Y1241" s="258"/>
      <c r="Z1241" s="257"/>
    </row>
    <row r="1242" spans="1:26" ht="15" customHeight="1">
      <c r="A1242" s="250"/>
      <c r="B1242" s="251"/>
      <c r="C1242" s="526"/>
      <c r="D1242" s="292"/>
      <c r="E1242" s="251"/>
      <c r="F1242" s="252"/>
      <c r="G1242" s="253"/>
      <c r="H1242" s="254"/>
      <c r="I1242" s="253"/>
      <c r="J1242" s="253"/>
      <c r="K1242" s="251"/>
      <c r="L1242" s="261"/>
      <c r="M1242" s="258"/>
      <c r="N1242" s="257"/>
      <c r="O1242" s="258"/>
      <c r="P1242" s="257"/>
      <c r="Q1242" s="258"/>
      <c r="R1242" s="257"/>
      <c r="S1242" s="258"/>
      <c r="T1242" s="257"/>
      <c r="U1242" s="258"/>
      <c r="V1242" s="257"/>
      <c r="W1242" s="258"/>
      <c r="X1242" s="257"/>
      <c r="Y1242" s="258"/>
      <c r="Z1242" s="257"/>
    </row>
    <row r="1243" spans="1:26" ht="25.5">
      <c r="A1243" s="250">
        <f>A1240+1</f>
        <v>214</v>
      </c>
      <c r="B1243" s="251"/>
      <c r="C1243" s="647" t="s">
        <v>846</v>
      </c>
      <c r="D1243" s="526" t="s">
        <v>2142</v>
      </c>
      <c r="E1243" s="251" t="s">
        <v>2461</v>
      </c>
      <c r="F1243" s="304">
        <f>M1243+O1243+Q1243+S1243+U1243+W1243+Y1243</f>
        <v>1.5</v>
      </c>
      <c r="G1243" s="253">
        <f>L1243</f>
        <v>186.78</v>
      </c>
      <c r="H1243" s="254">
        <f>INT(F1243*G1243*100+0.5)/100</f>
        <v>280.17</v>
      </c>
      <c r="I1243" s="253">
        <f>N1243+P1243+R1243+T1243+V1243+X1243+Z1243</f>
        <v>280.17</v>
      </c>
      <c r="J1243" s="253"/>
      <c r="K1243" s="251" t="s">
        <v>2461</v>
      </c>
      <c r="L1243" s="255">
        <v>186.78</v>
      </c>
      <c r="M1243" s="258">
        <v>1.5</v>
      </c>
      <c r="N1243" s="257">
        <f>INT($L1243*M1243*100+0.5)/100</f>
        <v>280.17</v>
      </c>
      <c r="O1243" s="258">
        <v>0</v>
      </c>
      <c r="P1243" s="257">
        <f>INT($L1243*O1243*100+0.5)/100</f>
        <v>0</v>
      </c>
      <c r="Q1243" s="258">
        <v>0</v>
      </c>
      <c r="R1243" s="257">
        <f>INT($L1243*Q1243*100+0.5)/100</f>
        <v>0</v>
      </c>
      <c r="S1243" s="258">
        <v>0</v>
      </c>
      <c r="T1243" s="257">
        <f>INT($L1243*S1243*100+0.5)/100</f>
        <v>0</v>
      </c>
      <c r="U1243" s="258">
        <v>0</v>
      </c>
      <c r="V1243" s="257">
        <f>INT($L1243*U1243*100+0.5)/100</f>
        <v>0</v>
      </c>
      <c r="W1243" s="258">
        <v>0</v>
      </c>
      <c r="X1243" s="257">
        <f>INT($L1243*W1243*100+0.5)/100</f>
        <v>0</v>
      </c>
      <c r="Y1243" s="258">
        <v>0</v>
      </c>
      <c r="Z1243" s="257">
        <f>INT($L1243*Y1243*100+0.5)/100</f>
        <v>0</v>
      </c>
    </row>
    <row r="1244" spans="1:26" ht="25.5">
      <c r="A1244" s="250"/>
      <c r="B1244" s="251"/>
      <c r="C1244" s="526"/>
      <c r="D1244" s="526" t="s">
        <v>2141</v>
      </c>
      <c r="E1244" s="251"/>
      <c r="F1244" s="252"/>
      <c r="G1244" s="253"/>
      <c r="H1244" s="254"/>
      <c r="I1244" s="253"/>
      <c r="J1244" s="253"/>
      <c r="K1244" s="251"/>
      <c r="L1244" s="261"/>
      <c r="M1244" s="258"/>
      <c r="N1244" s="257"/>
      <c r="O1244" s="258"/>
      <c r="P1244" s="257"/>
      <c r="Q1244" s="258"/>
      <c r="R1244" s="257"/>
      <c r="S1244" s="258"/>
      <c r="T1244" s="257"/>
      <c r="U1244" s="258"/>
      <c r="V1244" s="257"/>
      <c r="W1244" s="258"/>
      <c r="X1244" s="257"/>
      <c r="Y1244" s="258"/>
      <c r="Z1244" s="257"/>
    </row>
    <row r="1245" spans="1:26" ht="15" customHeight="1">
      <c r="A1245" s="250"/>
      <c r="B1245" s="251"/>
      <c r="C1245" s="526"/>
      <c r="D1245" s="292"/>
      <c r="E1245" s="251"/>
      <c r="F1245" s="252"/>
      <c r="G1245" s="253"/>
      <c r="H1245" s="254"/>
      <c r="I1245" s="253"/>
      <c r="J1245" s="253"/>
      <c r="K1245" s="251"/>
      <c r="L1245" s="261"/>
      <c r="M1245" s="258"/>
      <c r="N1245" s="257"/>
      <c r="O1245" s="258"/>
      <c r="P1245" s="257"/>
      <c r="Q1245" s="258"/>
      <c r="R1245" s="257"/>
      <c r="S1245" s="258"/>
      <c r="T1245" s="257"/>
      <c r="U1245" s="258"/>
      <c r="V1245" s="257"/>
      <c r="W1245" s="258"/>
      <c r="X1245" s="257"/>
      <c r="Y1245" s="258"/>
      <c r="Z1245" s="257"/>
    </row>
    <row r="1246" spans="1:26" s="281" customFormat="1" ht="15" customHeight="1">
      <c r="A1246" s="463">
        <f>A1243+1</f>
        <v>215</v>
      </c>
      <c r="B1246" s="277"/>
      <c r="C1246" s="550" t="s">
        <v>923</v>
      </c>
      <c r="D1246" s="527"/>
      <c r="E1246" s="277" t="s">
        <v>2461</v>
      </c>
      <c r="F1246" s="455">
        <f>M1246+O1246+Q1246+S1246+U1246+W1246+Y1246</f>
        <v>0</v>
      </c>
      <c r="G1246" s="667">
        <f>L1246</f>
        <v>5.3</v>
      </c>
      <c r="H1246" s="457">
        <f>INT(F1246*G1246*100+0.5)/100</f>
        <v>0</v>
      </c>
      <c r="I1246" s="456">
        <f>N1246+P1246+R1246+T1246+V1246+X1246+Z1246</f>
        <v>0</v>
      </c>
      <c r="J1246" s="456"/>
      <c r="K1246" s="277" t="s">
        <v>2461</v>
      </c>
      <c r="L1246" s="666">
        <v>5.3</v>
      </c>
      <c r="M1246" s="458">
        <v>0</v>
      </c>
      <c r="N1246" s="280">
        <f>INT($L1246*M1246*100+0.5)/100</f>
        <v>0</v>
      </c>
      <c r="O1246" s="458">
        <v>0</v>
      </c>
      <c r="P1246" s="280">
        <f>INT($L1246*O1246*100+0.5)/100</f>
        <v>0</v>
      </c>
      <c r="Q1246" s="458">
        <v>0</v>
      </c>
      <c r="R1246" s="280">
        <f>INT($L1246*Q1246*100+0.5)/100</f>
        <v>0</v>
      </c>
      <c r="S1246" s="458">
        <v>0</v>
      </c>
      <c r="T1246" s="280">
        <f>INT($L1246*S1246*100+0.5)/100</f>
        <v>0</v>
      </c>
      <c r="U1246" s="458">
        <v>0</v>
      </c>
      <c r="V1246" s="280">
        <f>INT($L1246*U1246*100+0.5)/100</f>
        <v>0</v>
      </c>
      <c r="W1246" s="458">
        <v>0</v>
      </c>
      <c r="X1246" s="280">
        <f>INT($L1246*W1246*100+0.5)/100</f>
        <v>0</v>
      </c>
      <c r="Y1246" s="458">
        <v>0</v>
      </c>
      <c r="Z1246" s="280">
        <f>INT($L1246*Y1246*100+0.5)/100</f>
        <v>0</v>
      </c>
    </row>
    <row r="1247" spans="1:26" s="281" customFormat="1" ht="15" customHeight="1">
      <c r="A1247" s="463"/>
      <c r="B1247" s="277"/>
      <c r="C1247" s="527"/>
      <c r="D1247" s="527" t="s">
        <v>924</v>
      </c>
      <c r="E1247" s="277"/>
      <c r="F1247" s="455"/>
      <c r="G1247" s="456"/>
      <c r="H1247" s="457"/>
      <c r="I1247" s="456"/>
      <c r="J1247" s="456"/>
      <c r="K1247" s="277"/>
      <c r="L1247" s="262"/>
      <c r="M1247" s="458"/>
      <c r="N1247" s="280"/>
      <c r="O1247" s="458"/>
      <c r="P1247" s="280"/>
      <c r="Q1247" s="458"/>
      <c r="R1247" s="280"/>
      <c r="S1247" s="458"/>
      <c r="T1247" s="280"/>
      <c r="U1247" s="458"/>
      <c r="V1247" s="280"/>
      <c r="W1247" s="458"/>
      <c r="X1247" s="280"/>
      <c r="Y1247" s="458"/>
      <c r="Z1247" s="280"/>
    </row>
    <row r="1248" spans="1:26" ht="15" customHeight="1">
      <c r="A1248" s="250"/>
      <c r="B1248" s="251"/>
      <c r="C1248" s="526"/>
      <c r="D1248" s="292"/>
      <c r="E1248" s="251"/>
      <c r="F1248" s="252"/>
      <c r="G1248" s="253"/>
      <c r="H1248" s="254"/>
      <c r="I1248" s="253"/>
      <c r="J1248" s="253"/>
      <c r="K1248" s="251"/>
      <c r="L1248" s="261"/>
      <c r="M1248" s="258"/>
      <c r="N1248" s="257"/>
      <c r="O1248" s="258"/>
      <c r="P1248" s="257"/>
      <c r="Q1248" s="258"/>
      <c r="R1248" s="257"/>
      <c r="S1248" s="258"/>
      <c r="T1248" s="257"/>
      <c r="U1248" s="258"/>
      <c r="V1248" s="257"/>
      <c r="W1248" s="258"/>
      <c r="X1248" s="257"/>
      <c r="Y1248" s="258"/>
      <c r="Z1248" s="257"/>
    </row>
    <row r="1249" spans="1:26" ht="15" customHeight="1">
      <c r="A1249" s="250">
        <f>A1246+1</f>
        <v>216</v>
      </c>
      <c r="B1249" s="251"/>
      <c r="C1249" s="654" t="s">
        <v>423</v>
      </c>
      <c r="D1249" s="526" t="s">
        <v>425</v>
      </c>
      <c r="E1249" s="251"/>
      <c r="F1249" s="252"/>
      <c r="G1249" s="253"/>
      <c r="H1249" s="254"/>
      <c r="I1249" s="253"/>
      <c r="J1249" s="253"/>
      <c r="K1249" s="251"/>
      <c r="L1249" s="262"/>
      <c r="M1249" s="258"/>
      <c r="N1249" s="257"/>
      <c r="O1249" s="258"/>
      <c r="P1249" s="257"/>
      <c r="Q1249" s="258"/>
      <c r="R1249" s="257"/>
      <c r="S1249" s="258"/>
      <c r="T1249" s="257"/>
      <c r="U1249" s="258"/>
      <c r="V1249" s="257"/>
      <c r="W1249" s="258"/>
      <c r="X1249" s="257"/>
      <c r="Y1249" s="258"/>
      <c r="Z1249" s="257"/>
    </row>
    <row r="1250" spans="1:26" ht="15" customHeight="1">
      <c r="A1250" s="250"/>
      <c r="B1250" s="251"/>
      <c r="C1250" s="647"/>
      <c r="D1250" s="526" t="s">
        <v>424</v>
      </c>
      <c r="E1250" s="251"/>
      <c r="F1250" s="252"/>
      <c r="G1250" s="253"/>
      <c r="H1250" s="254"/>
      <c r="I1250" s="253"/>
      <c r="J1250" s="253"/>
      <c r="K1250" s="251"/>
      <c r="L1250" s="261"/>
      <c r="M1250" s="258"/>
      <c r="N1250" s="257"/>
      <c r="O1250" s="258"/>
      <c r="P1250" s="257"/>
      <c r="Q1250" s="258"/>
      <c r="R1250" s="257"/>
      <c r="S1250" s="258"/>
      <c r="T1250" s="257"/>
      <c r="U1250" s="258"/>
      <c r="V1250" s="257"/>
      <c r="W1250" s="258"/>
      <c r="X1250" s="257"/>
      <c r="Y1250" s="258"/>
      <c r="Z1250" s="257"/>
    </row>
    <row r="1251" spans="1:26" ht="15" customHeight="1">
      <c r="A1251" s="250" t="s">
        <v>1903</v>
      </c>
      <c r="B1251" s="251"/>
      <c r="C1251" s="647" t="s">
        <v>824</v>
      </c>
      <c r="D1251" s="292" t="s">
        <v>427</v>
      </c>
      <c r="E1251" s="251" t="s">
        <v>2475</v>
      </c>
      <c r="F1251" s="304">
        <f>M1251+O1251+Q1251+S1251+U1251+W1251+Y1251</f>
        <v>110</v>
      </c>
      <c r="G1251" s="253">
        <f>L1251</f>
        <v>7.05</v>
      </c>
      <c r="H1251" s="254">
        <f>INT(F1251*G1251*100+0.5)/100</f>
        <v>775.5</v>
      </c>
      <c r="I1251" s="253">
        <f>N1251+P1251+R1251+T1251+V1251+X1251+Z1251</f>
        <v>775.5</v>
      </c>
      <c r="J1251" s="253"/>
      <c r="K1251" s="251" t="s">
        <v>2475</v>
      </c>
      <c r="L1251" s="255">
        <v>7.05</v>
      </c>
      <c r="M1251" s="258">
        <v>0</v>
      </c>
      <c r="N1251" s="257">
        <f>INT($L1251*M1251*100+0.5)/100</f>
        <v>0</v>
      </c>
      <c r="O1251" s="258">
        <v>0</v>
      </c>
      <c r="P1251" s="257">
        <f>INT($L1251*O1251*100+0.5)/100</f>
        <v>0</v>
      </c>
      <c r="Q1251" s="258">
        <f>90+20</f>
        <v>110</v>
      </c>
      <c r="R1251" s="257">
        <f>INT($L1251*Q1251*100+0.5)/100</f>
        <v>775.5</v>
      </c>
      <c r="S1251" s="258">
        <v>0</v>
      </c>
      <c r="T1251" s="257">
        <f>INT($L1251*S1251*100+0.5)/100</f>
        <v>0</v>
      </c>
      <c r="U1251" s="258">
        <v>0</v>
      </c>
      <c r="V1251" s="257">
        <f>INT($L1251*U1251*100+0.5)/100</f>
        <v>0</v>
      </c>
      <c r="W1251" s="258">
        <v>0</v>
      </c>
      <c r="X1251" s="257">
        <f>INT($L1251*W1251*100+0.5)/100</f>
        <v>0</v>
      </c>
      <c r="Y1251" s="258">
        <v>0</v>
      </c>
      <c r="Z1251" s="257">
        <f>INT($L1251*Y1251*100+0.5)/100</f>
        <v>0</v>
      </c>
    </row>
    <row r="1252" spans="1:26" ht="15" customHeight="1">
      <c r="A1252" s="250" t="s">
        <v>1905</v>
      </c>
      <c r="B1252" s="251"/>
      <c r="C1252" s="647" t="s">
        <v>825</v>
      </c>
      <c r="D1252" s="292" t="s">
        <v>426</v>
      </c>
      <c r="E1252" s="251" t="s">
        <v>2475</v>
      </c>
      <c r="F1252" s="304">
        <f>M1252+O1252+Q1252+S1252+U1252+W1252+Y1252</f>
        <v>415</v>
      </c>
      <c r="G1252" s="253">
        <f>L1252</f>
        <v>12.46</v>
      </c>
      <c r="H1252" s="254">
        <f>INT(F1252*G1252*100+0.5)/100</f>
        <v>5170.8999999999996</v>
      </c>
      <c r="I1252" s="253">
        <f>N1252+P1252+R1252+T1252+V1252+X1252+Z1252</f>
        <v>5170.8999999999996</v>
      </c>
      <c r="J1252" s="253"/>
      <c r="K1252" s="251" t="s">
        <v>2475</v>
      </c>
      <c r="L1252" s="255">
        <v>12.46</v>
      </c>
      <c r="M1252" s="258">
        <v>0</v>
      </c>
      <c r="N1252" s="257">
        <f>INT($L1252*M1252*100+0.5)/100</f>
        <v>0</v>
      </c>
      <c r="O1252" s="258">
        <v>0</v>
      </c>
      <c r="P1252" s="257">
        <f>INT($L1252*O1252*100+0.5)/100</f>
        <v>0</v>
      </c>
      <c r="Q1252" s="258">
        <f>250+145+20</f>
        <v>415</v>
      </c>
      <c r="R1252" s="257">
        <f>INT($L1252*Q1252*100+0.5)/100</f>
        <v>5170.8999999999996</v>
      </c>
      <c r="S1252" s="258">
        <v>0</v>
      </c>
      <c r="T1252" s="257">
        <f>INT($L1252*S1252*100+0.5)/100</f>
        <v>0</v>
      </c>
      <c r="U1252" s="258">
        <v>0</v>
      </c>
      <c r="V1252" s="257">
        <f>INT($L1252*U1252*100+0.5)/100</f>
        <v>0</v>
      </c>
      <c r="W1252" s="258">
        <v>0</v>
      </c>
      <c r="X1252" s="257">
        <f>INT($L1252*W1252*100+0.5)/100</f>
        <v>0</v>
      </c>
      <c r="Y1252" s="258">
        <v>0</v>
      </c>
      <c r="Z1252" s="257">
        <f>INT($L1252*Y1252*100+0.5)/100</f>
        <v>0</v>
      </c>
    </row>
    <row r="1253" spans="1:26" ht="15" customHeight="1">
      <c r="A1253" s="250" t="s">
        <v>1906</v>
      </c>
      <c r="B1253" s="251"/>
      <c r="C1253" s="647" t="s">
        <v>826</v>
      </c>
      <c r="D1253" s="292" t="s">
        <v>428</v>
      </c>
      <c r="E1253" s="251" t="s">
        <v>2475</v>
      </c>
      <c r="F1253" s="304">
        <f>M1253+O1253+Q1253+S1253+U1253+W1253+Y1253</f>
        <v>0</v>
      </c>
      <c r="G1253" s="253">
        <f>L1253</f>
        <v>28.57</v>
      </c>
      <c r="H1253" s="254">
        <f>INT(F1253*G1253*100+0.5)/100</f>
        <v>0</v>
      </c>
      <c r="I1253" s="253">
        <f>N1253+P1253+R1253+T1253+V1253+X1253+Z1253</f>
        <v>0</v>
      </c>
      <c r="J1253" s="253"/>
      <c r="K1253" s="251" t="s">
        <v>2475</v>
      </c>
      <c r="L1253" s="255">
        <v>28.57</v>
      </c>
      <c r="M1253" s="258">
        <v>0</v>
      </c>
      <c r="N1253" s="257">
        <f>INT($L1253*M1253*100+0.5)/100</f>
        <v>0</v>
      </c>
      <c r="O1253" s="258">
        <v>0</v>
      </c>
      <c r="P1253" s="257">
        <f>INT($L1253*O1253*100+0.5)/100</f>
        <v>0</v>
      </c>
      <c r="Q1253" s="258">
        <v>0</v>
      </c>
      <c r="R1253" s="257">
        <f>INT($L1253*Q1253*100+0.5)/100</f>
        <v>0</v>
      </c>
      <c r="S1253" s="258">
        <v>0</v>
      </c>
      <c r="T1253" s="257">
        <f>INT($L1253*S1253*100+0.5)/100</f>
        <v>0</v>
      </c>
      <c r="U1253" s="258">
        <v>0</v>
      </c>
      <c r="V1253" s="257">
        <f>INT($L1253*U1253*100+0.5)/100</f>
        <v>0</v>
      </c>
      <c r="W1253" s="258">
        <v>0</v>
      </c>
      <c r="X1253" s="257">
        <f>INT($L1253*W1253*100+0.5)/100</f>
        <v>0</v>
      </c>
      <c r="Y1253" s="258">
        <v>0</v>
      </c>
      <c r="Z1253" s="257">
        <f>INT($L1253*Y1253*100+0.5)/100</f>
        <v>0</v>
      </c>
    </row>
    <row r="1254" spans="1:26" ht="15" customHeight="1">
      <c r="A1254" s="250"/>
      <c r="B1254" s="251"/>
      <c r="C1254" s="526"/>
      <c r="D1254" s="292"/>
      <c r="E1254" s="251"/>
      <c r="F1254" s="252"/>
      <c r="G1254" s="253"/>
      <c r="H1254" s="254"/>
      <c r="I1254" s="253"/>
      <c r="J1254" s="253"/>
      <c r="K1254" s="251"/>
      <c r="L1254" s="261"/>
      <c r="M1254" s="258"/>
      <c r="N1254" s="257"/>
      <c r="O1254" s="258"/>
      <c r="P1254" s="257"/>
      <c r="Q1254" s="258"/>
      <c r="R1254" s="257"/>
      <c r="S1254" s="258"/>
      <c r="T1254" s="257"/>
      <c r="U1254" s="258"/>
      <c r="V1254" s="257"/>
      <c r="W1254" s="258"/>
      <c r="X1254" s="257"/>
      <c r="Y1254" s="258"/>
      <c r="Z1254" s="257"/>
    </row>
    <row r="1255" spans="1:26" ht="15" customHeight="1">
      <c r="A1255" s="250">
        <f>A1249+1</f>
        <v>217</v>
      </c>
      <c r="B1255" s="251"/>
      <c r="C1255" s="657" t="s">
        <v>827</v>
      </c>
      <c r="D1255" s="526" t="s">
        <v>531</v>
      </c>
      <c r="E1255" s="251" t="s">
        <v>1901</v>
      </c>
      <c r="F1255" s="304">
        <f>M1255+O1255+Q1255+S1255+U1255+W1255+Y1255</f>
        <v>5</v>
      </c>
      <c r="G1255" s="253">
        <f>L1255</f>
        <v>190</v>
      </c>
      <c r="H1255" s="254">
        <f>INT(F1255*G1255*100+0.5)/100</f>
        <v>950</v>
      </c>
      <c r="I1255" s="253">
        <f>N1255+P1255+R1255+T1255+V1255+X1255+Z1255</f>
        <v>950</v>
      </c>
      <c r="J1255" s="253"/>
      <c r="K1255" s="251" t="s">
        <v>1901</v>
      </c>
      <c r="L1255" s="255">
        <f>190</f>
        <v>190</v>
      </c>
      <c r="M1255" s="258">
        <v>5</v>
      </c>
      <c r="N1255" s="257">
        <f>INT($L1255*M1255*100+0.5)/100</f>
        <v>950</v>
      </c>
      <c r="O1255" s="258">
        <v>0</v>
      </c>
      <c r="P1255" s="257">
        <f>INT($L1255*O1255*100+0.5)/100</f>
        <v>0</v>
      </c>
      <c r="Q1255" s="258">
        <v>0</v>
      </c>
      <c r="R1255" s="245">
        <f>INT($L1255*Q1255*100+0.5)/100</f>
        <v>0</v>
      </c>
      <c r="S1255" s="258">
        <v>0</v>
      </c>
      <c r="T1255" s="257">
        <f>INT($L1255*S1255*100+0.5)/100</f>
        <v>0</v>
      </c>
      <c r="U1255" s="258">
        <v>0</v>
      </c>
      <c r="V1255" s="257">
        <f>INT($L1255*U1255*100+0.5)/100</f>
        <v>0</v>
      </c>
      <c r="W1255" s="258">
        <v>0</v>
      </c>
      <c r="X1255" s="257">
        <f>INT($L1255*W1255*100+0.5)/100</f>
        <v>0</v>
      </c>
      <c r="Y1255" s="258">
        <v>0</v>
      </c>
      <c r="Z1255" s="257">
        <f>INT($L1255*Y1255*100+0.5)/100</f>
        <v>0</v>
      </c>
    </row>
    <row r="1256" spans="1:26" ht="15" customHeight="1">
      <c r="A1256" s="250"/>
      <c r="B1256" s="251"/>
      <c r="C1256" s="526"/>
      <c r="D1256" s="526" t="s">
        <v>530</v>
      </c>
      <c r="E1256" s="251"/>
      <c r="F1256" s="252"/>
      <c r="G1256" s="253"/>
      <c r="H1256" s="254"/>
      <c r="I1256" s="253"/>
      <c r="J1256" s="253"/>
      <c r="K1256" s="251"/>
      <c r="L1256" s="261"/>
      <c r="M1256" s="258"/>
      <c r="N1256" s="257"/>
      <c r="O1256" s="258"/>
      <c r="P1256" s="257"/>
      <c r="Q1256" s="258"/>
      <c r="R1256" s="245"/>
      <c r="S1256" s="258"/>
      <c r="T1256" s="257"/>
      <c r="U1256" s="258"/>
      <c r="V1256" s="257"/>
      <c r="W1256" s="258"/>
      <c r="X1256" s="257"/>
      <c r="Y1256" s="258"/>
      <c r="Z1256" s="257"/>
    </row>
    <row r="1257" spans="1:26" ht="15" customHeight="1">
      <c r="A1257" s="250"/>
      <c r="B1257" s="251"/>
      <c r="C1257" s="526"/>
      <c r="D1257" s="292"/>
      <c r="E1257" s="251"/>
      <c r="F1257" s="252"/>
      <c r="G1257" s="253"/>
      <c r="H1257" s="254"/>
      <c r="I1257" s="253"/>
      <c r="J1257" s="253"/>
      <c r="K1257" s="251"/>
      <c r="L1257" s="261"/>
      <c r="M1257" s="258"/>
      <c r="N1257" s="257"/>
      <c r="O1257" s="258"/>
      <c r="P1257" s="257"/>
      <c r="Q1257" s="258"/>
      <c r="R1257" s="245"/>
      <c r="S1257" s="258"/>
      <c r="T1257" s="257"/>
      <c r="U1257" s="258"/>
      <c r="V1257" s="257"/>
      <c r="W1257" s="258"/>
      <c r="X1257" s="257"/>
      <c r="Y1257" s="258"/>
      <c r="Z1257" s="257"/>
    </row>
    <row r="1258" spans="1:26" ht="15" customHeight="1">
      <c r="A1258" s="250">
        <f>A1255+1</f>
        <v>218</v>
      </c>
      <c r="B1258" s="251"/>
      <c r="C1258" s="534" t="s">
        <v>828</v>
      </c>
      <c r="D1258" s="526" t="s">
        <v>532</v>
      </c>
      <c r="E1258" s="251" t="s">
        <v>2461</v>
      </c>
      <c r="F1258" s="304">
        <f>M1258+O1258+Q1258+S1258+U1258+W1258+Y1258</f>
        <v>0</v>
      </c>
      <c r="G1258" s="253">
        <f>L1258</f>
        <v>100</v>
      </c>
      <c r="H1258" s="254">
        <f>INT(F1258*G1258*100+0.5)/100</f>
        <v>0</v>
      </c>
      <c r="I1258" s="253">
        <f>N1258+P1258+R1258+T1258+V1258+X1258+Z1258</f>
        <v>0</v>
      </c>
      <c r="J1258" s="253"/>
      <c r="K1258" s="251" t="s">
        <v>2461</v>
      </c>
      <c r="L1258" s="255">
        <v>100</v>
      </c>
      <c r="M1258" s="258">
        <v>0</v>
      </c>
      <c r="N1258" s="257">
        <f>INT($L1258*M1258*100+0.5)/100</f>
        <v>0</v>
      </c>
      <c r="O1258" s="258">
        <v>0</v>
      </c>
      <c r="P1258" s="257">
        <f>INT($L1258*O1258*100+0.5)/100</f>
        <v>0</v>
      </c>
      <c r="Q1258" s="258">
        <v>0</v>
      </c>
      <c r="R1258" s="245">
        <f>INT($L1258*Q1258*100+0.5)/100</f>
        <v>0</v>
      </c>
      <c r="S1258" s="258">
        <v>0</v>
      </c>
      <c r="T1258" s="257">
        <f>INT($L1258*S1258*100+0.5)/100</f>
        <v>0</v>
      </c>
      <c r="U1258" s="258">
        <v>0</v>
      </c>
      <c r="V1258" s="257">
        <f>INT($L1258*U1258*100+0.5)/100</f>
        <v>0</v>
      </c>
      <c r="W1258" s="258">
        <v>0</v>
      </c>
      <c r="X1258" s="257">
        <f>INT($L1258*W1258*100+0.5)/100</f>
        <v>0</v>
      </c>
      <c r="Y1258" s="258">
        <v>0</v>
      </c>
      <c r="Z1258" s="257">
        <f>INT($L1258*Y1258*100+0.5)/100</f>
        <v>0</v>
      </c>
    </row>
    <row r="1259" spans="1:26" ht="15" customHeight="1">
      <c r="A1259" s="250"/>
      <c r="B1259" s="251"/>
      <c r="C1259" s="526"/>
      <c r="D1259" s="526" t="s">
        <v>463</v>
      </c>
      <c r="E1259" s="251"/>
      <c r="F1259" s="252"/>
      <c r="G1259" s="253"/>
      <c r="H1259" s="254"/>
      <c r="I1259" s="253"/>
      <c r="J1259" s="253"/>
      <c r="K1259" s="251"/>
      <c r="L1259" s="261"/>
      <c r="M1259" s="258"/>
      <c r="N1259" s="257"/>
      <c r="O1259" s="258"/>
      <c r="P1259" s="257"/>
      <c r="Q1259" s="258"/>
      <c r="R1259" s="257"/>
      <c r="S1259" s="258"/>
      <c r="T1259" s="257"/>
      <c r="U1259" s="258"/>
      <c r="V1259" s="257"/>
      <c r="W1259" s="258"/>
      <c r="X1259" s="257"/>
      <c r="Y1259" s="258"/>
      <c r="Z1259" s="257"/>
    </row>
    <row r="1260" spans="1:26" ht="15" customHeight="1">
      <c r="A1260" s="250"/>
      <c r="B1260" s="251"/>
      <c r="C1260" s="526"/>
      <c r="D1260" s="526"/>
      <c r="E1260" s="251"/>
      <c r="F1260" s="252"/>
      <c r="G1260" s="253"/>
      <c r="H1260" s="254"/>
      <c r="I1260" s="253"/>
      <c r="J1260" s="253"/>
      <c r="K1260" s="251"/>
      <c r="L1260" s="261"/>
      <c r="M1260" s="258"/>
      <c r="N1260" s="257"/>
      <c r="O1260" s="258"/>
      <c r="P1260" s="257"/>
      <c r="Q1260" s="258"/>
      <c r="R1260" s="257"/>
      <c r="S1260" s="258"/>
      <c r="T1260" s="257"/>
      <c r="U1260" s="258"/>
      <c r="V1260" s="257"/>
      <c r="W1260" s="258"/>
      <c r="X1260" s="257"/>
      <c r="Y1260" s="258"/>
      <c r="Z1260" s="257"/>
    </row>
    <row r="1261" spans="1:26" s="303" customFormat="1" ht="30">
      <c r="A1261" s="298"/>
      <c r="B1261" s="299"/>
      <c r="C1261" s="267" t="s">
        <v>1572</v>
      </c>
      <c r="D1261" s="333" t="s">
        <v>1573</v>
      </c>
      <c r="E1261" s="299"/>
      <c r="F1261" s="301"/>
      <c r="G1261" s="263"/>
      <c r="H1261" s="272"/>
      <c r="I1261" s="272">
        <f>N1261+P1261+R1261+T1261+V1261+X1261+Z1261</f>
        <v>138994.00999999998</v>
      </c>
      <c r="J1261" s="269">
        <f>SUM(N1261:Z1261)</f>
        <v>138994.00999999998</v>
      </c>
      <c r="K1261" s="299"/>
      <c r="L1261" s="271"/>
      <c r="M1261" s="273"/>
      <c r="N1261" s="273">
        <f>SUM(N1079:N1260)</f>
        <v>30134.709999999995</v>
      </c>
      <c r="O1261" s="273"/>
      <c r="P1261" s="273">
        <f>SUM(P1079:P1260)</f>
        <v>655.20000000000005</v>
      </c>
      <c r="Q1261" s="273"/>
      <c r="R1261" s="273">
        <f>SUM(R1079:R1260)</f>
        <v>107123.79999999999</v>
      </c>
      <c r="S1261" s="273"/>
      <c r="T1261" s="273">
        <f>SUM(T1079:T1260)</f>
        <v>1080.3</v>
      </c>
      <c r="U1261" s="273"/>
      <c r="V1261" s="273">
        <f>SUM(V1079:V1260)</f>
        <v>0</v>
      </c>
      <c r="W1261" s="273"/>
      <c r="X1261" s="273">
        <f>SUM(X1079:X1260)</f>
        <v>0</v>
      </c>
      <c r="Y1261" s="273"/>
      <c r="Z1261" s="273">
        <f>SUM(Z1079:Z1260)</f>
        <v>0</v>
      </c>
    </row>
    <row r="1262" spans="1:26" ht="15" customHeight="1">
      <c r="A1262" s="250"/>
      <c r="B1262" s="251"/>
      <c r="C1262" s="453"/>
      <c r="D1262" s="330"/>
      <c r="E1262" s="251"/>
      <c r="F1262" s="252"/>
      <c r="G1262" s="253"/>
      <c r="H1262" s="254"/>
      <c r="I1262" s="694">
        <f>I1261/'CompSolo Wolf'!I1250</f>
        <v>0.63363558293384448</v>
      </c>
      <c r="J1262" s="253"/>
      <c r="K1262" s="251"/>
      <c r="L1262" s="261"/>
      <c r="M1262" s="258"/>
      <c r="N1262" s="494">
        <f>N1261/$N$1941</f>
        <v>0.21787262451665032</v>
      </c>
      <c r="O1262" s="258"/>
      <c r="P1262" s="257"/>
      <c r="Q1262" s="258"/>
      <c r="R1262" s="257"/>
      <c r="S1262" s="258"/>
      <c r="T1262" s="257"/>
      <c r="U1262" s="258"/>
      <c r="V1262" s="257"/>
      <c r="W1262" s="258"/>
      <c r="X1262" s="257"/>
      <c r="Y1262" s="258"/>
      <c r="Z1262" s="257"/>
    </row>
    <row r="1263" spans="1:26" ht="15">
      <c r="A1263" s="250"/>
      <c r="B1263" s="251"/>
      <c r="C1263" s="453" t="s">
        <v>1575</v>
      </c>
      <c r="D1263" s="330" t="s">
        <v>1580</v>
      </c>
      <c r="E1263" s="251"/>
      <c r="F1263" s="252"/>
      <c r="G1263" s="253"/>
      <c r="H1263" s="254"/>
      <c r="I1263" s="253"/>
      <c r="J1263" s="253"/>
      <c r="K1263" s="251"/>
      <c r="L1263" s="261"/>
      <c r="M1263" s="258"/>
      <c r="N1263" s="257"/>
      <c r="O1263" s="258"/>
      <c r="P1263" s="257"/>
      <c r="Q1263" s="258"/>
      <c r="R1263" s="257"/>
      <c r="S1263" s="258"/>
      <c r="T1263" s="257"/>
      <c r="U1263" s="258"/>
      <c r="V1263" s="257"/>
      <c r="W1263" s="258"/>
      <c r="X1263" s="257"/>
      <c r="Y1263" s="258"/>
      <c r="Z1263" s="257"/>
    </row>
    <row r="1264" spans="1:26" ht="15">
      <c r="A1264" s="250">
        <f>A1258+1</f>
        <v>219</v>
      </c>
      <c r="B1264" s="251"/>
      <c r="C1264" s="526" t="s">
        <v>429</v>
      </c>
      <c r="D1264" s="526" t="s">
        <v>430</v>
      </c>
      <c r="E1264" s="251" t="s">
        <v>1620</v>
      </c>
      <c r="F1264" s="304">
        <f>M1264+O1264+Q1264+S1264+U1264+W1264+Y1264</f>
        <v>0</v>
      </c>
      <c r="G1264" s="253">
        <f>L1264</f>
        <v>0.84</v>
      </c>
      <c r="H1264" s="254">
        <f>INT(F1264*G1264*100+0.5)/100</f>
        <v>0</v>
      </c>
      <c r="I1264" s="253">
        <f>N1264+P1264+R1264+T1264+V1264+X1264+Z1264</f>
        <v>0</v>
      </c>
      <c r="J1264" s="253"/>
      <c r="K1264" s="251" t="s">
        <v>1620</v>
      </c>
      <c r="L1264" s="663">
        <v>0.84</v>
      </c>
      <c r="M1264" s="258">
        <v>0</v>
      </c>
      <c r="N1264" s="257">
        <f>INT($L1264*M1264*100+0.5)/100</f>
        <v>0</v>
      </c>
      <c r="O1264" s="258">
        <v>0</v>
      </c>
      <c r="P1264" s="257">
        <f>INT($L1264*O1264*100+0.5)/100</f>
        <v>0</v>
      </c>
      <c r="Q1264" s="258">
        <v>0</v>
      </c>
      <c r="R1264" s="257">
        <f>INT($L1264*Q1264*100+0.5)/100</f>
        <v>0</v>
      </c>
      <c r="S1264" s="258">
        <v>0</v>
      </c>
      <c r="T1264" s="257">
        <f>INT($L1264*S1264*100+0.5)/100</f>
        <v>0</v>
      </c>
      <c r="U1264" s="258">
        <v>0</v>
      </c>
      <c r="V1264" s="257">
        <f>INT($L1264*U1264*100+0.5)/100</f>
        <v>0</v>
      </c>
      <c r="W1264" s="258">
        <v>0</v>
      </c>
      <c r="X1264" s="257">
        <f>INT($L1264*W1264*100+0.5)/100</f>
        <v>0</v>
      </c>
      <c r="Y1264" s="258">
        <v>0</v>
      </c>
      <c r="Z1264" s="257">
        <f>INT($L1264*Y1264*100+0.5)/100</f>
        <v>0</v>
      </c>
    </row>
    <row r="1265" spans="1:26" ht="25.5">
      <c r="A1265" s="250"/>
      <c r="B1265" s="251"/>
      <c r="C1265" s="251"/>
      <c r="D1265" s="526" t="s">
        <v>431</v>
      </c>
      <c r="E1265" s="251"/>
      <c r="F1265" s="252"/>
      <c r="G1265" s="253"/>
      <c r="H1265" s="254"/>
      <c r="I1265" s="253"/>
      <c r="J1265" s="253"/>
      <c r="K1265" s="251"/>
      <c r="L1265" s="255"/>
      <c r="M1265" s="258"/>
      <c r="N1265" s="257"/>
      <c r="O1265" s="258"/>
      <c r="P1265" s="257"/>
      <c r="Q1265" s="258"/>
      <c r="R1265" s="257"/>
      <c r="S1265" s="258"/>
      <c r="T1265" s="257"/>
      <c r="U1265" s="258"/>
      <c r="V1265" s="257"/>
      <c r="W1265" s="258"/>
      <c r="X1265" s="257"/>
      <c r="Y1265" s="258"/>
      <c r="Z1265" s="257"/>
    </row>
    <row r="1266" spans="1:26" ht="15">
      <c r="A1266" s="250"/>
      <c r="B1266" s="251"/>
      <c r="C1266" s="251"/>
      <c r="D1266" s="292"/>
      <c r="E1266" s="251"/>
      <c r="F1266" s="252"/>
      <c r="G1266" s="253"/>
      <c r="H1266" s="254"/>
      <c r="I1266" s="253"/>
      <c r="J1266" s="253"/>
      <c r="K1266" s="251"/>
      <c r="L1266" s="255"/>
      <c r="M1266" s="258"/>
      <c r="N1266" s="257"/>
      <c r="O1266" s="258"/>
      <c r="P1266" s="257"/>
      <c r="Q1266" s="258"/>
      <c r="R1266" s="257"/>
      <c r="S1266" s="258"/>
      <c r="T1266" s="257"/>
      <c r="U1266" s="258"/>
      <c r="V1266" s="257"/>
      <c r="W1266" s="258"/>
      <c r="X1266" s="257"/>
      <c r="Y1266" s="258"/>
      <c r="Z1266" s="257"/>
    </row>
    <row r="1267" spans="1:26" ht="15">
      <c r="A1267" s="250">
        <f>A1264+1</f>
        <v>220</v>
      </c>
      <c r="B1267" s="251"/>
      <c r="C1267" s="526" t="s">
        <v>526</v>
      </c>
      <c r="D1267" s="526" t="s">
        <v>522</v>
      </c>
      <c r="E1267" s="251" t="s">
        <v>1620</v>
      </c>
      <c r="F1267" s="304">
        <f>M1267+O1267+Q1267+S1267+U1267+W1267+Y1267</f>
        <v>0</v>
      </c>
      <c r="G1267" s="253">
        <f>L1267</f>
        <v>1.06</v>
      </c>
      <c r="H1267" s="254">
        <f>INT(F1267*G1267*100+0.5)/100</f>
        <v>0</v>
      </c>
      <c r="I1267" s="253">
        <f>N1267+P1267+R1267+T1267+V1267+X1267+Z1267</f>
        <v>0</v>
      </c>
      <c r="J1267" s="253"/>
      <c r="K1267" s="251" t="s">
        <v>1620</v>
      </c>
      <c r="L1267" s="663">
        <v>1.06</v>
      </c>
      <c r="M1267" s="258">
        <v>0</v>
      </c>
      <c r="N1267" s="257">
        <f>INT($L1267*M1267*100+0.5)/100</f>
        <v>0</v>
      </c>
      <c r="O1267" s="258">
        <v>0</v>
      </c>
      <c r="P1267" s="257">
        <f>INT($L1267*O1267*100+0.5)/100</f>
        <v>0</v>
      </c>
      <c r="Q1267" s="258">
        <v>0</v>
      </c>
      <c r="R1267" s="257">
        <f>INT($L1267*Q1267*100+0.5)/100</f>
        <v>0</v>
      </c>
      <c r="S1267" s="258">
        <v>0</v>
      </c>
      <c r="T1267" s="257">
        <f>INT($L1267*S1267*100+0.5)/100</f>
        <v>0</v>
      </c>
      <c r="U1267" s="258">
        <v>0</v>
      </c>
      <c r="V1267" s="257">
        <f>INT($L1267*U1267*100+0.5)/100</f>
        <v>0</v>
      </c>
      <c r="W1267" s="258">
        <v>0</v>
      </c>
      <c r="X1267" s="257">
        <f>INT($L1267*W1267*100+0.5)/100</f>
        <v>0</v>
      </c>
      <c r="Y1267" s="258">
        <v>0</v>
      </c>
      <c r="Z1267" s="257">
        <f>INT($L1267*Y1267*100+0.5)/100</f>
        <v>0</v>
      </c>
    </row>
    <row r="1268" spans="1:26" ht="25.5">
      <c r="A1268" s="250"/>
      <c r="B1268" s="251"/>
      <c r="C1268" s="251"/>
      <c r="D1268" s="526" t="s">
        <v>523</v>
      </c>
      <c r="E1268" s="251"/>
      <c r="F1268" s="252"/>
      <c r="G1268" s="253"/>
      <c r="H1268" s="254"/>
      <c r="I1268" s="253"/>
      <c r="J1268" s="253"/>
      <c r="K1268" s="251"/>
      <c r="L1268" s="255"/>
      <c r="M1268" s="258"/>
      <c r="N1268" s="257"/>
      <c r="O1268" s="258"/>
      <c r="P1268" s="257"/>
      <c r="Q1268" s="258"/>
      <c r="R1268" s="257"/>
      <c r="S1268" s="258"/>
      <c r="T1268" s="257"/>
      <c r="U1268" s="258"/>
      <c r="V1268" s="257"/>
      <c r="W1268" s="258"/>
      <c r="X1268" s="257"/>
      <c r="Y1268" s="258"/>
      <c r="Z1268" s="257"/>
    </row>
    <row r="1269" spans="1:26" ht="15">
      <c r="A1269" s="250"/>
      <c r="B1269" s="251"/>
      <c r="C1269" s="251"/>
      <c r="D1269" s="292"/>
      <c r="E1269" s="251"/>
      <c r="F1269" s="252"/>
      <c r="G1269" s="253"/>
      <c r="H1269" s="254"/>
      <c r="I1269" s="253"/>
      <c r="J1269" s="253"/>
      <c r="K1269" s="251"/>
      <c r="L1269" s="255"/>
      <c r="M1269" s="258"/>
      <c r="N1269" s="257"/>
      <c r="O1269" s="258"/>
      <c r="P1269" s="257"/>
      <c r="Q1269" s="258"/>
      <c r="R1269" s="257"/>
      <c r="S1269" s="258"/>
      <c r="T1269" s="257"/>
      <c r="U1269" s="258"/>
      <c r="V1269" s="257"/>
      <c r="W1269" s="258"/>
      <c r="X1269" s="257"/>
      <c r="Y1269" s="258"/>
      <c r="Z1269" s="257"/>
    </row>
    <row r="1270" spans="1:26" ht="15">
      <c r="A1270" s="250">
        <f>A1267+1</f>
        <v>221</v>
      </c>
      <c r="B1270" s="251"/>
      <c r="C1270" s="526" t="s">
        <v>527</v>
      </c>
      <c r="D1270" s="526" t="s">
        <v>524</v>
      </c>
      <c r="E1270" s="251" t="s">
        <v>1620</v>
      </c>
      <c r="F1270" s="304">
        <f>M1270+O1270+Q1270+S1270+U1270+W1270+Y1270</f>
        <v>0</v>
      </c>
      <c r="G1270" s="253">
        <f>L1270</f>
        <v>1.23</v>
      </c>
      <c r="H1270" s="254">
        <f>INT(F1270*G1270*100+0.5)/100</f>
        <v>0</v>
      </c>
      <c r="I1270" s="253">
        <f>N1270+P1270+R1270+T1270+V1270+X1270+Z1270</f>
        <v>0</v>
      </c>
      <c r="J1270" s="253"/>
      <c r="K1270" s="251" t="s">
        <v>1620</v>
      </c>
      <c r="L1270" s="663">
        <v>1.23</v>
      </c>
      <c r="M1270" s="258">
        <v>0</v>
      </c>
      <c r="N1270" s="257">
        <f>INT($L1270*M1270*100+0.5)/100</f>
        <v>0</v>
      </c>
      <c r="O1270" s="258">
        <v>0</v>
      </c>
      <c r="P1270" s="257">
        <f>INT($L1270*O1270*100+0.5)/100</f>
        <v>0</v>
      </c>
      <c r="Q1270" s="258">
        <v>0</v>
      </c>
      <c r="R1270" s="257">
        <f>INT($L1270*Q1270*100+0.5)/100</f>
        <v>0</v>
      </c>
      <c r="S1270" s="258">
        <v>0</v>
      </c>
      <c r="T1270" s="257">
        <f>INT($L1270*S1270*100+0.5)/100</f>
        <v>0</v>
      </c>
      <c r="U1270" s="258">
        <v>0</v>
      </c>
      <c r="V1270" s="257">
        <f>INT($L1270*U1270*100+0.5)/100</f>
        <v>0</v>
      </c>
      <c r="W1270" s="258">
        <v>0</v>
      </c>
      <c r="X1270" s="257">
        <f>INT($L1270*W1270*100+0.5)/100</f>
        <v>0</v>
      </c>
      <c r="Y1270" s="258">
        <v>0</v>
      </c>
      <c r="Z1270" s="257">
        <f>INT($L1270*Y1270*100+0.5)/100</f>
        <v>0</v>
      </c>
    </row>
    <row r="1271" spans="1:26" ht="25.5">
      <c r="A1271" s="250"/>
      <c r="B1271" s="251"/>
      <c r="C1271" s="251"/>
      <c r="D1271" s="526" t="s">
        <v>525</v>
      </c>
      <c r="E1271" s="251"/>
      <c r="F1271" s="252"/>
      <c r="G1271" s="253"/>
      <c r="H1271" s="254"/>
      <c r="I1271" s="253"/>
      <c r="J1271" s="253"/>
      <c r="K1271" s="251"/>
      <c r="L1271" s="255"/>
      <c r="M1271" s="258"/>
      <c r="N1271" s="257"/>
      <c r="O1271" s="258"/>
      <c r="P1271" s="257"/>
      <c r="Q1271" s="258"/>
      <c r="R1271" s="257"/>
      <c r="S1271" s="258"/>
      <c r="T1271" s="257"/>
      <c r="U1271" s="258"/>
      <c r="V1271" s="257"/>
      <c r="W1271" s="258"/>
      <c r="X1271" s="257"/>
      <c r="Y1271" s="258"/>
      <c r="Z1271" s="257"/>
    </row>
    <row r="1272" spans="1:26" ht="15">
      <c r="A1272" s="250"/>
      <c r="B1272" s="251"/>
      <c r="C1272" s="251"/>
      <c r="D1272" s="292"/>
      <c r="E1272" s="251"/>
      <c r="F1272" s="252"/>
      <c r="G1272" s="253"/>
      <c r="H1272" s="254"/>
      <c r="I1272" s="253"/>
      <c r="J1272" s="253"/>
      <c r="K1272" s="251"/>
      <c r="L1272" s="255"/>
      <c r="M1272" s="258"/>
      <c r="N1272" s="257"/>
      <c r="O1272" s="258"/>
      <c r="P1272" s="257"/>
      <c r="Q1272" s="258"/>
      <c r="R1272" s="257"/>
      <c r="S1272" s="258"/>
      <c r="T1272" s="257"/>
      <c r="U1272" s="258"/>
      <c r="V1272" s="257"/>
      <c r="W1272" s="258"/>
      <c r="X1272" s="257"/>
      <c r="Y1272" s="258"/>
      <c r="Z1272" s="257"/>
    </row>
    <row r="1273" spans="1:26" ht="15">
      <c r="A1273" s="250">
        <f>A1270+1</f>
        <v>222</v>
      </c>
      <c r="B1273" s="251"/>
      <c r="C1273" s="526" t="s">
        <v>847</v>
      </c>
      <c r="D1273" s="526" t="s">
        <v>269</v>
      </c>
      <c r="E1273" s="251" t="s">
        <v>1620</v>
      </c>
      <c r="F1273" s="304">
        <f>M1273+O1273+Q1273+S1273+U1273+W1273+Y1273</f>
        <v>3600</v>
      </c>
      <c r="G1273" s="253">
        <f>L1273</f>
        <v>2</v>
      </c>
      <c r="H1273" s="254">
        <f>INT(F1273*G1273*100+0.5)/100</f>
        <v>7200</v>
      </c>
      <c r="I1273" s="253">
        <f>N1273+P1273+R1273+T1273+V1273+X1273+Z1273</f>
        <v>7200</v>
      </c>
      <c r="J1273" s="253"/>
      <c r="K1273" s="251" t="s">
        <v>1620</v>
      </c>
      <c r="L1273" s="255">
        <v>2</v>
      </c>
      <c r="M1273" s="258">
        <v>0</v>
      </c>
      <c r="N1273" s="257">
        <f>INT($L1273*M1273*100+0.5)/100</f>
        <v>0</v>
      </c>
      <c r="O1273" s="258">
        <v>0</v>
      </c>
      <c r="P1273" s="257">
        <f>INT($L1273*O1273*100+0.5)/100</f>
        <v>0</v>
      </c>
      <c r="Q1273" s="258">
        <f>(35*2+5)*80*0.6</f>
        <v>3600</v>
      </c>
      <c r="R1273" s="257">
        <f>INT($L1273*Q1273*100+0.5)/100</f>
        <v>7200</v>
      </c>
      <c r="S1273" s="258">
        <v>0</v>
      </c>
      <c r="T1273" s="257">
        <f>INT($L1273*S1273*100+0.5)/100</f>
        <v>0</v>
      </c>
      <c r="U1273" s="258">
        <v>0</v>
      </c>
      <c r="V1273" s="257">
        <f>INT($L1273*U1273*100+0.5)/100</f>
        <v>0</v>
      </c>
      <c r="W1273" s="258">
        <v>0</v>
      </c>
      <c r="X1273" s="257">
        <f>INT($L1273*W1273*100+0.5)/100</f>
        <v>0</v>
      </c>
      <c r="Y1273" s="258">
        <v>0</v>
      </c>
      <c r="Z1273" s="257">
        <f>INT($L1273*Y1273*100+0.5)/100</f>
        <v>0</v>
      </c>
    </row>
    <row r="1274" spans="1:26" ht="25.5">
      <c r="A1274" s="250"/>
      <c r="B1274" s="251"/>
      <c r="C1274" s="251"/>
      <c r="D1274" s="526" t="s">
        <v>268</v>
      </c>
      <c r="E1274" s="251"/>
      <c r="F1274" s="252"/>
      <c r="G1274" s="253"/>
      <c r="H1274" s="254"/>
      <c r="I1274" s="253"/>
      <c r="J1274" s="253"/>
      <c r="K1274" s="251"/>
      <c r="L1274" s="255"/>
      <c r="M1274" s="258"/>
      <c r="N1274" s="257"/>
      <c r="O1274" s="258"/>
      <c r="P1274" s="257"/>
      <c r="Q1274" s="258"/>
      <c r="R1274" s="257"/>
      <c r="S1274" s="258"/>
      <c r="T1274" s="257"/>
      <c r="U1274" s="258"/>
      <c r="V1274" s="257"/>
      <c r="W1274" s="258"/>
      <c r="X1274" s="257"/>
      <c r="Y1274" s="258"/>
      <c r="Z1274" s="257"/>
    </row>
    <row r="1275" spans="1:26" ht="15">
      <c r="A1275" s="250"/>
      <c r="B1275" s="251"/>
      <c r="C1275" s="251"/>
      <c r="D1275" s="292"/>
      <c r="E1275" s="251"/>
      <c r="F1275" s="252"/>
      <c r="G1275" s="253"/>
      <c r="H1275" s="254"/>
      <c r="I1275" s="253"/>
      <c r="J1275" s="253"/>
      <c r="K1275" s="251"/>
      <c r="L1275" s="255"/>
      <c r="M1275" s="258"/>
      <c r="N1275" s="257"/>
      <c r="O1275" s="258"/>
      <c r="P1275" s="257"/>
      <c r="Q1275" s="258"/>
      <c r="R1275" s="257"/>
      <c r="S1275" s="258"/>
      <c r="T1275" s="257"/>
      <c r="U1275" s="258"/>
      <c r="V1275" s="257"/>
      <c r="W1275" s="258"/>
      <c r="X1275" s="257"/>
      <c r="Y1275" s="258"/>
      <c r="Z1275" s="257"/>
    </row>
    <row r="1276" spans="1:26" ht="15">
      <c r="A1276" s="250">
        <f>A1273+1</f>
        <v>223</v>
      </c>
      <c r="B1276" s="251"/>
      <c r="C1276" s="526" t="s">
        <v>374</v>
      </c>
      <c r="D1276" s="526" t="s">
        <v>271</v>
      </c>
      <c r="E1276" s="251" t="s">
        <v>1620</v>
      </c>
      <c r="F1276" s="304">
        <f>M1276+O1276+Q1276+S1276+U1276+W1276+Y1276</f>
        <v>160</v>
      </c>
      <c r="G1276" s="253">
        <f>L1276</f>
        <v>2.0699999999999998</v>
      </c>
      <c r="H1276" s="254">
        <f>INT(F1276*G1276*100+0.5)/100</f>
        <v>331.2</v>
      </c>
      <c r="I1276" s="253">
        <f>N1276+P1276+R1276+T1276+V1276+X1276+Z1276</f>
        <v>331.2</v>
      </c>
      <c r="J1276" s="253"/>
      <c r="K1276" s="251" t="s">
        <v>1620</v>
      </c>
      <c r="L1276" s="255">
        <v>2.0699999999999998</v>
      </c>
      <c r="M1276" s="258">
        <f>2*80</f>
        <v>160</v>
      </c>
      <c r="N1276" s="257">
        <f>INT($L1276*M1276*100+0.5)/100</f>
        <v>331.2</v>
      </c>
      <c r="O1276" s="258">
        <v>0</v>
      </c>
      <c r="P1276" s="257">
        <f>INT($L1276*O1276*100+0.5)/100</f>
        <v>0</v>
      </c>
      <c r="Q1276" s="258">
        <v>0</v>
      </c>
      <c r="R1276" s="257">
        <f>INT($L1276*Q1276*100+0.5)/100</f>
        <v>0</v>
      </c>
      <c r="S1276" s="258">
        <v>0</v>
      </c>
      <c r="T1276" s="257">
        <f>INT($L1276*S1276*100+0.5)/100</f>
        <v>0</v>
      </c>
      <c r="U1276" s="258">
        <v>0</v>
      </c>
      <c r="V1276" s="257">
        <f>INT($L1276*U1276*100+0.5)/100</f>
        <v>0</v>
      </c>
      <c r="W1276" s="258">
        <v>0</v>
      </c>
      <c r="X1276" s="257">
        <f>INT($L1276*W1276*100+0.5)/100</f>
        <v>0</v>
      </c>
      <c r="Y1276" s="258">
        <v>0</v>
      </c>
      <c r="Z1276" s="257">
        <f>INT($L1276*Y1276*100+0.5)/100</f>
        <v>0</v>
      </c>
    </row>
    <row r="1277" spans="1:26" ht="25.5">
      <c r="A1277" s="250"/>
      <c r="B1277" s="251"/>
      <c r="C1277" s="251"/>
      <c r="D1277" s="526" t="s">
        <v>270</v>
      </c>
      <c r="E1277" s="251"/>
      <c r="F1277" s="252"/>
      <c r="G1277" s="253"/>
      <c r="H1277" s="254"/>
      <c r="I1277" s="253"/>
      <c r="J1277" s="253"/>
      <c r="K1277" s="251"/>
      <c r="L1277" s="255"/>
      <c r="M1277" s="258"/>
      <c r="N1277" s="257"/>
      <c r="O1277" s="258"/>
      <c r="P1277" s="257"/>
      <c r="Q1277" s="258"/>
      <c r="R1277" s="257"/>
      <c r="S1277" s="258"/>
      <c r="T1277" s="257"/>
      <c r="U1277" s="258"/>
      <c r="V1277" s="257"/>
      <c r="W1277" s="258"/>
      <c r="X1277" s="257"/>
      <c r="Y1277" s="258"/>
      <c r="Z1277" s="257"/>
    </row>
    <row r="1278" spans="1:26" ht="15">
      <c r="A1278" s="250"/>
      <c r="B1278" s="251"/>
      <c r="C1278" s="251"/>
      <c r="D1278" s="292"/>
      <c r="E1278" s="251"/>
      <c r="F1278" s="252"/>
      <c r="G1278" s="253"/>
      <c r="H1278" s="254"/>
      <c r="I1278" s="253"/>
      <c r="J1278" s="253"/>
      <c r="K1278" s="251"/>
      <c r="L1278" s="255"/>
      <c r="M1278" s="258"/>
      <c r="N1278" s="257"/>
      <c r="O1278" s="258"/>
      <c r="P1278" s="257"/>
      <c r="Q1278" s="258"/>
      <c r="R1278" s="257"/>
      <c r="S1278" s="258"/>
      <c r="T1278" s="257"/>
      <c r="U1278" s="258"/>
      <c r="V1278" s="257"/>
      <c r="W1278" s="258"/>
      <c r="X1278" s="257"/>
      <c r="Y1278" s="258"/>
      <c r="Z1278" s="257"/>
    </row>
    <row r="1279" spans="1:26" ht="15">
      <c r="A1279" s="250">
        <f>A1276+1</f>
        <v>224</v>
      </c>
      <c r="B1279" s="251"/>
      <c r="C1279" s="526" t="s">
        <v>375</v>
      </c>
      <c r="D1279" s="526" t="s">
        <v>497</v>
      </c>
      <c r="E1279" s="251" t="s">
        <v>1620</v>
      </c>
      <c r="F1279" s="304">
        <f>M1279+O1279+Q1279+S1279+U1279+W1279+Y1279</f>
        <v>0</v>
      </c>
      <c r="G1279" s="253">
        <f>L1279</f>
        <v>2.87</v>
      </c>
      <c r="H1279" s="254">
        <f>INT(F1279*G1279*100+0.5)/100</f>
        <v>0</v>
      </c>
      <c r="I1279" s="253">
        <f>N1279+P1279+R1279+T1279+V1279+X1279+Z1279</f>
        <v>0</v>
      </c>
      <c r="J1279" s="253"/>
      <c r="K1279" s="251" t="s">
        <v>1620</v>
      </c>
      <c r="L1279" s="663">
        <v>2.87</v>
      </c>
      <c r="M1279" s="258">
        <v>0</v>
      </c>
      <c r="N1279" s="257">
        <f>INT($L1279*M1279*100+0.5)/100</f>
        <v>0</v>
      </c>
      <c r="O1279" s="258">
        <v>0</v>
      </c>
      <c r="P1279" s="257">
        <f>INT($L1279*O1279*100+0.5)/100</f>
        <v>0</v>
      </c>
      <c r="Q1279" s="258">
        <v>0</v>
      </c>
      <c r="R1279" s="257">
        <f>INT($L1279*Q1279*100+0.5)/100</f>
        <v>0</v>
      </c>
      <c r="S1279" s="258">
        <v>0</v>
      </c>
      <c r="T1279" s="257">
        <f>INT($L1279*S1279*100+0.5)/100</f>
        <v>0</v>
      </c>
      <c r="U1279" s="258">
        <v>0</v>
      </c>
      <c r="V1279" s="257">
        <f>INT($L1279*U1279*100+0.5)/100</f>
        <v>0</v>
      </c>
      <c r="W1279" s="258">
        <v>0</v>
      </c>
      <c r="X1279" s="257">
        <f>INT($L1279*W1279*100+0.5)/100</f>
        <v>0</v>
      </c>
      <c r="Y1279" s="258">
        <v>0</v>
      </c>
      <c r="Z1279" s="257">
        <f>INT($L1279*Y1279*100+0.5)/100</f>
        <v>0</v>
      </c>
    </row>
    <row r="1280" spans="1:26" ht="25.5">
      <c r="A1280" s="250"/>
      <c r="B1280" s="251"/>
      <c r="C1280" s="251"/>
      <c r="D1280" s="526" t="s">
        <v>496</v>
      </c>
      <c r="E1280" s="251"/>
      <c r="F1280" s="252"/>
      <c r="G1280" s="253"/>
      <c r="H1280" s="254"/>
      <c r="I1280" s="253"/>
      <c r="J1280" s="253"/>
      <c r="K1280" s="251"/>
      <c r="L1280" s="663"/>
      <c r="M1280" s="258"/>
      <c r="N1280" s="257"/>
      <c r="O1280" s="258"/>
      <c r="P1280" s="257"/>
      <c r="Q1280" s="258"/>
      <c r="R1280" s="257"/>
      <c r="S1280" s="258"/>
      <c r="T1280" s="257"/>
      <c r="U1280" s="258"/>
      <c r="V1280" s="257"/>
      <c r="W1280" s="258"/>
      <c r="X1280" s="257"/>
      <c r="Y1280" s="258"/>
      <c r="Z1280" s="257"/>
    </row>
    <row r="1281" spans="1:26" ht="15">
      <c r="A1281" s="250"/>
      <c r="B1281" s="251"/>
      <c r="C1281" s="251"/>
      <c r="D1281" s="292"/>
      <c r="E1281" s="251"/>
      <c r="F1281" s="252"/>
      <c r="G1281" s="253"/>
      <c r="H1281" s="254"/>
      <c r="I1281" s="253"/>
      <c r="J1281" s="253"/>
      <c r="K1281" s="251"/>
      <c r="L1281" s="663"/>
      <c r="M1281" s="258"/>
      <c r="N1281" s="257"/>
      <c r="O1281" s="258"/>
      <c r="P1281" s="257"/>
      <c r="Q1281" s="258"/>
      <c r="R1281" s="257"/>
      <c r="S1281" s="258"/>
      <c r="T1281" s="257"/>
      <c r="U1281" s="258"/>
      <c r="V1281" s="257"/>
      <c r="W1281" s="258"/>
      <c r="X1281" s="257"/>
      <c r="Y1281" s="258"/>
      <c r="Z1281" s="257"/>
    </row>
    <row r="1282" spans="1:26" ht="15">
      <c r="A1282" s="250">
        <f>A1279+1</f>
        <v>225</v>
      </c>
      <c r="B1282" s="251"/>
      <c r="C1282" s="526" t="s">
        <v>376</v>
      </c>
      <c r="D1282" s="526" t="s">
        <v>499</v>
      </c>
      <c r="E1282" s="251" t="s">
        <v>1620</v>
      </c>
      <c r="F1282" s="304">
        <f>M1282+O1282+Q1282+S1282+U1282+W1282+Y1282</f>
        <v>0</v>
      </c>
      <c r="G1282" s="253">
        <f>L1282</f>
        <v>3.25</v>
      </c>
      <c r="H1282" s="254">
        <f>INT(F1282*G1282*100+0.5)/100</f>
        <v>0</v>
      </c>
      <c r="I1282" s="253">
        <f>N1282+P1282+R1282+T1282+V1282+X1282+Z1282</f>
        <v>0</v>
      </c>
      <c r="J1282" s="253"/>
      <c r="K1282" s="251" t="s">
        <v>1620</v>
      </c>
      <c r="L1282" s="663">
        <v>3.25</v>
      </c>
      <c r="M1282" s="258">
        <v>0</v>
      </c>
      <c r="N1282" s="257">
        <f>INT($L1282*M1282*100+0.5)/100</f>
        <v>0</v>
      </c>
      <c r="O1282" s="258">
        <v>0</v>
      </c>
      <c r="P1282" s="257">
        <f>INT($L1282*O1282*100+0.5)/100</f>
        <v>0</v>
      </c>
      <c r="Q1282" s="258">
        <v>0</v>
      </c>
      <c r="R1282" s="257">
        <f>INT($L1282*Q1282*100+0.5)/100</f>
        <v>0</v>
      </c>
      <c r="S1282" s="258">
        <v>0</v>
      </c>
      <c r="T1282" s="257">
        <f>INT($L1282*S1282*100+0.5)/100</f>
        <v>0</v>
      </c>
      <c r="U1282" s="258">
        <v>0</v>
      </c>
      <c r="V1282" s="257">
        <f>INT($L1282*U1282*100+0.5)/100</f>
        <v>0</v>
      </c>
      <c r="W1282" s="258">
        <v>0</v>
      </c>
      <c r="X1282" s="257">
        <f>INT($L1282*W1282*100+0.5)/100</f>
        <v>0</v>
      </c>
      <c r="Y1282" s="258">
        <v>0</v>
      </c>
      <c r="Z1282" s="257">
        <f>INT($L1282*Y1282*100+0.5)/100</f>
        <v>0</v>
      </c>
    </row>
    <row r="1283" spans="1:26" ht="25.5">
      <c r="A1283" s="250"/>
      <c r="B1283" s="251"/>
      <c r="C1283" s="251"/>
      <c r="D1283" s="526" t="s">
        <v>498</v>
      </c>
      <c r="E1283" s="251"/>
      <c r="F1283" s="252"/>
      <c r="G1283" s="253"/>
      <c r="H1283" s="254"/>
      <c r="I1283" s="253"/>
      <c r="J1283" s="253"/>
      <c r="K1283" s="251"/>
      <c r="L1283" s="663"/>
      <c r="M1283" s="258"/>
      <c r="N1283" s="257"/>
      <c r="O1283" s="258"/>
      <c r="P1283" s="257"/>
      <c r="Q1283" s="258"/>
      <c r="R1283" s="257"/>
      <c r="S1283" s="258"/>
      <c r="T1283" s="257"/>
      <c r="U1283" s="258"/>
      <c r="V1283" s="257"/>
      <c r="W1283" s="258"/>
      <c r="X1283" s="257"/>
      <c r="Y1283" s="258"/>
      <c r="Z1283" s="257"/>
    </row>
    <row r="1284" spans="1:26" ht="15">
      <c r="A1284" s="250"/>
      <c r="B1284" s="251"/>
      <c r="C1284" s="251"/>
      <c r="D1284" s="292"/>
      <c r="E1284" s="251"/>
      <c r="F1284" s="252"/>
      <c r="G1284" s="253"/>
      <c r="H1284" s="254"/>
      <c r="I1284" s="253"/>
      <c r="J1284" s="253"/>
      <c r="K1284" s="251"/>
      <c r="L1284" s="663"/>
      <c r="M1284" s="258"/>
      <c r="N1284" s="257"/>
      <c r="O1284" s="258"/>
      <c r="P1284" s="257"/>
      <c r="Q1284" s="258"/>
      <c r="R1284" s="257"/>
      <c r="S1284" s="258"/>
      <c r="T1284" s="257"/>
      <c r="U1284" s="258"/>
      <c r="V1284" s="257"/>
      <c r="W1284" s="258"/>
      <c r="X1284" s="257"/>
      <c r="Y1284" s="258"/>
      <c r="Z1284" s="257"/>
    </row>
    <row r="1285" spans="1:26" ht="15">
      <c r="A1285" s="250">
        <f>A1282+1</f>
        <v>226</v>
      </c>
      <c r="B1285" s="251"/>
      <c r="C1285" s="526" t="s">
        <v>377</v>
      </c>
      <c r="D1285" s="526" t="s">
        <v>304</v>
      </c>
      <c r="E1285" s="251" t="s">
        <v>1620</v>
      </c>
      <c r="F1285" s="304">
        <f>M1285+O1285+Q1285+S1285+U1285+W1285+Y1285</f>
        <v>0</v>
      </c>
      <c r="G1285" s="253">
        <f>L1285</f>
        <v>5.0599999999999996</v>
      </c>
      <c r="H1285" s="254">
        <f>INT(F1285*G1285*100+0.5)/100</f>
        <v>0</v>
      </c>
      <c r="I1285" s="253">
        <f>N1285+P1285+R1285+T1285+V1285+X1285+Z1285</f>
        <v>0</v>
      </c>
      <c r="J1285" s="253"/>
      <c r="K1285" s="251" t="s">
        <v>1620</v>
      </c>
      <c r="L1285" s="663">
        <v>5.0599999999999996</v>
      </c>
      <c r="M1285" s="258">
        <v>0</v>
      </c>
      <c r="N1285" s="257">
        <f>INT($L1285*M1285*100+0.5)/100</f>
        <v>0</v>
      </c>
      <c r="O1285" s="258">
        <v>0</v>
      </c>
      <c r="P1285" s="257">
        <f>INT($L1285*O1285*100+0.5)/100</f>
        <v>0</v>
      </c>
      <c r="Q1285" s="258">
        <v>0</v>
      </c>
      <c r="R1285" s="257">
        <f>INT($L1285*Q1285*100+0.5)/100</f>
        <v>0</v>
      </c>
      <c r="S1285" s="258">
        <v>0</v>
      </c>
      <c r="T1285" s="257">
        <f>INT($L1285*S1285*100+0.5)/100</f>
        <v>0</v>
      </c>
      <c r="U1285" s="258">
        <v>0</v>
      </c>
      <c r="V1285" s="257">
        <f>INT($L1285*U1285*100+0.5)/100</f>
        <v>0</v>
      </c>
      <c r="W1285" s="258">
        <v>0</v>
      </c>
      <c r="X1285" s="257">
        <f>INT($L1285*W1285*100+0.5)/100</f>
        <v>0</v>
      </c>
      <c r="Y1285" s="258">
        <v>0</v>
      </c>
      <c r="Z1285" s="257">
        <f>INT($L1285*Y1285*100+0.5)/100</f>
        <v>0</v>
      </c>
    </row>
    <row r="1286" spans="1:26" ht="25.5">
      <c r="A1286" s="250"/>
      <c r="B1286" s="251"/>
      <c r="C1286" s="251"/>
      <c r="D1286" s="526" t="s">
        <v>303</v>
      </c>
      <c r="E1286" s="251"/>
      <c r="F1286" s="252"/>
      <c r="G1286" s="253"/>
      <c r="H1286" s="254"/>
      <c r="I1286" s="253"/>
      <c r="J1286" s="253"/>
      <c r="K1286" s="251"/>
      <c r="L1286" s="663"/>
      <c r="M1286" s="258"/>
      <c r="N1286" s="257"/>
      <c r="O1286" s="258"/>
      <c r="P1286" s="257"/>
      <c r="Q1286" s="258"/>
      <c r="R1286" s="257"/>
      <c r="S1286" s="258"/>
      <c r="T1286" s="257"/>
      <c r="U1286" s="258"/>
      <c r="V1286" s="257"/>
      <c r="W1286" s="258"/>
      <c r="X1286" s="257"/>
      <c r="Y1286" s="258"/>
      <c r="Z1286" s="257"/>
    </row>
    <row r="1287" spans="1:26" ht="15">
      <c r="A1287" s="250"/>
      <c r="B1287" s="251"/>
      <c r="C1287" s="251"/>
      <c r="D1287" s="292"/>
      <c r="E1287" s="251"/>
      <c r="F1287" s="252"/>
      <c r="G1287" s="253"/>
      <c r="H1287" s="254"/>
      <c r="I1287" s="253"/>
      <c r="J1287" s="253"/>
      <c r="K1287" s="251"/>
      <c r="L1287" s="663"/>
      <c r="M1287" s="258"/>
      <c r="N1287" s="257"/>
      <c r="O1287" s="258"/>
      <c r="P1287" s="257"/>
      <c r="Q1287" s="258"/>
      <c r="R1287" s="257"/>
      <c r="S1287" s="258"/>
      <c r="T1287" s="257"/>
      <c r="U1287" s="258"/>
      <c r="V1287" s="257"/>
      <c r="W1287" s="258"/>
      <c r="X1287" s="257"/>
      <c r="Y1287" s="258"/>
      <c r="Z1287" s="257"/>
    </row>
    <row r="1288" spans="1:26" ht="15">
      <c r="A1288" s="250">
        <f>A1285+1</f>
        <v>227</v>
      </c>
      <c r="B1288" s="251"/>
      <c r="C1288" s="526" t="s">
        <v>2153</v>
      </c>
      <c r="D1288" s="526" t="s">
        <v>433</v>
      </c>
      <c r="E1288" s="251" t="s">
        <v>1901</v>
      </c>
      <c r="F1288" s="304">
        <f>M1288+O1288+Q1288+S1288+U1288+W1288+Y1288</f>
        <v>0</v>
      </c>
      <c r="G1288" s="253">
        <f>L1288</f>
        <v>5.9</v>
      </c>
      <c r="H1288" s="254">
        <f>INT(F1288*G1288*100+0.5)/100</f>
        <v>0</v>
      </c>
      <c r="I1288" s="253">
        <f>N1288+P1288+R1288+T1288+V1288+X1288+Z1288</f>
        <v>0</v>
      </c>
      <c r="J1288" s="253"/>
      <c r="K1288" s="251" t="s">
        <v>1901</v>
      </c>
      <c r="L1288" s="663">
        <v>5.9</v>
      </c>
      <c r="M1288" s="258">
        <v>0</v>
      </c>
      <c r="N1288" s="257">
        <f>INT($L1288*M1288*100+0.5)/100</f>
        <v>0</v>
      </c>
      <c r="O1288" s="258">
        <v>0</v>
      </c>
      <c r="P1288" s="257">
        <f>INT($L1288*O1288*100+0.5)/100</f>
        <v>0</v>
      </c>
      <c r="Q1288" s="258">
        <v>0</v>
      </c>
      <c r="R1288" s="257">
        <f>INT($L1288*Q1288*100+0.5)/100</f>
        <v>0</v>
      </c>
      <c r="S1288" s="258">
        <v>0</v>
      </c>
      <c r="T1288" s="257">
        <f>INT($L1288*S1288*100+0.5)/100</f>
        <v>0</v>
      </c>
      <c r="U1288" s="258">
        <v>0</v>
      </c>
      <c r="V1288" s="257">
        <f>INT($L1288*U1288*100+0.5)/100</f>
        <v>0</v>
      </c>
      <c r="W1288" s="258">
        <v>0</v>
      </c>
      <c r="X1288" s="257">
        <f>INT($L1288*W1288*100+0.5)/100</f>
        <v>0</v>
      </c>
      <c r="Y1288" s="258">
        <v>0</v>
      </c>
      <c r="Z1288" s="257">
        <f>INT($L1288*Y1288*100+0.5)/100</f>
        <v>0</v>
      </c>
    </row>
    <row r="1289" spans="1:26" ht="25.5">
      <c r="A1289" s="250"/>
      <c r="B1289" s="251"/>
      <c r="C1289" s="251"/>
      <c r="D1289" s="526" t="s">
        <v>432</v>
      </c>
      <c r="E1289" s="251"/>
      <c r="F1289" s="252"/>
      <c r="G1289" s="253"/>
      <c r="H1289" s="254"/>
      <c r="I1289" s="253"/>
      <c r="J1289" s="253"/>
      <c r="K1289" s="251"/>
      <c r="L1289" s="261"/>
      <c r="M1289" s="258"/>
      <c r="N1289" s="257"/>
      <c r="O1289" s="258"/>
      <c r="P1289" s="257"/>
      <c r="Q1289" s="258"/>
      <c r="R1289" s="257"/>
      <c r="S1289" s="258"/>
      <c r="T1289" s="257"/>
      <c r="U1289" s="258"/>
      <c r="V1289" s="257"/>
      <c r="W1289" s="258"/>
      <c r="X1289" s="257"/>
      <c r="Y1289" s="258"/>
      <c r="Z1289" s="257"/>
    </row>
    <row r="1290" spans="1:26" ht="15" customHeight="1">
      <c r="A1290" s="250"/>
      <c r="B1290" s="251"/>
      <c r="C1290" s="251"/>
      <c r="D1290" s="526"/>
      <c r="E1290" s="251"/>
      <c r="F1290" s="252"/>
      <c r="G1290" s="253"/>
      <c r="H1290" s="254"/>
      <c r="I1290" s="253"/>
      <c r="J1290" s="253"/>
      <c r="K1290" s="251"/>
      <c r="L1290" s="261"/>
      <c r="M1290" s="258"/>
      <c r="N1290" s="257"/>
      <c r="O1290" s="258"/>
      <c r="P1290" s="257"/>
      <c r="Q1290" s="258"/>
      <c r="R1290" s="257"/>
      <c r="S1290" s="258"/>
      <c r="T1290" s="257"/>
      <c r="U1290" s="258"/>
      <c r="V1290" s="257"/>
      <c r="W1290" s="258"/>
      <c r="X1290" s="257"/>
      <c r="Y1290" s="258"/>
      <c r="Z1290" s="257"/>
    </row>
    <row r="1291" spans="1:26" s="303" customFormat="1" ht="30">
      <c r="A1291" s="298"/>
      <c r="B1291" s="299"/>
      <c r="C1291" s="267" t="s">
        <v>1575</v>
      </c>
      <c r="D1291" s="333" t="s">
        <v>1580</v>
      </c>
      <c r="E1291" s="299"/>
      <c r="F1291" s="301"/>
      <c r="G1291" s="273"/>
      <c r="H1291" s="273"/>
      <c r="I1291" s="272">
        <f>N1291+P1291+R1291+T1291+V1291+X1291+Z1291</f>
        <v>7531.2</v>
      </c>
      <c r="J1291" s="269">
        <f>SUM(N1291:Z1291)</f>
        <v>7531.2</v>
      </c>
      <c r="K1291" s="299"/>
      <c r="L1291" s="271"/>
      <c r="M1291" s="273"/>
      <c r="N1291" s="273">
        <f>SUM(N1264:N1290)</f>
        <v>331.2</v>
      </c>
      <c r="O1291" s="273"/>
      <c r="P1291" s="273">
        <f>SUM(P1264:P1290)</f>
        <v>0</v>
      </c>
      <c r="Q1291" s="273"/>
      <c r="R1291" s="273">
        <f>SUM(R1264:R1290)</f>
        <v>7200</v>
      </c>
      <c r="S1291" s="273"/>
      <c r="T1291" s="273">
        <f>SUM(T1264:T1290)</f>
        <v>0</v>
      </c>
      <c r="U1291" s="273"/>
      <c r="V1291" s="273">
        <f>SUM(V1264:V1290)</f>
        <v>0</v>
      </c>
      <c r="W1291" s="273"/>
      <c r="X1291" s="273">
        <f>SUM(X1264:X1290)</f>
        <v>0</v>
      </c>
      <c r="Y1291" s="273"/>
      <c r="Z1291" s="273">
        <f>SUM(Z1264:Z1290)</f>
        <v>0</v>
      </c>
    </row>
    <row r="1292" spans="1:26" ht="15" customHeight="1">
      <c r="A1292" s="250"/>
      <c r="B1292" s="251"/>
      <c r="C1292" s="453"/>
      <c r="D1292" s="330"/>
      <c r="E1292" s="251"/>
      <c r="F1292" s="252"/>
      <c r="G1292" s="253"/>
      <c r="H1292" s="254"/>
      <c r="I1292" s="694">
        <f>I1291/'CompSolo Wolf'!I1280</f>
        <v>0.60265027847128871</v>
      </c>
      <c r="J1292" s="253"/>
      <c r="K1292" s="251"/>
      <c r="L1292" s="261"/>
      <c r="M1292" s="258"/>
      <c r="N1292" s="494">
        <f>N1291/$N$1941</f>
        <v>2.3945613958095031E-3</v>
      </c>
      <c r="O1292" s="258"/>
      <c r="P1292" s="257"/>
      <c r="Q1292" s="258"/>
      <c r="R1292" s="257"/>
      <c r="S1292" s="258"/>
      <c r="T1292" s="257"/>
      <c r="U1292" s="258"/>
      <c r="V1292" s="257"/>
      <c r="W1292" s="258"/>
      <c r="X1292" s="257"/>
      <c r="Y1292" s="258"/>
      <c r="Z1292" s="257"/>
    </row>
    <row r="1293" spans="1:26" ht="25.5">
      <c r="A1293" s="250"/>
      <c r="B1293" s="251"/>
      <c r="C1293" s="453" t="s">
        <v>1579</v>
      </c>
      <c r="D1293" s="330" t="s">
        <v>1581</v>
      </c>
      <c r="E1293" s="251"/>
      <c r="F1293" s="252"/>
      <c r="G1293" s="253"/>
      <c r="H1293" s="254"/>
      <c r="I1293" s="253"/>
      <c r="J1293" s="253"/>
      <c r="K1293" s="251"/>
      <c r="L1293" s="261"/>
      <c r="M1293" s="258"/>
      <c r="N1293" s="257"/>
      <c r="O1293" s="258"/>
      <c r="P1293" s="257"/>
      <c r="Q1293" s="258"/>
      <c r="R1293" s="257"/>
      <c r="S1293" s="258"/>
      <c r="T1293" s="257"/>
      <c r="U1293" s="258"/>
      <c r="V1293" s="257"/>
      <c r="W1293" s="258"/>
      <c r="X1293" s="257"/>
      <c r="Y1293" s="258"/>
      <c r="Z1293" s="257"/>
    </row>
    <row r="1294" spans="1:26" ht="25.5">
      <c r="A1294" s="250">
        <f>A1288+1</f>
        <v>228</v>
      </c>
      <c r="B1294" s="251"/>
      <c r="C1294" s="526" t="s">
        <v>2154</v>
      </c>
      <c r="D1294" s="526" t="s">
        <v>501</v>
      </c>
      <c r="E1294" s="251" t="s">
        <v>1901</v>
      </c>
      <c r="F1294" s="304">
        <f>M1294+O1294+Q1294+S1294+U1294+W1294+Y1294</f>
        <v>0</v>
      </c>
      <c r="G1294" s="253">
        <f>L1294</f>
        <v>221.95</v>
      </c>
      <c r="H1294" s="254">
        <f>INT(F1294*G1294*100+0.5)/100</f>
        <v>0</v>
      </c>
      <c r="I1294" s="253">
        <f>N1294+P1294+R1294+T1294+V1294+X1294+Z1294</f>
        <v>0</v>
      </c>
      <c r="J1294" s="253"/>
      <c r="K1294" s="251" t="s">
        <v>1901</v>
      </c>
      <c r="L1294" s="663">
        <v>221.95</v>
      </c>
      <c r="M1294" s="258">
        <v>0</v>
      </c>
      <c r="N1294" s="257">
        <f>INT($L1294*M1294*100+0.5)/100</f>
        <v>0</v>
      </c>
      <c r="O1294" s="258">
        <v>0</v>
      </c>
      <c r="P1294" s="257">
        <f>INT($L1294*O1294*100+0.5)/100</f>
        <v>0</v>
      </c>
      <c r="Q1294" s="258">
        <v>0</v>
      </c>
      <c r="R1294" s="257">
        <f>INT($L1294*Q1294*100+0.5)/100</f>
        <v>0</v>
      </c>
      <c r="S1294" s="258">
        <v>0</v>
      </c>
      <c r="T1294" s="257">
        <f>INT($L1294*S1294*100+0.5)/100</f>
        <v>0</v>
      </c>
      <c r="U1294" s="258">
        <v>0</v>
      </c>
      <c r="V1294" s="257">
        <f>INT($L1294*U1294*100+0.5)/100</f>
        <v>0</v>
      </c>
      <c r="W1294" s="258">
        <v>0</v>
      </c>
      <c r="X1294" s="257">
        <f>INT($L1294*W1294*100+0.5)/100</f>
        <v>0</v>
      </c>
      <c r="Y1294" s="258">
        <v>0</v>
      </c>
      <c r="Z1294" s="257">
        <f>INT($L1294*Y1294*100+0.5)/100</f>
        <v>0</v>
      </c>
    </row>
    <row r="1295" spans="1:26" ht="15" customHeight="1">
      <c r="A1295" s="250"/>
      <c r="B1295" s="251"/>
      <c r="C1295" s="251"/>
      <c r="D1295" s="526" t="s">
        <v>500</v>
      </c>
      <c r="E1295" s="251"/>
      <c r="F1295" s="252"/>
      <c r="G1295" s="253"/>
      <c r="H1295" s="254"/>
      <c r="I1295" s="253"/>
      <c r="J1295" s="253"/>
      <c r="K1295" s="251"/>
      <c r="L1295" s="255"/>
      <c r="M1295" s="258"/>
      <c r="N1295" s="257"/>
      <c r="O1295" s="258"/>
      <c r="P1295" s="257"/>
      <c r="Q1295" s="258"/>
      <c r="R1295" s="257"/>
      <c r="S1295" s="258"/>
      <c r="T1295" s="257"/>
      <c r="U1295" s="258"/>
      <c r="V1295" s="257"/>
      <c r="W1295" s="258"/>
      <c r="X1295" s="257"/>
      <c r="Y1295" s="258"/>
      <c r="Z1295" s="257"/>
    </row>
    <row r="1296" spans="1:26" ht="15" customHeight="1">
      <c r="A1296" s="250"/>
      <c r="B1296" s="251"/>
      <c r="C1296" s="251"/>
      <c r="D1296" s="292"/>
      <c r="E1296" s="251"/>
      <c r="F1296" s="252"/>
      <c r="G1296" s="253"/>
      <c r="H1296" s="254"/>
      <c r="I1296" s="253"/>
      <c r="J1296" s="253"/>
      <c r="K1296" s="251"/>
      <c r="L1296" s="255"/>
      <c r="M1296" s="258"/>
      <c r="N1296" s="257"/>
      <c r="O1296" s="258"/>
      <c r="P1296" s="257"/>
      <c r="Q1296" s="258"/>
      <c r="R1296" s="257"/>
      <c r="S1296" s="258"/>
      <c r="T1296" s="257"/>
      <c r="U1296" s="258"/>
      <c r="V1296" s="257"/>
      <c r="W1296" s="258"/>
      <c r="X1296" s="257"/>
      <c r="Y1296" s="258"/>
      <c r="Z1296" s="257"/>
    </row>
    <row r="1297" spans="1:26" ht="25.5">
      <c r="A1297" s="250">
        <f>A1294+1</f>
        <v>229</v>
      </c>
      <c r="B1297" s="251"/>
      <c r="C1297" s="526" t="s">
        <v>2155</v>
      </c>
      <c r="D1297" s="526" t="s">
        <v>2123</v>
      </c>
      <c r="E1297" s="251" t="s">
        <v>1901</v>
      </c>
      <c r="F1297" s="304">
        <f>M1297+O1297+Q1297+S1297+U1297+W1297+Y1297</f>
        <v>0</v>
      </c>
      <c r="G1297" s="253">
        <f>L1297</f>
        <v>272.27999999999997</v>
      </c>
      <c r="H1297" s="254">
        <f>INT(F1297*G1297*100+0.5)/100</f>
        <v>0</v>
      </c>
      <c r="I1297" s="253">
        <f>N1297+P1297+R1297+T1297+V1297+X1297+Z1297</f>
        <v>0</v>
      </c>
      <c r="J1297" s="253"/>
      <c r="K1297" s="251" t="s">
        <v>1901</v>
      </c>
      <c r="L1297" s="663">
        <v>272.27999999999997</v>
      </c>
      <c r="M1297" s="258">
        <v>0</v>
      </c>
      <c r="N1297" s="257">
        <f>INT($L1297*M1297*100+0.5)/100</f>
        <v>0</v>
      </c>
      <c r="O1297" s="258">
        <v>0</v>
      </c>
      <c r="P1297" s="257">
        <f>INT($L1297*O1297*100+0.5)/100</f>
        <v>0</v>
      </c>
      <c r="Q1297" s="258">
        <v>0</v>
      </c>
      <c r="R1297" s="257">
        <f>INT($L1297*Q1297*100+0.5)/100</f>
        <v>0</v>
      </c>
      <c r="S1297" s="258">
        <v>0</v>
      </c>
      <c r="T1297" s="257">
        <f>INT($L1297*S1297*100+0.5)/100</f>
        <v>0</v>
      </c>
      <c r="U1297" s="258">
        <v>0</v>
      </c>
      <c r="V1297" s="257">
        <f>INT($L1297*U1297*100+0.5)/100</f>
        <v>0</v>
      </c>
      <c r="W1297" s="258">
        <v>0</v>
      </c>
      <c r="X1297" s="257">
        <f>INT($L1297*W1297*100+0.5)/100</f>
        <v>0</v>
      </c>
      <c r="Y1297" s="258">
        <v>0</v>
      </c>
      <c r="Z1297" s="257">
        <f>INT($L1297*Y1297*100+0.5)/100</f>
        <v>0</v>
      </c>
    </row>
    <row r="1298" spans="1:26" ht="15" customHeight="1">
      <c r="A1298" s="250"/>
      <c r="B1298" s="251"/>
      <c r="C1298" s="251"/>
      <c r="D1298" s="526" t="s">
        <v>2122</v>
      </c>
      <c r="E1298" s="251"/>
      <c r="F1298" s="252"/>
      <c r="G1298" s="253"/>
      <c r="H1298" s="254"/>
      <c r="I1298" s="253"/>
      <c r="J1298" s="253"/>
      <c r="K1298" s="251"/>
      <c r="L1298" s="255"/>
      <c r="M1298" s="258"/>
      <c r="N1298" s="257"/>
      <c r="O1298" s="258"/>
      <c r="P1298" s="257"/>
      <c r="Q1298" s="258"/>
      <c r="R1298" s="257"/>
      <c r="S1298" s="258"/>
      <c r="T1298" s="257"/>
      <c r="U1298" s="258"/>
      <c r="V1298" s="257"/>
      <c r="W1298" s="258"/>
      <c r="X1298" s="257"/>
      <c r="Y1298" s="258"/>
      <c r="Z1298" s="257"/>
    </row>
    <row r="1299" spans="1:26" ht="15" customHeight="1">
      <c r="A1299" s="250"/>
      <c r="B1299" s="251"/>
      <c r="C1299" s="251"/>
      <c r="D1299" s="292"/>
      <c r="E1299" s="251"/>
      <c r="F1299" s="252"/>
      <c r="G1299" s="253"/>
      <c r="H1299" s="254"/>
      <c r="I1299" s="253"/>
      <c r="J1299" s="253"/>
      <c r="K1299" s="251"/>
      <c r="L1299" s="255"/>
      <c r="M1299" s="258"/>
      <c r="N1299" s="257"/>
      <c r="O1299" s="258"/>
      <c r="P1299" s="257"/>
      <c r="Q1299" s="258"/>
      <c r="R1299" s="257"/>
      <c r="S1299" s="258"/>
      <c r="T1299" s="257"/>
      <c r="U1299" s="258"/>
      <c r="V1299" s="257"/>
      <c r="W1299" s="258"/>
      <c r="X1299" s="257"/>
      <c r="Y1299" s="258"/>
      <c r="Z1299" s="257"/>
    </row>
    <row r="1300" spans="1:26" ht="25.5">
      <c r="A1300" s="250">
        <f>A1297+1</f>
        <v>230</v>
      </c>
      <c r="B1300" s="251"/>
      <c r="C1300" s="534" t="s">
        <v>506</v>
      </c>
      <c r="D1300" s="526" t="s">
        <v>507</v>
      </c>
      <c r="E1300" s="251" t="s">
        <v>1901</v>
      </c>
      <c r="F1300" s="304">
        <f>M1300+O1300+Q1300+S1300+U1300+W1300+Y1300</f>
        <v>0</v>
      </c>
      <c r="G1300" s="253">
        <f>L1300</f>
        <v>340</v>
      </c>
      <c r="H1300" s="254">
        <f>INT(F1300*G1300*100+0.5)/100</f>
        <v>0</v>
      </c>
      <c r="I1300" s="253">
        <f>N1300+P1300+R1300+T1300+V1300+X1300+Z1300</f>
        <v>0</v>
      </c>
      <c r="J1300" s="253"/>
      <c r="K1300" s="251" t="s">
        <v>1901</v>
      </c>
      <c r="L1300" s="666">
        <v>340</v>
      </c>
      <c r="M1300" s="258">
        <v>0</v>
      </c>
      <c r="N1300" s="257">
        <f>INT($L1300*M1300*100+0.5)/100</f>
        <v>0</v>
      </c>
      <c r="O1300" s="258">
        <v>0</v>
      </c>
      <c r="P1300" s="257">
        <f>INT($L1300*O1300*100+0.5)/100</f>
        <v>0</v>
      </c>
      <c r="Q1300" s="258">
        <v>0</v>
      </c>
      <c r="R1300" s="257">
        <f>INT($L1300*Q1300*100+0.5)/100</f>
        <v>0</v>
      </c>
      <c r="S1300" s="258">
        <v>0</v>
      </c>
      <c r="T1300" s="257">
        <f>INT($L1300*S1300*100+0.5)/100</f>
        <v>0</v>
      </c>
      <c r="U1300" s="258">
        <v>0</v>
      </c>
      <c r="V1300" s="257">
        <f>INT($L1300*U1300*100+0.5)/100</f>
        <v>0</v>
      </c>
      <c r="W1300" s="258">
        <v>0</v>
      </c>
      <c r="X1300" s="257">
        <f>INT($L1300*W1300*100+0.5)/100</f>
        <v>0</v>
      </c>
      <c r="Y1300" s="258">
        <v>0</v>
      </c>
      <c r="Z1300" s="257">
        <f>INT($L1300*Y1300*100+0.5)/100</f>
        <v>0</v>
      </c>
    </row>
    <row r="1301" spans="1:26" ht="25.5">
      <c r="A1301" s="250"/>
      <c r="B1301" s="251"/>
      <c r="C1301" s="251"/>
      <c r="D1301" s="526" t="s">
        <v>508</v>
      </c>
      <c r="E1301" s="251"/>
      <c r="F1301" s="252"/>
      <c r="G1301" s="253"/>
      <c r="H1301" s="254"/>
      <c r="I1301" s="253"/>
      <c r="J1301" s="253"/>
      <c r="K1301" s="251"/>
      <c r="L1301" s="255"/>
      <c r="M1301" s="258"/>
      <c r="N1301" s="257"/>
      <c r="O1301" s="258"/>
      <c r="P1301" s="257"/>
      <c r="Q1301" s="258"/>
      <c r="R1301" s="257"/>
      <c r="S1301" s="258"/>
      <c r="T1301" s="257"/>
      <c r="U1301" s="258"/>
      <c r="V1301" s="257"/>
      <c r="W1301" s="258"/>
      <c r="X1301" s="257"/>
      <c r="Y1301" s="258"/>
      <c r="Z1301" s="257"/>
    </row>
    <row r="1302" spans="1:26" ht="15" customHeight="1">
      <c r="A1302" s="250"/>
      <c r="B1302" s="251"/>
      <c r="C1302" s="251"/>
      <c r="D1302" s="292"/>
      <c r="E1302" s="251"/>
      <c r="F1302" s="252"/>
      <c r="G1302" s="253"/>
      <c r="H1302" s="254"/>
      <c r="I1302" s="253"/>
      <c r="J1302" s="253"/>
      <c r="K1302" s="251"/>
      <c r="L1302" s="255"/>
      <c r="M1302" s="258"/>
      <c r="N1302" s="257"/>
      <c r="O1302" s="258"/>
      <c r="P1302" s="257"/>
      <c r="Q1302" s="258"/>
      <c r="R1302" s="257"/>
      <c r="S1302" s="258"/>
      <c r="T1302" s="257"/>
      <c r="U1302" s="258"/>
      <c r="V1302" s="257"/>
      <c r="W1302" s="258"/>
      <c r="X1302" s="257"/>
      <c r="Y1302" s="258"/>
      <c r="Z1302" s="257"/>
    </row>
    <row r="1303" spans="1:26" ht="25.5">
      <c r="A1303" s="250">
        <f>A1300+1</f>
        <v>231</v>
      </c>
      <c r="B1303" s="251"/>
      <c r="C1303" s="526" t="s">
        <v>2156</v>
      </c>
      <c r="D1303" s="526" t="s">
        <v>1440</v>
      </c>
      <c r="E1303" s="251" t="s">
        <v>1901</v>
      </c>
      <c r="F1303" s="304">
        <f>M1303+O1303+Q1303+S1303+U1303+W1303+Y1303</f>
        <v>0</v>
      </c>
      <c r="G1303" s="253">
        <f>L1303</f>
        <v>201.64</v>
      </c>
      <c r="H1303" s="254">
        <f>INT(F1303*G1303*100+0.5)/100</f>
        <v>0</v>
      </c>
      <c r="I1303" s="253">
        <f>N1303+P1303+R1303+T1303+V1303+X1303+Z1303</f>
        <v>0</v>
      </c>
      <c r="J1303" s="253"/>
      <c r="K1303" s="251" t="s">
        <v>1901</v>
      </c>
      <c r="L1303" s="663">
        <v>201.64</v>
      </c>
      <c r="M1303" s="258">
        <v>0</v>
      </c>
      <c r="N1303" s="257">
        <f>INT($L1303*M1303*100+0.5)/100</f>
        <v>0</v>
      </c>
      <c r="O1303" s="258">
        <v>0</v>
      </c>
      <c r="P1303" s="257">
        <f>INT($L1303*O1303*100+0.5)/100</f>
        <v>0</v>
      </c>
      <c r="Q1303" s="258">
        <v>0</v>
      </c>
      <c r="R1303" s="257">
        <f>INT($L1303*Q1303*100+0.5)/100</f>
        <v>0</v>
      </c>
      <c r="S1303" s="258">
        <v>0</v>
      </c>
      <c r="T1303" s="257">
        <f>INT($L1303*S1303*100+0.5)/100</f>
        <v>0</v>
      </c>
      <c r="U1303" s="258">
        <v>0</v>
      </c>
      <c r="V1303" s="257">
        <f>INT($L1303*U1303*100+0.5)/100</f>
        <v>0</v>
      </c>
      <c r="W1303" s="258">
        <v>0</v>
      </c>
      <c r="X1303" s="257">
        <f>INT($L1303*W1303*100+0.5)/100</f>
        <v>0</v>
      </c>
      <c r="Y1303" s="258">
        <v>0</v>
      </c>
      <c r="Z1303" s="257">
        <f>INT($L1303*Y1303*100+0.5)/100</f>
        <v>0</v>
      </c>
    </row>
    <row r="1304" spans="1:26" ht="25.5">
      <c r="A1304" s="250"/>
      <c r="B1304" s="251"/>
      <c r="C1304" s="251"/>
      <c r="D1304" s="526" t="s">
        <v>1441</v>
      </c>
      <c r="E1304" s="251"/>
      <c r="F1304" s="252"/>
      <c r="G1304" s="253"/>
      <c r="H1304" s="254"/>
      <c r="I1304" s="253"/>
      <c r="J1304" s="253"/>
      <c r="K1304" s="251"/>
      <c r="L1304" s="663"/>
      <c r="M1304" s="258"/>
      <c r="N1304" s="257"/>
      <c r="O1304" s="258"/>
      <c r="P1304" s="257"/>
      <c r="Q1304" s="258"/>
      <c r="R1304" s="257"/>
      <c r="S1304" s="258"/>
      <c r="T1304" s="257"/>
      <c r="U1304" s="258"/>
      <c r="V1304" s="257"/>
      <c r="W1304" s="258"/>
      <c r="X1304" s="257"/>
      <c r="Y1304" s="258"/>
      <c r="Z1304" s="257"/>
    </row>
    <row r="1305" spans="1:26" ht="15" customHeight="1">
      <c r="A1305" s="250"/>
      <c r="B1305" s="251"/>
      <c r="C1305" s="251"/>
      <c r="D1305" s="292"/>
      <c r="E1305" s="251"/>
      <c r="F1305" s="252"/>
      <c r="G1305" s="253"/>
      <c r="H1305" s="254"/>
      <c r="I1305" s="253"/>
      <c r="J1305" s="253"/>
      <c r="K1305" s="251"/>
      <c r="L1305" s="663"/>
      <c r="M1305" s="258"/>
      <c r="N1305" s="257"/>
      <c r="O1305" s="258"/>
      <c r="P1305" s="257"/>
      <c r="Q1305" s="258"/>
      <c r="R1305" s="257"/>
      <c r="S1305" s="258"/>
      <c r="T1305" s="257"/>
      <c r="U1305" s="258"/>
      <c r="V1305" s="257"/>
      <c r="W1305" s="258"/>
      <c r="X1305" s="257"/>
      <c r="Y1305" s="258"/>
      <c r="Z1305" s="257"/>
    </row>
    <row r="1306" spans="1:26" ht="25.5">
      <c r="A1306" s="250">
        <f>A1303+1</f>
        <v>232</v>
      </c>
      <c r="B1306" s="251"/>
      <c r="C1306" s="526" t="s">
        <v>2157</v>
      </c>
      <c r="D1306" s="526" t="s">
        <v>2125</v>
      </c>
      <c r="E1306" s="251" t="s">
        <v>1901</v>
      </c>
      <c r="F1306" s="304">
        <f>M1306+O1306+Q1306+S1306+U1306+W1306+Y1306</f>
        <v>0</v>
      </c>
      <c r="G1306" s="253">
        <f>L1306</f>
        <v>260.72000000000003</v>
      </c>
      <c r="H1306" s="254">
        <f>INT(F1306*G1306*100+0.5)/100</f>
        <v>0</v>
      </c>
      <c r="I1306" s="253">
        <f>N1306+P1306+R1306+T1306+V1306+X1306+Z1306</f>
        <v>0</v>
      </c>
      <c r="J1306" s="253"/>
      <c r="K1306" s="251" t="s">
        <v>1901</v>
      </c>
      <c r="L1306" s="663">
        <v>260.72000000000003</v>
      </c>
      <c r="M1306" s="258">
        <v>0</v>
      </c>
      <c r="N1306" s="257">
        <f>INT($L1306*M1306*100+0.5)/100</f>
        <v>0</v>
      </c>
      <c r="O1306" s="258">
        <v>0</v>
      </c>
      <c r="P1306" s="257">
        <f>INT($L1306*O1306*100+0.5)/100</f>
        <v>0</v>
      </c>
      <c r="Q1306" s="258">
        <v>0</v>
      </c>
      <c r="R1306" s="257">
        <f>INT($L1306*Q1306*100+0.5)/100</f>
        <v>0</v>
      </c>
      <c r="S1306" s="258">
        <v>0</v>
      </c>
      <c r="T1306" s="257">
        <f>INT($L1306*S1306*100+0.5)/100</f>
        <v>0</v>
      </c>
      <c r="U1306" s="258">
        <v>0</v>
      </c>
      <c r="V1306" s="257">
        <f>INT($L1306*U1306*100+0.5)/100</f>
        <v>0</v>
      </c>
      <c r="W1306" s="258">
        <v>0</v>
      </c>
      <c r="X1306" s="257">
        <f>INT($L1306*W1306*100+0.5)/100</f>
        <v>0</v>
      </c>
      <c r="Y1306" s="258">
        <v>0</v>
      </c>
      <c r="Z1306" s="257">
        <f>INT($L1306*Y1306*100+0.5)/100</f>
        <v>0</v>
      </c>
    </row>
    <row r="1307" spans="1:26" ht="25.5">
      <c r="A1307" s="250"/>
      <c r="B1307" s="251"/>
      <c r="C1307" s="251"/>
      <c r="D1307" s="526" t="s">
        <v>2124</v>
      </c>
      <c r="E1307" s="251"/>
      <c r="F1307" s="252"/>
      <c r="G1307" s="253"/>
      <c r="H1307" s="254"/>
      <c r="I1307" s="253"/>
      <c r="J1307" s="253"/>
      <c r="K1307" s="251"/>
      <c r="L1307" s="255"/>
      <c r="M1307" s="258"/>
      <c r="N1307" s="257"/>
      <c r="O1307" s="258"/>
      <c r="P1307" s="257"/>
      <c r="Q1307" s="258"/>
      <c r="R1307" s="257"/>
      <c r="S1307" s="258"/>
      <c r="T1307" s="257"/>
      <c r="U1307" s="258"/>
      <c r="V1307" s="257"/>
      <c r="W1307" s="258"/>
      <c r="X1307" s="257"/>
      <c r="Y1307" s="258"/>
      <c r="Z1307" s="257"/>
    </row>
    <row r="1308" spans="1:26" ht="15" customHeight="1">
      <c r="A1308" s="250"/>
      <c r="B1308" s="251"/>
      <c r="C1308" s="251"/>
      <c r="D1308" s="292"/>
      <c r="E1308" s="251"/>
      <c r="F1308" s="252"/>
      <c r="G1308" s="253"/>
      <c r="H1308" s="254"/>
      <c r="I1308" s="253"/>
      <c r="J1308" s="253"/>
      <c r="K1308" s="251"/>
      <c r="L1308" s="255"/>
      <c r="M1308" s="258"/>
      <c r="N1308" s="257"/>
      <c r="O1308" s="258"/>
      <c r="P1308" s="257"/>
      <c r="Q1308" s="258"/>
      <c r="R1308" s="257"/>
      <c r="S1308" s="258"/>
      <c r="T1308" s="257"/>
      <c r="U1308" s="258"/>
      <c r="V1308" s="257"/>
      <c r="W1308" s="258"/>
      <c r="X1308" s="257"/>
      <c r="Y1308" s="258"/>
      <c r="Z1308" s="257"/>
    </row>
    <row r="1309" spans="1:26" ht="25.5">
      <c r="A1309" s="250">
        <f>A1306+1</f>
        <v>233</v>
      </c>
      <c r="B1309" s="251"/>
      <c r="C1309" s="657" t="s">
        <v>339</v>
      </c>
      <c r="D1309" s="526" t="s">
        <v>378</v>
      </c>
      <c r="E1309" s="251" t="s">
        <v>1901</v>
      </c>
      <c r="F1309" s="304">
        <f>M1309+O1309+Q1309+S1309+U1309+W1309+Y1309</f>
        <v>2</v>
      </c>
      <c r="G1309" s="253">
        <f t="shared" ref="G1309:G1372" si="211">L1309</f>
        <v>336</v>
      </c>
      <c r="H1309" s="254">
        <f>INT(F1309*G1309*100+0.5)/100</f>
        <v>672</v>
      </c>
      <c r="I1309" s="253">
        <f>N1309+P1309+R1309+T1309+V1309+X1309+Z1309</f>
        <v>672</v>
      </c>
      <c r="J1309" s="253"/>
      <c r="K1309" s="251" t="s">
        <v>1901</v>
      </c>
      <c r="L1309" s="262">
        <v>336</v>
      </c>
      <c r="M1309" s="258">
        <v>2</v>
      </c>
      <c r="N1309" s="257">
        <f>INT($L1309*M1309*100+0.5)/100</f>
        <v>672</v>
      </c>
      <c r="O1309" s="258">
        <v>0</v>
      </c>
      <c r="P1309" s="257">
        <f>INT($L1309*O1309*100+0.5)/100</f>
        <v>0</v>
      </c>
      <c r="Q1309" s="258">
        <v>0</v>
      </c>
      <c r="R1309" s="257">
        <f>INT($L1309*Q1309*100+0.5)/100</f>
        <v>0</v>
      </c>
      <c r="S1309" s="258">
        <v>0</v>
      </c>
      <c r="T1309" s="257">
        <f>INT($L1309*S1309*100+0.5)/100</f>
        <v>0</v>
      </c>
      <c r="U1309" s="258">
        <v>0</v>
      </c>
      <c r="V1309" s="257">
        <f>INT($L1309*U1309*100+0.5)/100</f>
        <v>0</v>
      </c>
      <c r="W1309" s="258">
        <v>0</v>
      </c>
      <c r="X1309" s="257">
        <f>INT($L1309*W1309*100+0.5)/100</f>
        <v>0</v>
      </c>
      <c r="Y1309" s="258">
        <v>0</v>
      </c>
      <c r="Z1309" s="257">
        <f>INT($L1309*Y1309*100+0.5)/100</f>
        <v>0</v>
      </c>
    </row>
    <row r="1310" spans="1:26" ht="15">
      <c r="A1310" s="250"/>
      <c r="B1310" s="251"/>
      <c r="C1310" s="251"/>
      <c r="D1310" s="526" t="s">
        <v>379</v>
      </c>
      <c r="E1310" s="251"/>
      <c r="F1310" s="252"/>
      <c r="G1310" s="253"/>
      <c r="H1310" s="254"/>
      <c r="I1310" s="253"/>
      <c r="J1310" s="253"/>
      <c r="K1310" s="251"/>
      <c r="L1310" s="261"/>
      <c r="M1310" s="258"/>
      <c r="N1310" s="257"/>
      <c r="O1310" s="258"/>
      <c r="P1310" s="257"/>
      <c r="Q1310" s="258"/>
      <c r="R1310" s="257"/>
      <c r="S1310" s="258"/>
      <c r="T1310" s="257"/>
      <c r="U1310" s="258"/>
      <c r="V1310" s="257"/>
      <c r="W1310" s="258"/>
      <c r="X1310" s="257"/>
      <c r="Y1310" s="258"/>
      <c r="Z1310" s="257"/>
    </row>
    <row r="1311" spans="1:26" s="247" customFormat="1" ht="15" customHeight="1">
      <c r="A1311" s="284"/>
      <c r="B1311" s="237"/>
      <c r="C1311" s="237"/>
      <c r="D1311" s="238"/>
      <c r="E1311" s="237"/>
      <c r="F1311" s="304"/>
      <c r="G1311" s="253"/>
      <c r="H1311" s="244"/>
      <c r="I1311" s="240"/>
      <c r="J1311" s="240"/>
      <c r="K1311" s="237"/>
      <c r="L1311" s="243"/>
      <c r="M1311" s="289"/>
      <c r="N1311" s="245"/>
      <c r="O1311" s="289"/>
      <c r="P1311" s="245"/>
      <c r="Q1311" s="289"/>
      <c r="R1311" s="245"/>
      <c r="S1311" s="289"/>
      <c r="T1311" s="245"/>
      <c r="U1311" s="289"/>
      <c r="V1311" s="245"/>
      <c r="W1311" s="289"/>
      <c r="X1311" s="245"/>
      <c r="Y1311" s="289"/>
      <c r="Z1311" s="245"/>
    </row>
    <row r="1312" spans="1:26" ht="15" customHeight="1">
      <c r="A1312" s="250">
        <f>A1309+1</f>
        <v>234</v>
      </c>
      <c r="B1312" s="251"/>
      <c r="C1312" s="526" t="s">
        <v>848</v>
      </c>
      <c r="D1312" s="526" t="s">
        <v>2277</v>
      </c>
      <c r="E1312" s="251" t="s">
        <v>1901</v>
      </c>
      <c r="F1312" s="304">
        <f>M1312+O1312+Q1312+S1312+U1312+W1312+Y1312</f>
        <v>43</v>
      </c>
      <c r="G1312" s="253">
        <f t="shared" si="211"/>
        <v>152.53</v>
      </c>
      <c r="H1312" s="254">
        <f>INT(F1312*G1312*100+0.5)/100</f>
        <v>6558.79</v>
      </c>
      <c r="I1312" s="253">
        <f>N1312+P1312+R1312+T1312+V1312+X1312+Z1312</f>
        <v>6558.79</v>
      </c>
      <c r="J1312" s="253"/>
      <c r="K1312" s="251" t="s">
        <v>1901</v>
      </c>
      <c r="L1312" s="255">
        <v>152.53</v>
      </c>
      <c r="M1312" s="258">
        <v>0</v>
      </c>
      <c r="N1312" s="257">
        <f>INT($L1312*M1312*100+0.5)/100</f>
        <v>0</v>
      </c>
      <c r="O1312" s="258">
        <v>0</v>
      </c>
      <c r="P1312" s="257">
        <f>INT($L1312*O1312*100+0.5)/100</f>
        <v>0</v>
      </c>
      <c r="Q1312" s="258">
        <v>43</v>
      </c>
      <c r="R1312" s="257">
        <f>INT($L1312*Q1312*100+0.5)/100</f>
        <v>6558.79</v>
      </c>
      <c r="S1312" s="258">
        <v>0</v>
      </c>
      <c r="T1312" s="257">
        <f>INT($L1312*S1312*100+0.5)/100</f>
        <v>0</v>
      </c>
      <c r="U1312" s="258">
        <v>0</v>
      </c>
      <c r="V1312" s="257">
        <f>INT($L1312*U1312*100+0.5)/100</f>
        <v>0</v>
      </c>
      <c r="W1312" s="258">
        <v>0</v>
      </c>
      <c r="X1312" s="257">
        <f>INT($L1312*W1312*100+0.5)/100</f>
        <v>0</v>
      </c>
      <c r="Y1312" s="258">
        <v>0</v>
      </c>
      <c r="Z1312" s="257">
        <f>INT($L1312*Y1312*100+0.5)/100</f>
        <v>0</v>
      </c>
    </row>
    <row r="1313" spans="1:26" ht="15" customHeight="1">
      <c r="A1313" s="250"/>
      <c r="B1313" s="251"/>
      <c r="C1313" s="251"/>
      <c r="D1313" s="526" t="s">
        <v>2278</v>
      </c>
      <c r="E1313" s="251"/>
      <c r="F1313" s="252"/>
      <c r="G1313" s="253"/>
      <c r="H1313" s="254"/>
      <c r="I1313" s="253"/>
      <c r="J1313" s="253"/>
      <c r="K1313" s="251"/>
      <c r="L1313" s="255"/>
      <c r="M1313" s="258"/>
      <c r="N1313" s="257"/>
      <c r="O1313" s="258"/>
      <c r="P1313" s="257"/>
      <c r="Q1313" s="258"/>
      <c r="R1313" s="257"/>
      <c r="S1313" s="258"/>
      <c r="T1313" s="257"/>
      <c r="U1313" s="258"/>
      <c r="V1313" s="257"/>
      <c r="W1313" s="258"/>
      <c r="X1313" s="257"/>
      <c r="Y1313" s="258"/>
      <c r="Z1313" s="257"/>
    </row>
    <row r="1314" spans="1:26" ht="15" customHeight="1">
      <c r="A1314" s="250"/>
      <c r="B1314" s="251"/>
      <c r="C1314" s="251"/>
      <c r="D1314" s="292"/>
      <c r="E1314" s="251"/>
      <c r="F1314" s="252"/>
      <c r="G1314" s="253"/>
      <c r="H1314" s="254"/>
      <c r="I1314" s="253"/>
      <c r="J1314" s="253"/>
      <c r="K1314" s="251"/>
      <c r="L1314" s="255"/>
      <c r="M1314" s="258"/>
      <c r="N1314" s="257"/>
      <c r="O1314" s="258"/>
      <c r="P1314" s="257"/>
      <c r="Q1314" s="258"/>
      <c r="R1314" s="257"/>
      <c r="S1314" s="258"/>
      <c r="T1314" s="257"/>
      <c r="U1314" s="258"/>
      <c r="V1314" s="257"/>
      <c r="W1314" s="258"/>
      <c r="X1314" s="257"/>
      <c r="Y1314" s="258"/>
      <c r="Z1314" s="257"/>
    </row>
    <row r="1315" spans="1:26" ht="15" customHeight="1">
      <c r="A1315" s="250">
        <f>A1312+1</f>
        <v>235</v>
      </c>
      <c r="B1315" s="251"/>
      <c r="C1315" s="526" t="s">
        <v>849</v>
      </c>
      <c r="D1315" s="526" t="s">
        <v>1043</v>
      </c>
      <c r="E1315" s="251" t="s">
        <v>1901</v>
      </c>
      <c r="F1315" s="304">
        <f>M1315+O1315+Q1315+S1315+U1315+W1315+Y1315</f>
        <v>43</v>
      </c>
      <c r="G1315" s="253">
        <f t="shared" si="211"/>
        <v>36.369999999999997</v>
      </c>
      <c r="H1315" s="254">
        <f>INT(F1315*G1315*100+0.5)/100</f>
        <v>1563.91</v>
      </c>
      <c r="I1315" s="253">
        <f>N1315+P1315+R1315+T1315+V1315+X1315+Z1315</f>
        <v>1563.91</v>
      </c>
      <c r="J1315" s="253"/>
      <c r="K1315" s="251" t="s">
        <v>1901</v>
      </c>
      <c r="L1315" s="255">
        <v>36.369999999999997</v>
      </c>
      <c r="M1315" s="258">
        <v>0</v>
      </c>
      <c r="N1315" s="257">
        <f>INT($L1315*M1315*100+0.5)/100</f>
        <v>0</v>
      </c>
      <c r="O1315" s="258">
        <v>0</v>
      </c>
      <c r="P1315" s="257">
        <f>INT($L1315*O1315*100+0.5)/100</f>
        <v>0</v>
      </c>
      <c r="Q1315" s="258">
        <v>43</v>
      </c>
      <c r="R1315" s="257">
        <f>INT($L1315*Q1315*100+0.5)/100</f>
        <v>1563.91</v>
      </c>
      <c r="S1315" s="258">
        <v>0</v>
      </c>
      <c r="T1315" s="257">
        <f>INT($L1315*S1315*100+0.5)/100</f>
        <v>0</v>
      </c>
      <c r="U1315" s="258">
        <v>0</v>
      </c>
      <c r="V1315" s="257">
        <f>INT($L1315*U1315*100+0.5)/100</f>
        <v>0</v>
      </c>
      <c r="W1315" s="258">
        <v>0</v>
      </c>
      <c r="X1315" s="257">
        <f>INT($L1315*W1315*100+0.5)/100</f>
        <v>0</v>
      </c>
      <c r="Y1315" s="258">
        <v>0</v>
      </c>
      <c r="Z1315" s="257">
        <f>INT($L1315*Y1315*100+0.5)/100</f>
        <v>0</v>
      </c>
    </row>
    <row r="1316" spans="1:26" ht="15" customHeight="1">
      <c r="A1316" s="250"/>
      <c r="B1316" s="251"/>
      <c r="C1316" s="251"/>
      <c r="D1316" s="526" t="s">
        <v>1042</v>
      </c>
      <c r="E1316" s="251"/>
      <c r="F1316" s="252"/>
      <c r="G1316" s="253"/>
      <c r="H1316" s="254"/>
      <c r="I1316" s="253"/>
      <c r="J1316" s="253"/>
      <c r="K1316" s="251"/>
      <c r="L1316" s="255"/>
      <c r="M1316" s="258"/>
      <c r="N1316" s="257"/>
      <c r="O1316" s="258"/>
      <c r="P1316" s="257"/>
      <c r="Q1316" s="258"/>
      <c r="R1316" s="257"/>
      <c r="S1316" s="258"/>
      <c r="T1316" s="257"/>
      <c r="U1316" s="258"/>
      <c r="V1316" s="257"/>
      <c r="W1316" s="258"/>
      <c r="X1316" s="257"/>
      <c r="Y1316" s="258"/>
      <c r="Z1316" s="257"/>
    </row>
    <row r="1317" spans="1:26" s="247" customFormat="1" ht="15" customHeight="1">
      <c r="A1317" s="284"/>
      <c r="B1317" s="237"/>
      <c r="C1317" s="237"/>
      <c r="D1317" s="238"/>
      <c r="E1317" s="237"/>
      <c r="F1317" s="304"/>
      <c r="G1317" s="253"/>
      <c r="H1317" s="244"/>
      <c r="I1317" s="240"/>
      <c r="J1317" s="240"/>
      <c r="K1317" s="237"/>
      <c r="L1317" s="243"/>
      <c r="M1317" s="289"/>
      <c r="N1317" s="245"/>
      <c r="O1317" s="289"/>
      <c r="P1317" s="245"/>
      <c r="Q1317" s="289"/>
      <c r="R1317" s="245"/>
      <c r="S1317" s="289"/>
      <c r="T1317" s="245"/>
      <c r="U1317" s="289"/>
      <c r="V1317" s="245"/>
      <c r="W1317" s="289"/>
      <c r="X1317" s="245"/>
      <c r="Y1317" s="289"/>
      <c r="Z1317" s="245"/>
    </row>
    <row r="1318" spans="1:26" ht="25.5">
      <c r="A1318" s="250">
        <f>A1315+1</f>
        <v>236</v>
      </c>
      <c r="B1318" s="251"/>
      <c r="C1318" s="532" t="s">
        <v>902</v>
      </c>
      <c r="D1318" s="532" t="s">
        <v>1390</v>
      </c>
      <c r="E1318" s="251" t="s">
        <v>1439</v>
      </c>
      <c r="F1318" s="304">
        <f>M1318+O1318+Q1318+S1318+U1318+W1318+Y1318</f>
        <v>0</v>
      </c>
      <c r="G1318" s="253">
        <f t="shared" si="211"/>
        <v>23.5</v>
      </c>
      <c r="H1318" s="254">
        <f>F1318*G1318</f>
        <v>0</v>
      </c>
      <c r="I1318" s="253">
        <f>N1318+P1318+R1318+T1318+V1318+X1318+Z1318</f>
        <v>0</v>
      </c>
      <c r="J1318" s="253"/>
      <c r="K1318" s="251" t="s">
        <v>1439</v>
      </c>
      <c r="L1318" s="663">
        <v>23.5</v>
      </c>
      <c r="M1318" s="258">
        <v>0</v>
      </c>
      <c r="N1318" s="257">
        <f>INT($L1318*M1318*100+0.5)/100</f>
        <v>0</v>
      </c>
      <c r="O1318" s="258">
        <v>0</v>
      </c>
      <c r="P1318" s="257">
        <f>INT($L1318*O1318*100+0.5)/100</f>
        <v>0</v>
      </c>
      <c r="Q1318" s="258">
        <v>0</v>
      </c>
      <c r="R1318" s="257">
        <f>INT($L1318*Q1318*100+0.5)/100</f>
        <v>0</v>
      </c>
      <c r="S1318" s="258">
        <v>0</v>
      </c>
      <c r="T1318" s="257">
        <f>INT($L1318*S1318*100+0.5)/100</f>
        <v>0</v>
      </c>
      <c r="U1318" s="258">
        <v>0</v>
      </c>
      <c r="V1318" s="257">
        <f>INT($L1318*U1318*100+0.5)/100</f>
        <v>0</v>
      </c>
      <c r="W1318" s="258">
        <v>0</v>
      </c>
      <c r="X1318" s="257">
        <f>INT($L1318*W1318*100+0.5)/100</f>
        <v>0</v>
      </c>
      <c r="Y1318" s="258">
        <v>0</v>
      </c>
      <c r="Z1318" s="257">
        <f>INT($L1318*Y1318*100+0.5)/100</f>
        <v>0</v>
      </c>
    </row>
    <row r="1319" spans="1:26" ht="25.5">
      <c r="A1319" s="250"/>
      <c r="B1319" s="251"/>
      <c r="C1319" s="326"/>
      <c r="D1319" s="532" t="s">
        <v>1381</v>
      </c>
      <c r="E1319" s="251"/>
      <c r="F1319" s="252"/>
      <c r="G1319" s="253"/>
      <c r="H1319" s="254"/>
      <c r="I1319" s="253"/>
      <c r="J1319" s="253"/>
      <c r="K1319" s="251"/>
      <c r="L1319" s="255"/>
      <c r="M1319" s="258"/>
      <c r="N1319" s="257"/>
      <c r="O1319" s="258"/>
      <c r="P1319" s="257"/>
      <c r="Q1319" s="258"/>
      <c r="R1319" s="257"/>
      <c r="S1319" s="258"/>
      <c r="T1319" s="257"/>
      <c r="U1319" s="258"/>
      <c r="V1319" s="257"/>
      <c r="W1319" s="258"/>
      <c r="X1319" s="257"/>
      <c r="Y1319" s="258"/>
      <c r="Z1319" s="257"/>
    </row>
    <row r="1320" spans="1:26" ht="15" customHeight="1">
      <c r="A1320" s="250"/>
      <c r="B1320" s="251"/>
      <c r="C1320" s="326"/>
      <c r="D1320" s="292"/>
      <c r="E1320" s="251"/>
      <c r="F1320" s="252"/>
      <c r="G1320" s="253"/>
      <c r="H1320" s="254"/>
      <c r="I1320" s="253"/>
      <c r="J1320" s="253"/>
      <c r="K1320" s="251"/>
      <c r="L1320" s="255"/>
      <c r="M1320" s="258"/>
      <c r="N1320" s="257"/>
      <c r="O1320" s="258"/>
      <c r="P1320" s="257"/>
      <c r="Q1320" s="258"/>
      <c r="R1320" s="257"/>
      <c r="S1320" s="258"/>
      <c r="T1320" s="257"/>
      <c r="U1320" s="258"/>
      <c r="V1320" s="257"/>
      <c r="W1320" s="258"/>
      <c r="X1320" s="257"/>
      <c r="Y1320" s="258"/>
      <c r="Z1320" s="257"/>
    </row>
    <row r="1321" spans="1:26" ht="15" customHeight="1">
      <c r="A1321" s="250">
        <f>A1318+1</f>
        <v>237</v>
      </c>
      <c r="B1321" s="251"/>
      <c r="C1321" s="532" t="s">
        <v>903</v>
      </c>
      <c r="D1321" s="532" t="s">
        <v>1392</v>
      </c>
      <c r="E1321" s="251" t="s">
        <v>1439</v>
      </c>
      <c r="F1321" s="304">
        <f>M1321+O1321+Q1321+S1321+U1321+W1321+Y1321</f>
        <v>0</v>
      </c>
      <c r="G1321" s="253">
        <f t="shared" si="211"/>
        <v>23.5</v>
      </c>
      <c r="H1321" s="254">
        <f>F1321*G1321</f>
        <v>0</v>
      </c>
      <c r="I1321" s="253">
        <f>N1321+P1321+R1321+T1321+V1321+X1321+Z1321</f>
        <v>0</v>
      </c>
      <c r="J1321" s="253"/>
      <c r="K1321" s="251" t="s">
        <v>1439</v>
      </c>
      <c r="L1321" s="663">
        <v>23.5</v>
      </c>
      <c r="M1321" s="258">
        <v>0</v>
      </c>
      <c r="N1321" s="257">
        <f>INT($L1321*M1321*100+0.5)/100</f>
        <v>0</v>
      </c>
      <c r="O1321" s="258">
        <v>0</v>
      </c>
      <c r="P1321" s="257">
        <f>INT($L1321*O1321*100+0.5)/100</f>
        <v>0</v>
      </c>
      <c r="Q1321" s="258">
        <v>0</v>
      </c>
      <c r="R1321" s="257">
        <f>INT($L1321*Q1321*100+0.5)/100</f>
        <v>0</v>
      </c>
      <c r="S1321" s="258">
        <v>0</v>
      </c>
      <c r="T1321" s="257">
        <f>INT($L1321*S1321*100+0.5)/100</f>
        <v>0</v>
      </c>
      <c r="U1321" s="258">
        <v>0</v>
      </c>
      <c r="V1321" s="257">
        <f>INT($L1321*U1321*100+0.5)/100</f>
        <v>0</v>
      </c>
      <c r="W1321" s="258">
        <v>0</v>
      </c>
      <c r="X1321" s="257">
        <f>INT($L1321*W1321*100+0.5)/100</f>
        <v>0</v>
      </c>
      <c r="Y1321" s="258">
        <v>0</v>
      </c>
      <c r="Z1321" s="257">
        <f>INT($L1321*Y1321*100+0.5)/100</f>
        <v>0</v>
      </c>
    </row>
    <row r="1322" spans="1:26" ht="15" customHeight="1">
      <c r="A1322" s="250"/>
      <c r="B1322" s="251"/>
      <c r="C1322" s="326"/>
      <c r="D1322" s="532" t="s">
        <v>1391</v>
      </c>
      <c r="E1322" s="251"/>
      <c r="F1322" s="252"/>
      <c r="G1322" s="253"/>
      <c r="H1322" s="254"/>
      <c r="I1322" s="253"/>
      <c r="J1322" s="253"/>
      <c r="K1322" s="251"/>
      <c r="L1322" s="261"/>
      <c r="M1322" s="258"/>
      <c r="N1322" s="257"/>
      <c r="O1322" s="258"/>
      <c r="P1322" s="257"/>
      <c r="Q1322" s="258"/>
      <c r="R1322" s="257"/>
      <c r="S1322" s="258"/>
      <c r="T1322" s="257"/>
      <c r="U1322" s="258"/>
      <c r="V1322" s="257"/>
      <c r="W1322" s="258"/>
      <c r="X1322" s="257"/>
      <c r="Y1322" s="258"/>
      <c r="Z1322" s="257"/>
    </row>
    <row r="1323" spans="1:26" ht="15" customHeight="1">
      <c r="A1323" s="250"/>
      <c r="B1323" s="251"/>
      <c r="C1323" s="326"/>
      <c r="D1323" s="532"/>
      <c r="E1323" s="251"/>
      <c r="F1323" s="252"/>
      <c r="G1323" s="253"/>
      <c r="H1323" s="254"/>
      <c r="I1323" s="253"/>
      <c r="J1323" s="253"/>
      <c r="K1323" s="251"/>
      <c r="L1323" s="261"/>
      <c r="M1323" s="258"/>
      <c r="N1323" s="257"/>
      <c r="O1323" s="258"/>
      <c r="P1323" s="257"/>
      <c r="Q1323" s="258"/>
      <c r="R1323" s="257"/>
      <c r="S1323" s="258"/>
      <c r="T1323" s="257"/>
      <c r="U1323" s="258"/>
      <c r="V1323" s="257"/>
      <c r="W1323" s="258"/>
      <c r="X1323" s="257"/>
      <c r="Y1323" s="258"/>
      <c r="Z1323" s="257"/>
    </row>
    <row r="1324" spans="1:26" s="303" customFormat="1" ht="30">
      <c r="A1324" s="328"/>
      <c r="B1324" s="315"/>
      <c r="C1324" s="267" t="s">
        <v>1579</v>
      </c>
      <c r="D1324" s="333" t="s">
        <v>1581</v>
      </c>
      <c r="E1324" s="299"/>
      <c r="F1324" s="301"/>
      <c r="G1324" s="273"/>
      <c r="H1324" s="273"/>
      <c r="I1324" s="272">
        <f>N1324+P1324+R1324+T1324+V1324+X1324+Z1324</f>
        <v>8794.7000000000007</v>
      </c>
      <c r="J1324" s="269">
        <f>SUM(N1324:Z1324)</f>
        <v>8794.7000000000007</v>
      </c>
      <c r="K1324" s="299"/>
      <c r="L1324" s="271"/>
      <c r="M1324" s="273"/>
      <c r="N1324" s="273">
        <f>SUM(N1294:N1323)</f>
        <v>672</v>
      </c>
      <c r="O1324" s="273"/>
      <c r="P1324" s="273">
        <f>SUM(P1294:P1323)</f>
        <v>0</v>
      </c>
      <c r="Q1324" s="273"/>
      <c r="R1324" s="273">
        <f>SUM(R1294:R1323)</f>
        <v>8122.7</v>
      </c>
      <c r="S1324" s="273"/>
      <c r="T1324" s="273">
        <f>SUM(T1294:T1323)</f>
        <v>0</v>
      </c>
      <c r="U1324" s="273"/>
      <c r="V1324" s="273">
        <f>SUM(V1294:V1323)</f>
        <v>0</v>
      </c>
      <c r="W1324" s="273"/>
      <c r="X1324" s="273">
        <f>SUM(X1294:X1323)</f>
        <v>0</v>
      </c>
      <c r="Y1324" s="273"/>
      <c r="Z1324" s="273">
        <f>SUM(Z1294:Z1323)</f>
        <v>0</v>
      </c>
    </row>
    <row r="1325" spans="1:26" ht="15" customHeight="1">
      <c r="A1325" s="551"/>
      <c r="B1325" s="307"/>
      <c r="C1325" s="453"/>
      <c r="D1325" s="330"/>
      <c r="E1325" s="251"/>
      <c r="F1325" s="252"/>
      <c r="G1325" s="253"/>
      <c r="H1325" s="254"/>
      <c r="I1325" s="694">
        <f>I1324/'CompSolo Wolf'!I1313</f>
        <v>0.57953279957826764</v>
      </c>
      <c r="J1325" s="253"/>
      <c r="K1325" s="251"/>
      <c r="L1325" s="261"/>
      <c r="M1325" s="258"/>
      <c r="N1325" s="494">
        <f>N1324/$N$1941</f>
        <v>4.8585303683091373E-3</v>
      </c>
      <c r="O1325" s="258"/>
      <c r="P1325" s="257"/>
      <c r="Q1325" s="258"/>
      <c r="R1325" s="257"/>
      <c r="S1325" s="258"/>
      <c r="T1325" s="257"/>
      <c r="U1325" s="258"/>
      <c r="V1325" s="257"/>
      <c r="W1325" s="258"/>
      <c r="X1325" s="257"/>
      <c r="Y1325" s="258"/>
      <c r="Z1325" s="257"/>
    </row>
    <row r="1326" spans="1:26" ht="15">
      <c r="A1326" s="250"/>
      <c r="B1326" s="251"/>
      <c r="C1326" s="329">
        <v>80</v>
      </c>
      <c r="D1326" s="330" t="s">
        <v>2208</v>
      </c>
      <c r="E1326" s="251"/>
      <c r="F1326" s="252"/>
      <c r="G1326" s="253"/>
      <c r="H1326" s="254"/>
      <c r="I1326" s="253"/>
      <c r="J1326" s="253"/>
      <c r="K1326" s="251"/>
      <c r="L1326" s="261"/>
      <c r="M1326" s="258"/>
      <c r="N1326" s="257"/>
      <c r="O1326" s="258"/>
      <c r="P1326" s="257"/>
      <c r="Q1326" s="258"/>
      <c r="R1326" s="257"/>
      <c r="S1326" s="258"/>
      <c r="T1326" s="257"/>
      <c r="U1326" s="258"/>
      <c r="V1326" s="257"/>
      <c r="W1326" s="258"/>
      <c r="X1326" s="257"/>
      <c r="Y1326" s="258"/>
      <c r="Z1326" s="257"/>
    </row>
    <row r="1327" spans="1:26" ht="15" hidden="1" customHeight="1">
      <c r="A1327" s="250">
        <f>A1321+1</f>
        <v>238</v>
      </c>
      <c r="B1327" s="251"/>
      <c r="C1327" s="540" t="s">
        <v>577</v>
      </c>
      <c r="D1327" s="526" t="s">
        <v>2404</v>
      </c>
      <c r="E1327" s="251"/>
      <c r="F1327" s="252"/>
      <c r="G1327" s="253"/>
      <c r="H1327" s="254"/>
      <c r="I1327" s="253"/>
      <c r="J1327" s="253"/>
      <c r="K1327" s="251"/>
      <c r="L1327" s="261"/>
      <c r="M1327" s="258"/>
      <c r="N1327" s="257"/>
      <c r="O1327" s="258"/>
      <c r="P1327" s="257"/>
      <c r="Q1327" s="258"/>
      <c r="R1327" s="257"/>
      <c r="S1327" s="258"/>
      <c r="T1327" s="257"/>
      <c r="U1327" s="258"/>
      <c r="V1327" s="257"/>
      <c r="W1327" s="258"/>
      <c r="X1327" s="257"/>
      <c r="Y1327" s="258"/>
      <c r="Z1327" s="257"/>
    </row>
    <row r="1328" spans="1:26" ht="15" hidden="1" customHeight="1">
      <c r="A1328" s="250"/>
      <c r="B1328" s="251"/>
      <c r="C1328" s="540"/>
      <c r="D1328" s="526" t="s">
        <v>2405</v>
      </c>
      <c r="E1328" s="251"/>
      <c r="F1328" s="252"/>
      <c r="G1328" s="253"/>
      <c r="H1328" s="254"/>
      <c r="I1328" s="253"/>
      <c r="J1328" s="253"/>
      <c r="K1328" s="251"/>
      <c r="L1328" s="261"/>
      <c r="M1328" s="258"/>
      <c r="N1328" s="257"/>
      <c r="O1328" s="258"/>
      <c r="P1328" s="257"/>
      <c r="Q1328" s="258"/>
      <c r="R1328" s="257"/>
      <c r="S1328" s="258"/>
      <c r="T1328" s="257"/>
      <c r="U1328" s="258"/>
      <c r="V1328" s="257"/>
      <c r="W1328" s="258"/>
      <c r="X1328" s="257"/>
      <c r="Y1328" s="258"/>
      <c r="Z1328" s="257"/>
    </row>
    <row r="1329" spans="1:26" ht="15" hidden="1" customHeight="1">
      <c r="A1329" s="250" t="s">
        <v>1903</v>
      </c>
      <c r="B1329" s="251"/>
      <c r="C1329" s="540" t="s">
        <v>2406</v>
      </c>
      <c r="D1329" s="292" t="s">
        <v>2151</v>
      </c>
      <c r="E1329" s="251" t="s">
        <v>1901</v>
      </c>
      <c r="F1329" s="304">
        <f t="shared" ref="F1329:F1335" si="212">M1329+O1329+Q1329+S1329+U1329+W1329+Y1329</f>
        <v>0</v>
      </c>
      <c r="G1329" s="253">
        <f t="shared" si="211"/>
        <v>248.41</v>
      </c>
      <c r="H1329" s="254">
        <f t="shared" ref="H1329:H1335" si="213">F1329*G1329</f>
        <v>0</v>
      </c>
      <c r="I1329" s="253">
        <f t="shared" ref="I1329:I1335" si="214">N1329+P1329+R1329+T1329+V1329+X1329+Z1329</f>
        <v>0</v>
      </c>
      <c r="J1329" s="253"/>
      <c r="K1329" s="251" t="s">
        <v>1901</v>
      </c>
      <c r="L1329" s="663">
        <v>248.41</v>
      </c>
      <c r="M1329" s="258">
        <v>0</v>
      </c>
      <c r="N1329" s="257">
        <f t="shared" ref="N1329:N1335" si="215">INT($L1329*M1329*100+0.5)/100</f>
        <v>0</v>
      </c>
      <c r="O1329" s="258">
        <v>0</v>
      </c>
      <c r="P1329" s="257">
        <f t="shared" ref="P1329:P1335" si="216">INT($L1329*O1329*100+0.5)/100</f>
        <v>0</v>
      </c>
      <c r="Q1329" s="258">
        <v>0</v>
      </c>
      <c r="R1329" s="257">
        <f t="shared" ref="R1329:R1335" si="217">INT($L1329*Q1329*100+0.5)/100</f>
        <v>0</v>
      </c>
      <c r="S1329" s="258">
        <v>0</v>
      </c>
      <c r="T1329" s="257">
        <f t="shared" ref="T1329:T1335" si="218">INT($L1329*S1329*100+0.5)/100</f>
        <v>0</v>
      </c>
      <c r="U1329" s="258">
        <v>0</v>
      </c>
      <c r="V1329" s="257">
        <f t="shared" ref="V1329:V1335" si="219">INT($L1329*U1329*100+0.5)/100</f>
        <v>0</v>
      </c>
      <c r="W1329" s="258">
        <v>0</v>
      </c>
      <c r="X1329" s="257">
        <f t="shared" ref="X1329:X1335" si="220">INT($L1329*W1329*100+0.5)/100</f>
        <v>0</v>
      </c>
      <c r="Y1329" s="258">
        <v>0</v>
      </c>
      <c r="Z1329" s="257">
        <f t="shared" ref="Z1329:Z1335" si="221">INT($L1329*Y1329*100+0.5)/100</f>
        <v>0</v>
      </c>
    </row>
    <row r="1330" spans="1:26" ht="15" hidden="1" customHeight="1">
      <c r="A1330" s="250" t="s">
        <v>316</v>
      </c>
      <c r="B1330" s="251"/>
      <c r="C1330" s="552" t="s">
        <v>2407</v>
      </c>
      <c r="D1330" s="292" t="s">
        <v>317</v>
      </c>
      <c r="E1330" s="251" t="s">
        <v>1901</v>
      </c>
      <c r="F1330" s="304">
        <f t="shared" si="212"/>
        <v>0</v>
      </c>
      <c r="G1330" s="253">
        <f t="shared" si="211"/>
        <v>286.98</v>
      </c>
      <c r="H1330" s="254">
        <f>F1330*G1330</f>
        <v>0</v>
      </c>
      <c r="I1330" s="253">
        <f t="shared" si="214"/>
        <v>0</v>
      </c>
      <c r="J1330" s="253"/>
      <c r="K1330" s="251" t="s">
        <v>1901</v>
      </c>
      <c r="L1330" s="666">
        <f>(L1329+L1331)/2</f>
        <v>286.98</v>
      </c>
      <c r="M1330" s="258">
        <v>0</v>
      </c>
      <c r="N1330" s="257">
        <f t="shared" si="215"/>
        <v>0</v>
      </c>
      <c r="O1330" s="258">
        <v>0</v>
      </c>
      <c r="P1330" s="257">
        <f t="shared" si="216"/>
        <v>0</v>
      </c>
      <c r="Q1330" s="258">
        <v>0</v>
      </c>
      <c r="R1330" s="257">
        <f t="shared" si="217"/>
        <v>0</v>
      </c>
      <c r="S1330" s="258">
        <v>0</v>
      </c>
      <c r="T1330" s="257">
        <f t="shared" si="218"/>
        <v>0</v>
      </c>
      <c r="U1330" s="258">
        <v>0</v>
      </c>
      <c r="V1330" s="257">
        <f t="shared" si="219"/>
        <v>0</v>
      </c>
      <c r="W1330" s="258">
        <v>0</v>
      </c>
      <c r="X1330" s="257">
        <f t="shared" si="220"/>
        <v>0</v>
      </c>
      <c r="Y1330" s="258">
        <v>0</v>
      </c>
      <c r="Z1330" s="257">
        <f t="shared" si="221"/>
        <v>0</v>
      </c>
    </row>
    <row r="1331" spans="1:26" ht="15" hidden="1" customHeight="1">
      <c r="A1331" s="250" t="s">
        <v>1905</v>
      </c>
      <c r="B1331" s="251"/>
      <c r="C1331" s="540" t="s">
        <v>2408</v>
      </c>
      <c r="D1331" s="292" t="s">
        <v>293</v>
      </c>
      <c r="E1331" s="251" t="s">
        <v>1901</v>
      </c>
      <c r="F1331" s="304">
        <f t="shared" si="212"/>
        <v>0</v>
      </c>
      <c r="G1331" s="253">
        <f t="shared" si="211"/>
        <v>325.55</v>
      </c>
      <c r="H1331" s="254">
        <f t="shared" si="213"/>
        <v>0</v>
      </c>
      <c r="I1331" s="253">
        <f t="shared" si="214"/>
        <v>0</v>
      </c>
      <c r="J1331" s="253"/>
      <c r="K1331" s="251" t="s">
        <v>1901</v>
      </c>
      <c r="L1331" s="663">
        <v>325.55</v>
      </c>
      <c r="M1331" s="258">
        <v>0</v>
      </c>
      <c r="N1331" s="257">
        <f t="shared" si="215"/>
        <v>0</v>
      </c>
      <c r="O1331" s="258">
        <v>0</v>
      </c>
      <c r="P1331" s="257">
        <f t="shared" si="216"/>
        <v>0</v>
      </c>
      <c r="Q1331" s="258">
        <v>0</v>
      </c>
      <c r="R1331" s="257">
        <f t="shared" si="217"/>
        <v>0</v>
      </c>
      <c r="S1331" s="258">
        <v>0</v>
      </c>
      <c r="T1331" s="257">
        <f t="shared" si="218"/>
        <v>0</v>
      </c>
      <c r="U1331" s="258">
        <v>0</v>
      </c>
      <c r="V1331" s="257">
        <f t="shared" si="219"/>
        <v>0</v>
      </c>
      <c r="W1331" s="258">
        <v>0</v>
      </c>
      <c r="X1331" s="257">
        <f t="shared" si="220"/>
        <v>0</v>
      </c>
      <c r="Y1331" s="258">
        <v>0</v>
      </c>
      <c r="Z1331" s="257">
        <f t="shared" si="221"/>
        <v>0</v>
      </c>
    </row>
    <row r="1332" spans="1:26" ht="15" hidden="1" customHeight="1">
      <c r="A1332" s="250" t="s">
        <v>1906</v>
      </c>
      <c r="B1332" s="251"/>
      <c r="C1332" s="540" t="s">
        <v>2409</v>
      </c>
      <c r="D1332" s="292" t="s">
        <v>294</v>
      </c>
      <c r="E1332" s="251" t="s">
        <v>1901</v>
      </c>
      <c r="F1332" s="304">
        <f t="shared" si="212"/>
        <v>0</v>
      </c>
      <c r="G1332" s="253">
        <f t="shared" si="211"/>
        <v>399.44</v>
      </c>
      <c r="H1332" s="254">
        <f t="shared" si="213"/>
        <v>0</v>
      </c>
      <c r="I1332" s="253">
        <f t="shared" si="214"/>
        <v>0</v>
      </c>
      <c r="J1332" s="253"/>
      <c r="K1332" s="251" t="s">
        <v>1901</v>
      </c>
      <c r="L1332" s="663">
        <v>399.44</v>
      </c>
      <c r="M1332" s="258">
        <v>0</v>
      </c>
      <c r="N1332" s="257">
        <f t="shared" si="215"/>
        <v>0</v>
      </c>
      <c r="O1332" s="258">
        <v>0</v>
      </c>
      <c r="P1332" s="257">
        <f t="shared" si="216"/>
        <v>0</v>
      </c>
      <c r="Q1332" s="258">
        <v>0</v>
      </c>
      <c r="R1332" s="257">
        <f t="shared" si="217"/>
        <v>0</v>
      </c>
      <c r="S1332" s="258">
        <v>0</v>
      </c>
      <c r="T1332" s="257">
        <f t="shared" si="218"/>
        <v>0</v>
      </c>
      <c r="U1332" s="258">
        <v>0</v>
      </c>
      <c r="V1332" s="257">
        <f t="shared" si="219"/>
        <v>0</v>
      </c>
      <c r="W1332" s="258">
        <v>0</v>
      </c>
      <c r="X1332" s="257">
        <f t="shared" si="220"/>
        <v>0</v>
      </c>
      <c r="Y1332" s="258">
        <v>0</v>
      </c>
      <c r="Z1332" s="257">
        <f t="shared" si="221"/>
        <v>0</v>
      </c>
    </row>
    <row r="1333" spans="1:26" ht="15" hidden="1" customHeight="1">
      <c r="A1333" s="250" t="s">
        <v>1907</v>
      </c>
      <c r="B1333" s="251"/>
      <c r="C1333" s="540" t="s">
        <v>2410</v>
      </c>
      <c r="D1333" s="292" t="s">
        <v>305</v>
      </c>
      <c r="E1333" s="251" t="s">
        <v>1901</v>
      </c>
      <c r="F1333" s="304">
        <f t="shared" si="212"/>
        <v>0</v>
      </c>
      <c r="G1333" s="253">
        <f t="shared" si="211"/>
        <v>545.9</v>
      </c>
      <c r="H1333" s="254">
        <f t="shared" si="213"/>
        <v>0</v>
      </c>
      <c r="I1333" s="253">
        <f t="shared" si="214"/>
        <v>0</v>
      </c>
      <c r="J1333" s="253"/>
      <c r="K1333" s="251" t="s">
        <v>1901</v>
      </c>
      <c r="L1333" s="663">
        <v>545.9</v>
      </c>
      <c r="M1333" s="258">
        <v>0</v>
      </c>
      <c r="N1333" s="257">
        <f t="shared" si="215"/>
        <v>0</v>
      </c>
      <c r="O1333" s="258">
        <v>0</v>
      </c>
      <c r="P1333" s="257">
        <f t="shared" si="216"/>
        <v>0</v>
      </c>
      <c r="Q1333" s="258">
        <v>0</v>
      </c>
      <c r="R1333" s="257">
        <f t="shared" si="217"/>
        <v>0</v>
      </c>
      <c r="S1333" s="258">
        <v>0</v>
      </c>
      <c r="T1333" s="257">
        <f t="shared" si="218"/>
        <v>0</v>
      </c>
      <c r="U1333" s="258">
        <v>0</v>
      </c>
      <c r="V1333" s="257">
        <f t="shared" si="219"/>
        <v>0</v>
      </c>
      <c r="W1333" s="258">
        <v>0</v>
      </c>
      <c r="X1333" s="257">
        <f t="shared" si="220"/>
        <v>0</v>
      </c>
      <c r="Y1333" s="258">
        <v>0</v>
      </c>
      <c r="Z1333" s="257">
        <f t="shared" si="221"/>
        <v>0</v>
      </c>
    </row>
    <row r="1334" spans="1:26" ht="15" hidden="1" customHeight="1">
      <c r="A1334" s="250" t="s">
        <v>542</v>
      </c>
      <c r="B1334" s="251"/>
      <c r="C1334" s="540" t="s">
        <v>2411</v>
      </c>
      <c r="D1334" s="292" t="s">
        <v>306</v>
      </c>
      <c r="E1334" s="251" t="s">
        <v>1901</v>
      </c>
      <c r="F1334" s="304">
        <f t="shared" si="212"/>
        <v>0</v>
      </c>
      <c r="G1334" s="253">
        <f t="shared" si="211"/>
        <v>659.07</v>
      </c>
      <c r="H1334" s="254">
        <f t="shared" si="213"/>
        <v>0</v>
      </c>
      <c r="I1334" s="253">
        <f t="shared" si="214"/>
        <v>0</v>
      </c>
      <c r="J1334" s="253"/>
      <c r="K1334" s="251" t="s">
        <v>1901</v>
      </c>
      <c r="L1334" s="663">
        <v>659.07</v>
      </c>
      <c r="M1334" s="258">
        <v>0</v>
      </c>
      <c r="N1334" s="257">
        <f t="shared" si="215"/>
        <v>0</v>
      </c>
      <c r="O1334" s="258">
        <v>0</v>
      </c>
      <c r="P1334" s="257">
        <f t="shared" si="216"/>
        <v>0</v>
      </c>
      <c r="Q1334" s="258">
        <v>0</v>
      </c>
      <c r="R1334" s="257">
        <f t="shared" si="217"/>
        <v>0</v>
      </c>
      <c r="S1334" s="258">
        <v>0</v>
      </c>
      <c r="T1334" s="257">
        <f t="shared" si="218"/>
        <v>0</v>
      </c>
      <c r="U1334" s="258">
        <v>0</v>
      </c>
      <c r="V1334" s="257">
        <f t="shared" si="219"/>
        <v>0</v>
      </c>
      <c r="W1334" s="258">
        <v>0</v>
      </c>
      <c r="X1334" s="257">
        <f t="shared" si="220"/>
        <v>0</v>
      </c>
      <c r="Y1334" s="258">
        <v>0</v>
      </c>
      <c r="Z1334" s="257">
        <f t="shared" si="221"/>
        <v>0</v>
      </c>
    </row>
    <row r="1335" spans="1:26" ht="15" hidden="1" customHeight="1">
      <c r="A1335" s="250" t="s">
        <v>543</v>
      </c>
      <c r="B1335" s="251"/>
      <c r="C1335" s="540" t="s">
        <v>2412</v>
      </c>
      <c r="D1335" s="292" t="s">
        <v>1393</v>
      </c>
      <c r="E1335" s="251" t="s">
        <v>1901</v>
      </c>
      <c r="F1335" s="304">
        <f t="shared" si="212"/>
        <v>0</v>
      </c>
      <c r="G1335" s="253">
        <f t="shared" si="211"/>
        <v>971.98</v>
      </c>
      <c r="H1335" s="254">
        <f t="shared" si="213"/>
        <v>0</v>
      </c>
      <c r="I1335" s="253">
        <f t="shared" si="214"/>
        <v>0</v>
      </c>
      <c r="J1335" s="253"/>
      <c r="K1335" s="251" t="s">
        <v>1901</v>
      </c>
      <c r="L1335" s="663">
        <v>971.98</v>
      </c>
      <c r="M1335" s="258">
        <v>0</v>
      </c>
      <c r="N1335" s="257">
        <f t="shared" si="215"/>
        <v>0</v>
      </c>
      <c r="O1335" s="258">
        <v>0</v>
      </c>
      <c r="P1335" s="257">
        <f t="shared" si="216"/>
        <v>0</v>
      </c>
      <c r="Q1335" s="258">
        <v>0</v>
      </c>
      <c r="R1335" s="257">
        <f t="shared" si="217"/>
        <v>0</v>
      </c>
      <c r="S1335" s="258">
        <v>0</v>
      </c>
      <c r="T1335" s="257">
        <f t="shared" si="218"/>
        <v>0</v>
      </c>
      <c r="U1335" s="258">
        <v>0</v>
      </c>
      <c r="V1335" s="257">
        <f t="shared" si="219"/>
        <v>0</v>
      </c>
      <c r="W1335" s="258">
        <v>0</v>
      </c>
      <c r="X1335" s="257">
        <f t="shared" si="220"/>
        <v>0</v>
      </c>
      <c r="Y1335" s="258">
        <v>0</v>
      </c>
      <c r="Z1335" s="257">
        <f t="shared" si="221"/>
        <v>0</v>
      </c>
    </row>
    <row r="1336" spans="1:26" ht="15" hidden="1" customHeight="1">
      <c r="A1336" s="250"/>
      <c r="B1336" s="251"/>
      <c r="C1336" s="326"/>
      <c r="D1336" s="292"/>
      <c r="E1336" s="251"/>
      <c r="F1336" s="252"/>
      <c r="G1336" s="253"/>
      <c r="H1336" s="254"/>
      <c r="I1336" s="253"/>
      <c r="J1336" s="253"/>
      <c r="K1336" s="251"/>
      <c r="L1336" s="261"/>
      <c r="M1336" s="258"/>
      <c r="N1336" s="257"/>
      <c r="O1336" s="258"/>
      <c r="P1336" s="257"/>
      <c r="Q1336" s="258"/>
      <c r="R1336" s="257"/>
      <c r="S1336" s="258"/>
      <c r="T1336" s="257"/>
      <c r="U1336" s="258"/>
      <c r="V1336" s="257"/>
      <c r="W1336" s="258"/>
      <c r="X1336" s="257"/>
      <c r="Y1336" s="258"/>
      <c r="Z1336" s="257"/>
    </row>
    <row r="1337" spans="1:26" ht="15" hidden="1" customHeight="1">
      <c r="A1337" s="250">
        <f>A1327+1</f>
        <v>239</v>
      </c>
      <c r="B1337" s="251"/>
      <c r="C1337" s="532" t="s">
        <v>1849</v>
      </c>
      <c r="D1337" s="532" t="s">
        <v>1395</v>
      </c>
      <c r="E1337" s="251"/>
      <c r="F1337" s="252"/>
      <c r="G1337" s="253"/>
      <c r="H1337" s="254"/>
      <c r="I1337" s="253"/>
      <c r="J1337" s="253"/>
      <c r="K1337" s="251"/>
      <c r="L1337" s="261"/>
      <c r="M1337" s="258"/>
      <c r="N1337" s="257"/>
      <c r="O1337" s="258"/>
      <c r="P1337" s="257"/>
      <c r="Q1337" s="258"/>
      <c r="R1337" s="257"/>
      <c r="S1337" s="258"/>
      <c r="T1337" s="257"/>
      <c r="U1337" s="258"/>
      <c r="V1337" s="257"/>
      <c r="W1337" s="258"/>
      <c r="X1337" s="257"/>
      <c r="Y1337" s="258"/>
      <c r="Z1337" s="257"/>
    </row>
    <row r="1338" spans="1:26" ht="15" hidden="1" customHeight="1">
      <c r="A1338" s="250"/>
      <c r="B1338" s="251"/>
      <c r="C1338" s="326"/>
      <c r="D1338" s="532" t="s">
        <v>1394</v>
      </c>
      <c r="E1338" s="251"/>
      <c r="F1338" s="252"/>
      <c r="G1338" s="253"/>
      <c r="H1338" s="254"/>
      <c r="I1338" s="253"/>
      <c r="J1338" s="253"/>
      <c r="K1338" s="251"/>
      <c r="L1338" s="261"/>
      <c r="M1338" s="258"/>
      <c r="N1338" s="257"/>
      <c r="O1338" s="258"/>
      <c r="P1338" s="257"/>
      <c r="Q1338" s="258"/>
      <c r="R1338" s="257"/>
      <c r="S1338" s="258"/>
      <c r="T1338" s="257"/>
      <c r="U1338" s="258"/>
      <c r="V1338" s="257"/>
      <c r="W1338" s="258"/>
      <c r="X1338" s="257"/>
      <c r="Y1338" s="258"/>
      <c r="Z1338" s="257"/>
    </row>
    <row r="1339" spans="1:26" ht="15" hidden="1" customHeight="1">
      <c r="A1339" s="250" t="s">
        <v>1903</v>
      </c>
      <c r="B1339" s="251"/>
      <c r="C1339" s="532" t="s">
        <v>2418</v>
      </c>
      <c r="D1339" s="532" t="s">
        <v>1422</v>
      </c>
      <c r="E1339" s="251" t="s">
        <v>1901</v>
      </c>
      <c r="F1339" s="304">
        <f t="shared" ref="F1339:F1355" si="222">M1339+O1339+Q1339+S1339+U1339+W1339+Y1339</f>
        <v>0</v>
      </c>
      <c r="G1339" s="253">
        <f t="shared" si="211"/>
        <v>60.59</v>
      </c>
      <c r="H1339" s="254">
        <f t="shared" ref="H1339:H1355" si="223">F1339*G1339</f>
        <v>0</v>
      </c>
      <c r="I1339" s="253">
        <f t="shared" ref="I1339:I1355" si="224">N1339+P1339+R1339+T1339+V1339+X1339+Z1339</f>
        <v>0</v>
      </c>
      <c r="J1339" s="253"/>
      <c r="K1339" s="251" t="s">
        <v>1901</v>
      </c>
      <c r="L1339" s="663">
        <v>60.59</v>
      </c>
      <c r="M1339" s="258">
        <v>0</v>
      </c>
      <c r="N1339" s="257">
        <f t="shared" ref="N1339:N1355" si="225">INT($L1339*M1339*100+0.5)/100</f>
        <v>0</v>
      </c>
      <c r="O1339" s="258">
        <v>0</v>
      </c>
      <c r="P1339" s="257">
        <f t="shared" ref="P1339:P1355" si="226">INT($L1339*O1339*100+0.5)/100</f>
        <v>0</v>
      </c>
      <c r="Q1339" s="258">
        <v>0</v>
      </c>
      <c r="R1339" s="257">
        <f t="shared" ref="R1339:R1355" si="227">INT($L1339*Q1339*100+0.5)/100</f>
        <v>0</v>
      </c>
      <c r="S1339" s="258">
        <v>0</v>
      </c>
      <c r="T1339" s="257">
        <f t="shared" ref="T1339:T1355" si="228">INT($L1339*S1339*100+0.5)/100</f>
        <v>0</v>
      </c>
      <c r="U1339" s="258">
        <v>0</v>
      </c>
      <c r="V1339" s="257">
        <f t="shared" ref="V1339:V1355" si="229">INT($L1339*U1339*100+0.5)/100</f>
        <v>0</v>
      </c>
      <c r="W1339" s="258">
        <v>0</v>
      </c>
      <c r="X1339" s="257">
        <f t="shared" ref="X1339:X1355" si="230">INT($L1339*W1339*100+0.5)/100</f>
        <v>0</v>
      </c>
      <c r="Y1339" s="258">
        <v>0</v>
      </c>
      <c r="Z1339" s="257">
        <f t="shared" ref="Z1339:Z1355" si="231">INT($L1339*Y1339*100+0.5)/100</f>
        <v>0</v>
      </c>
    </row>
    <row r="1340" spans="1:26" ht="15" hidden="1" customHeight="1">
      <c r="A1340" s="250" t="s">
        <v>1905</v>
      </c>
      <c r="B1340" s="251"/>
      <c r="C1340" s="532" t="s">
        <v>2419</v>
      </c>
      <c r="D1340" s="532" t="s">
        <v>1423</v>
      </c>
      <c r="E1340" s="251" t="s">
        <v>1901</v>
      </c>
      <c r="F1340" s="304">
        <f t="shared" si="222"/>
        <v>0</v>
      </c>
      <c r="G1340" s="253">
        <f t="shared" si="211"/>
        <v>64.91</v>
      </c>
      <c r="H1340" s="254">
        <f t="shared" si="223"/>
        <v>0</v>
      </c>
      <c r="I1340" s="253">
        <f t="shared" si="224"/>
        <v>0</v>
      </c>
      <c r="J1340" s="253"/>
      <c r="K1340" s="251" t="s">
        <v>1901</v>
      </c>
      <c r="L1340" s="663">
        <v>64.91</v>
      </c>
      <c r="M1340" s="258">
        <v>0</v>
      </c>
      <c r="N1340" s="257">
        <f t="shared" si="225"/>
        <v>0</v>
      </c>
      <c r="O1340" s="258">
        <v>0</v>
      </c>
      <c r="P1340" s="257">
        <f t="shared" si="226"/>
        <v>0</v>
      </c>
      <c r="Q1340" s="258">
        <v>0</v>
      </c>
      <c r="R1340" s="257">
        <f t="shared" si="227"/>
        <v>0</v>
      </c>
      <c r="S1340" s="258">
        <v>0</v>
      </c>
      <c r="T1340" s="257">
        <f t="shared" si="228"/>
        <v>0</v>
      </c>
      <c r="U1340" s="258">
        <v>0</v>
      </c>
      <c r="V1340" s="257">
        <f t="shared" si="229"/>
        <v>0</v>
      </c>
      <c r="W1340" s="258">
        <v>0</v>
      </c>
      <c r="X1340" s="257">
        <f t="shared" si="230"/>
        <v>0</v>
      </c>
      <c r="Y1340" s="258">
        <v>0</v>
      </c>
      <c r="Z1340" s="257">
        <f t="shared" si="231"/>
        <v>0</v>
      </c>
    </row>
    <row r="1341" spans="1:26" ht="15" hidden="1" customHeight="1">
      <c r="A1341" s="250" t="s">
        <v>1906</v>
      </c>
      <c r="B1341" s="251"/>
      <c r="C1341" s="532" t="s">
        <v>2420</v>
      </c>
      <c r="D1341" s="532" t="s">
        <v>1424</v>
      </c>
      <c r="E1341" s="251" t="s">
        <v>1901</v>
      </c>
      <c r="F1341" s="304">
        <f t="shared" si="222"/>
        <v>0</v>
      </c>
      <c r="G1341" s="253">
        <f t="shared" si="211"/>
        <v>69.91</v>
      </c>
      <c r="H1341" s="254">
        <f t="shared" si="223"/>
        <v>0</v>
      </c>
      <c r="I1341" s="253">
        <f t="shared" si="224"/>
        <v>0</v>
      </c>
      <c r="J1341" s="253"/>
      <c r="K1341" s="251" t="s">
        <v>1901</v>
      </c>
      <c r="L1341" s="663">
        <v>69.91</v>
      </c>
      <c r="M1341" s="258">
        <v>0</v>
      </c>
      <c r="N1341" s="257">
        <f t="shared" si="225"/>
        <v>0</v>
      </c>
      <c r="O1341" s="258">
        <v>0</v>
      </c>
      <c r="P1341" s="257">
        <f t="shared" si="226"/>
        <v>0</v>
      </c>
      <c r="Q1341" s="258">
        <v>0</v>
      </c>
      <c r="R1341" s="257">
        <f t="shared" si="227"/>
        <v>0</v>
      </c>
      <c r="S1341" s="258">
        <v>0</v>
      </c>
      <c r="T1341" s="257">
        <f t="shared" si="228"/>
        <v>0</v>
      </c>
      <c r="U1341" s="258">
        <v>0</v>
      </c>
      <c r="V1341" s="257">
        <f t="shared" si="229"/>
        <v>0</v>
      </c>
      <c r="W1341" s="258">
        <v>0</v>
      </c>
      <c r="X1341" s="257">
        <f t="shared" si="230"/>
        <v>0</v>
      </c>
      <c r="Y1341" s="258">
        <v>0</v>
      </c>
      <c r="Z1341" s="257">
        <f t="shared" si="231"/>
        <v>0</v>
      </c>
    </row>
    <row r="1342" spans="1:26" ht="15" hidden="1" customHeight="1">
      <c r="A1342" s="250" t="s">
        <v>1907</v>
      </c>
      <c r="B1342" s="251"/>
      <c r="C1342" s="532" t="s">
        <v>2421</v>
      </c>
      <c r="D1342" s="532" t="s">
        <v>1425</v>
      </c>
      <c r="E1342" s="251" t="s">
        <v>1901</v>
      </c>
      <c r="F1342" s="304">
        <f t="shared" si="222"/>
        <v>0</v>
      </c>
      <c r="G1342" s="253">
        <f t="shared" si="211"/>
        <v>99.87</v>
      </c>
      <c r="H1342" s="254">
        <f t="shared" si="223"/>
        <v>0</v>
      </c>
      <c r="I1342" s="253">
        <f t="shared" si="224"/>
        <v>0</v>
      </c>
      <c r="J1342" s="253"/>
      <c r="K1342" s="251" t="s">
        <v>1901</v>
      </c>
      <c r="L1342" s="663">
        <v>99.87</v>
      </c>
      <c r="M1342" s="258">
        <v>0</v>
      </c>
      <c r="N1342" s="257">
        <f t="shared" si="225"/>
        <v>0</v>
      </c>
      <c r="O1342" s="258">
        <v>0</v>
      </c>
      <c r="P1342" s="257">
        <f t="shared" si="226"/>
        <v>0</v>
      </c>
      <c r="Q1342" s="258">
        <v>0</v>
      </c>
      <c r="R1342" s="257">
        <f t="shared" si="227"/>
        <v>0</v>
      </c>
      <c r="S1342" s="258">
        <v>0</v>
      </c>
      <c r="T1342" s="257">
        <f t="shared" si="228"/>
        <v>0</v>
      </c>
      <c r="U1342" s="258">
        <v>0</v>
      </c>
      <c r="V1342" s="257">
        <f t="shared" si="229"/>
        <v>0</v>
      </c>
      <c r="W1342" s="258">
        <v>0</v>
      </c>
      <c r="X1342" s="257">
        <f t="shared" si="230"/>
        <v>0</v>
      </c>
      <c r="Y1342" s="258">
        <v>0</v>
      </c>
      <c r="Z1342" s="257">
        <f t="shared" si="231"/>
        <v>0</v>
      </c>
    </row>
    <row r="1343" spans="1:26" ht="15" hidden="1" customHeight="1">
      <c r="A1343" s="250" t="s">
        <v>542</v>
      </c>
      <c r="B1343" s="251"/>
      <c r="C1343" s="532" t="s">
        <v>2422</v>
      </c>
      <c r="D1343" s="532" t="s">
        <v>1426</v>
      </c>
      <c r="E1343" s="251" t="s">
        <v>2314</v>
      </c>
      <c r="F1343" s="304">
        <f t="shared" si="222"/>
        <v>0</v>
      </c>
      <c r="G1343" s="253">
        <f t="shared" si="211"/>
        <v>173.1</v>
      </c>
      <c r="H1343" s="254">
        <f t="shared" si="223"/>
        <v>0</v>
      </c>
      <c r="I1343" s="253">
        <f t="shared" si="224"/>
        <v>0</v>
      </c>
      <c r="J1343" s="253"/>
      <c r="K1343" s="251" t="s">
        <v>2314</v>
      </c>
      <c r="L1343" s="663">
        <v>173.1</v>
      </c>
      <c r="M1343" s="258">
        <v>0</v>
      </c>
      <c r="N1343" s="257">
        <f t="shared" si="225"/>
        <v>0</v>
      </c>
      <c r="O1343" s="258">
        <v>0</v>
      </c>
      <c r="P1343" s="257">
        <f t="shared" si="226"/>
        <v>0</v>
      </c>
      <c r="Q1343" s="258">
        <v>0</v>
      </c>
      <c r="R1343" s="257">
        <f t="shared" si="227"/>
        <v>0</v>
      </c>
      <c r="S1343" s="258">
        <v>0</v>
      </c>
      <c r="T1343" s="257">
        <f t="shared" si="228"/>
        <v>0</v>
      </c>
      <c r="U1343" s="258">
        <v>0</v>
      </c>
      <c r="V1343" s="257">
        <f t="shared" si="229"/>
        <v>0</v>
      </c>
      <c r="W1343" s="258">
        <v>0</v>
      </c>
      <c r="X1343" s="257">
        <f t="shared" si="230"/>
        <v>0</v>
      </c>
      <c r="Y1343" s="258">
        <v>0</v>
      </c>
      <c r="Z1343" s="257">
        <f t="shared" si="231"/>
        <v>0</v>
      </c>
    </row>
    <row r="1344" spans="1:26" ht="15" hidden="1" customHeight="1">
      <c r="A1344" s="250" t="s">
        <v>543</v>
      </c>
      <c r="B1344" s="251"/>
      <c r="C1344" s="534" t="s">
        <v>2423</v>
      </c>
      <c r="D1344" s="532" t="s">
        <v>230</v>
      </c>
      <c r="E1344" s="251" t="s">
        <v>1901</v>
      </c>
      <c r="F1344" s="304">
        <f t="shared" si="222"/>
        <v>0</v>
      </c>
      <c r="G1344" s="253">
        <f t="shared" si="211"/>
        <v>245.995</v>
      </c>
      <c r="H1344" s="244">
        <f>F1344*G1344</f>
        <v>0</v>
      </c>
      <c r="I1344" s="253">
        <f t="shared" si="224"/>
        <v>0</v>
      </c>
      <c r="J1344" s="225"/>
      <c r="K1344" s="251" t="s">
        <v>1901</v>
      </c>
      <c r="L1344" s="666">
        <f>(L1343+L1345)/2</f>
        <v>245.995</v>
      </c>
      <c r="M1344" s="258">
        <v>0</v>
      </c>
      <c r="N1344" s="257">
        <f t="shared" si="225"/>
        <v>0</v>
      </c>
      <c r="O1344" s="258">
        <v>0</v>
      </c>
      <c r="P1344" s="257">
        <f t="shared" si="226"/>
        <v>0</v>
      </c>
      <c r="Q1344" s="258">
        <v>0</v>
      </c>
      <c r="R1344" s="257">
        <f t="shared" si="227"/>
        <v>0</v>
      </c>
      <c r="S1344" s="258">
        <v>0</v>
      </c>
      <c r="T1344" s="257">
        <f t="shared" si="228"/>
        <v>0</v>
      </c>
      <c r="U1344" s="258">
        <v>0</v>
      </c>
      <c r="V1344" s="257">
        <f t="shared" si="229"/>
        <v>0</v>
      </c>
      <c r="W1344" s="258">
        <v>0</v>
      </c>
      <c r="X1344" s="257">
        <f t="shared" si="230"/>
        <v>0</v>
      </c>
      <c r="Y1344" s="258">
        <v>0</v>
      </c>
      <c r="Z1344" s="257">
        <f t="shared" si="231"/>
        <v>0</v>
      </c>
    </row>
    <row r="1345" spans="1:26" ht="15" hidden="1" customHeight="1">
      <c r="A1345" s="250" t="s">
        <v>544</v>
      </c>
      <c r="B1345" s="251"/>
      <c r="C1345" s="532" t="s">
        <v>2424</v>
      </c>
      <c r="D1345" s="532" t="s">
        <v>1427</v>
      </c>
      <c r="E1345" s="251" t="s">
        <v>1901</v>
      </c>
      <c r="F1345" s="304">
        <f t="shared" si="222"/>
        <v>0</v>
      </c>
      <c r="G1345" s="253">
        <f t="shared" si="211"/>
        <v>318.89</v>
      </c>
      <c r="H1345" s="254">
        <f t="shared" si="223"/>
        <v>0</v>
      </c>
      <c r="I1345" s="253">
        <f t="shared" si="224"/>
        <v>0</v>
      </c>
      <c r="J1345" s="253"/>
      <c r="K1345" s="251" t="s">
        <v>1901</v>
      </c>
      <c r="L1345" s="663">
        <v>318.89</v>
      </c>
      <c r="M1345" s="258">
        <v>0</v>
      </c>
      <c r="N1345" s="257">
        <f t="shared" si="225"/>
        <v>0</v>
      </c>
      <c r="O1345" s="258">
        <v>0</v>
      </c>
      <c r="P1345" s="257">
        <f t="shared" si="226"/>
        <v>0</v>
      </c>
      <c r="Q1345" s="258">
        <v>0</v>
      </c>
      <c r="R1345" s="257">
        <f t="shared" si="227"/>
        <v>0</v>
      </c>
      <c r="S1345" s="258">
        <v>0</v>
      </c>
      <c r="T1345" s="257">
        <f t="shared" si="228"/>
        <v>0</v>
      </c>
      <c r="U1345" s="258">
        <v>0</v>
      </c>
      <c r="V1345" s="257">
        <f t="shared" si="229"/>
        <v>0</v>
      </c>
      <c r="W1345" s="258">
        <v>0</v>
      </c>
      <c r="X1345" s="257">
        <f t="shared" si="230"/>
        <v>0</v>
      </c>
      <c r="Y1345" s="258">
        <v>0</v>
      </c>
      <c r="Z1345" s="257">
        <f t="shared" si="231"/>
        <v>0</v>
      </c>
    </row>
    <row r="1346" spans="1:26" ht="15" hidden="1" customHeight="1">
      <c r="A1346" s="250" t="s">
        <v>545</v>
      </c>
      <c r="B1346" s="251"/>
      <c r="C1346" s="532" t="s">
        <v>2425</v>
      </c>
      <c r="D1346" s="532" t="s">
        <v>1428</v>
      </c>
      <c r="E1346" s="251" t="s">
        <v>1901</v>
      </c>
      <c r="F1346" s="304">
        <f t="shared" si="222"/>
        <v>0</v>
      </c>
      <c r="G1346" s="253">
        <f t="shared" si="211"/>
        <v>432.74</v>
      </c>
      <c r="H1346" s="254">
        <f t="shared" si="223"/>
        <v>0</v>
      </c>
      <c r="I1346" s="253">
        <f t="shared" si="224"/>
        <v>0</v>
      </c>
      <c r="J1346" s="253"/>
      <c r="K1346" s="251" t="s">
        <v>1901</v>
      </c>
      <c r="L1346" s="663">
        <v>432.74</v>
      </c>
      <c r="M1346" s="258">
        <v>0</v>
      </c>
      <c r="N1346" s="257">
        <f t="shared" si="225"/>
        <v>0</v>
      </c>
      <c r="O1346" s="258">
        <v>0</v>
      </c>
      <c r="P1346" s="257">
        <f t="shared" si="226"/>
        <v>0</v>
      </c>
      <c r="Q1346" s="258">
        <v>0</v>
      </c>
      <c r="R1346" s="257">
        <f t="shared" si="227"/>
        <v>0</v>
      </c>
      <c r="S1346" s="258">
        <v>0</v>
      </c>
      <c r="T1346" s="257">
        <f t="shared" si="228"/>
        <v>0</v>
      </c>
      <c r="U1346" s="258">
        <v>0</v>
      </c>
      <c r="V1346" s="257">
        <f t="shared" si="229"/>
        <v>0</v>
      </c>
      <c r="W1346" s="258">
        <v>0</v>
      </c>
      <c r="X1346" s="257">
        <f t="shared" si="230"/>
        <v>0</v>
      </c>
      <c r="Y1346" s="258">
        <v>0</v>
      </c>
      <c r="Z1346" s="257">
        <f t="shared" si="231"/>
        <v>0</v>
      </c>
    </row>
    <row r="1347" spans="1:26" ht="15" hidden="1" customHeight="1">
      <c r="A1347" s="250" t="s">
        <v>2106</v>
      </c>
      <c r="B1347" s="251"/>
      <c r="C1347" s="532" t="s">
        <v>2426</v>
      </c>
      <c r="D1347" s="532" t="s">
        <v>1429</v>
      </c>
      <c r="E1347" s="251" t="s">
        <v>1901</v>
      </c>
      <c r="F1347" s="304">
        <f t="shared" si="222"/>
        <v>0</v>
      </c>
      <c r="G1347" s="253">
        <f t="shared" si="211"/>
        <v>70.569999999999993</v>
      </c>
      <c r="H1347" s="254">
        <f t="shared" si="223"/>
        <v>0</v>
      </c>
      <c r="I1347" s="253">
        <f t="shared" si="224"/>
        <v>0</v>
      </c>
      <c r="J1347" s="253"/>
      <c r="K1347" s="251" t="s">
        <v>1901</v>
      </c>
      <c r="L1347" s="663">
        <v>70.569999999999993</v>
      </c>
      <c r="M1347" s="258">
        <v>0</v>
      </c>
      <c r="N1347" s="257">
        <f t="shared" si="225"/>
        <v>0</v>
      </c>
      <c r="O1347" s="258">
        <v>0</v>
      </c>
      <c r="P1347" s="257">
        <f t="shared" si="226"/>
        <v>0</v>
      </c>
      <c r="Q1347" s="258">
        <v>0</v>
      </c>
      <c r="R1347" s="257">
        <f t="shared" si="227"/>
        <v>0</v>
      </c>
      <c r="S1347" s="258">
        <v>0</v>
      </c>
      <c r="T1347" s="257">
        <f t="shared" si="228"/>
        <v>0</v>
      </c>
      <c r="U1347" s="258">
        <v>0</v>
      </c>
      <c r="V1347" s="257">
        <f t="shared" si="229"/>
        <v>0</v>
      </c>
      <c r="W1347" s="258">
        <v>0</v>
      </c>
      <c r="X1347" s="257">
        <f t="shared" si="230"/>
        <v>0</v>
      </c>
      <c r="Y1347" s="258">
        <v>0</v>
      </c>
      <c r="Z1347" s="257">
        <f t="shared" si="231"/>
        <v>0</v>
      </c>
    </row>
    <row r="1348" spans="1:26" ht="15" hidden="1" customHeight="1">
      <c r="A1348" s="250" t="s">
        <v>583</v>
      </c>
      <c r="B1348" s="251"/>
      <c r="C1348" s="532" t="s">
        <v>2427</v>
      </c>
      <c r="D1348" s="532" t="s">
        <v>1430</v>
      </c>
      <c r="E1348" s="251" t="s">
        <v>1901</v>
      </c>
      <c r="F1348" s="304">
        <f t="shared" si="222"/>
        <v>0</v>
      </c>
      <c r="G1348" s="253">
        <f t="shared" si="211"/>
        <v>75.900000000000006</v>
      </c>
      <c r="H1348" s="254">
        <f t="shared" si="223"/>
        <v>0</v>
      </c>
      <c r="I1348" s="253">
        <f t="shared" si="224"/>
        <v>0</v>
      </c>
      <c r="J1348" s="253"/>
      <c r="K1348" s="251" t="s">
        <v>1901</v>
      </c>
      <c r="L1348" s="663">
        <v>75.900000000000006</v>
      </c>
      <c r="M1348" s="258">
        <v>0</v>
      </c>
      <c r="N1348" s="257">
        <f t="shared" si="225"/>
        <v>0</v>
      </c>
      <c r="O1348" s="258">
        <v>0</v>
      </c>
      <c r="P1348" s="257">
        <f t="shared" si="226"/>
        <v>0</v>
      </c>
      <c r="Q1348" s="258">
        <v>0</v>
      </c>
      <c r="R1348" s="257">
        <f t="shared" si="227"/>
        <v>0</v>
      </c>
      <c r="S1348" s="258">
        <v>0</v>
      </c>
      <c r="T1348" s="257">
        <f t="shared" si="228"/>
        <v>0</v>
      </c>
      <c r="U1348" s="258">
        <v>0</v>
      </c>
      <c r="V1348" s="257">
        <f t="shared" si="229"/>
        <v>0</v>
      </c>
      <c r="W1348" s="258">
        <v>0</v>
      </c>
      <c r="X1348" s="257">
        <f t="shared" si="230"/>
        <v>0</v>
      </c>
      <c r="Y1348" s="258">
        <v>0</v>
      </c>
      <c r="Z1348" s="257">
        <f t="shared" si="231"/>
        <v>0</v>
      </c>
    </row>
    <row r="1349" spans="1:26" ht="15" hidden="1" customHeight="1">
      <c r="A1349" s="250" t="s">
        <v>2475</v>
      </c>
      <c r="B1349" s="251"/>
      <c r="C1349" s="532" t="s">
        <v>2428</v>
      </c>
      <c r="D1349" s="532" t="s">
        <v>1431</v>
      </c>
      <c r="E1349" s="251" t="s">
        <v>1901</v>
      </c>
      <c r="F1349" s="304">
        <f t="shared" si="222"/>
        <v>0</v>
      </c>
      <c r="G1349" s="253">
        <f t="shared" si="211"/>
        <v>81.23</v>
      </c>
      <c r="H1349" s="254">
        <f t="shared" si="223"/>
        <v>0</v>
      </c>
      <c r="I1349" s="253">
        <f t="shared" si="224"/>
        <v>0</v>
      </c>
      <c r="J1349" s="253"/>
      <c r="K1349" s="251" t="s">
        <v>1901</v>
      </c>
      <c r="L1349" s="663">
        <v>81.23</v>
      </c>
      <c r="M1349" s="258">
        <v>0</v>
      </c>
      <c r="N1349" s="257">
        <f t="shared" si="225"/>
        <v>0</v>
      </c>
      <c r="O1349" s="258">
        <v>0</v>
      </c>
      <c r="P1349" s="257">
        <f t="shared" si="226"/>
        <v>0</v>
      </c>
      <c r="Q1349" s="258">
        <v>0</v>
      </c>
      <c r="R1349" s="257">
        <f t="shared" si="227"/>
        <v>0</v>
      </c>
      <c r="S1349" s="258">
        <v>0</v>
      </c>
      <c r="T1349" s="257">
        <f t="shared" si="228"/>
        <v>0</v>
      </c>
      <c r="U1349" s="258">
        <v>0</v>
      </c>
      <c r="V1349" s="257">
        <f t="shared" si="229"/>
        <v>0</v>
      </c>
      <c r="W1349" s="258">
        <v>0</v>
      </c>
      <c r="X1349" s="257">
        <f t="shared" si="230"/>
        <v>0</v>
      </c>
      <c r="Y1349" s="258">
        <v>0</v>
      </c>
      <c r="Z1349" s="257">
        <f t="shared" si="231"/>
        <v>0</v>
      </c>
    </row>
    <row r="1350" spans="1:26" ht="15" hidden="1" customHeight="1">
      <c r="A1350" s="250" t="s">
        <v>1901</v>
      </c>
      <c r="B1350" s="251"/>
      <c r="C1350" s="532" t="s">
        <v>875</v>
      </c>
      <c r="D1350" s="532" t="s">
        <v>1432</v>
      </c>
      <c r="E1350" s="251" t="s">
        <v>1901</v>
      </c>
      <c r="F1350" s="304">
        <f t="shared" si="222"/>
        <v>0</v>
      </c>
      <c r="G1350" s="253">
        <f t="shared" si="211"/>
        <v>101.86500000000001</v>
      </c>
      <c r="H1350" s="254">
        <f t="shared" si="223"/>
        <v>0</v>
      </c>
      <c r="I1350" s="253">
        <f t="shared" si="224"/>
        <v>0</v>
      </c>
      <c r="J1350" s="253"/>
      <c r="K1350" s="251" t="s">
        <v>1901</v>
      </c>
      <c r="L1350" s="666">
        <f>(L1349+L1351)/2</f>
        <v>101.86500000000001</v>
      </c>
      <c r="M1350" s="258">
        <v>0</v>
      </c>
      <c r="N1350" s="257">
        <f t="shared" si="225"/>
        <v>0</v>
      </c>
      <c r="O1350" s="258">
        <v>0</v>
      </c>
      <c r="P1350" s="257">
        <f t="shared" si="226"/>
        <v>0</v>
      </c>
      <c r="Q1350" s="258">
        <v>0</v>
      </c>
      <c r="R1350" s="257">
        <f t="shared" si="227"/>
        <v>0</v>
      </c>
      <c r="S1350" s="258">
        <v>0</v>
      </c>
      <c r="T1350" s="257">
        <f t="shared" si="228"/>
        <v>0</v>
      </c>
      <c r="U1350" s="258">
        <v>0</v>
      </c>
      <c r="V1350" s="257">
        <f t="shared" si="229"/>
        <v>0</v>
      </c>
      <c r="W1350" s="258">
        <v>0</v>
      </c>
      <c r="X1350" s="257">
        <f t="shared" si="230"/>
        <v>0</v>
      </c>
      <c r="Y1350" s="258">
        <v>0</v>
      </c>
      <c r="Z1350" s="257">
        <f t="shared" si="231"/>
        <v>0</v>
      </c>
    </row>
    <row r="1351" spans="1:26" ht="15" hidden="1" customHeight="1">
      <c r="A1351" s="250" t="s">
        <v>1437</v>
      </c>
      <c r="B1351" s="251"/>
      <c r="C1351" s="532" t="s">
        <v>2429</v>
      </c>
      <c r="D1351" s="532" t="s">
        <v>1433</v>
      </c>
      <c r="E1351" s="251" t="s">
        <v>1901</v>
      </c>
      <c r="F1351" s="304">
        <f t="shared" si="222"/>
        <v>0</v>
      </c>
      <c r="G1351" s="253">
        <f t="shared" si="211"/>
        <v>122.5</v>
      </c>
      <c r="H1351" s="254">
        <f t="shared" si="223"/>
        <v>0</v>
      </c>
      <c r="I1351" s="253">
        <f t="shared" si="224"/>
        <v>0</v>
      </c>
      <c r="J1351" s="253"/>
      <c r="K1351" s="251" t="s">
        <v>1901</v>
      </c>
      <c r="L1351" s="663">
        <v>122.5</v>
      </c>
      <c r="M1351" s="258">
        <v>0</v>
      </c>
      <c r="N1351" s="257">
        <f t="shared" si="225"/>
        <v>0</v>
      </c>
      <c r="O1351" s="258">
        <v>0</v>
      </c>
      <c r="P1351" s="257">
        <f t="shared" si="226"/>
        <v>0</v>
      </c>
      <c r="Q1351" s="258">
        <v>0</v>
      </c>
      <c r="R1351" s="257">
        <f t="shared" si="227"/>
        <v>0</v>
      </c>
      <c r="S1351" s="258">
        <v>0</v>
      </c>
      <c r="T1351" s="257">
        <f t="shared" si="228"/>
        <v>0</v>
      </c>
      <c r="U1351" s="258">
        <v>0</v>
      </c>
      <c r="V1351" s="257">
        <f t="shared" si="229"/>
        <v>0</v>
      </c>
      <c r="W1351" s="258">
        <v>0</v>
      </c>
      <c r="X1351" s="257">
        <f t="shared" si="230"/>
        <v>0</v>
      </c>
      <c r="Y1351" s="258">
        <v>0</v>
      </c>
      <c r="Z1351" s="257">
        <f t="shared" si="231"/>
        <v>0</v>
      </c>
    </row>
    <row r="1352" spans="1:26" ht="15" hidden="1" customHeight="1">
      <c r="A1352" s="250" t="s">
        <v>1378</v>
      </c>
      <c r="B1352" s="251"/>
      <c r="C1352" s="532" t="s">
        <v>2430</v>
      </c>
      <c r="D1352" s="532" t="s">
        <v>1434</v>
      </c>
      <c r="E1352" s="251" t="s">
        <v>1901</v>
      </c>
      <c r="F1352" s="304">
        <f t="shared" si="222"/>
        <v>0</v>
      </c>
      <c r="G1352" s="253">
        <f t="shared" si="211"/>
        <v>213.04</v>
      </c>
      <c r="H1352" s="254">
        <f t="shared" si="223"/>
        <v>0</v>
      </c>
      <c r="I1352" s="253">
        <f t="shared" si="224"/>
        <v>0</v>
      </c>
      <c r="J1352" s="253"/>
      <c r="K1352" s="251" t="s">
        <v>1901</v>
      </c>
      <c r="L1352" s="663">
        <v>213.04</v>
      </c>
      <c r="M1352" s="258">
        <v>0</v>
      </c>
      <c r="N1352" s="257">
        <f t="shared" si="225"/>
        <v>0</v>
      </c>
      <c r="O1352" s="258">
        <v>0</v>
      </c>
      <c r="P1352" s="257">
        <f t="shared" si="226"/>
        <v>0</v>
      </c>
      <c r="Q1352" s="258">
        <v>0</v>
      </c>
      <c r="R1352" s="257">
        <f t="shared" si="227"/>
        <v>0</v>
      </c>
      <c r="S1352" s="258">
        <v>0</v>
      </c>
      <c r="T1352" s="257">
        <f t="shared" si="228"/>
        <v>0</v>
      </c>
      <c r="U1352" s="258">
        <v>0</v>
      </c>
      <c r="V1352" s="257">
        <f t="shared" si="229"/>
        <v>0</v>
      </c>
      <c r="W1352" s="258">
        <v>0</v>
      </c>
      <c r="X1352" s="257">
        <f t="shared" si="230"/>
        <v>0</v>
      </c>
      <c r="Y1352" s="258">
        <v>0</v>
      </c>
      <c r="Z1352" s="257">
        <f t="shared" si="231"/>
        <v>0</v>
      </c>
    </row>
    <row r="1353" spans="1:26" ht="15" hidden="1" customHeight="1">
      <c r="A1353" s="250" t="s">
        <v>889</v>
      </c>
      <c r="B1353" s="251"/>
      <c r="C1353" s="534" t="s">
        <v>890</v>
      </c>
      <c r="D1353" s="532" t="s">
        <v>891</v>
      </c>
      <c r="E1353" s="251" t="s">
        <v>1901</v>
      </c>
      <c r="F1353" s="304">
        <f t="shared" si="222"/>
        <v>0</v>
      </c>
      <c r="G1353" s="253">
        <f t="shared" si="211"/>
        <v>288.59499999999997</v>
      </c>
      <c r="H1353" s="254">
        <f>F1353*G1353</f>
        <v>0</v>
      </c>
      <c r="I1353" s="253">
        <f t="shared" si="224"/>
        <v>0</v>
      </c>
      <c r="J1353" s="253"/>
      <c r="K1353" s="251" t="s">
        <v>1901</v>
      </c>
      <c r="L1353" s="666">
        <f>(L1352+L1354)/2</f>
        <v>288.59499999999997</v>
      </c>
      <c r="M1353" s="258">
        <v>0</v>
      </c>
      <c r="N1353" s="257">
        <f t="shared" si="225"/>
        <v>0</v>
      </c>
      <c r="O1353" s="258">
        <v>0</v>
      </c>
      <c r="P1353" s="257">
        <f t="shared" si="226"/>
        <v>0</v>
      </c>
      <c r="Q1353" s="258">
        <v>0</v>
      </c>
      <c r="R1353" s="257">
        <f t="shared" si="227"/>
        <v>0</v>
      </c>
      <c r="S1353" s="258">
        <v>0</v>
      </c>
      <c r="T1353" s="257">
        <f t="shared" si="228"/>
        <v>0</v>
      </c>
      <c r="U1353" s="258">
        <v>0</v>
      </c>
      <c r="V1353" s="257">
        <f t="shared" si="229"/>
        <v>0</v>
      </c>
      <c r="W1353" s="258">
        <v>0</v>
      </c>
      <c r="X1353" s="257">
        <f t="shared" si="230"/>
        <v>0</v>
      </c>
      <c r="Y1353" s="258">
        <v>0</v>
      </c>
      <c r="Z1353" s="257">
        <f t="shared" si="231"/>
        <v>0</v>
      </c>
    </row>
    <row r="1354" spans="1:26" ht="15" hidden="1" customHeight="1">
      <c r="A1354" s="250" t="s">
        <v>1379</v>
      </c>
      <c r="B1354" s="251"/>
      <c r="C1354" s="532" t="s">
        <v>2431</v>
      </c>
      <c r="D1354" s="532" t="s">
        <v>1435</v>
      </c>
      <c r="E1354" s="251" t="s">
        <v>1901</v>
      </c>
      <c r="F1354" s="304">
        <f t="shared" si="222"/>
        <v>0</v>
      </c>
      <c r="G1354" s="253">
        <f t="shared" si="211"/>
        <v>364.15</v>
      </c>
      <c r="H1354" s="254">
        <f t="shared" si="223"/>
        <v>0</v>
      </c>
      <c r="I1354" s="253">
        <f t="shared" si="224"/>
        <v>0</v>
      </c>
      <c r="J1354" s="253"/>
      <c r="K1354" s="251" t="s">
        <v>1901</v>
      </c>
      <c r="L1354" s="663">
        <v>364.15</v>
      </c>
      <c r="M1354" s="258">
        <v>0</v>
      </c>
      <c r="N1354" s="257">
        <f t="shared" si="225"/>
        <v>0</v>
      </c>
      <c r="O1354" s="258">
        <v>0</v>
      </c>
      <c r="P1354" s="257">
        <f t="shared" si="226"/>
        <v>0</v>
      </c>
      <c r="Q1354" s="258">
        <v>0</v>
      </c>
      <c r="R1354" s="257">
        <f t="shared" si="227"/>
        <v>0</v>
      </c>
      <c r="S1354" s="258">
        <v>0</v>
      </c>
      <c r="T1354" s="257">
        <f t="shared" si="228"/>
        <v>0</v>
      </c>
      <c r="U1354" s="258">
        <v>0</v>
      </c>
      <c r="V1354" s="257">
        <f t="shared" si="229"/>
        <v>0</v>
      </c>
      <c r="W1354" s="258">
        <v>0</v>
      </c>
      <c r="X1354" s="257">
        <f t="shared" si="230"/>
        <v>0</v>
      </c>
      <c r="Y1354" s="258">
        <v>0</v>
      </c>
      <c r="Z1354" s="257">
        <f t="shared" si="231"/>
        <v>0</v>
      </c>
    </row>
    <row r="1355" spans="1:26" ht="15" hidden="1" customHeight="1">
      <c r="A1355" s="250" t="s">
        <v>1380</v>
      </c>
      <c r="B1355" s="251"/>
      <c r="C1355" s="532" t="s">
        <v>2432</v>
      </c>
      <c r="D1355" s="532" t="s">
        <v>1436</v>
      </c>
      <c r="E1355" s="251" t="s">
        <v>1901</v>
      </c>
      <c r="F1355" s="304">
        <f t="shared" si="222"/>
        <v>0</v>
      </c>
      <c r="G1355" s="253">
        <f t="shared" si="211"/>
        <v>484.66</v>
      </c>
      <c r="H1355" s="254">
        <f t="shared" si="223"/>
        <v>0</v>
      </c>
      <c r="I1355" s="253">
        <f t="shared" si="224"/>
        <v>0</v>
      </c>
      <c r="J1355" s="253"/>
      <c r="K1355" s="251" t="s">
        <v>1901</v>
      </c>
      <c r="L1355" s="663">
        <v>484.66</v>
      </c>
      <c r="M1355" s="258">
        <v>0</v>
      </c>
      <c r="N1355" s="257">
        <f t="shared" si="225"/>
        <v>0</v>
      </c>
      <c r="O1355" s="258">
        <v>0</v>
      </c>
      <c r="P1355" s="257">
        <f t="shared" si="226"/>
        <v>0</v>
      </c>
      <c r="Q1355" s="258">
        <v>0</v>
      </c>
      <c r="R1355" s="257">
        <f t="shared" si="227"/>
        <v>0</v>
      </c>
      <c r="S1355" s="258">
        <v>0</v>
      </c>
      <c r="T1355" s="257">
        <f t="shared" si="228"/>
        <v>0</v>
      </c>
      <c r="U1355" s="258">
        <v>0</v>
      </c>
      <c r="V1355" s="257">
        <f t="shared" si="229"/>
        <v>0</v>
      </c>
      <c r="W1355" s="258">
        <v>0</v>
      </c>
      <c r="X1355" s="257">
        <f t="shared" si="230"/>
        <v>0</v>
      </c>
      <c r="Y1355" s="258">
        <v>0</v>
      </c>
      <c r="Z1355" s="257">
        <f t="shared" si="231"/>
        <v>0</v>
      </c>
    </row>
    <row r="1356" spans="1:26" ht="15" hidden="1" customHeight="1">
      <c r="A1356" s="250"/>
      <c r="B1356" s="251"/>
      <c r="C1356" s="326"/>
      <c r="D1356" s="292"/>
      <c r="E1356" s="251"/>
      <c r="F1356" s="252"/>
      <c r="G1356" s="253"/>
      <c r="H1356" s="254"/>
      <c r="I1356" s="253"/>
      <c r="J1356" s="253"/>
      <c r="K1356" s="251"/>
      <c r="L1356" s="261"/>
      <c r="M1356" s="258"/>
      <c r="N1356" s="257"/>
      <c r="O1356" s="258"/>
      <c r="P1356" s="257"/>
      <c r="Q1356" s="258"/>
      <c r="R1356" s="257"/>
      <c r="S1356" s="258"/>
      <c r="T1356" s="257"/>
      <c r="U1356" s="258"/>
      <c r="V1356" s="257"/>
      <c r="W1356" s="258"/>
      <c r="X1356" s="257"/>
      <c r="Y1356" s="258"/>
      <c r="Z1356" s="257"/>
    </row>
    <row r="1357" spans="1:26" ht="15" hidden="1" customHeight="1">
      <c r="A1357" s="250">
        <f>A1337+1</f>
        <v>240</v>
      </c>
      <c r="B1357" s="251"/>
      <c r="C1357" s="532" t="s">
        <v>874</v>
      </c>
      <c r="D1357" s="532" t="s">
        <v>1421</v>
      </c>
      <c r="E1357" s="251"/>
      <c r="F1357" s="252"/>
      <c r="G1357" s="253"/>
      <c r="H1357" s="254"/>
      <c r="I1357" s="253"/>
      <c r="J1357" s="253"/>
      <c r="K1357" s="251"/>
      <c r="L1357" s="261"/>
      <c r="M1357" s="258"/>
      <c r="N1357" s="257"/>
      <c r="O1357" s="258"/>
      <c r="P1357" s="257"/>
      <c r="Q1357" s="258"/>
      <c r="R1357" s="257"/>
      <c r="S1357" s="258"/>
      <c r="T1357" s="257"/>
      <c r="U1357" s="258"/>
      <c r="V1357" s="257"/>
      <c r="W1357" s="258"/>
      <c r="X1357" s="257"/>
      <c r="Y1357" s="258"/>
      <c r="Z1357" s="257"/>
    </row>
    <row r="1358" spans="1:26" ht="15" hidden="1" customHeight="1">
      <c r="A1358" s="250"/>
      <c r="B1358" s="251"/>
      <c r="C1358" s="326"/>
      <c r="D1358" s="532" t="s">
        <v>1420</v>
      </c>
      <c r="E1358" s="251"/>
      <c r="F1358" s="252"/>
      <c r="G1358" s="253"/>
      <c r="H1358" s="254"/>
      <c r="I1358" s="253"/>
      <c r="J1358" s="253"/>
      <c r="K1358" s="251"/>
      <c r="L1358" s="261"/>
      <c r="M1358" s="258"/>
      <c r="N1358" s="257"/>
      <c r="O1358" s="258"/>
      <c r="P1358" s="257"/>
      <c r="Q1358" s="258"/>
      <c r="R1358" s="257"/>
      <c r="S1358" s="258"/>
      <c r="T1358" s="257"/>
      <c r="U1358" s="258"/>
      <c r="V1358" s="257"/>
      <c r="W1358" s="258"/>
      <c r="X1358" s="257"/>
      <c r="Y1358" s="258"/>
      <c r="Z1358" s="257"/>
    </row>
    <row r="1359" spans="1:26" ht="15" hidden="1" customHeight="1">
      <c r="A1359" s="250" t="s">
        <v>1903</v>
      </c>
      <c r="B1359" s="251"/>
      <c r="C1359" s="532" t="s">
        <v>876</v>
      </c>
      <c r="D1359" s="532" t="s">
        <v>1422</v>
      </c>
      <c r="E1359" s="251" t="s">
        <v>1901</v>
      </c>
      <c r="F1359" s="304">
        <f t="shared" ref="F1359:F1375" si="232">M1359+O1359+Q1359+S1359+U1359+W1359+Y1359</f>
        <v>0</v>
      </c>
      <c r="G1359" s="253">
        <f t="shared" si="211"/>
        <v>93.88</v>
      </c>
      <c r="H1359" s="254">
        <f t="shared" ref="H1359:H1375" si="233">F1359*G1359</f>
        <v>0</v>
      </c>
      <c r="I1359" s="253">
        <f t="shared" ref="I1359:I1375" si="234">N1359+P1359+R1359+T1359+V1359+X1359+Z1359</f>
        <v>0</v>
      </c>
      <c r="J1359" s="253"/>
      <c r="K1359" s="251" t="s">
        <v>1901</v>
      </c>
      <c r="L1359" s="663">
        <v>93.88</v>
      </c>
      <c r="M1359" s="258">
        <v>0</v>
      </c>
      <c r="N1359" s="257">
        <f t="shared" ref="N1359:N1375" si="235">INT($L1359*M1359*100+0.5)/100</f>
        <v>0</v>
      </c>
      <c r="O1359" s="258">
        <v>0</v>
      </c>
      <c r="P1359" s="257">
        <f t="shared" ref="P1359:P1375" si="236">INT($L1359*O1359*100+0.5)/100</f>
        <v>0</v>
      </c>
      <c r="Q1359" s="258">
        <v>0</v>
      </c>
      <c r="R1359" s="257">
        <f t="shared" ref="R1359:R1375" si="237">INT($L1359*Q1359*100+0.5)/100</f>
        <v>0</v>
      </c>
      <c r="S1359" s="258">
        <v>0</v>
      </c>
      <c r="T1359" s="257">
        <f t="shared" ref="T1359:T1375" si="238">INT($L1359*S1359*100+0.5)/100</f>
        <v>0</v>
      </c>
      <c r="U1359" s="258">
        <v>0</v>
      </c>
      <c r="V1359" s="257">
        <f t="shared" ref="V1359:V1375" si="239">INT($L1359*U1359*100+0.5)/100</f>
        <v>0</v>
      </c>
      <c r="W1359" s="258">
        <v>0</v>
      </c>
      <c r="X1359" s="257">
        <f t="shared" ref="X1359:X1375" si="240">INT($L1359*W1359*100+0.5)/100</f>
        <v>0</v>
      </c>
      <c r="Y1359" s="258">
        <v>0</v>
      </c>
      <c r="Z1359" s="257">
        <f t="shared" ref="Z1359:Z1375" si="241">INT($L1359*Y1359*100+0.5)/100</f>
        <v>0</v>
      </c>
    </row>
    <row r="1360" spans="1:26" ht="15" hidden="1" customHeight="1">
      <c r="A1360" s="250" t="s">
        <v>1905</v>
      </c>
      <c r="B1360" s="251"/>
      <c r="C1360" s="532" t="s">
        <v>877</v>
      </c>
      <c r="D1360" s="532" t="s">
        <v>1423</v>
      </c>
      <c r="E1360" s="251" t="s">
        <v>1901</v>
      </c>
      <c r="F1360" s="304">
        <f t="shared" si="232"/>
        <v>0</v>
      </c>
      <c r="G1360" s="253">
        <f t="shared" si="211"/>
        <v>112.51</v>
      </c>
      <c r="H1360" s="254">
        <f t="shared" si="233"/>
        <v>0</v>
      </c>
      <c r="I1360" s="253">
        <f t="shared" si="234"/>
        <v>0</v>
      </c>
      <c r="J1360" s="253"/>
      <c r="K1360" s="251" t="s">
        <v>1901</v>
      </c>
      <c r="L1360" s="663">
        <v>112.51</v>
      </c>
      <c r="M1360" s="258">
        <v>0</v>
      </c>
      <c r="N1360" s="257">
        <f t="shared" si="235"/>
        <v>0</v>
      </c>
      <c r="O1360" s="258">
        <v>0</v>
      </c>
      <c r="P1360" s="257">
        <f t="shared" si="236"/>
        <v>0</v>
      </c>
      <c r="Q1360" s="258">
        <v>0</v>
      </c>
      <c r="R1360" s="257">
        <f t="shared" si="237"/>
        <v>0</v>
      </c>
      <c r="S1360" s="258">
        <v>0</v>
      </c>
      <c r="T1360" s="257">
        <f t="shared" si="238"/>
        <v>0</v>
      </c>
      <c r="U1360" s="258">
        <v>0</v>
      </c>
      <c r="V1360" s="257">
        <f t="shared" si="239"/>
        <v>0</v>
      </c>
      <c r="W1360" s="258">
        <v>0</v>
      </c>
      <c r="X1360" s="257">
        <f t="shared" si="240"/>
        <v>0</v>
      </c>
      <c r="Y1360" s="258">
        <v>0</v>
      </c>
      <c r="Z1360" s="257">
        <f t="shared" si="241"/>
        <v>0</v>
      </c>
    </row>
    <row r="1361" spans="1:26" ht="15" hidden="1" customHeight="1">
      <c r="A1361" s="250" t="s">
        <v>1906</v>
      </c>
      <c r="B1361" s="251"/>
      <c r="C1361" s="532" t="s">
        <v>878</v>
      </c>
      <c r="D1361" s="532" t="s">
        <v>1424</v>
      </c>
      <c r="E1361" s="251" t="s">
        <v>1901</v>
      </c>
      <c r="F1361" s="304">
        <f t="shared" si="232"/>
        <v>0</v>
      </c>
      <c r="G1361" s="253">
        <f t="shared" si="211"/>
        <v>134.47999999999999</v>
      </c>
      <c r="H1361" s="254">
        <f t="shared" si="233"/>
        <v>0</v>
      </c>
      <c r="I1361" s="253">
        <f t="shared" si="234"/>
        <v>0</v>
      </c>
      <c r="J1361" s="253"/>
      <c r="K1361" s="251" t="s">
        <v>1901</v>
      </c>
      <c r="L1361" s="663">
        <v>134.47999999999999</v>
      </c>
      <c r="M1361" s="258">
        <v>0</v>
      </c>
      <c r="N1361" s="257">
        <f t="shared" si="235"/>
        <v>0</v>
      </c>
      <c r="O1361" s="258">
        <v>0</v>
      </c>
      <c r="P1361" s="257">
        <f t="shared" si="236"/>
        <v>0</v>
      </c>
      <c r="Q1361" s="258">
        <v>0</v>
      </c>
      <c r="R1361" s="257">
        <f t="shared" si="237"/>
        <v>0</v>
      </c>
      <c r="S1361" s="258">
        <v>0</v>
      </c>
      <c r="T1361" s="257">
        <f t="shared" si="238"/>
        <v>0</v>
      </c>
      <c r="U1361" s="258">
        <v>0</v>
      </c>
      <c r="V1361" s="257">
        <f t="shared" si="239"/>
        <v>0</v>
      </c>
      <c r="W1361" s="258">
        <v>0</v>
      </c>
      <c r="X1361" s="257">
        <f t="shared" si="240"/>
        <v>0</v>
      </c>
      <c r="Y1361" s="258">
        <v>0</v>
      </c>
      <c r="Z1361" s="257">
        <f t="shared" si="241"/>
        <v>0</v>
      </c>
    </row>
    <row r="1362" spans="1:26" ht="15" hidden="1" customHeight="1">
      <c r="A1362" s="250" t="s">
        <v>1907</v>
      </c>
      <c r="B1362" s="251"/>
      <c r="C1362" s="532" t="s">
        <v>879</v>
      </c>
      <c r="D1362" s="532" t="s">
        <v>1425</v>
      </c>
      <c r="E1362" s="251" t="s">
        <v>1901</v>
      </c>
      <c r="F1362" s="304">
        <f t="shared" si="232"/>
        <v>0</v>
      </c>
      <c r="G1362" s="253">
        <f t="shared" si="211"/>
        <v>199.05</v>
      </c>
      <c r="H1362" s="254">
        <f t="shared" si="233"/>
        <v>0</v>
      </c>
      <c r="I1362" s="253">
        <f t="shared" si="234"/>
        <v>0</v>
      </c>
      <c r="J1362" s="253"/>
      <c r="K1362" s="251" t="s">
        <v>1901</v>
      </c>
      <c r="L1362" s="663">
        <v>199.05</v>
      </c>
      <c r="M1362" s="258">
        <v>0</v>
      </c>
      <c r="N1362" s="257">
        <f t="shared" si="235"/>
        <v>0</v>
      </c>
      <c r="O1362" s="258">
        <v>0</v>
      </c>
      <c r="P1362" s="257">
        <f t="shared" si="236"/>
        <v>0</v>
      </c>
      <c r="Q1362" s="258">
        <v>0</v>
      </c>
      <c r="R1362" s="257">
        <f t="shared" si="237"/>
        <v>0</v>
      </c>
      <c r="S1362" s="258">
        <v>0</v>
      </c>
      <c r="T1362" s="257">
        <f t="shared" si="238"/>
        <v>0</v>
      </c>
      <c r="U1362" s="258">
        <v>0</v>
      </c>
      <c r="V1362" s="257">
        <f t="shared" si="239"/>
        <v>0</v>
      </c>
      <c r="W1362" s="258">
        <v>0</v>
      </c>
      <c r="X1362" s="257">
        <f t="shared" si="240"/>
        <v>0</v>
      </c>
      <c r="Y1362" s="258">
        <v>0</v>
      </c>
      <c r="Z1362" s="257">
        <f t="shared" si="241"/>
        <v>0</v>
      </c>
    </row>
    <row r="1363" spans="1:26" ht="15" hidden="1" customHeight="1">
      <c r="A1363" s="250" t="s">
        <v>542</v>
      </c>
      <c r="B1363" s="251"/>
      <c r="C1363" s="532" t="s">
        <v>880</v>
      </c>
      <c r="D1363" s="532" t="s">
        <v>1426</v>
      </c>
      <c r="E1363" s="251" t="s">
        <v>1901</v>
      </c>
      <c r="F1363" s="304">
        <f t="shared" si="232"/>
        <v>0</v>
      </c>
      <c r="G1363" s="253">
        <f t="shared" si="211"/>
        <v>356.16</v>
      </c>
      <c r="H1363" s="254">
        <f t="shared" si="233"/>
        <v>0</v>
      </c>
      <c r="I1363" s="253">
        <f t="shared" si="234"/>
        <v>0</v>
      </c>
      <c r="J1363" s="253"/>
      <c r="K1363" s="251" t="s">
        <v>1901</v>
      </c>
      <c r="L1363" s="663">
        <v>356.16</v>
      </c>
      <c r="M1363" s="258">
        <v>0</v>
      </c>
      <c r="N1363" s="257">
        <f t="shared" si="235"/>
        <v>0</v>
      </c>
      <c r="O1363" s="258">
        <v>0</v>
      </c>
      <c r="P1363" s="257">
        <f t="shared" si="236"/>
        <v>0</v>
      </c>
      <c r="Q1363" s="258">
        <v>0</v>
      </c>
      <c r="R1363" s="257">
        <f t="shared" si="237"/>
        <v>0</v>
      </c>
      <c r="S1363" s="258">
        <v>0</v>
      </c>
      <c r="T1363" s="257">
        <f t="shared" si="238"/>
        <v>0</v>
      </c>
      <c r="U1363" s="258">
        <v>0</v>
      </c>
      <c r="V1363" s="257">
        <f t="shared" si="239"/>
        <v>0</v>
      </c>
      <c r="W1363" s="258">
        <v>0</v>
      </c>
      <c r="X1363" s="257">
        <f t="shared" si="240"/>
        <v>0</v>
      </c>
      <c r="Y1363" s="258">
        <v>0</v>
      </c>
      <c r="Z1363" s="257">
        <f t="shared" si="241"/>
        <v>0</v>
      </c>
    </row>
    <row r="1364" spans="1:26" ht="15" hidden="1" customHeight="1">
      <c r="A1364" s="250" t="s">
        <v>543</v>
      </c>
      <c r="B1364" s="251"/>
      <c r="C1364" s="534" t="s">
        <v>435</v>
      </c>
      <c r="D1364" s="532" t="s">
        <v>230</v>
      </c>
      <c r="E1364" s="251" t="s">
        <v>1901</v>
      </c>
      <c r="F1364" s="304">
        <f t="shared" si="232"/>
        <v>0</v>
      </c>
      <c r="G1364" s="253">
        <f t="shared" si="211"/>
        <v>600.82000000000005</v>
      </c>
      <c r="H1364" s="254">
        <f>F1364*G1364</f>
        <v>0</v>
      </c>
      <c r="I1364" s="253">
        <f t="shared" si="234"/>
        <v>0</v>
      </c>
      <c r="J1364" s="253"/>
      <c r="K1364" s="251" t="s">
        <v>1901</v>
      </c>
      <c r="L1364" s="666">
        <f>(L1363+L1365)/2</f>
        <v>600.82000000000005</v>
      </c>
      <c r="M1364" s="258">
        <v>0</v>
      </c>
      <c r="N1364" s="257">
        <f t="shared" si="235"/>
        <v>0</v>
      </c>
      <c r="O1364" s="258">
        <v>0</v>
      </c>
      <c r="P1364" s="257">
        <f t="shared" si="236"/>
        <v>0</v>
      </c>
      <c r="Q1364" s="258">
        <v>0</v>
      </c>
      <c r="R1364" s="257">
        <f t="shared" si="237"/>
        <v>0</v>
      </c>
      <c r="S1364" s="258">
        <v>0</v>
      </c>
      <c r="T1364" s="257">
        <f t="shared" si="238"/>
        <v>0</v>
      </c>
      <c r="U1364" s="258">
        <v>0</v>
      </c>
      <c r="V1364" s="257">
        <f t="shared" si="239"/>
        <v>0</v>
      </c>
      <c r="W1364" s="258">
        <v>0</v>
      </c>
      <c r="X1364" s="257">
        <f t="shared" si="240"/>
        <v>0</v>
      </c>
      <c r="Y1364" s="258">
        <v>0</v>
      </c>
      <c r="Z1364" s="257">
        <f t="shared" si="241"/>
        <v>0</v>
      </c>
    </row>
    <row r="1365" spans="1:26" ht="15" hidden="1" customHeight="1">
      <c r="A1365" s="250" t="s">
        <v>544</v>
      </c>
      <c r="B1365" s="251"/>
      <c r="C1365" s="532" t="s">
        <v>881</v>
      </c>
      <c r="D1365" s="532" t="s">
        <v>1427</v>
      </c>
      <c r="E1365" s="251" t="s">
        <v>1901</v>
      </c>
      <c r="F1365" s="304">
        <f t="shared" si="232"/>
        <v>0</v>
      </c>
      <c r="G1365" s="253">
        <f t="shared" si="211"/>
        <v>845.48</v>
      </c>
      <c r="H1365" s="254">
        <f t="shared" si="233"/>
        <v>0</v>
      </c>
      <c r="I1365" s="253">
        <f t="shared" si="234"/>
        <v>0</v>
      </c>
      <c r="J1365" s="253"/>
      <c r="K1365" s="251" t="s">
        <v>1901</v>
      </c>
      <c r="L1365" s="663">
        <v>845.48</v>
      </c>
      <c r="M1365" s="258">
        <v>0</v>
      </c>
      <c r="N1365" s="257">
        <f t="shared" si="235"/>
        <v>0</v>
      </c>
      <c r="O1365" s="258">
        <v>0</v>
      </c>
      <c r="P1365" s="257">
        <f t="shared" si="236"/>
        <v>0</v>
      </c>
      <c r="Q1365" s="258">
        <v>0</v>
      </c>
      <c r="R1365" s="257">
        <f t="shared" si="237"/>
        <v>0</v>
      </c>
      <c r="S1365" s="258">
        <v>0</v>
      </c>
      <c r="T1365" s="257">
        <f t="shared" si="238"/>
        <v>0</v>
      </c>
      <c r="U1365" s="258">
        <v>0</v>
      </c>
      <c r="V1365" s="257">
        <f t="shared" si="239"/>
        <v>0</v>
      </c>
      <c r="W1365" s="258">
        <v>0</v>
      </c>
      <c r="X1365" s="257">
        <f t="shared" si="240"/>
        <v>0</v>
      </c>
      <c r="Y1365" s="258">
        <v>0</v>
      </c>
      <c r="Z1365" s="257">
        <f t="shared" si="241"/>
        <v>0</v>
      </c>
    </row>
    <row r="1366" spans="1:26" ht="15" hidden="1" customHeight="1">
      <c r="A1366" s="250" t="s">
        <v>545</v>
      </c>
      <c r="B1366" s="251"/>
      <c r="C1366" s="532" t="s">
        <v>882</v>
      </c>
      <c r="D1366" s="532" t="s">
        <v>1428</v>
      </c>
      <c r="E1366" s="251" t="s">
        <v>1901</v>
      </c>
      <c r="F1366" s="304">
        <f t="shared" si="232"/>
        <v>0</v>
      </c>
      <c r="G1366" s="253">
        <f t="shared" si="211"/>
        <v>1165.03</v>
      </c>
      <c r="H1366" s="254">
        <f t="shared" si="233"/>
        <v>0</v>
      </c>
      <c r="I1366" s="253">
        <f t="shared" si="234"/>
        <v>0</v>
      </c>
      <c r="J1366" s="253"/>
      <c r="K1366" s="251" t="s">
        <v>1901</v>
      </c>
      <c r="L1366" s="663">
        <v>1165.03</v>
      </c>
      <c r="M1366" s="258">
        <v>0</v>
      </c>
      <c r="N1366" s="257">
        <f t="shared" si="235"/>
        <v>0</v>
      </c>
      <c r="O1366" s="258">
        <v>0</v>
      </c>
      <c r="P1366" s="257">
        <f t="shared" si="236"/>
        <v>0</v>
      </c>
      <c r="Q1366" s="258">
        <v>0</v>
      </c>
      <c r="R1366" s="257">
        <f t="shared" si="237"/>
        <v>0</v>
      </c>
      <c r="S1366" s="258">
        <v>0</v>
      </c>
      <c r="T1366" s="257">
        <f t="shared" si="238"/>
        <v>0</v>
      </c>
      <c r="U1366" s="258">
        <v>0</v>
      </c>
      <c r="V1366" s="257">
        <f t="shared" si="239"/>
        <v>0</v>
      </c>
      <c r="W1366" s="258">
        <v>0</v>
      </c>
      <c r="X1366" s="257">
        <f t="shared" si="240"/>
        <v>0</v>
      </c>
      <c r="Y1366" s="258">
        <v>0</v>
      </c>
      <c r="Z1366" s="257">
        <f t="shared" si="241"/>
        <v>0</v>
      </c>
    </row>
    <row r="1367" spans="1:26" ht="15" hidden="1" customHeight="1">
      <c r="A1367" s="250" t="s">
        <v>2106</v>
      </c>
      <c r="B1367" s="251"/>
      <c r="C1367" s="532" t="s">
        <v>883</v>
      </c>
      <c r="D1367" s="532" t="s">
        <v>1429</v>
      </c>
      <c r="E1367" s="251" t="s">
        <v>1901</v>
      </c>
      <c r="F1367" s="304">
        <f t="shared" si="232"/>
        <v>0</v>
      </c>
      <c r="G1367" s="253">
        <f t="shared" si="211"/>
        <v>117.84</v>
      </c>
      <c r="H1367" s="254">
        <f t="shared" si="233"/>
        <v>0</v>
      </c>
      <c r="I1367" s="253">
        <f t="shared" si="234"/>
        <v>0</v>
      </c>
      <c r="J1367" s="253"/>
      <c r="K1367" s="251" t="s">
        <v>1901</v>
      </c>
      <c r="L1367" s="663">
        <v>117.84</v>
      </c>
      <c r="M1367" s="258">
        <v>0</v>
      </c>
      <c r="N1367" s="257">
        <f t="shared" si="235"/>
        <v>0</v>
      </c>
      <c r="O1367" s="258">
        <v>0</v>
      </c>
      <c r="P1367" s="257">
        <f t="shared" si="236"/>
        <v>0</v>
      </c>
      <c r="Q1367" s="258">
        <v>0</v>
      </c>
      <c r="R1367" s="257">
        <f t="shared" si="237"/>
        <v>0</v>
      </c>
      <c r="S1367" s="258">
        <v>0</v>
      </c>
      <c r="T1367" s="257">
        <f t="shared" si="238"/>
        <v>0</v>
      </c>
      <c r="U1367" s="258">
        <v>0</v>
      </c>
      <c r="V1367" s="257">
        <f t="shared" si="239"/>
        <v>0</v>
      </c>
      <c r="W1367" s="258">
        <v>0</v>
      </c>
      <c r="X1367" s="257">
        <f t="shared" si="240"/>
        <v>0</v>
      </c>
      <c r="Y1367" s="258">
        <v>0</v>
      </c>
      <c r="Z1367" s="257">
        <f t="shared" si="241"/>
        <v>0</v>
      </c>
    </row>
    <row r="1368" spans="1:26" ht="15" hidden="1" customHeight="1">
      <c r="A1368" s="250" t="s">
        <v>583</v>
      </c>
      <c r="B1368" s="251"/>
      <c r="C1368" s="532" t="s">
        <v>884</v>
      </c>
      <c r="D1368" s="532" t="s">
        <v>1430</v>
      </c>
      <c r="E1368" s="251" t="s">
        <v>1901</v>
      </c>
      <c r="F1368" s="304">
        <f t="shared" si="232"/>
        <v>0</v>
      </c>
      <c r="G1368" s="253">
        <f t="shared" si="211"/>
        <v>139.15</v>
      </c>
      <c r="H1368" s="254">
        <f t="shared" si="233"/>
        <v>0</v>
      </c>
      <c r="I1368" s="253">
        <f t="shared" si="234"/>
        <v>0</v>
      </c>
      <c r="J1368" s="253"/>
      <c r="K1368" s="251" t="s">
        <v>1901</v>
      </c>
      <c r="L1368" s="663">
        <v>139.15</v>
      </c>
      <c r="M1368" s="258">
        <v>0</v>
      </c>
      <c r="N1368" s="257">
        <f t="shared" si="235"/>
        <v>0</v>
      </c>
      <c r="O1368" s="258">
        <v>0</v>
      </c>
      <c r="P1368" s="257">
        <f t="shared" si="236"/>
        <v>0</v>
      </c>
      <c r="Q1368" s="258">
        <v>0</v>
      </c>
      <c r="R1368" s="257">
        <f t="shared" si="237"/>
        <v>0</v>
      </c>
      <c r="S1368" s="258">
        <v>0</v>
      </c>
      <c r="T1368" s="257">
        <f t="shared" si="238"/>
        <v>0</v>
      </c>
      <c r="U1368" s="258">
        <v>0</v>
      </c>
      <c r="V1368" s="257">
        <f t="shared" si="239"/>
        <v>0</v>
      </c>
      <c r="W1368" s="258">
        <v>0</v>
      </c>
      <c r="X1368" s="257">
        <f t="shared" si="240"/>
        <v>0</v>
      </c>
      <c r="Y1368" s="258">
        <v>0</v>
      </c>
      <c r="Z1368" s="257">
        <f t="shared" si="241"/>
        <v>0</v>
      </c>
    </row>
    <row r="1369" spans="1:26" ht="15" hidden="1" customHeight="1">
      <c r="A1369" s="250" t="s">
        <v>2475</v>
      </c>
      <c r="B1369" s="251"/>
      <c r="C1369" s="532" t="s">
        <v>885</v>
      </c>
      <c r="D1369" s="532" t="s">
        <v>1431</v>
      </c>
      <c r="E1369" s="251" t="s">
        <v>1901</v>
      </c>
      <c r="F1369" s="304">
        <f t="shared" si="232"/>
        <v>0</v>
      </c>
      <c r="G1369" s="253">
        <f t="shared" si="211"/>
        <v>167.77</v>
      </c>
      <c r="H1369" s="254">
        <f t="shared" si="233"/>
        <v>0</v>
      </c>
      <c r="I1369" s="253">
        <f t="shared" si="234"/>
        <v>0</v>
      </c>
      <c r="J1369" s="253"/>
      <c r="K1369" s="251" t="s">
        <v>1901</v>
      </c>
      <c r="L1369" s="663">
        <v>167.77</v>
      </c>
      <c r="M1369" s="258">
        <v>0</v>
      </c>
      <c r="N1369" s="257">
        <f t="shared" si="235"/>
        <v>0</v>
      </c>
      <c r="O1369" s="258">
        <v>0</v>
      </c>
      <c r="P1369" s="257">
        <f t="shared" si="236"/>
        <v>0</v>
      </c>
      <c r="Q1369" s="258">
        <v>0</v>
      </c>
      <c r="R1369" s="257">
        <f t="shared" si="237"/>
        <v>0</v>
      </c>
      <c r="S1369" s="258">
        <v>0</v>
      </c>
      <c r="T1369" s="257">
        <f t="shared" si="238"/>
        <v>0</v>
      </c>
      <c r="U1369" s="258">
        <v>0</v>
      </c>
      <c r="V1369" s="257">
        <f t="shared" si="239"/>
        <v>0</v>
      </c>
      <c r="W1369" s="258">
        <v>0</v>
      </c>
      <c r="X1369" s="257">
        <f t="shared" si="240"/>
        <v>0</v>
      </c>
      <c r="Y1369" s="258">
        <v>0</v>
      </c>
      <c r="Z1369" s="257">
        <f t="shared" si="241"/>
        <v>0</v>
      </c>
    </row>
    <row r="1370" spans="1:26" ht="15" hidden="1" customHeight="1">
      <c r="A1370" s="250" t="s">
        <v>1901</v>
      </c>
      <c r="B1370" s="251"/>
      <c r="C1370" s="532" t="s">
        <v>893</v>
      </c>
      <c r="D1370" s="532" t="s">
        <v>1432</v>
      </c>
      <c r="E1370" s="251" t="s">
        <v>1901</v>
      </c>
      <c r="F1370" s="304">
        <f t="shared" si="232"/>
        <v>0</v>
      </c>
      <c r="G1370" s="253">
        <f t="shared" si="211"/>
        <v>206.72</v>
      </c>
      <c r="H1370" s="254">
        <f t="shared" si="233"/>
        <v>0</v>
      </c>
      <c r="I1370" s="253">
        <f t="shared" si="234"/>
        <v>0</v>
      </c>
      <c r="J1370" s="253"/>
      <c r="K1370" s="251" t="s">
        <v>1901</v>
      </c>
      <c r="L1370" s="666">
        <f>(L1369+L1371)/2</f>
        <v>206.72</v>
      </c>
      <c r="M1370" s="258">
        <v>0</v>
      </c>
      <c r="N1370" s="257">
        <f t="shared" si="235"/>
        <v>0</v>
      </c>
      <c r="O1370" s="258">
        <v>0</v>
      </c>
      <c r="P1370" s="257">
        <f t="shared" si="236"/>
        <v>0</v>
      </c>
      <c r="Q1370" s="258">
        <v>0</v>
      </c>
      <c r="R1370" s="257">
        <f t="shared" si="237"/>
        <v>0</v>
      </c>
      <c r="S1370" s="258">
        <v>0</v>
      </c>
      <c r="T1370" s="257">
        <f t="shared" si="238"/>
        <v>0</v>
      </c>
      <c r="U1370" s="258">
        <v>0</v>
      </c>
      <c r="V1370" s="257">
        <f t="shared" si="239"/>
        <v>0</v>
      </c>
      <c r="W1370" s="258">
        <v>0</v>
      </c>
      <c r="X1370" s="257">
        <f t="shared" si="240"/>
        <v>0</v>
      </c>
      <c r="Y1370" s="258">
        <v>0</v>
      </c>
      <c r="Z1370" s="257">
        <f t="shared" si="241"/>
        <v>0</v>
      </c>
    </row>
    <row r="1371" spans="1:26" ht="15" hidden="1" customHeight="1">
      <c r="A1371" s="250" t="s">
        <v>1437</v>
      </c>
      <c r="B1371" s="251"/>
      <c r="C1371" s="534" t="s">
        <v>434</v>
      </c>
      <c r="D1371" s="532" t="s">
        <v>1433</v>
      </c>
      <c r="E1371" s="251" t="s">
        <v>1901</v>
      </c>
      <c r="F1371" s="304">
        <f t="shared" si="232"/>
        <v>0</v>
      </c>
      <c r="G1371" s="253">
        <f t="shared" si="211"/>
        <v>245.67</v>
      </c>
      <c r="H1371" s="254">
        <f t="shared" si="233"/>
        <v>0</v>
      </c>
      <c r="I1371" s="253">
        <f t="shared" si="234"/>
        <v>0</v>
      </c>
      <c r="J1371" s="253"/>
      <c r="K1371" s="251" t="s">
        <v>1901</v>
      </c>
      <c r="L1371" s="663">
        <v>245.67</v>
      </c>
      <c r="M1371" s="258">
        <v>0</v>
      </c>
      <c r="N1371" s="257">
        <f t="shared" si="235"/>
        <v>0</v>
      </c>
      <c r="O1371" s="258">
        <v>0</v>
      </c>
      <c r="P1371" s="257">
        <f t="shared" si="236"/>
        <v>0</v>
      </c>
      <c r="Q1371" s="258">
        <v>0</v>
      </c>
      <c r="R1371" s="257">
        <f t="shared" si="237"/>
        <v>0</v>
      </c>
      <c r="S1371" s="258">
        <v>0</v>
      </c>
      <c r="T1371" s="257">
        <f t="shared" si="238"/>
        <v>0</v>
      </c>
      <c r="U1371" s="258">
        <v>0</v>
      </c>
      <c r="V1371" s="257">
        <f t="shared" si="239"/>
        <v>0</v>
      </c>
      <c r="W1371" s="258">
        <v>0</v>
      </c>
      <c r="X1371" s="257">
        <f t="shared" si="240"/>
        <v>0</v>
      </c>
      <c r="Y1371" s="258">
        <v>0</v>
      </c>
      <c r="Z1371" s="257">
        <f t="shared" si="241"/>
        <v>0</v>
      </c>
    </row>
    <row r="1372" spans="1:26" ht="15" hidden="1" customHeight="1">
      <c r="A1372" s="250" t="s">
        <v>1378</v>
      </c>
      <c r="B1372" s="251"/>
      <c r="C1372" s="532" t="s">
        <v>886</v>
      </c>
      <c r="D1372" s="532" t="s">
        <v>1434</v>
      </c>
      <c r="E1372" s="251" t="s">
        <v>1901</v>
      </c>
      <c r="F1372" s="304">
        <f t="shared" si="232"/>
        <v>0</v>
      </c>
      <c r="G1372" s="253">
        <f t="shared" si="211"/>
        <v>428.75</v>
      </c>
      <c r="H1372" s="254">
        <f t="shared" si="233"/>
        <v>0</v>
      </c>
      <c r="I1372" s="253">
        <f t="shared" si="234"/>
        <v>0</v>
      </c>
      <c r="J1372" s="253"/>
      <c r="K1372" s="251" t="s">
        <v>1901</v>
      </c>
      <c r="L1372" s="663">
        <v>428.75</v>
      </c>
      <c r="M1372" s="258">
        <v>0</v>
      </c>
      <c r="N1372" s="257">
        <f t="shared" si="235"/>
        <v>0</v>
      </c>
      <c r="O1372" s="258">
        <v>0</v>
      </c>
      <c r="P1372" s="257">
        <f t="shared" si="236"/>
        <v>0</v>
      </c>
      <c r="Q1372" s="258">
        <v>0</v>
      </c>
      <c r="R1372" s="257">
        <f t="shared" si="237"/>
        <v>0</v>
      </c>
      <c r="S1372" s="258">
        <v>0</v>
      </c>
      <c r="T1372" s="257">
        <f t="shared" si="238"/>
        <v>0</v>
      </c>
      <c r="U1372" s="258">
        <v>0</v>
      </c>
      <c r="V1372" s="257">
        <f t="shared" si="239"/>
        <v>0</v>
      </c>
      <c r="W1372" s="258">
        <v>0</v>
      </c>
      <c r="X1372" s="257">
        <f t="shared" si="240"/>
        <v>0</v>
      </c>
      <c r="Y1372" s="258">
        <v>0</v>
      </c>
      <c r="Z1372" s="257">
        <f t="shared" si="241"/>
        <v>0</v>
      </c>
    </row>
    <row r="1373" spans="1:26" ht="15" hidden="1" customHeight="1">
      <c r="A1373" s="250" t="s">
        <v>889</v>
      </c>
      <c r="B1373" s="251"/>
      <c r="C1373" s="532" t="s">
        <v>892</v>
      </c>
      <c r="D1373" s="532" t="s">
        <v>891</v>
      </c>
      <c r="E1373" s="251" t="s">
        <v>1901</v>
      </c>
      <c r="F1373" s="304">
        <f t="shared" si="232"/>
        <v>0</v>
      </c>
      <c r="G1373" s="253">
        <f t="shared" ref="G1373:G1432" si="242">L1373</f>
        <v>694.70499999999993</v>
      </c>
      <c r="H1373" s="254">
        <f t="shared" si="233"/>
        <v>0</v>
      </c>
      <c r="I1373" s="253">
        <f t="shared" si="234"/>
        <v>0</v>
      </c>
      <c r="J1373" s="253"/>
      <c r="K1373" s="251" t="s">
        <v>1901</v>
      </c>
      <c r="L1373" s="666">
        <f>(L1372+L1374)/2</f>
        <v>694.70499999999993</v>
      </c>
      <c r="M1373" s="258">
        <v>0</v>
      </c>
      <c r="N1373" s="257">
        <f t="shared" si="235"/>
        <v>0</v>
      </c>
      <c r="O1373" s="258">
        <v>0</v>
      </c>
      <c r="P1373" s="257">
        <f t="shared" si="236"/>
        <v>0</v>
      </c>
      <c r="Q1373" s="258">
        <v>0</v>
      </c>
      <c r="R1373" s="257">
        <f t="shared" si="237"/>
        <v>0</v>
      </c>
      <c r="S1373" s="258">
        <v>0</v>
      </c>
      <c r="T1373" s="257">
        <f t="shared" si="238"/>
        <v>0</v>
      </c>
      <c r="U1373" s="258">
        <v>0</v>
      </c>
      <c r="V1373" s="257">
        <f t="shared" si="239"/>
        <v>0</v>
      </c>
      <c r="W1373" s="258">
        <v>0</v>
      </c>
      <c r="X1373" s="257">
        <f t="shared" si="240"/>
        <v>0</v>
      </c>
      <c r="Y1373" s="258">
        <v>0</v>
      </c>
      <c r="Z1373" s="257">
        <f t="shared" si="241"/>
        <v>0</v>
      </c>
    </row>
    <row r="1374" spans="1:26" ht="15" hidden="1" customHeight="1">
      <c r="A1374" s="250" t="s">
        <v>1379</v>
      </c>
      <c r="B1374" s="251"/>
      <c r="C1374" s="532" t="s">
        <v>887</v>
      </c>
      <c r="D1374" s="532" t="s">
        <v>1435</v>
      </c>
      <c r="E1374" s="251" t="s">
        <v>1901</v>
      </c>
      <c r="F1374" s="304">
        <f t="shared" si="232"/>
        <v>0</v>
      </c>
      <c r="G1374" s="253">
        <f t="shared" si="242"/>
        <v>960.66</v>
      </c>
      <c r="H1374" s="254">
        <f t="shared" si="233"/>
        <v>0</v>
      </c>
      <c r="I1374" s="253">
        <f t="shared" si="234"/>
        <v>0</v>
      </c>
      <c r="J1374" s="253"/>
      <c r="K1374" s="251" t="s">
        <v>1901</v>
      </c>
      <c r="L1374" s="663">
        <v>960.66</v>
      </c>
      <c r="M1374" s="258">
        <v>0</v>
      </c>
      <c r="N1374" s="257">
        <f t="shared" si="235"/>
        <v>0</v>
      </c>
      <c r="O1374" s="258">
        <v>0</v>
      </c>
      <c r="P1374" s="257">
        <f t="shared" si="236"/>
        <v>0</v>
      </c>
      <c r="Q1374" s="258">
        <v>0</v>
      </c>
      <c r="R1374" s="257">
        <f t="shared" si="237"/>
        <v>0</v>
      </c>
      <c r="S1374" s="258">
        <v>0</v>
      </c>
      <c r="T1374" s="257">
        <f t="shared" si="238"/>
        <v>0</v>
      </c>
      <c r="U1374" s="258">
        <v>0</v>
      </c>
      <c r="V1374" s="257">
        <f t="shared" si="239"/>
        <v>0</v>
      </c>
      <c r="W1374" s="258">
        <v>0</v>
      </c>
      <c r="X1374" s="257">
        <f t="shared" si="240"/>
        <v>0</v>
      </c>
      <c r="Y1374" s="258">
        <v>0</v>
      </c>
      <c r="Z1374" s="257">
        <f t="shared" si="241"/>
        <v>0</v>
      </c>
    </row>
    <row r="1375" spans="1:26" ht="15" hidden="1" customHeight="1">
      <c r="A1375" s="250" t="s">
        <v>1380</v>
      </c>
      <c r="B1375" s="251"/>
      <c r="C1375" s="532" t="s">
        <v>888</v>
      </c>
      <c r="D1375" s="532" t="s">
        <v>1436</v>
      </c>
      <c r="E1375" s="251" t="s">
        <v>1901</v>
      </c>
      <c r="F1375" s="304">
        <f t="shared" si="232"/>
        <v>0</v>
      </c>
      <c r="G1375" s="253">
        <f t="shared" si="242"/>
        <v>1318.15</v>
      </c>
      <c r="H1375" s="254">
        <f t="shared" si="233"/>
        <v>0</v>
      </c>
      <c r="I1375" s="253">
        <f t="shared" si="234"/>
        <v>0</v>
      </c>
      <c r="J1375" s="253"/>
      <c r="K1375" s="251" t="s">
        <v>1901</v>
      </c>
      <c r="L1375" s="663">
        <v>1318.15</v>
      </c>
      <c r="M1375" s="258">
        <v>0</v>
      </c>
      <c r="N1375" s="257">
        <f t="shared" si="235"/>
        <v>0</v>
      </c>
      <c r="O1375" s="258">
        <v>0</v>
      </c>
      <c r="P1375" s="257">
        <f t="shared" si="236"/>
        <v>0</v>
      </c>
      <c r="Q1375" s="258">
        <v>0</v>
      </c>
      <c r="R1375" s="257">
        <f t="shared" si="237"/>
        <v>0</v>
      </c>
      <c r="S1375" s="258">
        <v>0</v>
      </c>
      <c r="T1375" s="257">
        <f t="shared" si="238"/>
        <v>0</v>
      </c>
      <c r="U1375" s="258">
        <v>0</v>
      </c>
      <c r="V1375" s="257">
        <f t="shared" si="239"/>
        <v>0</v>
      </c>
      <c r="W1375" s="258">
        <v>0</v>
      </c>
      <c r="X1375" s="257">
        <f t="shared" si="240"/>
        <v>0</v>
      </c>
      <c r="Y1375" s="258">
        <v>0</v>
      </c>
      <c r="Z1375" s="257">
        <f t="shared" si="241"/>
        <v>0</v>
      </c>
    </row>
    <row r="1376" spans="1:26" ht="15" hidden="1" customHeight="1">
      <c r="A1376" s="250"/>
      <c r="B1376" s="251"/>
      <c r="C1376" s="326"/>
      <c r="D1376" s="292"/>
      <c r="E1376" s="251"/>
      <c r="F1376" s="252"/>
      <c r="G1376" s="253"/>
      <c r="H1376" s="254"/>
      <c r="I1376" s="253"/>
      <c r="J1376" s="253"/>
      <c r="K1376" s="251"/>
      <c r="L1376" s="261"/>
      <c r="M1376" s="258"/>
      <c r="N1376" s="257"/>
      <c r="O1376" s="258"/>
      <c r="P1376" s="257"/>
      <c r="Q1376" s="258"/>
      <c r="R1376" s="257"/>
      <c r="S1376" s="258"/>
      <c r="T1376" s="257"/>
      <c r="U1376" s="258"/>
      <c r="V1376" s="257"/>
      <c r="W1376" s="258"/>
      <c r="X1376" s="257"/>
      <c r="Y1376" s="258"/>
      <c r="Z1376" s="257"/>
    </row>
    <row r="1377" spans="1:26" ht="15" hidden="1">
      <c r="A1377" s="250">
        <f>A1357+1</f>
        <v>241</v>
      </c>
      <c r="B1377" s="251"/>
      <c r="C1377" s="540" t="s">
        <v>1397</v>
      </c>
      <c r="D1377" s="532" t="s">
        <v>1402</v>
      </c>
      <c r="E1377" s="251"/>
      <c r="F1377" s="252"/>
      <c r="G1377" s="253"/>
      <c r="H1377" s="254"/>
      <c r="I1377" s="253"/>
      <c r="J1377" s="253"/>
      <c r="K1377" s="251"/>
      <c r="L1377" s="261"/>
      <c r="M1377" s="258"/>
      <c r="N1377" s="257"/>
      <c r="O1377" s="258"/>
      <c r="P1377" s="257"/>
      <c r="Q1377" s="258"/>
      <c r="R1377" s="257"/>
      <c r="S1377" s="258"/>
      <c r="T1377" s="257"/>
      <c r="U1377" s="258"/>
      <c r="V1377" s="257"/>
      <c r="W1377" s="258"/>
      <c r="X1377" s="257"/>
      <c r="Y1377" s="258"/>
      <c r="Z1377" s="257"/>
    </row>
    <row r="1378" spans="1:26" ht="15" hidden="1">
      <c r="A1378" s="250"/>
      <c r="B1378" s="251"/>
      <c r="C1378" s="540"/>
      <c r="D1378" s="526" t="s">
        <v>1396</v>
      </c>
      <c r="E1378" s="251"/>
      <c r="F1378" s="252"/>
      <c r="G1378" s="253"/>
      <c r="H1378" s="254"/>
      <c r="I1378" s="253"/>
      <c r="J1378" s="253"/>
      <c r="K1378" s="251"/>
      <c r="L1378" s="261"/>
      <c r="M1378" s="258"/>
      <c r="N1378" s="257"/>
      <c r="O1378" s="258"/>
      <c r="P1378" s="257"/>
      <c r="Q1378" s="258"/>
      <c r="R1378" s="257"/>
      <c r="S1378" s="258"/>
      <c r="T1378" s="257"/>
      <c r="U1378" s="258"/>
      <c r="V1378" s="257"/>
      <c r="W1378" s="258"/>
      <c r="X1378" s="257"/>
      <c r="Y1378" s="258"/>
      <c r="Z1378" s="257"/>
    </row>
    <row r="1379" spans="1:26" ht="15" hidden="1">
      <c r="A1379" s="250" t="s">
        <v>1905</v>
      </c>
      <c r="B1379" s="251"/>
      <c r="C1379" s="540" t="s">
        <v>1331</v>
      </c>
      <c r="D1379" s="292" t="s">
        <v>1398</v>
      </c>
      <c r="E1379" s="251" t="s">
        <v>1901</v>
      </c>
      <c r="F1379" s="304">
        <f>M1379+O1379+Q1379+S1379+U1379+W1379+Y1379</f>
        <v>0</v>
      </c>
      <c r="G1379" s="253">
        <f t="shared" si="242"/>
        <v>4317.01</v>
      </c>
      <c r="H1379" s="254">
        <f>F1379*G1379</f>
        <v>0</v>
      </c>
      <c r="I1379" s="253">
        <f>N1379+P1379+R1379+T1379+V1379+X1379+Z1379</f>
        <v>0</v>
      </c>
      <c r="J1379" s="253"/>
      <c r="K1379" s="251" t="s">
        <v>1901</v>
      </c>
      <c r="L1379" s="666">
        <v>4317.01</v>
      </c>
      <c r="M1379" s="258">
        <v>0</v>
      </c>
      <c r="N1379" s="257">
        <f>INT($L1379*M1379*100+0.5)/100</f>
        <v>0</v>
      </c>
      <c r="O1379" s="258">
        <v>0</v>
      </c>
      <c r="P1379" s="257">
        <f>INT($L1379*O1379*100+0.5)/100</f>
        <v>0</v>
      </c>
      <c r="Q1379" s="258">
        <v>0</v>
      </c>
      <c r="R1379" s="257">
        <f>INT($L1379*Q1379*100+0.5)/100</f>
        <v>0</v>
      </c>
      <c r="S1379" s="258">
        <v>0</v>
      </c>
      <c r="T1379" s="257">
        <f>INT($L1379*S1379*100+0.5)/100</f>
        <v>0</v>
      </c>
      <c r="U1379" s="258">
        <v>0</v>
      </c>
      <c r="V1379" s="257">
        <f>INT($L1379*U1379*100+0.5)/100</f>
        <v>0</v>
      </c>
      <c r="W1379" s="258">
        <v>0</v>
      </c>
      <c r="X1379" s="257">
        <f>INT($L1379*W1379*100+0.5)/100</f>
        <v>0</v>
      </c>
      <c r="Y1379" s="258">
        <v>0</v>
      </c>
      <c r="Z1379" s="257">
        <f>INT($L1379*Y1379*100+0.5)/100</f>
        <v>0</v>
      </c>
    </row>
    <row r="1380" spans="1:26" ht="15" hidden="1">
      <c r="A1380" s="250" t="s">
        <v>1906</v>
      </c>
      <c r="B1380" s="251"/>
      <c r="C1380" s="540" t="s">
        <v>1332</v>
      </c>
      <c r="D1380" s="292" t="s">
        <v>1399</v>
      </c>
      <c r="E1380" s="251" t="s">
        <v>1901</v>
      </c>
      <c r="F1380" s="304">
        <f>M1380+O1380+Q1380+S1380+U1380+W1380+Y1380</f>
        <v>0</v>
      </c>
      <c r="G1380" s="253">
        <f t="shared" si="242"/>
        <v>4381.26</v>
      </c>
      <c r="H1380" s="254">
        <f>F1380*G1380</f>
        <v>0</v>
      </c>
      <c r="I1380" s="253">
        <f>N1380+P1380+R1380+T1380+V1380+X1380+Z1380</f>
        <v>0</v>
      </c>
      <c r="J1380" s="253"/>
      <c r="K1380" s="251" t="s">
        <v>1901</v>
      </c>
      <c r="L1380" s="666">
        <v>4381.26</v>
      </c>
      <c r="M1380" s="258">
        <v>0</v>
      </c>
      <c r="N1380" s="257">
        <f>INT($L1380*M1380*100+0.5)/100</f>
        <v>0</v>
      </c>
      <c r="O1380" s="258">
        <v>0</v>
      </c>
      <c r="P1380" s="257">
        <f>INT($L1380*O1380*100+0.5)/100</f>
        <v>0</v>
      </c>
      <c r="Q1380" s="258">
        <v>0</v>
      </c>
      <c r="R1380" s="257">
        <f>INT($L1380*Q1380*100+0.5)/100</f>
        <v>0</v>
      </c>
      <c r="S1380" s="258">
        <v>0</v>
      </c>
      <c r="T1380" s="257">
        <f>INT($L1380*S1380*100+0.5)/100</f>
        <v>0</v>
      </c>
      <c r="U1380" s="258">
        <v>0</v>
      </c>
      <c r="V1380" s="257">
        <f>INT($L1380*U1380*100+0.5)/100</f>
        <v>0</v>
      </c>
      <c r="W1380" s="258">
        <v>0</v>
      </c>
      <c r="X1380" s="257">
        <f>INT($L1380*W1380*100+0.5)/100</f>
        <v>0</v>
      </c>
      <c r="Y1380" s="258">
        <v>0</v>
      </c>
      <c r="Z1380" s="257">
        <f>INT($L1380*Y1380*100+0.5)/100</f>
        <v>0</v>
      </c>
    </row>
    <row r="1381" spans="1:26" ht="15" hidden="1">
      <c r="A1381" s="250" t="s">
        <v>1907</v>
      </c>
      <c r="B1381" s="251"/>
      <c r="C1381" s="540" t="s">
        <v>1333</v>
      </c>
      <c r="D1381" s="292" t="s">
        <v>1400</v>
      </c>
      <c r="E1381" s="251" t="s">
        <v>1901</v>
      </c>
      <c r="F1381" s="304">
        <f>M1381+O1381+Q1381+S1381+U1381+W1381+Y1381</f>
        <v>0</v>
      </c>
      <c r="G1381" s="253">
        <f t="shared" si="242"/>
        <v>4736.3100000000004</v>
      </c>
      <c r="H1381" s="254">
        <f>F1381*G1381</f>
        <v>0</v>
      </c>
      <c r="I1381" s="253">
        <f>N1381+P1381+R1381+T1381+V1381+X1381+Z1381</f>
        <v>0</v>
      </c>
      <c r="J1381" s="253"/>
      <c r="K1381" s="251" t="s">
        <v>1901</v>
      </c>
      <c r="L1381" s="666">
        <v>4736.3100000000004</v>
      </c>
      <c r="M1381" s="258">
        <v>0</v>
      </c>
      <c r="N1381" s="257">
        <f>INT($L1381*M1381*100+0.5)/100</f>
        <v>0</v>
      </c>
      <c r="O1381" s="258">
        <v>0</v>
      </c>
      <c r="P1381" s="257">
        <f>INT($L1381*O1381*100+0.5)/100</f>
        <v>0</v>
      </c>
      <c r="Q1381" s="258">
        <v>0</v>
      </c>
      <c r="R1381" s="257">
        <f>INT($L1381*Q1381*100+0.5)/100</f>
        <v>0</v>
      </c>
      <c r="S1381" s="258">
        <v>0</v>
      </c>
      <c r="T1381" s="257">
        <f>INT($L1381*S1381*100+0.5)/100</f>
        <v>0</v>
      </c>
      <c r="U1381" s="258">
        <v>0</v>
      </c>
      <c r="V1381" s="257">
        <f>INT($L1381*U1381*100+0.5)/100</f>
        <v>0</v>
      </c>
      <c r="W1381" s="258">
        <v>0</v>
      </c>
      <c r="X1381" s="257">
        <f>INT($L1381*W1381*100+0.5)/100</f>
        <v>0</v>
      </c>
      <c r="Y1381" s="258">
        <v>0</v>
      </c>
      <c r="Z1381" s="257">
        <f>INT($L1381*Y1381*100+0.5)/100</f>
        <v>0</v>
      </c>
    </row>
    <row r="1382" spans="1:26" ht="15" hidden="1">
      <c r="A1382" s="250" t="s">
        <v>542</v>
      </c>
      <c r="B1382" s="251"/>
      <c r="C1382" s="540" t="s">
        <v>1334</v>
      </c>
      <c r="D1382" s="292" t="s">
        <v>1401</v>
      </c>
      <c r="E1382" s="251" t="s">
        <v>1901</v>
      </c>
      <c r="F1382" s="304">
        <f>M1382+O1382+Q1382+S1382+U1382+W1382+Y1382</f>
        <v>0</v>
      </c>
      <c r="G1382" s="253">
        <f t="shared" si="242"/>
        <v>5436.48</v>
      </c>
      <c r="H1382" s="254">
        <f>F1382*G1382</f>
        <v>0</v>
      </c>
      <c r="I1382" s="253">
        <f>N1382+P1382+R1382+T1382+V1382+X1382+Z1382</f>
        <v>0</v>
      </c>
      <c r="J1382" s="253"/>
      <c r="K1382" s="251" t="s">
        <v>1901</v>
      </c>
      <c r="L1382" s="666">
        <v>5436.48</v>
      </c>
      <c r="M1382" s="258">
        <v>0</v>
      </c>
      <c r="N1382" s="257">
        <f>INT($L1382*M1382*100+0.5)/100</f>
        <v>0</v>
      </c>
      <c r="O1382" s="258">
        <v>0</v>
      </c>
      <c r="P1382" s="257">
        <f>INT($L1382*O1382*100+0.5)/100</f>
        <v>0</v>
      </c>
      <c r="Q1382" s="258">
        <v>0</v>
      </c>
      <c r="R1382" s="257">
        <f>INT($L1382*Q1382*100+0.5)/100</f>
        <v>0</v>
      </c>
      <c r="S1382" s="258">
        <v>0</v>
      </c>
      <c r="T1382" s="257">
        <f>INT($L1382*S1382*100+0.5)/100</f>
        <v>0</v>
      </c>
      <c r="U1382" s="258">
        <v>0</v>
      </c>
      <c r="V1382" s="257">
        <f>INT($L1382*U1382*100+0.5)/100</f>
        <v>0</v>
      </c>
      <c r="W1382" s="258">
        <v>0</v>
      </c>
      <c r="X1382" s="257">
        <f>INT($L1382*W1382*100+0.5)/100</f>
        <v>0</v>
      </c>
      <c r="Y1382" s="258">
        <v>0</v>
      </c>
      <c r="Z1382" s="257">
        <f>INT($L1382*Y1382*100+0.5)/100</f>
        <v>0</v>
      </c>
    </row>
    <row r="1383" spans="1:26" ht="15" hidden="1">
      <c r="A1383" s="250"/>
      <c r="B1383" s="251"/>
      <c r="C1383" s="540"/>
      <c r="D1383" s="292"/>
      <c r="E1383" s="251"/>
      <c r="F1383" s="252"/>
      <c r="G1383" s="253"/>
      <c r="H1383" s="254"/>
      <c r="I1383" s="253"/>
      <c r="J1383" s="253"/>
      <c r="K1383" s="251"/>
      <c r="L1383" s="262"/>
      <c r="M1383" s="258"/>
      <c r="N1383" s="257"/>
      <c r="O1383" s="258"/>
      <c r="P1383" s="257"/>
      <c r="Q1383" s="258"/>
      <c r="R1383" s="257"/>
      <c r="S1383" s="258"/>
      <c r="T1383" s="257"/>
      <c r="U1383" s="258"/>
      <c r="V1383" s="257"/>
      <c r="W1383" s="258"/>
      <c r="X1383" s="257"/>
      <c r="Y1383" s="258"/>
      <c r="Z1383" s="257"/>
    </row>
    <row r="1384" spans="1:26" ht="15" hidden="1">
      <c r="A1384" s="250">
        <f>A1377+1</f>
        <v>242</v>
      </c>
      <c r="B1384" s="251"/>
      <c r="C1384" s="540" t="s">
        <v>1921</v>
      </c>
      <c r="D1384" s="532" t="s">
        <v>1402</v>
      </c>
      <c r="E1384" s="251"/>
      <c r="F1384" s="252"/>
      <c r="G1384" s="253"/>
      <c r="H1384" s="254"/>
      <c r="I1384" s="253"/>
      <c r="J1384" s="253"/>
      <c r="K1384" s="251"/>
      <c r="L1384" s="262"/>
      <c r="M1384" s="258"/>
      <c r="N1384" s="257"/>
      <c r="O1384" s="258"/>
      <c r="P1384" s="257"/>
      <c r="Q1384" s="258"/>
      <c r="R1384" s="257"/>
      <c r="S1384" s="258"/>
      <c r="T1384" s="257"/>
      <c r="U1384" s="258"/>
      <c r="V1384" s="257"/>
      <c r="W1384" s="258"/>
      <c r="X1384" s="257"/>
      <c r="Y1384" s="258"/>
      <c r="Z1384" s="257"/>
    </row>
    <row r="1385" spans="1:26" ht="25.5" hidden="1">
      <c r="A1385" s="250"/>
      <c r="B1385" s="251"/>
      <c r="C1385" s="540"/>
      <c r="D1385" s="526" t="s">
        <v>335</v>
      </c>
      <c r="E1385" s="251"/>
      <c r="F1385" s="252"/>
      <c r="G1385" s="253"/>
      <c r="H1385" s="254"/>
      <c r="I1385" s="253"/>
      <c r="J1385" s="253"/>
      <c r="K1385" s="251"/>
      <c r="L1385" s="262"/>
      <c r="M1385" s="258"/>
      <c r="N1385" s="257"/>
      <c r="O1385" s="258"/>
      <c r="P1385" s="257"/>
      <c r="Q1385" s="258"/>
      <c r="R1385" s="257"/>
      <c r="S1385" s="258"/>
      <c r="T1385" s="257"/>
      <c r="U1385" s="258"/>
      <c r="V1385" s="257"/>
      <c r="W1385" s="258"/>
      <c r="X1385" s="257"/>
      <c r="Y1385" s="258"/>
      <c r="Z1385" s="257"/>
    </row>
    <row r="1386" spans="1:26" ht="15" hidden="1">
      <c r="A1386" s="250" t="s">
        <v>1907</v>
      </c>
      <c r="B1386" s="251"/>
      <c r="C1386" s="540" t="s">
        <v>1931</v>
      </c>
      <c r="D1386" s="292" t="s">
        <v>1400</v>
      </c>
      <c r="E1386" s="251" t="s">
        <v>1901</v>
      </c>
      <c r="F1386" s="304">
        <f>M1386+O1386+Q1386+S1386+U1386+W1386+Y1386</f>
        <v>0</v>
      </c>
      <c r="G1386" s="253">
        <f t="shared" si="242"/>
        <v>5439.24</v>
      </c>
      <c r="H1386" s="254">
        <f>F1386*G1386</f>
        <v>0</v>
      </c>
      <c r="I1386" s="253">
        <f>N1386+P1386+R1386+T1386+V1386+X1386+Z1386</f>
        <v>0</v>
      </c>
      <c r="J1386" s="253"/>
      <c r="K1386" s="251" t="s">
        <v>1901</v>
      </c>
      <c r="L1386" s="668">
        <f>4666*0.95*1.2+2*2*30</f>
        <v>5439.24</v>
      </c>
      <c r="M1386" s="258">
        <v>0</v>
      </c>
      <c r="N1386" s="257">
        <f>INT($L1386*M1386*100+0.5)/100</f>
        <v>0</v>
      </c>
      <c r="O1386" s="258">
        <v>0</v>
      </c>
      <c r="P1386" s="257">
        <f>INT($L1386*O1386*100+0.5)/100</f>
        <v>0</v>
      </c>
      <c r="Q1386" s="258">
        <v>0</v>
      </c>
      <c r="R1386" s="257">
        <f>INT($L1386*Q1386*100+0.5)/100</f>
        <v>0</v>
      </c>
      <c r="S1386" s="258">
        <v>0</v>
      </c>
      <c r="T1386" s="257">
        <f>INT($L1386*S1386*100+0.5)/100</f>
        <v>0</v>
      </c>
      <c r="U1386" s="258">
        <v>0</v>
      </c>
      <c r="V1386" s="257">
        <f>INT($L1386*U1386*100+0.5)/100</f>
        <v>0</v>
      </c>
      <c r="W1386" s="258">
        <v>0</v>
      </c>
      <c r="X1386" s="257">
        <f>INT($L1386*W1386*100+0.5)/100</f>
        <v>0</v>
      </c>
      <c r="Y1386" s="258">
        <v>0</v>
      </c>
      <c r="Z1386" s="257">
        <f>INT($L1386*Y1386*100+0.5)/100</f>
        <v>0</v>
      </c>
    </row>
    <row r="1387" spans="1:26" ht="15" hidden="1">
      <c r="A1387" s="250" t="s">
        <v>542</v>
      </c>
      <c r="B1387" s="251"/>
      <c r="C1387" s="540" t="s">
        <v>1932</v>
      </c>
      <c r="D1387" s="292" t="s">
        <v>1401</v>
      </c>
      <c r="E1387" s="251" t="s">
        <v>1901</v>
      </c>
      <c r="F1387" s="304">
        <f>M1387+O1387+Q1387+S1387+U1387+W1387+Y1387</f>
        <v>0</v>
      </c>
      <c r="G1387" s="253">
        <f t="shared" si="242"/>
        <v>6211.0199999999995</v>
      </c>
      <c r="H1387" s="254">
        <f>F1387*G1387</f>
        <v>0</v>
      </c>
      <c r="I1387" s="253">
        <f>N1387+P1387+R1387+T1387+V1387+X1387+Z1387</f>
        <v>0</v>
      </c>
      <c r="J1387" s="253"/>
      <c r="K1387" s="251" t="s">
        <v>1901</v>
      </c>
      <c r="L1387" s="668">
        <f>5343*0.95*1.2+2*2*30</f>
        <v>6211.0199999999995</v>
      </c>
      <c r="M1387" s="258">
        <v>0</v>
      </c>
      <c r="N1387" s="257">
        <f>INT($L1387*M1387*100+0.5)/100</f>
        <v>0</v>
      </c>
      <c r="O1387" s="258">
        <v>0</v>
      </c>
      <c r="P1387" s="257">
        <f>INT($L1387*O1387*100+0.5)/100</f>
        <v>0</v>
      </c>
      <c r="Q1387" s="258">
        <v>0</v>
      </c>
      <c r="R1387" s="257">
        <f>INT($L1387*Q1387*100+0.5)/100</f>
        <v>0</v>
      </c>
      <c r="S1387" s="258">
        <v>0</v>
      </c>
      <c r="T1387" s="257">
        <f>INT($L1387*S1387*100+0.5)/100</f>
        <v>0</v>
      </c>
      <c r="U1387" s="258">
        <v>0</v>
      </c>
      <c r="V1387" s="257">
        <f>INT($L1387*U1387*100+0.5)/100</f>
        <v>0</v>
      </c>
      <c r="W1387" s="258">
        <v>0</v>
      </c>
      <c r="X1387" s="257">
        <f>INT($L1387*W1387*100+0.5)/100</f>
        <v>0</v>
      </c>
      <c r="Y1387" s="258">
        <v>0</v>
      </c>
      <c r="Z1387" s="257">
        <f>INT($L1387*Y1387*100+0.5)/100</f>
        <v>0</v>
      </c>
    </row>
    <row r="1388" spans="1:26" ht="15" hidden="1">
      <c r="A1388" s="250"/>
      <c r="B1388" s="251"/>
      <c r="C1388" s="540"/>
      <c r="D1388" s="292"/>
      <c r="E1388" s="251"/>
      <c r="F1388" s="252"/>
      <c r="G1388" s="253"/>
      <c r="H1388" s="254"/>
      <c r="I1388" s="253"/>
      <c r="J1388" s="253"/>
      <c r="K1388" s="251"/>
      <c r="L1388" s="666"/>
      <c r="M1388" s="258"/>
      <c r="N1388" s="257"/>
      <c r="O1388" s="258"/>
      <c r="P1388" s="257"/>
      <c r="Q1388" s="258"/>
      <c r="R1388" s="257"/>
      <c r="S1388" s="258"/>
      <c r="T1388" s="257"/>
      <c r="U1388" s="258"/>
      <c r="V1388" s="257"/>
      <c r="W1388" s="258"/>
      <c r="X1388" s="257"/>
      <c r="Y1388" s="258"/>
      <c r="Z1388" s="257"/>
    </row>
    <row r="1389" spans="1:26" ht="15" hidden="1" customHeight="1">
      <c r="A1389" s="250">
        <f>A1384+1</f>
        <v>243</v>
      </c>
      <c r="B1389" s="251"/>
      <c r="C1389" s="540" t="s">
        <v>1922</v>
      </c>
      <c r="D1389" s="532" t="s">
        <v>1402</v>
      </c>
      <c r="E1389" s="251"/>
      <c r="F1389" s="252"/>
      <c r="G1389" s="253"/>
      <c r="H1389" s="254"/>
      <c r="I1389" s="253"/>
      <c r="J1389" s="253"/>
      <c r="K1389" s="251"/>
      <c r="L1389" s="666"/>
      <c r="M1389" s="258"/>
      <c r="N1389" s="257"/>
      <c r="O1389" s="258"/>
      <c r="P1389" s="257"/>
      <c r="Q1389" s="258"/>
      <c r="R1389" s="257"/>
      <c r="S1389" s="258"/>
      <c r="T1389" s="257"/>
      <c r="U1389" s="258"/>
      <c r="V1389" s="257"/>
      <c r="W1389" s="258"/>
      <c r="X1389" s="257"/>
      <c r="Y1389" s="258"/>
      <c r="Z1389" s="257"/>
    </row>
    <row r="1390" spans="1:26" ht="15" hidden="1" customHeight="1">
      <c r="A1390" s="250"/>
      <c r="B1390" s="251"/>
      <c r="C1390" s="540"/>
      <c r="D1390" s="532" t="s">
        <v>1933</v>
      </c>
      <c r="E1390" s="251"/>
      <c r="F1390" s="252"/>
      <c r="G1390" s="253"/>
      <c r="H1390" s="254"/>
      <c r="I1390" s="253"/>
      <c r="J1390" s="253"/>
      <c r="K1390" s="251"/>
      <c r="L1390" s="666"/>
      <c r="M1390" s="258"/>
      <c r="N1390" s="257"/>
      <c r="O1390" s="258"/>
      <c r="P1390" s="257"/>
      <c r="Q1390" s="258"/>
      <c r="R1390" s="257"/>
      <c r="S1390" s="258"/>
      <c r="T1390" s="257"/>
      <c r="U1390" s="258"/>
      <c r="V1390" s="257"/>
      <c r="W1390" s="258"/>
      <c r="X1390" s="257"/>
      <c r="Y1390" s="258"/>
      <c r="Z1390" s="257"/>
    </row>
    <row r="1391" spans="1:26" ht="15" hidden="1" customHeight="1">
      <c r="A1391" s="250" t="s">
        <v>542</v>
      </c>
      <c r="B1391" s="251"/>
      <c r="C1391" s="540" t="s">
        <v>1923</v>
      </c>
      <c r="D1391" s="238" t="s">
        <v>1401</v>
      </c>
      <c r="E1391" s="251" t="s">
        <v>1901</v>
      </c>
      <c r="F1391" s="304">
        <f>M1391+O1391+Q1391+S1391+U1391+W1391+Y1391</f>
        <v>0</v>
      </c>
      <c r="G1391" s="253">
        <f t="shared" si="242"/>
        <v>5690.04</v>
      </c>
      <c r="H1391" s="254">
        <f>F1391*G1391</f>
        <v>0</v>
      </c>
      <c r="I1391" s="253">
        <f>N1391+P1391+R1391+T1391+V1391+X1391+Z1391</f>
        <v>0</v>
      </c>
      <c r="J1391" s="253"/>
      <c r="K1391" s="251" t="s">
        <v>1901</v>
      </c>
      <c r="L1391" s="668">
        <f>4886*0.95*1.2+2*2*30</f>
        <v>5690.04</v>
      </c>
      <c r="M1391" s="258">
        <v>0</v>
      </c>
      <c r="N1391" s="257">
        <f>INT($L1391*M1391*100+0.5)/100</f>
        <v>0</v>
      </c>
      <c r="O1391" s="258">
        <v>0</v>
      </c>
      <c r="P1391" s="257">
        <f>INT($L1391*O1391*100+0.5)/100</f>
        <v>0</v>
      </c>
      <c r="Q1391" s="258">
        <v>0</v>
      </c>
      <c r="R1391" s="257">
        <f>INT($L1391*Q1391*100+0.5)/100</f>
        <v>0</v>
      </c>
      <c r="S1391" s="258">
        <v>0</v>
      </c>
      <c r="T1391" s="257">
        <f>INT($L1391*S1391*100+0.5)/100</f>
        <v>0</v>
      </c>
      <c r="U1391" s="258">
        <v>0</v>
      </c>
      <c r="V1391" s="257">
        <f>INT($L1391*U1391*100+0.5)/100</f>
        <v>0</v>
      </c>
      <c r="W1391" s="258">
        <v>0</v>
      </c>
      <c r="X1391" s="257">
        <f>INT($L1391*W1391*100+0.5)/100</f>
        <v>0</v>
      </c>
      <c r="Y1391" s="258">
        <v>0</v>
      </c>
      <c r="Z1391" s="257">
        <f>INT($L1391*Y1391*100+0.5)/100</f>
        <v>0</v>
      </c>
    </row>
    <row r="1392" spans="1:26" ht="15" hidden="1" customHeight="1">
      <c r="A1392" s="250"/>
      <c r="B1392" s="251"/>
      <c r="C1392" s="540"/>
      <c r="D1392" s="238"/>
      <c r="E1392" s="251"/>
      <c r="F1392" s="252"/>
      <c r="G1392" s="253"/>
      <c r="H1392" s="254"/>
      <c r="I1392" s="253"/>
      <c r="J1392" s="253"/>
      <c r="K1392" s="251"/>
      <c r="L1392" s="666"/>
      <c r="M1392" s="258"/>
      <c r="N1392" s="257"/>
      <c r="O1392" s="258"/>
      <c r="P1392" s="257"/>
      <c r="Q1392" s="258"/>
      <c r="R1392" s="257"/>
      <c r="S1392" s="258"/>
      <c r="T1392" s="257"/>
      <c r="U1392" s="258"/>
      <c r="V1392" s="257"/>
      <c r="W1392" s="258"/>
      <c r="X1392" s="257"/>
      <c r="Y1392" s="258"/>
      <c r="Z1392" s="257"/>
    </row>
    <row r="1393" spans="1:26" ht="15" hidden="1" customHeight="1">
      <c r="A1393" s="250">
        <f>A1389+1</f>
        <v>244</v>
      </c>
      <c r="B1393" s="251"/>
      <c r="C1393" s="540" t="s">
        <v>1918</v>
      </c>
      <c r="D1393" s="532" t="s">
        <v>1387</v>
      </c>
      <c r="E1393" s="251"/>
      <c r="F1393" s="252"/>
      <c r="G1393" s="253"/>
      <c r="H1393" s="254"/>
      <c r="I1393" s="253"/>
      <c r="J1393" s="253"/>
      <c r="K1393" s="251"/>
      <c r="L1393" s="666"/>
      <c r="M1393" s="258"/>
      <c r="N1393" s="257"/>
      <c r="O1393" s="258"/>
      <c r="P1393" s="257"/>
      <c r="Q1393" s="258"/>
      <c r="R1393" s="257"/>
      <c r="S1393" s="258"/>
      <c r="T1393" s="257"/>
      <c r="U1393" s="258"/>
      <c r="V1393" s="257"/>
      <c r="W1393" s="258"/>
      <c r="X1393" s="257"/>
      <c r="Y1393" s="258"/>
      <c r="Z1393" s="257"/>
    </row>
    <row r="1394" spans="1:26" ht="15" hidden="1" customHeight="1">
      <c r="A1394" s="250"/>
      <c r="B1394" s="251"/>
      <c r="C1394" s="540"/>
      <c r="D1394" s="532" t="s">
        <v>1386</v>
      </c>
      <c r="E1394" s="251"/>
      <c r="F1394" s="252"/>
      <c r="G1394" s="253"/>
      <c r="H1394" s="254"/>
      <c r="I1394" s="253"/>
      <c r="J1394" s="253"/>
      <c r="K1394" s="251"/>
      <c r="L1394" s="666"/>
      <c r="M1394" s="258"/>
      <c r="N1394" s="257"/>
      <c r="O1394" s="258"/>
      <c r="P1394" s="257"/>
      <c r="Q1394" s="258"/>
      <c r="R1394" s="257"/>
      <c r="S1394" s="258"/>
      <c r="T1394" s="257"/>
      <c r="U1394" s="258"/>
      <c r="V1394" s="257"/>
      <c r="W1394" s="258"/>
      <c r="X1394" s="257"/>
      <c r="Y1394" s="258"/>
      <c r="Z1394" s="257"/>
    </row>
    <row r="1395" spans="1:26" ht="15" hidden="1" customHeight="1">
      <c r="A1395" s="250" t="s">
        <v>542</v>
      </c>
      <c r="B1395" s="251"/>
      <c r="C1395" s="540" t="s">
        <v>1924</v>
      </c>
      <c r="D1395" s="238" t="s">
        <v>1401</v>
      </c>
      <c r="E1395" s="251" t="s">
        <v>1901</v>
      </c>
      <c r="F1395" s="304">
        <f>M1395+O1395+Q1395+S1395+U1395+W1395+Y1395</f>
        <v>0</v>
      </c>
      <c r="G1395" s="253">
        <f t="shared" si="242"/>
        <v>4283.28</v>
      </c>
      <c r="H1395" s="254">
        <f>F1395*G1395</f>
        <v>0</v>
      </c>
      <c r="I1395" s="253">
        <f>N1395+P1395+R1395+T1395+V1395+X1395+Z1395</f>
        <v>0</v>
      </c>
      <c r="J1395" s="253"/>
      <c r="K1395" s="251" t="s">
        <v>1901</v>
      </c>
      <c r="L1395" s="666">
        <f>3652*0.95*1.2+2*2*30</f>
        <v>4283.28</v>
      </c>
      <c r="M1395" s="258">
        <v>0</v>
      </c>
      <c r="N1395" s="257">
        <f>INT($L1395*M1395*100+0.5)/100</f>
        <v>0</v>
      </c>
      <c r="O1395" s="258">
        <v>0</v>
      </c>
      <c r="P1395" s="257">
        <f>INT($L1395*O1395*100+0.5)/100</f>
        <v>0</v>
      </c>
      <c r="Q1395" s="258">
        <v>0</v>
      </c>
      <c r="R1395" s="257">
        <f>INT($L1395*Q1395*100+0.5)/100</f>
        <v>0</v>
      </c>
      <c r="S1395" s="258">
        <v>0</v>
      </c>
      <c r="T1395" s="257">
        <f>INT($L1395*S1395*100+0.5)/100</f>
        <v>0</v>
      </c>
      <c r="U1395" s="258">
        <v>0</v>
      </c>
      <c r="V1395" s="257">
        <f>INT($L1395*U1395*100+0.5)/100</f>
        <v>0</v>
      </c>
      <c r="W1395" s="258">
        <v>0</v>
      </c>
      <c r="X1395" s="257">
        <f>INT($L1395*W1395*100+0.5)/100</f>
        <v>0</v>
      </c>
      <c r="Y1395" s="258">
        <v>0</v>
      </c>
      <c r="Z1395" s="257">
        <f>INT($L1395*Y1395*100+0.5)/100</f>
        <v>0</v>
      </c>
    </row>
    <row r="1396" spans="1:26" ht="15" hidden="1" customHeight="1">
      <c r="A1396" s="250"/>
      <c r="B1396" s="251"/>
      <c r="C1396" s="540"/>
      <c r="D1396" s="238"/>
      <c r="E1396" s="251"/>
      <c r="F1396" s="252"/>
      <c r="G1396" s="253"/>
      <c r="H1396" s="254"/>
      <c r="I1396" s="253"/>
      <c r="J1396" s="253"/>
      <c r="K1396" s="251"/>
      <c r="L1396" s="666"/>
      <c r="M1396" s="258"/>
      <c r="N1396" s="257"/>
      <c r="O1396" s="258"/>
      <c r="P1396" s="257"/>
      <c r="Q1396" s="258"/>
      <c r="R1396" s="257"/>
      <c r="S1396" s="258"/>
      <c r="T1396" s="257"/>
      <c r="U1396" s="258"/>
      <c r="V1396" s="257"/>
      <c r="W1396" s="258"/>
      <c r="X1396" s="257"/>
      <c r="Y1396" s="258"/>
      <c r="Z1396" s="257"/>
    </row>
    <row r="1397" spans="1:26" ht="15" hidden="1" customHeight="1">
      <c r="A1397" s="250">
        <f>A1393+1</f>
        <v>245</v>
      </c>
      <c r="B1397" s="251"/>
      <c r="C1397" s="540" t="s">
        <v>1920</v>
      </c>
      <c r="D1397" s="532" t="s">
        <v>1385</v>
      </c>
      <c r="E1397" s="251"/>
      <c r="F1397" s="252"/>
      <c r="G1397" s="253"/>
      <c r="H1397" s="254"/>
      <c r="I1397" s="253"/>
      <c r="J1397" s="253"/>
      <c r="K1397" s="251"/>
      <c r="L1397" s="666"/>
      <c r="M1397" s="258"/>
      <c r="N1397" s="257"/>
      <c r="O1397" s="258"/>
      <c r="P1397" s="257"/>
      <c r="Q1397" s="258"/>
      <c r="R1397" s="257"/>
      <c r="S1397" s="258"/>
      <c r="T1397" s="257"/>
      <c r="U1397" s="258"/>
      <c r="V1397" s="257"/>
      <c r="W1397" s="258"/>
      <c r="X1397" s="257"/>
      <c r="Y1397" s="258"/>
      <c r="Z1397" s="257"/>
    </row>
    <row r="1398" spans="1:26" ht="15" hidden="1" customHeight="1">
      <c r="A1398" s="250"/>
      <c r="B1398" s="251"/>
      <c r="C1398" s="540"/>
      <c r="D1398" s="532" t="s">
        <v>1934</v>
      </c>
      <c r="E1398" s="251"/>
      <c r="F1398" s="252"/>
      <c r="G1398" s="253"/>
      <c r="H1398" s="254"/>
      <c r="I1398" s="253"/>
      <c r="J1398" s="253"/>
      <c r="K1398" s="251"/>
      <c r="L1398" s="666"/>
      <c r="M1398" s="258"/>
      <c r="N1398" s="257"/>
      <c r="O1398" s="258"/>
      <c r="P1398" s="257"/>
      <c r="Q1398" s="258"/>
      <c r="R1398" s="257"/>
      <c r="S1398" s="258"/>
      <c r="T1398" s="257"/>
      <c r="U1398" s="258"/>
      <c r="V1398" s="257"/>
      <c r="W1398" s="258"/>
      <c r="X1398" s="257"/>
      <c r="Y1398" s="258"/>
      <c r="Z1398" s="257"/>
    </row>
    <row r="1399" spans="1:26" ht="15" hidden="1" customHeight="1">
      <c r="A1399" s="250" t="s">
        <v>542</v>
      </c>
      <c r="B1399" s="251"/>
      <c r="C1399" s="540" t="s">
        <v>1925</v>
      </c>
      <c r="D1399" s="238" t="s">
        <v>1401</v>
      </c>
      <c r="E1399" s="251" t="s">
        <v>1901</v>
      </c>
      <c r="F1399" s="304">
        <f>M1399+O1399+Q1399+S1399+U1399+W1399+Y1399</f>
        <v>0</v>
      </c>
      <c r="G1399" s="253">
        <f t="shared" si="242"/>
        <v>4713.0599999999995</v>
      </c>
      <c r="H1399" s="254">
        <f>F1399*G1399</f>
        <v>0</v>
      </c>
      <c r="I1399" s="253">
        <f>N1399+P1399+R1399+T1399+V1399+X1399+Z1399</f>
        <v>0</v>
      </c>
      <c r="J1399" s="253"/>
      <c r="K1399" s="251" t="s">
        <v>1901</v>
      </c>
      <c r="L1399" s="666">
        <f>4029*0.95*1.2+2*2*30</f>
        <v>4713.0599999999995</v>
      </c>
      <c r="M1399" s="258">
        <v>0</v>
      </c>
      <c r="N1399" s="257">
        <f>INT($L1399*M1399*100+0.5)/100</f>
        <v>0</v>
      </c>
      <c r="O1399" s="258">
        <v>0</v>
      </c>
      <c r="P1399" s="257">
        <f>INT($L1399*O1399*100+0.5)/100</f>
        <v>0</v>
      </c>
      <c r="Q1399" s="258">
        <v>0</v>
      </c>
      <c r="R1399" s="257">
        <f>INT($L1399*Q1399*100+0.5)/100</f>
        <v>0</v>
      </c>
      <c r="S1399" s="258">
        <v>0</v>
      </c>
      <c r="T1399" s="257">
        <f>INT($L1399*S1399*100+0.5)/100</f>
        <v>0</v>
      </c>
      <c r="U1399" s="258">
        <v>0</v>
      </c>
      <c r="V1399" s="257">
        <f>INT($L1399*U1399*100+0.5)/100</f>
        <v>0</v>
      </c>
      <c r="W1399" s="258">
        <v>0</v>
      </c>
      <c r="X1399" s="257">
        <f>INT($L1399*W1399*100+0.5)/100</f>
        <v>0</v>
      </c>
      <c r="Y1399" s="258">
        <v>0</v>
      </c>
      <c r="Z1399" s="257">
        <f>INT($L1399*Y1399*100+0.5)/100</f>
        <v>0</v>
      </c>
    </row>
    <row r="1400" spans="1:26" ht="15" hidden="1" customHeight="1">
      <c r="A1400" s="250"/>
      <c r="B1400" s="251"/>
      <c r="C1400" s="540"/>
      <c r="D1400" s="238"/>
      <c r="E1400" s="251"/>
      <c r="F1400" s="252"/>
      <c r="G1400" s="253"/>
      <c r="H1400" s="254"/>
      <c r="I1400" s="253"/>
      <c r="J1400" s="253"/>
      <c r="K1400" s="251"/>
      <c r="L1400" s="666"/>
      <c r="M1400" s="258"/>
      <c r="N1400" s="257"/>
      <c r="O1400" s="258"/>
      <c r="P1400" s="257"/>
      <c r="Q1400" s="258"/>
      <c r="R1400" s="257"/>
      <c r="S1400" s="258"/>
      <c r="T1400" s="257"/>
      <c r="U1400" s="258"/>
      <c r="V1400" s="257"/>
      <c r="W1400" s="258"/>
      <c r="X1400" s="257"/>
      <c r="Y1400" s="258"/>
      <c r="Z1400" s="257"/>
    </row>
    <row r="1401" spans="1:26" ht="15" hidden="1" customHeight="1">
      <c r="A1401" s="250">
        <f>A1397+1</f>
        <v>246</v>
      </c>
      <c r="B1401" s="251"/>
      <c r="C1401" s="540" t="s">
        <v>1919</v>
      </c>
      <c r="D1401" s="532" t="s">
        <v>1848</v>
      </c>
      <c r="E1401" s="251"/>
      <c r="F1401" s="252"/>
      <c r="G1401" s="253"/>
      <c r="H1401" s="254"/>
      <c r="I1401" s="253"/>
      <c r="J1401" s="253"/>
      <c r="K1401" s="251"/>
      <c r="L1401" s="666"/>
      <c r="M1401" s="258"/>
      <c r="N1401" s="257"/>
      <c r="O1401" s="258"/>
      <c r="P1401" s="257"/>
      <c r="Q1401" s="258"/>
      <c r="R1401" s="257"/>
      <c r="S1401" s="258"/>
      <c r="T1401" s="257"/>
      <c r="U1401" s="258"/>
      <c r="V1401" s="257"/>
      <c r="W1401" s="258"/>
      <c r="X1401" s="257"/>
      <c r="Y1401" s="258"/>
      <c r="Z1401" s="257"/>
    </row>
    <row r="1402" spans="1:26" ht="15" hidden="1" customHeight="1">
      <c r="A1402" s="250"/>
      <c r="B1402" s="251"/>
      <c r="C1402" s="540"/>
      <c r="D1402" s="532" t="s">
        <v>1935</v>
      </c>
      <c r="E1402" s="251"/>
      <c r="F1402" s="252"/>
      <c r="G1402" s="253"/>
      <c r="H1402" s="254"/>
      <c r="I1402" s="253"/>
      <c r="J1402" s="253"/>
      <c r="K1402" s="251"/>
      <c r="L1402" s="666"/>
      <c r="M1402" s="258"/>
      <c r="N1402" s="257"/>
      <c r="O1402" s="258"/>
      <c r="P1402" s="257"/>
      <c r="Q1402" s="258"/>
      <c r="R1402" s="257"/>
      <c r="S1402" s="258"/>
      <c r="T1402" s="257"/>
      <c r="U1402" s="258"/>
      <c r="V1402" s="257"/>
      <c r="W1402" s="258"/>
      <c r="X1402" s="257"/>
      <c r="Y1402" s="258"/>
      <c r="Z1402" s="257"/>
    </row>
    <row r="1403" spans="1:26" ht="15" hidden="1" customHeight="1">
      <c r="A1403" s="250" t="s">
        <v>1907</v>
      </c>
      <c r="B1403" s="251"/>
      <c r="C1403" s="540" t="s">
        <v>1007</v>
      </c>
      <c r="D1403" s="238" t="s">
        <v>1400</v>
      </c>
      <c r="E1403" s="251" t="s">
        <v>1901</v>
      </c>
      <c r="F1403" s="304">
        <f>M1403+O1403+Q1403+S1403+U1403+W1403+Y1403</f>
        <v>0</v>
      </c>
      <c r="G1403" s="253">
        <f t="shared" si="242"/>
        <v>4579.6799999999994</v>
      </c>
      <c r="H1403" s="254">
        <f>F1403*G1403</f>
        <v>0</v>
      </c>
      <c r="I1403" s="253">
        <f>N1403+P1403+R1403+T1403+V1403+X1403+Z1403</f>
        <v>0</v>
      </c>
      <c r="J1403" s="253"/>
      <c r="K1403" s="251" t="s">
        <v>1901</v>
      </c>
      <c r="L1403" s="668">
        <f>3912*0.95*1.2+2*2*30</f>
        <v>4579.6799999999994</v>
      </c>
      <c r="M1403" s="258">
        <v>0</v>
      </c>
      <c r="N1403" s="257">
        <f>INT($L1403*M1403*100+0.5)/100</f>
        <v>0</v>
      </c>
      <c r="O1403" s="258">
        <v>0</v>
      </c>
      <c r="P1403" s="257">
        <f>INT($L1403*O1403*100+0.5)/100</f>
        <v>0</v>
      </c>
      <c r="Q1403" s="258">
        <v>0</v>
      </c>
      <c r="R1403" s="257">
        <f>INT($L1403*Q1403*100+0.5)/100</f>
        <v>0</v>
      </c>
      <c r="S1403" s="258">
        <v>0</v>
      </c>
      <c r="T1403" s="257">
        <f>INT($L1403*S1403*100+0.5)/100</f>
        <v>0</v>
      </c>
      <c r="U1403" s="258">
        <v>0</v>
      </c>
      <c r="V1403" s="257">
        <f>INT($L1403*U1403*100+0.5)/100</f>
        <v>0</v>
      </c>
      <c r="W1403" s="258">
        <v>0</v>
      </c>
      <c r="X1403" s="257">
        <f>INT($L1403*W1403*100+0.5)/100</f>
        <v>0</v>
      </c>
      <c r="Y1403" s="258">
        <v>0</v>
      </c>
      <c r="Z1403" s="257">
        <f>INT($L1403*Y1403*100+0.5)/100</f>
        <v>0</v>
      </c>
    </row>
    <row r="1404" spans="1:26" ht="15" hidden="1" customHeight="1">
      <c r="A1404" s="250" t="s">
        <v>542</v>
      </c>
      <c r="B1404" s="251"/>
      <c r="C1404" s="540" t="s">
        <v>1008</v>
      </c>
      <c r="D1404" s="238" t="s">
        <v>1401</v>
      </c>
      <c r="E1404" s="251"/>
      <c r="F1404" s="304">
        <f>M1404+O1404+Q1404+S1404+U1404+W1404+Y1404</f>
        <v>0</v>
      </c>
      <c r="G1404" s="253">
        <f t="shared" si="242"/>
        <v>5531.579999999999</v>
      </c>
      <c r="H1404" s="254">
        <f>F1404*G1404</f>
        <v>0</v>
      </c>
      <c r="I1404" s="253">
        <f>N1404+P1404+R1404+T1404+V1404+X1404+Z1404</f>
        <v>0</v>
      </c>
      <c r="J1404" s="253"/>
      <c r="K1404" s="251"/>
      <c r="L1404" s="668">
        <f>4747*0.95*1.2+2*2*30</f>
        <v>5531.579999999999</v>
      </c>
      <c r="M1404" s="258">
        <v>0</v>
      </c>
      <c r="N1404" s="257">
        <f>INT($L1404*M1404*100+0.5)/100</f>
        <v>0</v>
      </c>
      <c r="O1404" s="258">
        <v>0</v>
      </c>
      <c r="P1404" s="257">
        <f>INT($L1404*O1404*100+0.5)/100</f>
        <v>0</v>
      </c>
      <c r="Q1404" s="258">
        <v>0</v>
      </c>
      <c r="R1404" s="257">
        <f>INT($L1404*Q1404*100+0.5)/100</f>
        <v>0</v>
      </c>
      <c r="S1404" s="258">
        <v>0</v>
      </c>
      <c r="T1404" s="257">
        <f>INT($L1404*S1404*100+0.5)/100</f>
        <v>0</v>
      </c>
      <c r="U1404" s="258">
        <v>0</v>
      </c>
      <c r="V1404" s="257">
        <f>INT($L1404*U1404*100+0.5)/100</f>
        <v>0</v>
      </c>
      <c r="W1404" s="258">
        <v>0</v>
      </c>
      <c r="X1404" s="257">
        <f>INT($L1404*W1404*100+0.5)/100</f>
        <v>0</v>
      </c>
      <c r="Y1404" s="258">
        <v>0</v>
      </c>
      <c r="Z1404" s="257">
        <f>INT($L1404*Y1404*100+0.5)/100</f>
        <v>0</v>
      </c>
    </row>
    <row r="1405" spans="1:26" ht="15" hidden="1" customHeight="1">
      <c r="A1405" s="250"/>
      <c r="B1405" s="251"/>
      <c r="C1405" s="540"/>
      <c r="D1405" s="238"/>
      <c r="E1405" s="251"/>
      <c r="F1405" s="252"/>
      <c r="G1405" s="253"/>
      <c r="H1405" s="254"/>
      <c r="I1405" s="253"/>
      <c r="J1405" s="253"/>
      <c r="K1405" s="251"/>
      <c r="L1405" s="666"/>
      <c r="M1405" s="258"/>
      <c r="N1405" s="257"/>
      <c r="O1405" s="258"/>
      <c r="P1405" s="257"/>
      <c r="Q1405" s="258"/>
      <c r="R1405" s="257"/>
      <c r="S1405" s="258"/>
      <c r="T1405" s="257"/>
      <c r="U1405" s="258"/>
      <c r="V1405" s="257"/>
      <c r="W1405" s="258"/>
      <c r="X1405" s="257"/>
      <c r="Y1405" s="258"/>
      <c r="Z1405" s="257"/>
    </row>
    <row r="1406" spans="1:26" ht="15" hidden="1" customHeight="1">
      <c r="A1406" s="250">
        <f>A1401+1</f>
        <v>247</v>
      </c>
      <c r="B1406" s="251"/>
      <c r="C1406" s="540" t="s">
        <v>1926</v>
      </c>
      <c r="D1406" s="532" t="s">
        <v>1389</v>
      </c>
      <c r="E1406" s="251"/>
      <c r="F1406" s="252"/>
      <c r="G1406" s="253"/>
      <c r="H1406" s="254"/>
      <c r="I1406" s="253"/>
      <c r="J1406" s="253"/>
      <c r="K1406" s="251"/>
      <c r="L1406" s="666"/>
      <c r="M1406" s="258"/>
      <c r="N1406" s="257"/>
      <c r="O1406" s="258"/>
      <c r="P1406" s="257"/>
      <c r="Q1406" s="258"/>
      <c r="R1406" s="257"/>
      <c r="S1406" s="258"/>
      <c r="T1406" s="257"/>
      <c r="U1406" s="258"/>
      <c r="V1406" s="257"/>
      <c r="W1406" s="258"/>
      <c r="X1406" s="257"/>
      <c r="Y1406" s="258"/>
      <c r="Z1406" s="257"/>
    </row>
    <row r="1407" spans="1:26" ht="15" hidden="1" customHeight="1">
      <c r="A1407" s="250"/>
      <c r="B1407" s="251"/>
      <c r="C1407" s="540"/>
      <c r="D1407" s="532" t="s">
        <v>1388</v>
      </c>
      <c r="E1407" s="251"/>
      <c r="F1407" s="252"/>
      <c r="G1407" s="253"/>
      <c r="H1407" s="254"/>
      <c r="I1407" s="253"/>
      <c r="J1407" s="253"/>
      <c r="K1407" s="251"/>
      <c r="L1407" s="666"/>
      <c r="M1407" s="258"/>
      <c r="N1407" s="257"/>
      <c r="O1407" s="258"/>
      <c r="P1407" s="257"/>
      <c r="Q1407" s="258"/>
      <c r="R1407" s="257"/>
      <c r="S1407" s="258"/>
      <c r="T1407" s="257"/>
      <c r="U1407" s="258"/>
      <c r="V1407" s="257"/>
      <c r="W1407" s="258"/>
      <c r="X1407" s="257"/>
      <c r="Y1407" s="258"/>
      <c r="Z1407" s="257"/>
    </row>
    <row r="1408" spans="1:26" ht="15" hidden="1">
      <c r="A1408" s="250" t="s">
        <v>1907</v>
      </c>
      <c r="B1408" s="251"/>
      <c r="C1408" s="540" t="s">
        <v>1927</v>
      </c>
      <c r="D1408" s="238" t="s">
        <v>1929</v>
      </c>
      <c r="E1408" s="251" t="s">
        <v>1901</v>
      </c>
      <c r="F1408" s="304">
        <f>M1408+O1408+Q1408+S1408+U1408+W1408+Y1408</f>
        <v>0</v>
      </c>
      <c r="G1408" s="253">
        <f t="shared" si="242"/>
        <v>3697.3199999999997</v>
      </c>
      <c r="H1408" s="254">
        <f>F1408*G1408</f>
        <v>0</v>
      </c>
      <c r="I1408" s="253">
        <f>N1408+P1408+R1408+T1408+V1408+X1408+Z1408</f>
        <v>0</v>
      </c>
      <c r="J1408" s="253"/>
      <c r="K1408" s="251" t="s">
        <v>1901</v>
      </c>
      <c r="L1408" s="666">
        <f>3138*0.95*1.2+2*2*30</f>
        <v>3697.3199999999997</v>
      </c>
      <c r="M1408" s="258">
        <v>0</v>
      </c>
      <c r="N1408" s="257">
        <f>INT($L1408*M1408*100+0.5)/100</f>
        <v>0</v>
      </c>
      <c r="O1408" s="258">
        <v>0</v>
      </c>
      <c r="P1408" s="257">
        <f>INT($L1408*O1408*100+0.5)/100</f>
        <v>0</v>
      </c>
      <c r="Q1408" s="258">
        <v>0</v>
      </c>
      <c r="R1408" s="257">
        <f>INT($L1408*Q1408*100+0.5)/100</f>
        <v>0</v>
      </c>
      <c r="S1408" s="258">
        <v>0</v>
      </c>
      <c r="T1408" s="257">
        <f>INT($L1408*S1408*100+0.5)/100</f>
        <v>0</v>
      </c>
      <c r="U1408" s="258">
        <v>0</v>
      </c>
      <c r="V1408" s="257">
        <f>INT($L1408*U1408*100+0.5)/100</f>
        <v>0</v>
      </c>
      <c r="W1408" s="258">
        <v>0</v>
      </c>
      <c r="X1408" s="257">
        <f>INT($L1408*W1408*100+0.5)/100</f>
        <v>0</v>
      </c>
      <c r="Y1408" s="258">
        <v>0</v>
      </c>
      <c r="Z1408" s="257">
        <f>INT($L1408*Y1408*100+0.5)/100</f>
        <v>0</v>
      </c>
    </row>
    <row r="1409" spans="1:26" ht="15" hidden="1">
      <c r="A1409" s="250" t="s">
        <v>542</v>
      </c>
      <c r="B1409" s="251"/>
      <c r="C1409" s="540" t="s">
        <v>1928</v>
      </c>
      <c r="D1409" s="238" t="s">
        <v>1930</v>
      </c>
      <c r="E1409" s="251" t="s">
        <v>1901</v>
      </c>
      <c r="F1409" s="304">
        <f>M1409+O1409+Q1409+S1409+U1409+W1409+Y1409</f>
        <v>0</v>
      </c>
      <c r="G1409" s="253">
        <f t="shared" si="242"/>
        <v>3562.7999999999997</v>
      </c>
      <c r="H1409" s="254">
        <f>F1409*G1409</f>
        <v>0</v>
      </c>
      <c r="I1409" s="253">
        <f>N1409+P1409+R1409+T1409+V1409+X1409+Z1409</f>
        <v>0</v>
      </c>
      <c r="J1409" s="253"/>
      <c r="K1409" s="251" t="s">
        <v>1901</v>
      </c>
      <c r="L1409" s="666">
        <f>3020*0.95*1.2+2*2*30</f>
        <v>3562.7999999999997</v>
      </c>
      <c r="M1409" s="258">
        <v>0</v>
      </c>
      <c r="N1409" s="257">
        <f>INT($L1409*M1409*100+0.5)/100</f>
        <v>0</v>
      </c>
      <c r="O1409" s="258">
        <v>0</v>
      </c>
      <c r="P1409" s="257">
        <f>INT($L1409*O1409*100+0.5)/100</f>
        <v>0</v>
      </c>
      <c r="Q1409" s="258">
        <v>0</v>
      </c>
      <c r="R1409" s="257">
        <f>INT($L1409*Q1409*100+0.5)/100</f>
        <v>0</v>
      </c>
      <c r="S1409" s="258">
        <v>0</v>
      </c>
      <c r="T1409" s="257">
        <f>INT($L1409*S1409*100+0.5)/100</f>
        <v>0</v>
      </c>
      <c r="U1409" s="258">
        <v>0</v>
      </c>
      <c r="V1409" s="257">
        <f>INT($L1409*U1409*100+0.5)/100</f>
        <v>0</v>
      </c>
      <c r="W1409" s="258">
        <v>0</v>
      </c>
      <c r="X1409" s="257">
        <f>INT($L1409*W1409*100+0.5)/100</f>
        <v>0</v>
      </c>
      <c r="Y1409" s="258">
        <v>0</v>
      </c>
      <c r="Z1409" s="257">
        <f>INT($L1409*Y1409*100+0.5)/100</f>
        <v>0</v>
      </c>
    </row>
    <row r="1410" spans="1:26" ht="15" hidden="1">
      <c r="A1410" s="250"/>
      <c r="B1410" s="251"/>
      <c r="C1410" s="540"/>
      <c r="D1410" s="238"/>
      <c r="E1410" s="251"/>
      <c r="F1410" s="252"/>
      <c r="G1410" s="253"/>
      <c r="H1410" s="254"/>
      <c r="I1410" s="253"/>
      <c r="J1410" s="253"/>
      <c r="K1410" s="251"/>
      <c r="L1410" s="261"/>
      <c r="M1410" s="258"/>
      <c r="N1410" s="257"/>
      <c r="O1410" s="258"/>
      <c r="P1410" s="257"/>
      <c r="Q1410" s="258"/>
      <c r="R1410" s="257"/>
      <c r="S1410" s="258"/>
      <c r="T1410" s="257"/>
      <c r="U1410" s="258"/>
      <c r="V1410" s="257"/>
      <c r="W1410" s="258"/>
      <c r="X1410" s="257"/>
      <c r="Y1410" s="258"/>
      <c r="Z1410" s="257"/>
    </row>
    <row r="1411" spans="1:26" ht="15" hidden="1">
      <c r="A1411" s="250">
        <f>A1406+1</f>
        <v>248</v>
      </c>
      <c r="B1411" s="251"/>
      <c r="C1411" s="540" t="s">
        <v>1335</v>
      </c>
      <c r="D1411" s="532" t="s">
        <v>1404</v>
      </c>
      <c r="E1411" s="251"/>
      <c r="F1411" s="252"/>
      <c r="G1411" s="253"/>
      <c r="H1411" s="254"/>
      <c r="I1411" s="253"/>
      <c r="J1411" s="253"/>
      <c r="K1411" s="251"/>
      <c r="L1411" s="261"/>
      <c r="M1411" s="258"/>
      <c r="N1411" s="257"/>
      <c r="O1411" s="258"/>
      <c r="P1411" s="257"/>
      <c r="Q1411" s="258"/>
      <c r="R1411" s="257"/>
      <c r="S1411" s="258"/>
      <c r="T1411" s="257"/>
      <c r="U1411" s="258"/>
      <c r="V1411" s="257"/>
      <c r="W1411" s="258"/>
      <c r="X1411" s="257"/>
      <c r="Y1411" s="258"/>
      <c r="Z1411" s="257"/>
    </row>
    <row r="1412" spans="1:26" ht="15" hidden="1">
      <c r="A1412" s="250"/>
      <c r="B1412" s="251"/>
      <c r="C1412" s="540"/>
      <c r="D1412" s="532" t="s">
        <v>1403</v>
      </c>
      <c r="E1412" s="251"/>
      <c r="F1412" s="252"/>
      <c r="G1412" s="253"/>
      <c r="H1412" s="254"/>
      <c r="I1412" s="253"/>
      <c r="J1412" s="253"/>
      <c r="K1412" s="251"/>
      <c r="L1412" s="261"/>
      <c r="M1412" s="258"/>
      <c r="N1412" s="257"/>
      <c r="O1412" s="258"/>
      <c r="P1412" s="257"/>
      <c r="Q1412" s="258"/>
      <c r="R1412" s="257"/>
      <c r="S1412" s="258"/>
      <c r="T1412" s="257"/>
      <c r="U1412" s="258"/>
      <c r="V1412" s="257"/>
      <c r="W1412" s="258"/>
      <c r="X1412" s="257"/>
      <c r="Y1412" s="258"/>
      <c r="Z1412" s="257"/>
    </row>
    <row r="1413" spans="1:26" ht="15" hidden="1">
      <c r="A1413" s="331" t="s">
        <v>1903</v>
      </c>
      <c r="B1413" s="251"/>
      <c r="C1413" s="532" t="s">
        <v>1336</v>
      </c>
      <c r="D1413" s="532" t="s">
        <v>276</v>
      </c>
      <c r="E1413" s="251" t="s">
        <v>1901</v>
      </c>
      <c r="F1413" s="304">
        <f>M1413+O1413+Q1413+S1413+U1413+W1413+Y1413</f>
        <v>0</v>
      </c>
      <c r="G1413" s="253">
        <f t="shared" si="242"/>
        <v>180.42</v>
      </c>
      <c r="H1413" s="254">
        <f>F1413*G1413</f>
        <v>0</v>
      </c>
      <c r="I1413" s="253">
        <f>N1413+P1413+R1413+T1413+V1413+X1413+Z1413</f>
        <v>0</v>
      </c>
      <c r="J1413" s="253"/>
      <c r="K1413" s="251" t="s">
        <v>1901</v>
      </c>
      <c r="L1413" s="663">
        <v>180.42</v>
      </c>
      <c r="M1413" s="258">
        <v>0</v>
      </c>
      <c r="N1413" s="257">
        <f>INT($L1413*M1413*100+0.5)/100</f>
        <v>0</v>
      </c>
      <c r="O1413" s="258">
        <v>0</v>
      </c>
      <c r="P1413" s="257">
        <f>INT($L1413*O1413*100+0.5)/100</f>
        <v>0</v>
      </c>
      <c r="Q1413" s="258">
        <v>0</v>
      </c>
      <c r="R1413" s="257">
        <f>INT($L1413*Q1413*100+0.5)/100</f>
        <v>0</v>
      </c>
      <c r="S1413" s="258">
        <v>0</v>
      </c>
      <c r="T1413" s="257">
        <f>INT($L1413*S1413*100+0.5)/100</f>
        <v>0</v>
      </c>
      <c r="U1413" s="258">
        <v>0</v>
      </c>
      <c r="V1413" s="257">
        <f>INT($L1413*U1413*100+0.5)/100</f>
        <v>0</v>
      </c>
      <c r="W1413" s="258">
        <v>0</v>
      </c>
      <c r="X1413" s="257">
        <f>INT($L1413*W1413*100+0.5)/100</f>
        <v>0</v>
      </c>
      <c r="Y1413" s="258">
        <v>0</v>
      </c>
      <c r="Z1413" s="257">
        <f>INT($L1413*Y1413*100+0.5)/100</f>
        <v>0</v>
      </c>
    </row>
    <row r="1414" spans="1:26" ht="15" hidden="1">
      <c r="A1414" s="331" t="s">
        <v>1905</v>
      </c>
      <c r="B1414" s="251"/>
      <c r="C1414" s="532" t="s">
        <v>1337</v>
      </c>
      <c r="D1414" s="532" t="s">
        <v>277</v>
      </c>
      <c r="E1414" s="251" t="s">
        <v>1901</v>
      </c>
      <c r="F1414" s="304">
        <f>M1414+O1414+Q1414+S1414+U1414+W1414+Y1414</f>
        <v>0</v>
      </c>
      <c r="G1414" s="253">
        <f t="shared" si="242"/>
        <v>485.98</v>
      </c>
      <c r="H1414" s="254">
        <f>F1414*G1414</f>
        <v>0</v>
      </c>
      <c r="I1414" s="253">
        <f>N1414+P1414+R1414+T1414+V1414+X1414+Z1414</f>
        <v>0</v>
      </c>
      <c r="J1414" s="253"/>
      <c r="K1414" s="251" t="s">
        <v>1901</v>
      </c>
      <c r="L1414" s="663">
        <v>485.98</v>
      </c>
      <c r="M1414" s="258">
        <v>0</v>
      </c>
      <c r="N1414" s="257">
        <f>INT($L1414*M1414*100+0.5)/100</f>
        <v>0</v>
      </c>
      <c r="O1414" s="258">
        <v>0</v>
      </c>
      <c r="P1414" s="257">
        <f>INT($L1414*O1414*100+0.5)/100</f>
        <v>0</v>
      </c>
      <c r="Q1414" s="258">
        <v>0</v>
      </c>
      <c r="R1414" s="257">
        <f>INT($L1414*Q1414*100+0.5)/100</f>
        <v>0</v>
      </c>
      <c r="S1414" s="258">
        <v>0</v>
      </c>
      <c r="T1414" s="257">
        <f>INT($L1414*S1414*100+0.5)/100</f>
        <v>0</v>
      </c>
      <c r="U1414" s="258">
        <v>0</v>
      </c>
      <c r="V1414" s="257">
        <f>INT($L1414*U1414*100+0.5)/100</f>
        <v>0</v>
      </c>
      <c r="W1414" s="258">
        <v>0</v>
      </c>
      <c r="X1414" s="257">
        <f>INT($L1414*W1414*100+0.5)/100</f>
        <v>0</v>
      </c>
      <c r="Y1414" s="258">
        <v>0</v>
      </c>
      <c r="Z1414" s="257">
        <f>INT($L1414*Y1414*100+0.5)/100</f>
        <v>0</v>
      </c>
    </row>
    <row r="1415" spans="1:26" ht="15" hidden="1">
      <c r="A1415" s="331" t="s">
        <v>1906</v>
      </c>
      <c r="B1415" s="251"/>
      <c r="C1415" s="532" t="s">
        <v>1338</v>
      </c>
      <c r="D1415" s="532" t="s">
        <v>278</v>
      </c>
      <c r="E1415" s="251" t="s">
        <v>1901</v>
      </c>
      <c r="F1415" s="304">
        <f>M1415+O1415+Q1415+S1415+U1415+W1415+Y1415</f>
        <v>0</v>
      </c>
      <c r="G1415" s="253">
        <f t="shared" si="242"/>
        <v>499.31</v>
      </c>
      <c r="H1415" s="254">
        <f>F1415*G1415</f>
        <v>0</v>
      </c>
      <c r="I1415" s="253">
        <f>N1415+P1415+R1415+T1415+V1415+X1415+Z1415</f>
        <v>0</v>
      </c>
      <c r="J1415" s="253"/>
      <c r="K1415" s="251" t="s">
        <v>1901</v>
      </c>
      <c r="L1415" s="663">
        <v>499.31</v>
      </c>
      <c r="M1415" s="258">
        <v>0</v>
      </c>
      <c r="N1415" s="257">
        <f>INT($L1415*M1415*100+0.5)/100</f>
        <v>0</v>
      </c>
      <c r="O1415" s="258">
        <v>0</v>
      </c>
      <c r="P1415" s="257">
        <f>INT($L1415*O1415*100+0.5)/100</f>
        <v>0</v>
      </c>
      <c r="Q1415" s="258">
        <v>0</v>
      </c>
      <c r="R1415" s="257">
        <f>INT($L1415*Q1415*100+0.5)/100</f>
        <v>0</v>
      </c>
      <c r="S1415" s="258">
        <v>0</v>
      </c>
      <c r="T1415" s="257">
        <f>INT($L1415*S1415*100+0.5)/100</f>
        <v>0</v>
      </c>
      <c r="U1415" s="258">
        <v>0</v>
      </c>
      <c r="V1415" s="257">
        <f>INT($L1415*U1415*100+0.5)/100</f>
        <v>0</v>
      </c>
      <c r="W1415" s="258">
        <v>0</v>
      </c>
      <c r="X1415" s="257">
        <f>INT($L1415*W1415*100+0.5)/100</f>
        <v>0</v>
      </c>
      <c r="Y1415" s="258">
        <v>0</v>
      </c>
      <c r="Z1415" s="257">
        <f>INT($L1415*Y1415*100+0.5)/100</f>
        <v>0</v>
      </c>
    </row>
    <row r="1416" spans="1:26" ht="15" hidden="1">
      <c r="A1416" s="331" t="s">
        <v>544</v>
      </c>
      <c r="B1416" s="251"/>
      <c r="C1416" s="532" t="s">
        <v>1339</v>
      </c>
      <c r="D1416" s="532" t="s">
        <v>279</v>
      </c>
      <c r="E1416" s="251" t="s">
        <v>1901</v>
      </c>
      <c r="F1416" s="304">
        <f>M1416+O1416+Q1416+S1416+U1416+W1416+Y1416</f>
        <v>0</v>
      </c>
      <c r="G1416" s="253">
        <f t="shared" si="242"/>
        <v>181.1</v>
      </c>
      <c r="H1416" s="254">
        <f>F1416*G1416</f>
        <v>0</v>
      </c>
      <c r="I1416" s="253">
        <f>N1416+P1416+R1416+T1416+V1416+X1416+Z1416</f>
        <v>0</v>
      </c>
      <c r="J1416" s="253"/>
      <c r="K1416" s="251" t="s">
        <v>1901</v>
      </c>
      <c r="L1416" s="663">
        <v>181.1</v>
      </c>
      <c r="M1416" s="258">
        <v>0</v>
      </c>
      <c r="N1416" s="257">
        <f>INT($L1416*M1416*100+0.5)/100</f>
        <v>0</v>
      </c>
      <c r="O1416" s="258">
        <v>0</v>
      </c>
      <c r="P1416" s="257">
        <f>INT($L1416*O1416*100+0.5)/100</f>
        <v>0</v>
      </c>
      <c r="Q1416" s="258">
        <v>0</v>
      </c>
      <c r="R1416" s="257">
        <f>INT($L1416*Q1416*100+0.5)/100</f>
        <v>0</v>
      </c>
      <c r="S1416" s="258">
        <v>0</v>
      </c>
      <c r="T1416" s="257">
        <f>INT($L1416*S1416*100+0.5)/100</f>
        <v>0</v>
      </c>
      <c r="U1416" s="258">
        <v>0</v>
      </c>
      <c r="V1416" s="257">
        <f>INT($L1416*U1416*100+0.5)/100</f>
        <v>0</v>
      </c>
      <c r="W1416" s="258">
        <v>0</v>
      </c>
      <c r="X1416" s="257">
        <f>INT($L1416*W1416*100+0.5)/100</f>
        <v>0</v>
      </c>
      <c r="Y1416" s="258">
        <v>0</v>
      </c>
      <c r="Z1416" s="257">
        <f>INT($L1416*Y1416*100+0.5)/100</f>
        <v>0</v>
      </c>
    </row>
    <row r="1417" spans="1:26" ht="15" hidden="1">
      <c r="A1417" s="331" t="s">
        <v>2475</v>
      </c>
      <c r="B1417" s="251"/>
      <c r="C1417" s="532" t="s">
        <v>1340</v>
      </c>
      <c r="D1417" s="532" t="s">
        <v>280</v>
      </c>
      <c r="E1417" s="251" t="s">
        <v>1901</v>
      </c>
      <c r="F1417" s="304">
        <f>M1417+O1417+Q1417+S1417+U1417+W1417+Y1417</f>
        <v>0</v>
      </c>
      <c r="G1417" s="253">
        <f t="shared" si="242"/>
        <v>237.01</v>
      </c>
      <c r="H1417" s="254">
        <f>F1417*G1417</f>
        <v>0</v>
      </c>
      <c r="I1417" s="253">
        <f>N1417+P1417+R1417+T1417+V1417+X1417+Z1417</f>
        <v>0</v>
      </c>
      <c r="J1417" s="253"/>
      <c r="K1417" s="251" t="s">
        <v>1901</v>
      </c>
      <c r="L1417" s="663">
        <v>237.01</v>
      </c>
      <c r="M1417" s="258">
        <v>0</v>
      </c>
      <c r="N1417" s="257">
        <f>INT($L1417*M1417*100+0.5)/100</f>
        <v>0</v>
      </c>
      <c r="O1417" s="258">
        <v>0</v>
      </c>
      <c r="P1417" s="257">
        <f>INT($L1417*O1417*100+0.5)/100</f>
        <v>0</v>
      </c>
      <c r="Q1417" s="258">
        <v>0</v>
      </c>
      <c r="R1417" s="257">
        <f>INT($L1417*Q1417*100+0.5)/100</f>
        <v>0</v>
      </c>
      <c r="S1417" s="258">
        <v>0</v>
      </c>
      <c r="T1417" s="257">
        <f>INT($L1417*S1417*100+0.5)/100</f>
        <v>0</v>
      </c>
      <c r="U1417" s="258">
        <v>0</v>
      </c>
      <c r="V1417" s="257">
        <f>INT($L1417*U1417*100+0.5)/100</f>
        <v>0</v>
      </c>
      <c r="W1417" s="258">
        <v>0</v>
      </c>
      <c r="X1417" s="257">
        <f>INT($L1417*W1417*100+0.5)/100</f>
        <v>0</v>
      </c>
      <c r="Y1417" s="258">
        <v>0</v>
      </c>
      <c r="Z1417" s="257">
        <f>INT($L1417*Y1417*100+0.5)/100</f>
        <v>0</v>
      </c>
    </row>
    <row r="1418" spans="1:26" ht="15" hidden="1">
      <c r="A1418" s="331"/>
      <c r="B1418" s="251"/>
      <c r="C1418" s="540"/>
      <c r="D1418" s="238"/>
      <c r="E1418" s="251"/>
      <c r="F1418" s="252"/>
      <c r="G1418" s="253"/>
      <c r="H1418" s="254"/>
      <c r="I1418" s="253"/>
      <c r="J1418" s="253"/>
      <c r="K1418" s="251"/>
      <c r="L1418" s="261"/>
      <c r="M1418" s="258"/>
      <c r="N1418" s="257"/>
      <c r="O1418" s="258"/>
      <c r="P1418" s="257"/>
      <c r="Q1418" s="258"/>
      <c r="R1418" s="257"/>
      <c r="S1418" s="258"/>
      <c r="T1418" s="257"/>
      <c r="U1418" s="258"/>
      <c r="V1418" s="257"/>
      <c r="W1418" s="258"/>
      <c r="X1418" s="257"/>
      <c r="Y1418" s="258"/>
      <c r="Z1418" s="257"/>
    </row>
    <row r="1419" spans="1:26" ht="15" hidden="1" customHeight="1">
      <c r="A1419" s="250">
        <f>A1411+1</f>
        <v>249</v>
      </c>
      <c r="B1419" s="251"/>
      <c r="C1419" s="540" t="s">
        <v>581</v>
      </c>
      <c r="D1419" s="526" t="s">
        <v>914</v>
      </c>
      <c r="E1419" s="251"/>
      <c r="F1419" s="304"/>
      <c r="G1419" s="253"/>
      <c r="H1419" s="254"/>
      <c r="I1419" s="253"/>
      <c r="J1419" s="253"/>
      <c r="K1419" s="251"/>
      <c r="L1419" s="261"/>
      <c r="M1419" s="258"/>
      <c r="N1419" s="257"/>
      <c r="O1419" s="258"/>
      <c r="P1419" s="257"/>
      <c r="Q1419" s="258"/>
      <c r="R1419" s="257"/>
      <c r="S1419" s="258"/>
      <c r="T1419" s="257"/>
      <c r="U1419" s="258"/>
      <c r="V1419" s="257"/>
      <c r="W1419" s="258"/>
      <c r="X1419" s="257"/>
      <c r="Y1419" s="258"/>
      <c r="Z1419" s="257"/>
    </row>
    <row r="1420" spans="1:26" ht="15" hidden="1" customHeight="1">
      <c r="A1420" s="250"/>
      <c r="B1420" s="251"/>
      <c r="C1420" s="540"/>
      <c r="D1420" s="526" t="s">
        <v>913</v>
      </c>
      <c r="E1420" s="251"/>
      <c r="F1420" s="304"/>
      <c r="G1420" s="253"/>
      <c r="H1420" s="254"/>
      <c r="I1420" s="253"/>
      <c r="J1420" s="253"/>
      <c r="K1420" s="251"/>
      <c r="L1420" s="261"/>
      <c r="M1420" s="258"/>
      <c r="N1420" s="257"/>
      <c r="O1420" s="258"/>
      <c r="P1420" s="257"/>
      <c r="Q1420" s="258"/>
      <c r="R1420" s="257"/>
      <c r="S1420" s="258"/>
      <c r="T1420" s="257"/>
      <c r="U1420" s="258"/>
      <c r="V1420" s="257"/>
      <c r="W1420" s="258"/>
      <c r="X1420" s="257"/>
      <c r="Y1420" s="258"/>
      <c r="Z1420" s="257"/>
    </row>
    <row r="1421" spans="1:26" ht="15" hidden="1" customHeight="1">
      <c r="A1421" s="331" t="s">
        <v>1903</v>
      </c>
      <c r="B1421" s="251"/>
      <c r="C1421" s="540" t="s">
        <v>2402</v>
      </c>
      <c r="D1421" s="526" t="s">
        <v>915</v>
      </c>
      <c r="E1421" s="251" t="s">
        <v>1901</v>
      </c>
      <c r="F1421" s="304">
        <f>M1421+O1421+Q1421+S1421+U1421+W1421+Y1421</f>
        <v>0</v>
      </c>
      <c r="G1421" s="253">
        <f t="shared" si="242"/>
        <v>100.03</v>
      </c>
      <c r="H1421" s="254">
        <f>F1421*G1421</f>
        <v>0</v>
      </c>
      <c r="I1421" s="253">
        <f>N1421+P1421+R1421+T1421+V1421+X1421+Z1421</f>
        <v>0</v>
      </c>
      <c r="J1421" s="253"/>
      <c r="K1421" s="251" t="s">
        <v>1901</v>
      </c>
      <c r="L1421" s="666">
        <v>100.03</v>
      </c>
      <c r="M1421" s="258">
        <v>0</v>
      </c>
      <c r="N1421" s="257">
        <f>INT($L1421*M1421*100+0.5)/100</f>
        <v>0</v>
      </c>
      <c r="O1421" s="258">
        <v>0</v>
      </c>
      <c r="P1421" s="257">
        <f>INT($L1421*O1421*100+0.5)/100</f>
        <v>0</v>
      </c>
      <c r="Q1421" s="258">
        <v>0</v>
      </c>
      <c r="R1421" s="257">
        <f>INT($L1421*Q1421*100+0.5)/100</f>
        <v>0</v>
      </c>
      <c r="S1421" s="258">
        <v>0</v>
      </c>
      <c r="T1421" s="257">
        <f>INT($L1421*S1421*100+0.5)/100</f>
        <v>0</v>
      </c>
      <c r="U1421" s="258">
        <v>0</v>
      </c>
      <c r="V1421" s="257">
        <f>INT($L1421*U1421*100+0.5)/100</f>
        <v>0</v>
      </c>
      <c r="W1421" s="258">
        <v>0</v>
      </c>
      <c r="X1421" s="257">
        <f>INT($L1421*W1421*100+0.5)/100</f>
        <v>0</v>
      </c>
      <c r="Y1421" s="258">
        <v>0</v>
      </c>
      <c r="Z1421" s="257">
        <f>INT($L1421*Y1421*100+0.5)/100</f>
        <v>0</v>
      </c>
    </row>
    <row r="1422" spans="1:26" ht="15" hidden="1" customHeight="1">
      <c r="A1422" s="331" t="s">
        <v>1905</v>
      </c>
      <c r="B1422" s="251"/>
      <c r="C1422" s="540" t="s">
        <v>2403</v>
      </c>
      <c r="D1422" s="526" t="s">
        <v>916</v>
      </c>
      <c r="E1422" s="251" t="s">
        <v>1901</v>
      </c>
      <c r="F1422" s="304">
        <f>M1422+O1422+Q1422+S1422+U1422+W1422+Y1422</f>
        <v>0</v>
      </c>
      <c r="G1422" s="253">
        <f t="shared" si="242"/>
        <v>138.46</v>
      </c>
      <c r="H1422" s="254">
        <f>F1422*G1422</f>
        <v>0</v>
      </c>
      <c r="I1422" s="253">
        <f>N1422+P1422+R1422+T1422+V1422+X1422+Z1422</f>
        <v>0</v>
      </c>
      <c r="J1422" s="253"/>
      <c r="K1422" s="251" t="s">
        <v>1901</v>
      </c>
      <c r="L1422" s="666">
        <v>138.46</v>
      </c>
      <c r="M1422" s="258">
        <v>0</v>
      </c>
      <c r="N1422" s="257">
        <f>INT($L1422*M1422*100+0.5)/100</f>
        <v>0</v>
      </c>
      <c r="O1422" s="258">
        <v>0</v>
      </c>
      <c r="P1422" s="257">
        <f>INT($L1422*O1422*100+0.5)/100</f>
        <v>0</v>
      </c>
      <c r="Q1422" s="258">
        <v>0</v>
      </c>
      <c r="R1422" s="257">
        <f>INT($L1422*Q1422*100+0.5)/100</f>
        <v>0</v>
      </c>
      <c r="S1422" s="258">
        <v>0</v>
      </c>
      <c r="T1422" s="257">
        <f>INT($L1422*S1422*100+0.5)/100</f>
        <v>0</v>
      </c>
      <c r="U1422" s="258">
        <v>0</v>
      </c>
      <c r="V1422" s="257">
        <f>INT($L1422*U1422*100+0.5)/100</f>
        <v>0</v>
      </c>
      <c r="W1422" s="258">
        <v>0</v>
      </c>
      <c r="X1422" s="257">
        <f>INT($L1422*W1422*100+0.5)/100</f>
        <v>0</v>
      </c>
      <c r="Y1422" s="258">
        <v>0</v>
      </c>
      <c r="Z1422" s="257">
        <f>INT($L1422*Y1422*100+0.5)/100</f>
        <v>0</v>
      </c>
    </row>
    <row r="1423" spans="1:26" ht="15" hidden="1" customHeight="1">
      <c r="A1423" s="250"/>
      <c r="B1423" s="251"/>
      <c r="C1423" s="326"/>
      <c r="D1423" s="292"/>
      <c r="E1423" s="251"/>
      <c r="F1423" s="252"/>
      <c r="G1423" s="253"/>
      <c r="H1423" s="254"/>
      <c r="I1423" s="253"/>
      <c r="J1423" s="253"/>
      <c r="K1423" s="251"/>
      <c r="L1423" s="666"/>
      <c r="M1423" s="258"/>
      <c r="N1423" s="257"/>
      <c r="O1423" s="258"/>
      <c r="P1423" s="257"/>
      <c r="Q1423" s="258"/>
      <c r="R1423" s="257"/>
      <c r="S1423" s="258"/>
      <c r="T1423" s="257"/>
      <c r="U1423" s="258"/>
      <c r="V1423" s="257"/>
      <c r="W1423" s="258"/>
      <c r="X1423" s="257"/>
      <c r="Y1423" s="258"/>
      <c r="Z1423" s="257"/>
    </row>
    <row r="1424" spans="1:26" ht="15" hidden="1">
      <c r="A1424" s="250">
        <f>A1419+1</f>
        <v>250</v>
      </c>
      <c r="B1424" s="251"/>
      <c r="C1424" s="532" t="s">
        <v>334</v>
      </c>
      <c r="D1424" s="532" t="s">
        <v>209</v>
      </c>
      <c r="E1424" s="251"/>
      <c r="F1424" s="252"/>
      <c r="G1424" s="253"/>
      <c r="H1424" s="254"/>
      <c r="I1424" s="253"/>
      <c r="J1424" s="253"/>
      <c r="K1424" s="251"/>
      <c r="L1424" s="666"/>
      <c r="M1424" s="258"/>
      <c r="N1424" s="257"/>
      <c r="O1424" s="258"/>
      <c r="P1424" s="257"/>
      <c r="Q1424" s="258"/>
      <c r="R1424" s="257"/>
      <c r="S1424" s="258"/>
      <c r="T1424" s="257"/>
      <c r="U1424" s="258"/>
      <c r="V1424" s="257"/>
      <c r="W1424" s="258"/>
      <c r="X1424" s="257"/>
      <c r="Y1424" s="258"/>
      <c r="Z1424" s="257"/>
    </row>
    <row r="1425" spans="1:26" ht="25.5" hidden="1">
      <c r="A1425" s="250"/>
      <c r="B1425" s="251"/>
      <c r="C1425" s="326"/>
      <c r="D1425" s="532" t="s">
        <v>538</v>
      </c>
      <c r="E1425" s="251"/>
      <c r="F1425" s="252"/>
      <c r="G1425" s="253"/>
      <c r="H1425" s="254"/>
      <c r="I1425" s="253"/>
      <c r="J1425" s="253"/>
      <c r="K1425" s="251"/>
      <c r="L1425" s="666"/>
      <c r="M1425" s="258"/>
      <c r="N1425" s="257"/>
      <c r="O1425" s="258"/>
      <c r="P1425" s="257"/>
      <c r="Q1425" s="258"/>
      <c r="R1425" s="257"/>
      <c r="S1425" s="258"/>
      <c r="T1425" s="257"/>
      <c r="U1425" s="258"/>
      <c r="V1425" s="257"/>
      <c r="W1425" s="258"/>
      <c r="X1425" s="257"/>
      <c r="Y1425" s="258"/>
      <c r="Z1425" s="257"/>
    </row>
    <row r="1426" spans="1:26" ht="15" hidden="1" customHeight="1">
      <c r="A1426" s="250" t="s">
        <v>1903</v>
      </c>
      <c r="B1426" s="251"/>
      <c r="C1426" s="532" t="s">
        <v>894</v>
      </c>
      <c r="D1426" s="532" t="s">
        <v>281</v>
      </c>
      <c r="E1426" s="251" t="s">
        <v>1901</v>
      </c>
      <c r="F1426" s="304">
        <f t="shared" ref="F1426:F1432" si="243">M1426+O1426+Q1426+S1426+U1426+W1426+Y1426</f>
        <v>0</v>
      </c>
      <c r="G1426" s="253">
        <f t="shared" si="242"/>
        <v>460.58</v>
      </c>
      <c r="H1426" s="254">
        <f t="shared" ref="H1426:H1432" si="244">F1426*G1426</f>
        <v>0</v>
      </c>
      <c r="I1426" s="253">
        <f t="shared" ref="I1426:I1432" si="245">N1426+P1426+R1426+T1426+V1426+X1426+Z1426</f>
        <v>0</v>
      </c>
      <c r="J1426" s="253"/>
      <c r="K1426" s="251" t="s">
        <v>1901</v>
      </c>
      <c r="L1426" s="666">
        <f>430.58+30</f>
        <v>460.58</v>
      </c>
      <c r="M1426" s="258">
        <v>0</v>
      </c>
      <c r="N1426" s="257">
        <f t="shared" ref="N1426:N1432" si="246">INT($L1426*M1426*100+0.5)/100</f>
        <v>0</v>
      </c>
      <c r="O1426" s="258">
        <v>0</v>
      </c>
      <c r="P1426" s="257">
        <f t="shared" ref="P1426:P1432" si="247">INT($L1426*O1426*100+0.5)/100</f>
        <v>0</v>
      </c>
      <c r="Q1426" s="258">
        <v>0</v>
      </c>
      <c r="R1426" s="257">
        <f t="shared" ref="R1426:R1432" si="248">INT($L1426*Q1426*100+0.5)/100</f>
        <v>0</v>
      </c>
      <c r="S1426" s="258">
        <v>0</v>
      </c>
      <c r="T1426" s="257">
        <f t="shared" ref="T1426:T1432" si="249">INT($L1426*S1426*100+0.5)/100</f>
        <v>0</v>
      </c>
      <c r="U1426" s="258">
        <v>0</v>
      </c>
      <c r="V1426" s="257">
        <f t="shared" ref="V1426:V1432" si="250">INT($L1426*U1426*100+0.5)/100</f>
        <v>0</v>
      </c>
      <c r="W1426" s="258">
        <v>0</v>
      </c>
      <c r="X1426" s="257">
        <f t="shared" ref="X1426:X1432" si="251">INT($L1426*W1426*100+0.5)/100</f>
        <v>0</v>
      </c>
      <c r="Y1426" s="258">
        <v>0</v>
      </c>
      <c r="Z1426" s="257">
        <f t="shared" ref="Z1426:Z1432" si="252">INT($L1426*Y1426*100+0.5)/100</f>
        <v>0</v>
      </c>
    </row>
    <row r="1427" spans="1:26" ht="15" hidden="1" customHeight="1">
      <c r="A1427" s="250" t="s">
        <v>1905</v>
      </c>
      <c r="B1427" s="251"/>
      <c r="C1427" s="532" t="s">
        <v>895</v>
      </c>
      <c r="D1427" s="532" t="s">
        <v>282</v>
      </c>
      <c r="E1427" s="251" t="s">
        <v>1901</v>
      </c>
      <c r="F1427" s="304">
        <f t="shared" si="243"/>
        <v>0</v>
      </c>
      <c r="G1427" s="253">
        <f t="shared" si="242"/>
        <v>536.76</v>
      </c>
      <c r="H1427" s="254">
        <f t="shared" si="244"/>
        <v>0</v>
      </c>
      <c r="I1427" s="253">
        <f t="shared" si="245"/>
        <v>0</v>
      </c>
      <c r="J1427" s="253"/>
      <c r="K1427" s="251" t="s">
        <v>1901</v>
      </c>
      <c r="L1427" s="666">
        <f>506.76+30</f>
        <v>536.76</v>
      </c>
      <c r="M1427" s="258">
        <v>0</v>
      </c>
      <c r="N1427" s="257">
        <f t="shared" si="246"/>
        <v>0</v>
      </c>
      <c r="O1427" s="258">
        <v>0</v>
      </c>
      <c r="P1427" s="257">
        <f t="shared" si="247"/>
        <v>0</v>
      </c>
      <c r="Q1427" s="258">
        <v>0</v>
      </c>
      <c r="R1427" s="257">
        <f t="shared" si="248"/>
        <v>0</v>
      </c>
      <c r="S1427" s="258">
        <v>0</v>
      </c>
      <c r="T1427" s="257">
        <f t="shared" si="249"/>
        <v>0</v>
      </c>
      <c r="U1427" s="258">
        <v>0</v>
      </c>
      <c r="V1427" s="257">
        <f t="shared" si="250"/>
        <v>0</v>
      </c>
      <c r="W1427" s="258">
        <v>0</v>
      </c>
      <c r="X1427" s="257">
        <f t="shared" si="251"/>
        <v>0</v>
      </c>
      <c r="Y1427" s="258">
        <v>0</v>
      </c>
      <c r="Z1427" s="257">
        <f t="shared" si="252"/>
        <v>0</v>
      </c>
    </row>
    <row r="1428" spans="1:26" ht="15" hidden="1" customHeight="1">
      <c r="A1428" s="250" t="s">
        <v>1906</v>
      </c>
      <c r="B1428" s="251"/>
      <c r="C1428" s="532" t="s">
        <v>896</v>
      </c>
      <c r="D1428" s="532" t="s">
        <v>283</v>
      </c>
      <c r="E1428" s="251" t="s">
        <v>1901</v>
      </c>
      <c r="F1428" s="304">
        <f t="shared" si="243"/>
        <v>0</v>
      </c>
      <c r="G1428" s="253">
        <f t="shared" si="242"/>
        <v>636.12</v>
      </c>
      <c r="H1428" s="254">
        <f t="shared" si="244"/>
        <v>0</v>
      </c>
      <c r="I1428" s="253">
        <f t="shared" si="245"/>
        <v>0</v>
      </c>
      <c r="J1428" s="253"/>
      <c r="K1428" s="251" t="s">
        <v>1901</v>
      </c>
      <c r="L1428" s="666">
        <f>606.12+30</f>
        <v>636.12</v>
      </c>
      <c r="M1428" s="258">
        <v>0</v>
      </c>
      <c r="N1428" s="257">
        <f t="shared" si="246"/>
        <v>0</v>
      </c>
      <c r="O1428" s="258">
        <v>0</v>
      </c>
      <c r="P1428" s="257">
        <f t="shared" si="247"/>
        <v>0</v>
      </c>
      <c r="Q1428" s="258">
        <v>0</v>
      </c>
      <c r="R1428" s="257">
        <f t="shared" si="248"/>
        <v>0</v>
      </c>
      <c r="S1428" s="258">
        <v>0</v>
      </c>
      <c r="T1428" s="257">
        <f t="shared" si="249"/>
        <v>0</v>
      </c>
      <c r="U1428" s="258">
        <v>0</v>
      </c>
      <c r="V1428" s="257">
        <f t="shared" si="250"/>
        <v>0</v>
      </c>
      <c r="W1428" s="258">
        <v>0</v>
      </c>
      <c r="X1428" s="257">
        <f t="shared" si="251"/>
        <v>0</v>
      </c>
      <c r="Y1428" s="258">
        <v>0</v>
      </c>
      <c r="Z1428" s="257">
        <f t="shared" si="252"/>
        <v>0</v>
      </c>
    </row>
    <row r="1429" spans="1:26" ht="15" hidden="1" customHeight="1">
      <c r="A1429" s="250" t="s">
        <v>228</v>
      </c>
      <c r="B1429" s="251"/>
      <c r="C1429" s="532" t="s">
        <v>897</v>
      </c>
      <c r="D1429" s="532" t="s">
        <v>229</v>
      </c>
      <c r="E1429" s="251" t="s">
        <v>1901</v>
      </c>
      <c r="F1429" s="304">
        <f t="shared" si="243"/>
        <v>0</v>
      </c>
      <c r="G1429" s="253">
        <f t="shared" si="242"/>
        <v>780</v>
      </c>
      <c r="H1429" s="244">
        <f t="shared" si="244"/>
        <v>0</v>
      </c>
      <c r="I1429" s="253">
        <f t="shared" si="245"/>
        <v>0</v>
      </c>
      <c r="J1429" s="253"/>
      <c r="K1429" s="251" t="s">
        <v>1901</v>
      </c>
      <c r="L1429" s="666">
        <v>780</v>
      </c>
      <c r="M1429" s="258">
        <v>0</v>
      </c>
      <c r="N1429" s="257">
        <f t="shared" si="246"/>
        <v>0</v>
      </c>
      <c r="O1429" s="258">
        <v>0</v>
      </c>
      <c r="P1429" s="257">
        <f t="shared" si="247"/>
        <v>0</v>
      </c>
      <c r="Q1429" s="258">
        <v>0</v>
      </c>
      <c r="R1429" s="257">
        <f t="shared" si="248"/>
        <v>0</v>
      </c>
      <c r="S1429" s="258">
        <v>0</v>
      </c>
      <c r="T1429" s="257">
        <f t="shared" si="249"/>
        <v>0</v>
      </c>
      <c r="U1429" s="258">
        <v>0</v>
      </c>
      <c r="V1429" s="257">
        <f t="shared" si="250"/>
        <v>0</v>
      </c>
      <c r="W1429" s="258">
        <v>0</v>
      </c>
      <c r="X1429" s="257">
        <f t="shared" si="251"/>
        <v>0</v>
      </c>
      <c r="Y1429" s="258">
        <v>0</v>
      </c>
      <c r="Z1429" s="257">
        <f t="shared" si="252"/>
        <v>0</v>
      </c>
    </row>
    <row r="1430" spans="1:26" ht="15" hidden="1" customHeight="1">
      <c r="A1430" s="250" t="s">
        <v>901</v>
      </c>
      <c r="B1430" s="251"/>
      <c r="C1430" s="532" t="s">
        <v>898</v>
      </c>
      <c r="D1430" s="532" t="s">
        <v>1917</v>
      </c>
      <c r="E1430" s="251" t="s">
        <v>1901</v>
      </c>
      <c r="F1430" s="304">
        <f t="shared" si="243"/>
        <v>0</v>
      </c>
      <c r="G1430" s="253">
        <f t="shared" si="242"/>
        <v>1100</v>
      </c>
      <c r="H1430" s="244">
        <f>F1430*G1430</f>
        <v>0</v>
      </c>
      <c r="I1430" s="253">
        <f t="shared" si="245"/>
        <v>0</v>
      </c>
      <c r="J1430" s="253"/>
      <c r="K1430" s="251" t="s">
        <v>1901</v>
      </c>
      <c r="L1430" s="666">
        <v>1100</v>
      </c>
      <c r="M1430" s="258">
        <v>0</v>
      </c>
      <c r="N1430" s="257">
        <f t="shared" si="246"/>
        <v>0</v>
      </c>
      <c r="O1430" s="258">
        <v>0</v>
      </c>
      <c r="P1430" s="257">
        <f t="shared" si="247"/>
        <v>0</v>
      </c>
      <c r="Q1430" s="258">
        <v>0</v>
      </c>
      <c r="R1430" s="257">
        <f t="shared" si="248"/>
        <v>0</v>
      </c>
      <c r="S1430" s="258">
        <v>0</v>
      </c>
      <c r="T1430" s="257">
        <f t="shared" si="249"/>
        <v>0</v>
      </c>
      <c r="U1430" s="258">
        <v>0</v>
      </c>
      <c r="V1430" s="257">
        <f t="shared" si="250"/>
        <v>0</v>
      </c>
      <c r="W1430" s="258">
        <v>0</v>
      </c>
      <c r="X1430" s="257">
        <f t="shared" si="251"/>
        <v>0</v>
      </c>
      <c r="Y1430" s="258">
        <v>0</v>
      </c>
      <c r="Z1430" s="257">
        <f t="shared" si="252"/>
        <v>0</v>
      </c>
    </row>
    <row r="1431" spans="1:26" ht="15" hidden="1" customHeight="1">
      <c r="A1431" s="250" t="s">
        <v>1907</v>
      </c>
      <c r="B1431" s="251"/>
      <c r="C1431" s="532" t="s">
        <v>899</v>
      </c>
      <c r="D1431" s="532" t="s">
        <v>284</v>
      </c>
      <c r="E1431" s="251" t="s">
        <v>1901</v>
      </c>
      <c r="F1431" s="304">
        <f t="shared" si="243"/>
        <v>0</v>
      </c>
      <c r="G1431" s="253">
        <f t="shared" si="242"/>
        <v>884.53</v>
      </c>
      <c r="H1431" s="254">
        <f t="shared" si="244"/>
        <v>0</v>
      </c>
      <c r="I1431" s="253">
        <f t="shared" si="245"/>
        <v>0</v>
      </c>
      <c r="J1431" s="253"/>
      <c r="K1431" s="251" t="s">
        <v>1901</v>
      </c>
      <c r="L1431" s="666">
        <f>854.53+30</f>
        <v>884.53</v>
      </c>
      <c r="M1431" s="258">
        <v>0</v>
      </c>
      <c r="N1431" s="257">
        <f t="shared" si="246"/>
        <v>0</v>
      </c>
      <c r="O1431" s="258">
        <v>0</v>
      </c>
      <c r="P1431" s="257">
        <f t="shared" si="247"/>
        <v>0</v>
      </c>
      <c r="Q1431" s="258">
        <v>0</v>
      </c>
      <c r="R1431" s="257">
        <f t="shared" si="248"/>
        <v>0</v>
      </c>
      <c r="S1431" s="258">
        <v>0</v>
      </c>
      <c r="T1431" s="257">
        <f t="shared" si="249"/>
        <v>0</v>
      </c>
      <c r="U1431" s="258">
        <v>0</v>
      </c>
      <c r="V1431" s="257">
        <f t="shared" si="250"/>
        <v>0</v>
      </c>
      <c r="W1431" s="258">
        <v>0</v>
      </c>
      <c r="X1431" s="257">
        <f t="shared" si="251"/>
        <v>0</v>
      </c>
      <c r="Y1431" s="258">
        <v>0</v>
      </c>
      <c r="Z1431" s="257">
        <f t="shared" si="252"/>
        <v>0</v>
      </c>
    </row>
    <row r="1432" spans="1:26" ht="15" hidden="1" customHeight="1">
      <c r="A1432" s="250" t="s">
        <v>542</v>
      </c>
      <c r="B1432" s="251"/>
      <c r="C1432" s="532" t="s">
        <v>900</v>
      </c>
      <c r="D1432" s="532" t="s">
        <v>285</v>
      </c>
      <c r="E1432" s="251" t="s">
        <v>1901</v>
      </c>
      <c r="F1432" s="304">
        <f t="shared" si="243"/>
        <v>0</v>
      </c>
      <c r="G1432" s="253">
        <f t="shared" si="242"/>
        <v>1162.74</v>
      </c>
      <c r="H1432" s="254">
        <f t="shared" si="244"/>
        <v>0</v>
      </c>
      <c r="I1432" s="253">
        <f t="shared" si="245"/>
        <v>0</v>
      </c>
      <c r="J1432" s="253"/>
      <c r="K1432" s="251" t="s">
        <v>1901</v>
      </c>
      <c r="L1432" s="666">
        <f>1132.74+30</f>
        <v>1162.74</v>
      </c>
      <c r="M1432" s="258">
        <v>0</v>
      </c>
      <c r="N1432" s="257">
        <f t="shared" si="246"/>
        <v>0</v>
      </c>
      <c r="O1432" s="258">
        <v>0</v>
      </c>
      <c r="P1432" s="257">
        <f t="shared" si="247"/>
        <v>0</v>
      </c>
      <c r="Q1432" s="258">
        <v>0</v>
      </c>
      <c r="R1432" s="257">
        <f t="shared" si="248"/>
        <v>0</v>
      </c>
      <c r="S1432" s="258">
        <v>0</v>
      </c>
      <c r="T1432" s="257">
        <f t="shared" si="249"/>
        <v>0</v>
      </c>
      <c r="U1432" s="258">
        <v>0</v>
      </c>
      <c r="V1432" s="257">
        <f t="shared" si="250"/>
        <v>0</v>
      </c>
      <c r="W1432" s="258">
        <v>0</v>
      </c>
      <c r="X1432" s="257">
        <f t="shared" si="251"/>
        <v>0</v>
      </c>
      <c r="Y1432" s="258">
        <v>0</v>
      </c>
      <c r="Z1432" s="257">
        <f t="shared" si="252"/>
        <v>0</v>
      </c>
    </row>
    <row r="1433" spans="1:26" ht="15" hidden="1" customHeight="1">
      <c r="A1433" s="250"/>
      <c r="B1433" s="251"/>
      <c r="C1433" s="326"/>
      <c r="D1433" s="292"/>
      <c r="E1433" s="251"/>
      <c r="F1433" s="252"/>
      <c r="G1433" s="253"/>
      <c r="H1433" s="254"/>
      <c r="I1433" s="253"/>
      <c r="J1433" s="253"/>
      <c r="K1433" s="251"/>
      <c r="L1433" s="261"/>
      <c r="M1433" s="258"/>
      <c r="N1433" s="257"/>
      <c r="O1433" s="258"/>
      <c r="P1433" s="257"/>
      <c r="Q1433" s="258"/>
      <c r="R1433" s="257"/>
      <c r="S1433" s="258"/>
      <c r="T1433" s="257"/>
      <c r="U1433" s="258"/>
      <c r="V1433" s="257"/>
      <c r="W1433" s="258"/>
      <c r="X1433" s="257"/>
      <c r="Y1433" s="258"/>
      <c r="Z1433" s="257"/>
    </row>
    <row r="1434" spans="1:26" ht="15" hidden="1" customHeight="1">
      <c r="A1434" s="250">
        <f>A1424+1</f>
        <v>251</v>
      </c>
      <c r="B1434" s="251"/>
      <c r="C1434" s="540" t="s">
        <v>286</v>
      </c>
      <c r="D1434" s="526" t="s">
        <v>297</v>
      </c>
      <c r="E1434" s="251"/>
      <c r="F1434" s="252"/>
      <c r="G1434" s="253"/>
      <c r="H1434" s="254"/>
      <c r="I1434" s="253"/>
      <c r="J1434" s="253"/>
      <c r="K1434" s="251"/>
      <c r="L1434" s="261"/>
      <c r="M1434" s="258"/>
      <c r="N1434" s="257"/>
      <c r="O1434" s="258"/>
      <c r="P1434" s="257"/>
      <c r="Q1434" s="258"/>
      <c r="R1434" s="257"/>
      <c r="S1434" s="258"/>
      <c r="T1434" s="257"/>
      <c r="U1434" s="258"/>
      <c r="V1434" s="257"/>
      <c r="W1434" s="258"/>
      <c r="X1434" s="257"/>
      <c r="Y1434" s="258"/>
      <c r="Z1434" s="257"/>
    </row>
    <row r="1435" spans="1:26" ht="15" hidden="1" customHeight="1">
      <c r="A1435" s="250"/>
      <c r="B1435" s="251"/>
      <c r="C1435" s="326"/>
      <c r="D1435" s="526" t="s">
        <v>296</v>
      </c>
      <c r="E1435" s="251"/>
      <c r="F1435" s="252"/>
      <c r="G1435" s="253"/>
      <c r="H1435" s="254"/>
      <c r="I1435" s="253"/>
      <c r="J1435" s="253"/>
      <c r="K1435" s="251"/>
      <c r="L1435" s="261"/>
      <c r="M1435" s="258"/>
      <c r="N1435" s="257"/>
      <c r="O1435" s="258"/>
      <c r="P1435" s="257"/>
      <c r="Q1435" s="258"/>
      <c r="R1435" s="257"/>
      <c r="S1435" s="258"/>
      <c r="T1435" s="257"/>
      <c r="U1435" s="258"/>
      <c r="V1435" s="257"/>
      <c r="W1435" s="258"/>
      <c r="X1435" s="257"/>
      <c r="Y1435" s="258"/>
      <c r="Z1435" s="257"/>
    </row>
    <row r="1436" spans="1:26" ht="15" hidden="1" customHeight="1">
      <c r="A1436" s="250" t="s">
        <v>1903</v>
      </c>
      <c r="B1436" s="251"/>
      <c r="C1436" s="540" t="s">
        <v>904</v>
      </c>
      <c r="D1436" s="526" t="s">
        <v>295</v>
      </c>
      <c r="E1436" s="251" t="s">
        <v>1901</v>
      </c>
      <c r="F1436" s="304">
        <f>M1436+O1436+Q1436+S1436+U1436+W1436+Y1436</f>
        <v>0</v>
      </c>
      <c r="G1436" s="253">
        <f>L1436</f>
        <v>102.27</v>
      </c>
      <c r="H1436" s="254"/>
      <c r="I1436" s="253">
        <f>N1436+P1436+R1436+T1436+V1436+X1436+Z1436</f>
        <v>0</v>
      </c>
      <c r="J1436" s="253"/>
      <c r="K1436" s="251" t="s">
        <v>1901</v>
      </c>
      <c r="L1436" s="663">
        <v>102.27</v>
      </c>
      <c r="M1436" s="258">
        <v>0</v>
      </c>
      <c r="N1436" s="257">
        <f>INT($L1436*M1436*100+0.5)/100</f>
        <v>0</v>
      </c>
      <c r="O1436" s="258">
        <v>0</v>
      </c>
      <c r="P1436" s="257">
        <f>INT($L1436*O1436*100+0.5)/100</f>
        <v>0</v>
      </c>
      <c r="Q1436" s="258">
        <v>0</v>
      </c>
      <c r="R1436" s="257">
        <f>INT($L1436*Q1436*100+0.5)/100</f>
        <v>0</v>
      </c>
      <c r="S1436" s="258">
        <v>0</v>
      </c>
      <c r="T1436" s="257">
        <f>INT($L1436*S1436*100+0.5)/100</f>
        <v>0</v>
      </c>
      <c r="U1436" s="258">
        <v>0</v>
      </c>
      <c r="V1436" s="257">
        <f>INT($L1436*U1436*100+0.5)/100</f>
        <v>0</v>
      </c>
      <c r="W1436" s="258">
        <v>0</v>
      </c>
      <c r="X1436" s="257">
        <f>INT($L1436*W1436*100+0.5)/100</f>
        <v>0</v>
      </c>
      <c r="Y1436" s="258">
        <v>0</v>
      </c>
      <c r="Z1436" s="257">
        <f>INT($L1436*Y1436*100+0.5)/100</f>
        <v>0</v>
      </c>
    </row>
    <row r="1437" spans="1:26" ht="15" hidden="1" customHeight="1">
      <c r="A1437" s="250" t="s">
        <v>1907</v>
      </c>
      <c r="B1437" s="251"/>
      <c r="C1437" s="540" t="s">
        <v>905</v>
      </c>
      <c r="D1437" s="526" t="s">
        <v>298</v>
      </c>
      <c r="E1437" s="251" t="s">
        <v>1901</v>
      </c>
      <c r="F1437" s="304">
        <f>M1437+O1437+Q1437+S1437+U1437+W1437+Y1437</f>
        <v>0</v>
      </c>
      <c r="G1437" s="253">
        <f>L1437</f>
        <v>102.27</v>
      </c>
      <c r="H1437" s="254">
        <f>F1437*G1437</f>
        <v>0</v>
      </c>
      <c r="I1437" s="253">
        <f>N1437+P1437+R1437+T1437+V1437+X1437+Z1437</f>
        <v>0</v>
      </c>
      <c r="J1437" s="253"/>
      <c r="K1437" s="251" t="s">
        <v>1901</v>
      </c>
      <c r="L1437" s="663">
        <v>102.27</v>
      </c>
      <c r="M1437" s="258">
        <v>0</v>
      </c>
      <c r="N1437" s="257">
        <f>INT($L1437*M1437*100+0.5)/100</f>
        <v>0</v>
      </c>
      <c r="O1437" s="258">
        <v>0</v>
      </c>
      <c r="P1437" s="257">
        <f>INT($L1437*O1437*100+0.5)/100</f>
        <v>0</v>
      </c>
      <c r="Q1437" s="258">
        <v>0</v>
      </c>
      <c r="R1437" s="257">
        <f>INT($L1437*Q1437*100+0.5)/100</f>
        <v>0</v>
      </c>
      <c r="S1437" s="258">
        <v>0</v>
      </c>
      <c r="T1437" s="257">
        <f>INT($L1437*S1437*100+0.5)/100</f>
        <v>0</v>
      </c>
      <c r="U1437" s="258">
        <v>0</v>
      </c>
      <c r="V1437" s="257">
        <f>INT($L1437*U1437*100+0.5)/100</f>
        <v>0</v>
      </c>
      <c r="W1437" s="258">
        <v>0</v>
      </c>
      <c r="X1437" s="257">
        <f>INT($L1437*W1437*100+0.5)/100</f>
        <v>0</v>
      </c>
      <c r="Y1437" s="258">
        <v>0</v>
      </c>
      <c r="Z1437" s="257">
        <f>INT($L1437*Y1437*100+0.5)/100</f>
        <v>0</v>
      </c>
    </row>
    <row r="1438" spans="1:26" ht="15" hidden="1" customHeight="1">
      <c r="A1438" s="250"/>
      <c r="B1438" s="251"/>
      <c r="C1438" s="326"/>
      <c r="D1438" s="292"/>
      <c r="E1438" s="251"/>
      <c r="F1438" s="252"/>
      <c r="G1438" s="253"/>
      <c r="H1438" s="254"/>
      <c r="I1438" s="253"/>
      <c r="J1438" s="253"/>
      <c r="K1438" s="251"/>
      <c r="L1438" s="261"/>
      <c r="M1438" s="258"/>
      <c r="N1438" s="257"/>
      <c r="O1438" s="258"/>
      <c r="P1438" s="257"/>
      <c r="Q1438" s="258"/>
      <c r="R1438" s="257"/>
      <c r="S1438" s="258"/>
      <c r="T1438" s="257"/>
      <c r="U1438" s="258"/>
      <c r="V1438" s="257"/>
      <c r="W1438" s="258"/>
      <c r="X1438" s="257"/>
      <c r="Y1438" s="258"/>
      <c r="Z1438" s="257"/>
    </row>
    <row r="1439" spans="1:26" ht="15" hidden="1" customHeight="1">
      <c r="A1439" s="250">
        <f>A1434+1</f>
        <v>252</v>
      </c>
      <c r="B1439" s="251"/>
      <c r="C1439" s="540" t="s">
        <v>287</v>
      </c>
      <c r="D1439" s="238" t="s">
        <v>220</v>
      </c>
      <c r="E1439" s="251"/>
      <c r="F1439" s="252"/>
      <c r="G1439" s="253"/>
      <c r="H1439" s="254"/>
      <c r="I1439" s="253"/>
      <c r="J1439" s="253"/>
      <c r="K1439" s="251"/>
      <c r="L1439" s="261"/>
      <c r="M1439" s="258"/>
      <c r="N1439" s="257"/>
      <c r="O1439" s="258"/>
      <c r="P1439" s="257"/>
      <c r="Q1439" s="258"/>
      <c r="R1439" s="257"/>
      <c r="S1439" s="258"/>
      <c r="T1439" s="257"/>
      <c r="U1439" s="258"/>
      <c r="V1439" s="257"/>
      <c r="W1439" s="258"/>
      <c r="X1439" s="257"/>
      <c r="Y1439" s="258"/>
      <c r="Z1439" s="257"/>
    </row>
    <row r="1440" spans="1:26" ht="15" hidden="1" customHeight="1">
      <c r="A1440" s="250"/>
      <c r="B1440" s="251"/>
      <c r="C1440" s="540"/>
      <c r="D1440" s="238" t="s">
        <v>288</v>
      </c>
      <c r="E1440" s="251"/>
      <c r="F1440" s="252"/>
      <c r="G1440" s="253"/>
      <c r="H1440" s="254"/>
      <c r="I1440" s="253"/>
      <c r="J1440" s="253"/>
      <c r="K1440" s="251"/>
      <c r="L1440" s="261"/>
      <c r="M1440" s="258"/>
      <c r="N1440" s="257"/>
      <c r="O1440" s="258"/>
      <c r="P1440" s="257"/>
      <c r="Q1440" s="258"/>
      <c r="R1440" s="257"/>
      <c r="S1440" s="258"/>
      <c r="T1440" s="257"/>
      <c r="U1440" s="258"/>
      <c r="V1440" s="257"/>
      <c r="W1440" s="258"/>
      <c r="X1440" s="257"/>
      <c r="Y1440" s="258"/>
      <c r="Z1440" s="257"/>
    </row>
    <row r="1441" spans="1:26" ht="15" hidden="1" customHeight="1">
      <c r="A1441" s="250" t="s">
        <v>1905</v>
      </c>
      <c r="B1441" s="251"/>
      <c r="C1441" s="285" t="s">
        <v>1341</v>
      </c>
      <c r="D1441" s="238" t="s">
        <v>221</v>
      </c>
      <c r="E1441" s="251" t="s">
        <v>1901</v>
      </c>
      <c r="F1441" s="304">
        <f>M1441+O1441+Q1441+S1441+U1441+W1441+Y1441</f>
        <v>0</v>
      </c>
      <c r="G1441" s="253">
        <f>L1441</f>
        <v>458.75</v>
      </c>
      <c r="H1441" s="254">
        <f>F1441*G1441</f>
        <v>0</v>
      </c>
      <c r="I1441" s="253">
        <f>N1441+P1441+R1441+T1441+V1441+X1441+Z1441</f>
        <v>0</v>
      </c>
      <c r="J1441" s="253"/>
      <c r="K1441" s="251" t="s">
        <v>1901</v>
      </c>
      <c r="L1441" s="666">
        <v>458.75</v>
      </c>
      <c r="M1441" s="258">
        <v>0</v>
      </c>
      <c r="N1441" s="257">
        <f>INT($L1441*M1441*100+0.5)/100</f>
        <v>0</v>
      </c>
      <c r="O1441" s="258">
        <v>0</v>
      </c>
      <c r="P1441" s="257">
        <f>INT($L1441*O1441*100+0.5)/100</f>
        <v>0</v>
      </c>
      <c r="Q1441" s="258">
        <v>0</v>
      </c>
      <c r="R1441" s="257">
        <f>INT($L1441*Q1441*100+0.5)/100</f>
        <v>0</v>
      </c>
      <c r="S1441" s="258">
        <v>0</v>
      </c>
      <c r="T1441" s="257">
        <f>INT($L1441*S1441*100+0.5)/100</f>
        <v>0</v>
      </c>
      <c r="U1441" s="258">
        <v>0</v>
      </c>
      <c r="V1441" s="257">
        <f>INT($L1441*U1441*100+0.5)/100</f>
        <v>0</v>
      </c>
      <c r="W1441" s="258">
        <v>0</v>
      </c>
      <c r="X1441" s="257">
        <f>INT($L1441*W1441*100+0.5)/100</f>
        <v>0</v>
      </c>
      <c r="Y1441" s="258">
        <v>0</v>
      </c>
      <c r="Z1441" s="257">
        <f>INT($L1441*Y1441*100+0.5)/100</f>
        <v>0</v>
      </c>
    </row>
    <row r="1442" spans="1:26" ht="15" hidden="1" customHeight="1">
      <c r="A1442" s="250" t="s">
        <v>1906</v>
      </c>
      <c r="B1442" s="251"/>
      <c r="C1442" s="285" t="s">
        <v>1342</v>
      </c>
      <c r="D1442" s="238" t="s">
        <v>222</v>
      </c>
      <c r="E1442" s="251" t="s">
        <v>1901</v>
      </c>
      <c r="F1442" s="304">
        <f>M1442+O1442+Q1442+S1442+U1442+W1442+Y1442</f>
        <v>0</v>
      </c>
      <c r="G1442" s="253">
        <f>L1442</f>
        <v>497.28</v>
      </c>
      <c r="H1442" s="254">
        <f>F1442*G1442</f>
        <v>0</v>
      </c>
      <c r="I1442" s="253">
        <f>N1442+P1442+R1442+T1442+V1442+X1442+Z1442</f>
        <v>0</v>
      </c>
      <c r="J1442" s="253"/>
      <c r="K1442" s="251" t="s">
        <v>1901</v>
      </c>
      <c r="L1442" s="666">
        <v>497.28</v>
      </c>
      <c r="M1442" s="258">
        <v>0</v>
      </c>
      <c r="N1442" s="257">
        <f>INT($L1442*M1442*100+0.5)/100</f>
        <v>0</v>
      </c>
      <c r="O1442" s="258">
        <v>0</v>
      </c>
      <c r="P1442" s="257">
        <f>INT($L1442*O1442*100+0.5)/100</f>
        <v>0</v>
      </c>
      <c r="Q1442" s="258">
        <v>0</v>
      </c>
      <c r="R1442" s="257">
        <f>INT($L1442*Q1442*100+0.5)/100</f>
        <v>0</v>
      </c>
      <c r="S1442" s="258">
        <v>0</v>
      </c>
      <c r="T1442" s="257">
        <f>INT($L1442*S1442*100+0.5)/100</f>
        <v>0</v>
      </c>
      <c r="U1442" s="258">
        <v>0</v>
      </c>
      <c r="V1442" s="257">
        <f>INT($L1442*U1442*100+0.5)/100</f>
        <v>0</v>
      </c>
      <c r="W1442" s="258">
        <v>0</v>
      </c>
      <c r="X1442" s="257">
        <f>INT($L1442*W1442*100+0.5)/100</f>
        <v>0</v>
      </c>
      <c r="Y1442" s="258">
        <v>0</v>
      </c>
      <c r="Z1442" s="257">
        <f>INT($L1442*Y1442*100+0.5)/100</f>
        <v>0</v>
      </c>
    </row>
    <row r="1443" spans="1:26" ht="15" hidden="1" customHeight="1">
      <c r="A1443" s="250" t="s">
        <v>1907</v>
      </c>
      <c r="B1443" s="251"/>
      <c r="C1443" s="285" t="s">
        <v>1343</v>
      </c>
      <c r="D1443" s="238" t="s">
        <v>223</v>
      </c>
      <c r="E1443" s="251" t="s">
        <v>1901</v>
      </c>
      <c r="F1443" s="304">
        <f>M1443+O1443+Q1443+S1443+U1443+W1443+Y1443</f>
        <v>0</v>
      </c>
      <c r="G1443" s="253">
        <f>L1443</f>
        <v>727.3</v>
      </c>
      <c r="H1443" s="254">
        <f>F1443*G1443</f>
        <v>0</v>
      </c>
      <c r="I1443" s="253">
        <f>N1443+P1443+R1443+T1443+V1443+X1443+Z1443</f>
        <v>0</v>
      </c>
      <c r="J1443" s="253"/>
      <c r="K1443" s="251" t="s">
        <v>1901</v>
      </c>
      <c r="L1443" s="666">
        <v>727.3</v>
      </c>
      <c r="M1443" s="258">
        <v>0</v>
      </c>
      <c r="N1443" s="257">
        <f>INT($L1443*M1443*100+0.5)/100</f>
        <v>0</v>
      </c>
      <c r="O1443" s="258">
        <v>0</v>
      </c>
      <c r="P1443" s="257">
        <f>INT($L1443*O1443*100+0.5)/100</f>
        <v>0</v>
      </c>
      <c r="Q1443" s="258">
        <v>0</v>
      </c>
      <c r="R1443" s="257">
        <f>INT($L1443*Q1443*100+0.5)/100</f>
        <v>0</v>
      </c>
      <c r="S1443" s="258">
        <v>0</v>
      </c>
      <c r="T1443" s="257">
        <f>INT($L1443*S1443*100+0.5)/100</f>
        <v>0</v>
      </c>
      <c r="U1443" s="258">
        <v>0</v>
      </c>
      <c r="V1443" s="257">
        <f>INT($L1443*U1443*100+0.5)/100</f>
        <v>0</v>
      </c>
      <c r="W1443" s="258">
        <v>0</v>
      </c>
      <c r="X1443" s="257">
        <f>INT($L1443*W1443*100+0.5)/100</f>
        <v>0</v>
      </c>
      <c r="Y1443" s="258">
        <v>0</v>
      </c>
      <c r="Z1443" s="257">
        <f>INT($L1443*Y1443*100+0.5)/100</f>
        <v>0</v>
      </c>
    </row>
    <row r="1444" spans="1:26" ht="15" hidden="1" customHeight="1">
      <c r="A1444" s="250" t="s">
        <v>542</v>
      </c>
      <c r="B1444" s="251"/>
      <c r="C1444" s="285" t="s">
        <v>1344</v>
      </c>
      <c r="D1444" s="238" t="s">
        <v>224</v>
      </c>
      <c r="E1444" s="251" t="s">
        <v>1901</v>
      </c>
      <c r="F1444" s="304">
        <f>M1444+O1444+Q1444+S1444+U1444+W1444+Y1444</f>
        <v>0</v>
      </c>
      <c r="G1444" s="253">
        <f>L1444</f>
        <v>765.83</v>
      </c>
      <c r="H1444" s="254">
        <f>F1444*G1444</f>
        <v>0</v>
      </c>
      <c r="I1444" s="253">
        <f>N1444+P1444+R1444+T1444+V1444+X1444+Z1444</f>
        <v>0</v>
      </c>
      <c r="J1444" s="253"/>
      <c r="K1444" s="251" t="s">
        <v>1901</v>
      </c>
      <c r="L1444" s="666">
        <v>765.83</v>
      </c>
      <c r="M1444" s="258">
        <v>0</v>
      </c>
      <c r="N1444" s="257">
        <f>INT($L1444*M1444*100+0.5)/100</f>
        <v>0</v>
      </c>
      <c r="O1444" s="258">
        <v>0</v>
      </c>
      <c r="P1444" s="257">
        <f>INT($L1444*O1444*100+0.5)/100</f>
        <v>0</v>
      </c>
      <c r="Q1444" s="258">
        <v>0</v>
      </c>
      <c r="R1444" s="257">
        <f>INT($L1444*Q1444*100+0.5)/100</f>
        <v>0</v>
      </c>
      <c r="S1444" s="258">
        <v>0</v>
      </c>
      <c r="T1444" s="257">
        <f>INT($L1444*S1444*100+0.5)/100</f>
        <v>0</v>
      </c>
      <c r="U1444" s="258">
        <v>0</v>
      </c>
      <c r="V1444" s="257">
        <f>INT($L1444*U1444*100+0.5)/100</f>
        <v>0</v>
      </c>
      <c r="W1444" s="258">
        <v>0</v>
      </c>
      <c r="X1444" s="257">
        <f>INT($L1444*W1444*100+0.5)/100</f>
        <v>0</v>
      </c>
      <c r="Y1444" s="258">
        <v>0</v>
      </c>
      <c r="Z1444" s="257">
        <f>INT($L1444*Y1444*100+0.5)/100</f>
        <v>0</v>
      </c>
    </row>
    <row r="1445" spans="1:26" ht="15" hidden="1" customHeight="1">
      <c r="A1445" s="250"/>
      <c r="B1445" s="251"/>
      <c r="C1445" s="540"/>
      <c r="D1445" s="238"/>
      <c r="E1445" s="251"/>
      <c r="F1445" s="252"/>
      <c r="G1445" s="253"/>
      <c r="H1445" s="254"/>
      <c r="I1445" s="253"/>
      <c r="J1445" s="253"/>
      <c r="K1445" s="251"/>
      <c r="L1445" s="666"/>
      <c r="M1445" s="258"/>
      <c r="N1445" s="257"/>
      <c r="O1445" s="258"/>
      <c r="P1445" s="257"/>
      <c r="Q1445" s="258"/>
      <c r="R1445" s="257"/>
      <c r="S1445" s="258"/>
      <c r="T1445" s="257"/>
      <c r="U1445" s="258"/>
      <c r="V1445" s="257"/>
      <c r="W1445" s="258"/>
      <c r="X1445" s="257"/>
      <c r="Y1445" s="258"/>
      <c r="Z1445" s="257"/>
    </row>
    <row r="1446" spans="1:26" ht="15" hidden="1" customHeight="1">
      <c r="A1446" s="250">
        <f>A1439+1</f>
        <v>253</v>
      </c>
      <c r="B1446" s="251"/>
      <c r="C1446" s="285" t="s">
        <v>227</v>
      </c>
      <c r="D1446" s="238" t="s">
        <v>226</v>
      </c>
      <c r="E1446" s="251"/>
      <c r="F1446" s="252"/>
      <c r="G1446" s="253"/>
      <c r="H1446" s="254"/>
      <c r="I1446" s="253"/>
      <c r="J1446" s="253"/>
      <c r="K1446" s="251"/>
      <c r="L1446" s="666"/>
      <c r="M1446" s="258"/>
      <c r="N1446" s="257"/>
      <c r="O1446" s="258"/>
      <c r="P1446" s="257"/>
      <c r="Q1446" s="258"/>
      <c r="R1446" s="257"/>
      <c r="S1446" s="258"/>
      <c r="T1446" s="257"/>
      <c r="U1446" s="258"/>
      <c r="V1446" s="257"/>
      <c r="W1446" s="258"/>
      <c r="X1446" s="257"/>
      <c r="Y1446" s="258"/>
      <c r="Z1446" s="257"/>
    </row>
    <row r="1447" spans="1:26" ht="15" hidden="1" customHeight="1">
      <c r="A1447" s="250"/>
      <c r="B1447" s="251"/>
      <c r="C1447" s="540"/>
      <c r="D1447" s="238" t="s">
        <v>225</v>
      </c>
      <c r="E1447" s="251"/>
      <c r="F1447" s="252"/>
      <c r="G1447" s="253"/>
      <c r="H1447" s="254"/>
      <c r="I1447" s="253"/>
      <c r="J1447" s="253"/>
      <c r="K1447" s="251"/>
      <c r="L1447" s="666"/>
      <c r="M1447" s="258"/>
      <c r="N1447" s="257"/>
      <c r="O1447" s="258"/>
      <c r="P1447" s="257"/>
      <c r="Q1447" s="258"/>
      <c r="R1447" s="257"/>
      <c r="S1447" s="258"/>
      <c r="T1447" s="257"/>
      <c r="U1447" s="258"/>
      <c r="V1447" s="257"/>
      <c r="W1447" s="258"/>
      <c r="X1447" s="257"/>
      <c r="Y1447" s="258"/>
      <c r="Z1447" s="257"/>
    </row>
    <row r="1448" spans="1:26" ht="15" hidden="1" customHeight="1">
      <c r="A1448" s="250" t="s">
        <v>1905</v>
      </c>
      <c r="B1448" s="251"/>
      <c r="C1448" s="285" t="s">
        <v>1345</v>
      </c>
      <c r="D1448" s="292" t="s">
        <v>1398</v>
      </c>
      <c r="E1448" s="251" t="s">
        <v>1901</v>
      </c>
      <c r="F1448" s="304">
        <f>M1448+O1448+Q1448+S1448+U1448+W1448+Y1448</f>
        <v>0</v>
      </c>
      <c r="G1448" s="253">
        <f>L1448</f>
        <v>458.75</v>
      </c>
      <c r="H1448" s="254">
        <f>F1448*G1448</f>
        <v>0</v>
      </c>
      <c r="I1448" s="253">
        <f>N1448+P1448+R1448+T1448+V1448+X1448+Z1448</f>
        <v>0</v>
      </c>
      <c r="J1448" s="253"/>
      <c r="K1448" s="251" t="s">
        <v>1901</v>
      </c>
      <c r="L1448" s="666">
        <v>458.75</v>
      </c>
      <c r="M1448" s="258">
        <v>0</v>
      </c>
      <c r="N1448" s="257">
        <f>INT($L1448*M1448*100+0.5)/100</f>
        <v>0</v>
      </c>
      <c r="O1448" s="258">
        <v>0</v>
      </c>
      <c r="P1448" s="257">
        <f>INT($L1448*O1448*100+0.5)/100</f>
        <v>0</v>
      </c>
      <c r="Q1448" s="258">
        <v>0</v>
      </c>
      <c r="R1448" s="257">
        <f>INT($L1448*Q1448*100+0.5)/100</f>
        <v>0</v>
      </c>
      <c r="S1448" s="258">
        <v>0</v>
      </c>
      <c r="T1448" s="257">
        <f>INT($L1448*S1448*100+0.5)/100</f>
        <v>0</v>
      </c>
      <c r="U1448" s="258">
        <v>0</v>
      </c>
      <c r="V1448" s="257">
        <f>INT($L1448*U1448*100+0.5)/100</f>
        <v>0</v>
      </c>
      <c r="W1448" s="258">
        <v>0</v>
      </c>
      <c r="X1448" s="257">
        <f>INT($L1448*W1448*100+0.5)/100</f>
        <v>0</v>
      </c>
      <c r="Y1448" s="258">
        <v>0</v>
      </c>
      <c r="Z1448" s="257">
        <f>INT($L1448*Y1448*100+0.5)/100</f>
        <v>0</v>
      </c>
    </row>
    <row r="1449" spans="1:26" ht="15" hidden="1" customHeight="1">
      <c r="A1449" s="250" t="s">
        <v>1906</v>
      </c>
      <c r="B1449" s="251"/>
      <c r="C1449" s="285" t="s">
        <v>1346</v>
      </c>
      <c r="D1449" s="292" t="s">
        <v>1399</v>
      </c>
      <c r="E1449" s="251" t="s">
        <v>1901</v>
      </c>
      <c r="F1449" s="304">
        <f>M1449+O1449+Q1449+S1449+U1449+W1449+Y1449</f>
        <v>0</v>
      </c>
      <c r="G1449" s="253">
        <f>L1449</f>
        <v>497.28</v>
      </c>
      <c r="H1449" s="254">
        <f>F1449*G1449</f>
        <v>0</v>
      </c>
      <c r="I1449" s="253">
        <f>N1449+P1449+R1449+T1449+V1449+X1449+Z1449</f>
        <v>0</v>
      </c>
      <c r="J1449" s="253"/>
      <c r="K1449" s="251" t="s">
        <v>1901</v>
      </c>
      <c r="L1449" s="666">
        <v>497.28</v>
      </c>
      <c r="M1449" s="258">
        <v>0</v>
      </c>
      <c r="N1449" s="257">
        <f>INT($L1449*M1449*100+0.5)/100</f>
        <v>0</v>
      </c>
      <c r="O1449" s="258">
        <v>0</v>
      </c>
      <c r="P1449" s="257">
        <f>INT($L1449*O1449*100+0.5)/100</f>
        <v>0</v>
      </c>
      <c r="Q1449" s="258">
        <v>0</v>
      </c>
      <c r="R1449" s="257">
        <f>INT($L1449*Q1449*100+0.5)/100</f>
        <v>0</v>
      </c>
      <c r="S1449" s="258">
        <v>0</v>
      </c>
      <c r="T1449" s="257">
        <f>INT($L1449*S1449*100+0.5)/100</f>
        <v>0</v>
      </c>
      <c r="U1449" s="258">
        <v>0</v>
      </c>
      <c r="V1449" s="257">
        <f>INT($L1449*U1449*100+0.5)/100</f>
        <v>0</v>
      </c>
      <c r="W1449" s="258">
        <v>0</v>
      </c>
      <c r="X1449" s="257">
        <f>INT($L1449*W1449*100+0.5)/100</f>
        <v>0</v>
      </c>
      <c r="Y1449" s="258">
        <v>0</v>
      </c>
      <c r="Z1449" s="257">
        <f>INT($L1449*Y1449*100+0.5)/100</f>
        <v>0</v>
      </c>
    </row>
    <row r="1450" spans="1:26" ht="15" hidden="1" customHeight="1">
      <c r="A1450" s="250" t="s">
        <v>1907</v>
      </c>
      <c r="B1450" s="251"/>
      <c r="C1450" s="285" t="s">
        <v>1347</v>
      </c>
      <c r="D1450" s="292" t="s">
        <v>1400</v>
      </c>
      <c r="E1450" s="251" t="s">
        <v>1901</v>
      </c>
      <c r="F1450" s="304">
        <f>M1450+O1450+Q1450+S1450+U1450+W1450+Y1450</f>
        <v>0</v>
      </c>
      <c r="G1450" s="253">
        <f>L1450</f>
        <v>727.3</v>
      </c>
      <c r="H1450" s="254">
        <f>F1450*G1450</f>
        <v>0</v>
      </c>
      <c r="I1450" s="253">
        <f>N1450+P1450+R1450+T1450+V1450+X1450+Z1450</f>
        <v>0</v>
      </c>
      <c r="J1450" s="253"/>
      <c r="K1450" s="251" t="s">
        <v>1901</v>
      </c>
      <c r="L1450" s="666">
        <v>727.3</v>
      </c>
      <c r="M1450" s="258">
        <v>0</v>
      </c>
      <c r="N1450" s="257">
        <f>INT($L1450*M1450*100+0.5)/100</f>
        <v>0</v>
      </c>
      <c r="O1450" s="258">
        <v>0</v>
      </c>
      <c r="P1450" s="257">
        <f>INT($L1450*O1450*100+0.5)/100</f>
        <v>0</v>
      </c>
      <c r="Q1450" s="258">
        <v>0</v>
      </c>
      <c r="R1450" s="257">
        <f>INT($L1450*Q1450*100+0.5)/100</f>
        <v>0</v>
      </c>
      <c r="S1450" s="258">
        <v>0</v>
      </c>
      <c r="T1450" s="257">
        <f>INT($L1450*S1450*100+0.5)/100</f>
        <v>0</v>
      </c>
      <c r="U1450" s="258">
        <v>0</v>
      </c>
      <c r="V1450" s="257">
        <f>INT($L1450*U1450*100+0.5)/100</f>
        <v>0</v>
      </c>
      <c r="W1450" s="258">
        <v>0</v>
      </c>
      <c r="X1450" s="257">
        <f>INT($L1450*W1450*100+0.5)/100</f>
        <v>0</v>
      </c>
      <c r="Y1450" s="258">
        <v>0</v>
      </c>
      <c r="Z1450" s="257">
        <f>INT($L1450*Y1450*100+0.5)/100</f>
        <v>0</v>
      </c>
    </row>
    <row r="1451" spans="1:26" ht="15" hidden="1" customHeight="1">
      <c r="A1451" s="250" t="s">
        <v>542</v>
      </c>
      <c r="B1451" s="251"/>
      <c r="C1451" s="285" t="s">
        <v>1348</v>
      </c>
      <c r="D1451" s="292" t="s">
        <v>1401</v>
      </c>
      <c r="E1451" s="251" t="s">
        <v>1901</v>
      </c>
      <c r="F1451" s="304">
        <f>M1451+O1451+Q1451+S1451+U1451+W1451+Y1451</f>
        <v>0</v>
      </c>
      <c r="G1451" s="253">
        <f>L1451</f>
        <v>765.83</v>
      </c>
      <c r="H1451" s="254">
        <f>F1451*G1451</f>
        <v>0</v>
      </c>
      <c r="I1451" s="253">
        <f>N1451+P1451+R1451+T1451+V1451+X1451+Z1451</f>
        <v>0</v>
      </c>
      <c r="J1451" s="253"/>
      <c r="K1451" s="251" t="s">
        <v>1901</v>
      </c>
      <c r="L1451" s="666">
        <v>765.83</v>
      </c>
      <c r="M1451" s="258">
        <v>0</v>
      </c>
      <c r="N1451" s="257">
        <f>INT($L1451*M1451*100+0.5)/100</f>
        <v>0</v>
      </c>
      <c r="O1451" s="258">
        <v>0</v>
      </c>
      <c r="P1451" s="257">
        <f>INT($L1451*O1451*100+0.5)/100</f>
        <v>0</v>
      </c>
      <c r="Q1451" s="258">
        <v>0</v>
      </c>
      <c r="R1451" s="257">
        <f>INT($L1451*Q1451*100+0.5)/100</f>
        <v>0</v>
      </c>
      <c r="S1451" s="258">
        <v>0</v>
      </c>
      <c r="T1451" s="257">
        <f>INT($L1451*S1451*100+0.5)/100</f>
        <v>0</v>
      </c>
      <c r="U1451" s="258">
        <v>0</v>
      </c>
      <c r="V1451" s="257">
        <f>INT($L1451*U1451*100+0.5)/100</f>
        <v>0</v>
      </c>
      <c r="W1451" s="258">
        <v>0</v>
      </c>
      <c r="X1451" s="257">
        <f>INT($L1451*W1451*100+0.5)/100</f>
        <v>0</v>
      </c>
      <c r="Y1451" s="258">
        <v>0</v>
      </c>
      <c r="Z1451" s="257">
        <f>INT($L1451*Y1451*100+0.5)/100</f>
        <v>0</v>
      </c>
    </row>
    <row r="1452" spans="1:26" ht="15" hidden="1" customHeight="1">
      <c r="A1452" s="250"/>
      <c r="B1452" s="251"/>
      <c r="C1452" s="540"/>
      <c r="D1452" s="292"/>
      <c r="E1452" s="251"/>
      <c r="F1452" s="252"/>
      <c r="G1452" s="253"/>
      <c r="H1452" s="254"/>
      <c r="I1452" s="253"/>
      <c r="J1452" s="253"/>
      <c r="K1452" s="251"/>
      <c r="L1452" s="262"/>
      <c r="M1452" s="258"/>
      <c r="N1452" s="257"/>
      <c r="O1452" s="258"/>
      <c r="P1452" s="257"/>
      <c r="Q1452" s="258"/>
      <c r="R1452" s="257"/>
      <c r="S1452" s="258"/>
      <c r="T1452" s="257"/>
      <c r="U1452" s="258"/>
      <c r="V1452" s="257"/>
      <c r="W1452" s="258"/>
      <c r="X1452" s="257"/>
      <c r="Y1452" s="258"/>
      <c r="Z1452" s="257"/>
    </row>
    <row r="1453" spans="1:26" ht="15" hidden="1" customHeight="1">
      <c r="A1453" s="250">
        <f>A1446+1</f>
        <v>254</v>
      </c>
      <c r="B1453" s="251"/>
      <c r="C1453" s="540" t="s">
        <v>301</v>
      </c>
      <c r="D1453" s="526" t="s">
        <v>300</v>
      </c>
      <c r="E1453" s="251" t="s">
        <v>1901</v>
      </c>
      <c r="F1453" s="304">
        <f>M1453+O1453+Q1453+S1453+U1453+W1453+Y1453</f>
        <v>0</v>
      </c>
      <c r="G1453" s="253">
        <f>L1453</f>
        <v>1377.28</v>
      </c>
      <c r="H1453" s="254">
        <f>F1453*G1453</f>
        <v>0</v>
      </c>
      <c r="I1453" s="253">
        <f>N1453+P1453+R1453+T1453+V1453+X1453+Z1453</f>
        <v>0</v>
      </c>
      <c r="J1453" s="253"/>
      <c r="K1453" s="251" t="s">
        <v>1901</v>
      </c>
      <c r="L1453" s="663">
        <v>1377.28</v>
      </c>
      <c r="M1453" s="258">
        <v>0</v>
      </c>
      <c r="N1453" s="257">
        <f>INT($L1453*M1453*100+0.5)/100</f>
        <v>0</v>
      </c>
      <c r="O1453" s="258">
        <v>0</v>
      </c>
      <c r="P1453" s="257">
        <f>INT($L1453*O1453*100+0.5)/100</f>
        <v>0</v>
      </c>
      <c r="Q1453" s="258">
        <v>0</v>
      </c>
      <c r="R1453" s="257">
        <f>INT($L1453*Q1453*100+0.5)/100</f>
        <v>0</v>
      </c>
      <c r="S1453" s="258">
        <v>0</v>
      </c>
      <c r="T1453" s="257">
        <f>INT($L1453*S1453*100+0.5)/100</f>
        <v>0</v>
      </c>
      <c r="U1453" s="258">
        <v>0</v>
      </c>
      <c r="V1453" s="257">
        <f>INT($L1453*U1453*100+0.5)/100</f>
        <v>0</v>
      </c>
      <c r="W1453" s="258">
        <v>0</v>
      </c>
      <c r="X1453" s="257">
        <f>INT($L1453*W1453*100+0.5)/100</f>
        <v>0</v>
      </c>
      <c r="Y1453" s="258">
        <v>0</v>
      </c>
      <c r="Z1453" s="257">
        <f>INT($L1453*Y1453*100+0.5)/100</f>
        <v>0</v>
      </c>
    </row>
    <row r="1454" spans="1:26" ht="15" hidden="1" customHeight="1">
      <c r="A1454" s="250"/>
      <c r="B1454" s="251"/>
      <c r="C1454" s="540"/>
      <c r="D1454" s="526" t="s">
        <v>299</v>
      </c>
      <c r="E1454" s="251"/>
      <c r="F1454" s="252"/>
      <c r="G1454" s="253"/>
      <c r="H1454" s="254"/>
      <c r="I1454" s="253"/>
      <c r="J1454" s="253"/>
      <c r="K1454" s="251"/>
      <c r="L1454" s="261"/>
      <c r="M1454" s="258"/>
      <c r="N1454" s="257"/>
      <c r="O1454" s="258"/>
      <c r="P1454" s="257"/>
      <c r="Q1454" s="258"/>
      <c r="R1454" s="257"/>
      <c r="S1454" s="258"/>
      <c r="T1454" s="257"/>
      <c r="U1454" s="258"/>
      <c r="V1454" s="257"/>
      <c r="W1454" s="258"/>
      <c r="X1454" s="257"/>
      <c r="Y1454" s="258"/>
      <c r="Z1454" s="257"/>
    </row>
    <row r="1455" spans="1:26" ht="15" hidden="1" customHeight="1">
      <c r="A1455" s="250"/>
      <c r="B1455" s="251"/>
      <c r="C1455" s="540"/>
      <c r="D1455" s="292"/>
      <c r="E1455" s="251"/>
      <c r="F1455" s="252"/>
      <c r="G1455" s="253"/>
      <c r="H1455" s="254"/>
      <c r="I1455" s="253"/>
      <c r="J1455" s="253"/>
      <c r="K1455" s="251"/>
      <c r="L1455" s="261"/>
      <c r="M1455" s="258"/>
      <c r="N1455" s="257"/>
      <c r="O1455" s="258"/>
      <c r="P1455" s="257"/>
      <c r="Q1455" s="258"/>
      <c r="R1455" s="257"/>
      <c r="S1455" s="258"/>
      <c r="T1455" s="257"/>
      <c r="U1455" s="258"/>
      <c r="V1455" s="257"/>
      <c r="W1455" s="258"/>
      <c r="X1455" s="257"/>
      <c r="Y1455" s="258"/>
      <c r="Z1455" s="257"/>
    </row>
    <row r="1456" spans="1:26" ht="15" hidden="1" customHeight="1">
      <c r="A1456" s="250">
        <f>A1453+1</f>
        <v>255</v>
      </c>
      <c r="B1456" s="251"/>
      <c r="C1456" s="535" t="s">
        <v>925</v>
      </c>
      <c r="D1456" s="532"/>
      <c r="E1456" s="251" t="s">
        <v>1901</v>
      </c>
      <c r="F1456" s="304">
        <f>M1456+O1456+Q1456+S1456+U1456+W1456+Y1456</f>
        <v>0</v>
      </c>
      <c r="G1456" s="253">
        <f>L1456</f>
        <v>83</v>
      </c>
      <c r="H1456" s="254">
        <f>INT(F1456*G1456*100+0.5)/100</f>
        <v>0</v>
      </c>
      <c r="I1456" s="253">
        <f>N1456+P1456+R1456+T1456+V1456+X1456+Z1456</f>
        <v>0</v>
      </c>
      <c r="J1456" s="253"/>
      <c r="K1456" s="251" t="s">
        <v>1901</v>
      </c>
      <c r="L1456" s="262">
        <v>83</v>
      </c>
      <c r="M1456" s="258">
        <v>0</v>
      </c>
      <c r="N1456" s="257">
        <f>INT($L1456*M1456*100+0.5)/100</f>
        <v>0</v>
      </c>
      <c r="O1456" s="258">
        <v>0</v>
      </c>
      <c r="P1456" s="257">
        <f>INT($L1456*O1456*100+0.5)/100</f>
        <v>0</v>
      </c>
      <c r="Q1456" s="258">
        <v>0</v>
      </c>
      <c r="R1456" s="257">
        <f>INT($L1456*Q1456*100+0.5)/100</f>
        <v>0</v>
      </c>
      <c r="S1456" s="258">
        <v>0</v>
      </c>
      <c r="T1456" s="257">
        <f>INT($L1456*S1456*100+0.5)/100</f>
        <v>0</v>
      </c>
      <c r="U1456" s="258">
        <v>0</v>
      </c>
      <c r="V1456" s="257">
        <f>INT($L1456*U1456*100+0.5)/100</f>
        <v>0</v>
      </c>
      <c r="W1456" s="258">
        <v>0</v>
      </c>
      <c r="X1456" s="257">
        <f>INT($L1456*W1456*100+0.5)/100</f>
        <v>0</v>
      </c>
      <c r="Y1456" s="258">
        <v>0</v>
      </c>
      <c r="Z1456" s="257">
        <f>INT($L1456*Y1456*100+0.5)/100</f>
        <v>0</v>
      </c>
    </row>
    <row r="1457" spans="1:26" ht="15" hidden="1" customHeight="1">
      <c r="A1457" s="250"/>
      <c r="B1457" s="251"/>
      <c r="C1457" s="526"/>
      <c r="D1457" s="532" t="s">
        <v>926</v>
      </c>
      <c r="E1457" s="251"/>
      <c r="F1457" s="252"/>
      <c r="G1457" s="253"/>
      <c r="H1457" s="254"/>
      <c r="I1457" s="253"/>
      <c r="J1457" s="253"/>
      <c r="K1457" s="251"/>
      <c r="L1457" s="261"/>
      <c r="M1457" s="258"/>
      <c r="N1457" s="257"/>
      <c r="O1457" s="258"/>
      <c r="P1457" s="257"/>
      <c r="Q1457" s="258"/>
      <c r="R1457" s="257"/>
      <c r="S1457" s="258"/>
      <c r="T1457" s="257"/>
      <c r="U1457" s="258"/>
      <c r="V1457" s="257"/>
      <c r="W1457" s="258"/>
      <c r="X1457" s="257"/>
      <c r="Y1457" s="258"/>
      <c r="Z1457" s="257"/>
    </row>
    <row r="1458" spans="1:26" ht="15" hidden="1" customHeight="1">
      <c r="A1458" s="250"/>
      <c r="B1458" s="251"/>
      <c r="C1458" s="526"/>
      <c r="D1458" s="292"/>
      <c r="E1458" s="251"/>
      <c r="F1458" s="252"/>
      <c r="G1458" s="253"/>
      <c r="H1458" s="254"/>
      <c r="I1458" s="253"/>
      <c r="J1458" s="253"/>
      <c r="K1458" s="251"/>
      <c r="L1458" s="261"/>
      <c r="M1458" s="258"/>
      <c r="N1458" s="257"/>
      <c r="O1458" s="258"/>
      <c r="P1458" s="257"/>
      <c r="Q1458" s="258"/>
      <c r="R1458" s="257"/>
      <c r="S1458" s="258"/>
      <c r="T1458" s="257"/>
      <c r="U1458" s="258"/>
      <c r="V1458" s="257"/>
      <c r="W1458" s="258"/>
      <c r="X1458" s="257"/>
      <c r="Y1458" s="258"/>
      <c r="Z1458" s="257"/>
    </row>
    <row r="1459" spans="1:26" ht="25.5" hidden="1">
      <c r="A1459" s="250">
        <f>A1456+1</f>
        <v>256</v>
      </c>
      <c r="B1459" s="251"/>
      <c r="C1459" s="540" t="s">
        <v>597</v>
      </c>
      <c r="D1459" s="526" t="s">
        <v>231</v>
      </c>
      <c r="E1459" s="251" t="s">
        <v>1898</v>
      </c>
      <c r="F1459" s="304">
        <f>M1459+O1459+Q1459+S1459+U1459+W1459+Y1459</f>
        <v>0</v>
      </c>
      <c r="G1459" s="253">
        <f>L1459</f>
        <v>834.43</v>
      </c>
      <c r="H1459" s="254">
        <f>F1459*G1459</f>
        <v>0</v>
      </c>
      <c r="I1459" s="253">
        <f>N1459+P1459+R1459+T1459+V1459+X1459+Z1459</f>
        <v>0</v>
      </c>
      <c r="J1459" s="253"/>
      <c r="K1459" s="251" t="s">
        <v>1898</v>
      </c>
      <c r="L1459" s="666">
        <v>834.43</v>
      </c>
      <c r="M1459" s="258">
        <v>0</v>
      </c>
      <c r="N1459" s="257">
        <f>INT($L1459*M1459*100+0.5)/100</f>
        <v>0</v>
      </c>
      <c r="O1459" s="258">
        <v>0</v>
      </c>
      <c r="P1459" s="257">
        <f>INT($L1459*O1459*100+0.5)/100</f>
        <v>0</v>
      </c>
      <c r="Q1459" s="258">
        <v>0</v>
      </c>
      <c r="R1459" s="257">
        <f>INT($L1459*Q1459*100+0.5)/100</f>
        <v>0</v>
      </c>
      <c r="S1459" s="258">
        <v>0</v>
      </c>
      <c r="T1459" s="257">
        <f>INT($L1459*S1459*100+0.5)/100</f>
        <v>0</v>
      </c>
      <c r="U1459" s="258">
        <v>0</v>
      </c>
      <c r="V1459" s="257">
        <f>INT($L1459*U1459*100+0.5)/100</f>
        <v>0</v>
      </c>
      <c r="W1459" s="258">
        <v>0</v>
      </c>
      <c r="X1459" s="257">
        <f>INT($L1459*W1459*100+0.5)/100</f>
        <v>0</v>
      </c>
      <c r="Y1459" s="258">
        <v>0</v>
      </c>
      <c r="Z1459" s="257">
        <f>INT($L1459*Y1459*100+0.5)/100</f>
        <v>0</v>
      </c>
    </row>
    <row r="1460" spans="1:26" ht="25.5" hidden="1">
      <c r="A1460" s="250"/>
      <c r="B1460" s="251"/>
      <c r="C1460" s="540"/>
      <c r="D1460" s="532" t="s">
        <v>232</v>
      </c>
      <c r="E1460" s="251"/>
      <c r="F1460" s="252"/>
      <c r="G1460" s="253"/>
      <c r="H1460" s="254"/>
      <c r="I1460" s="253"/>
      <c r="J1460" s="253"/>
      <c r="K1460" s="251"/>
      <c r="L1460" s="666"/>
      <c r="M1460" s="258"/>
      <c r="N1460" s="257"/>
      <c r="O1460" s="258"/>
      <c r="P1460" s="257"/>
      <c r="Q1460" s="258"/>
      <c r="R1460" s="257"/>
      <c r="S1460" s="258"/>
      <c r="T1460" s="257"/>
      <c r="U1460" s="258"/>
      <c r="V1460" s="257"/>
      <c r="W1460" s="258"/>
      <c r="X1460" s="257"/>
      <c r="Y1460" s="258"/>
      <c r="Z1460" s="257"/>
    </row>
    <row r="1461" spans="1:26" ht="15" hidden="1">
      <c r="A1461" s="250"/>
      <c r="B1461" s="251"/>
      <c r="C1461" s="540"/>
      <c r="D1461" s="292"/>
      <c r="E1461" s="251"/>
      <c r="F1461" s="252"/>
      <c r="G1461" s="253"/>
      <c r="H1461" s="254"/>
      <c r="I1461" s="253"/>
      <c r="J1461" s="253"/>
      <c r="K1461" s="251"/>
      <c r="L1461" s="666"/>
      <c r="M1461" s="258"/>
      <c r="N1461" s="257"/>
      <c r="O1461" s="258"/>
      <c r="P1461" s="257"/>
      <c r="Q1461" s="258"/>
      <c r="R1461" s="257"/>
      <c r="S1461" s="258"/>
      <c r="T1461" s="257"/>
      <c r="U1461" s="258"/>
      <c r="V1461" s="257"/>
      <c r="W1461" s="258"/>
      <c r="X1461" s="257"/>
      <c r="Y1461" s="258"/>
      <c r="Z1461" s="257"/>
    </row>
    <row r="1462" spans="1:26" ht="15" hidden="1">
      <c r="A1462" s="250">
        <f>A1459+1</f>
        <v>257</v>
      </c>
      <c r="B1462" s="251"/>
      <c r="C1462" s="540" t="s">
        <v>596</v>
      </c>
      <c r="D1462" s="526" t="s">
        <v>451</v>
      </c>
      <c r="E1462" s="251"/>
      <c r="F1462" s="252"/>
      <c r="G1462" s="253"/>
      <c r="H1462" s="254"/>
      <c r="I1462" s="253"/>
      <c r="J1462" s="253"/>
      <c r="K1462" s="251"/>
      <c r="L1462" s="666"/>
      <c r="M1462" s="258"/>
      <c r="N1462" s="257"/>
      <c r="O1462" s="258"/>
      <c r="P1462" s="257"/>
      <c r="Q1462" s="258"/>
      <c r="R1462" s="257"/>
      <c r="S1462" s="258"/>
      <c r="T1462" s="257"/>
      <c r="U1462" s="258"/>
      <c r="V1462" s="257"/>
      <c r="W1462" s="258"/>
      <c r="X1462" s="257"/>
      <c r="Y1462" s="258"/>
      <c r="Z1462" s="257"/>
    </row>
    <row r="1463" spans="1:26" ht="15" hidden="1">
      <c r="A1463" s="250"/>
      <c r="B1463" s="251"/>
      <c r="C1463" s="540"/>
      <c r="D1463" s="526" t="s">
        <v>450</v>
      </c>
      <c r="E1463" s="251"/>
      <c r="F1463" s="252"/>
      <c r="G1463" s="253"/>
      <c r="H1463" s="254"/>
      <c r="I1463" s="253"/>
      <c r="J1463" s="253"/>
      <c r="K1463" s="251"/>
      <c r="L1463" s="666"/>
      <c r="M1463" s="258"/>
      <c r="N1463" s="257"/>
      <c r="O1463" s="258"/>
      <c r="P1463" s="257"/>
      <c r="Q1463" s="258"/>
      <c r="R1463" s="257"/>
      <c r="S1463" s="258"/>
      <c r="T1463" s="257"/>
      <c r="U1463" s="258"/>
      <c r="V1463" s="257"/>
      <c r="W1463" s="258"/>
      <c r="X1463" s="257"/>
      <c r="Y1463" s="258"/>
      <c r="Z1463" s="257"/>
    </row>
    <row r="1464" spans="1:26" ht="15" hidden="1">
      <c r="A1464" s="250" t="s">
        <v>542</v>
      </c>
      <c r="B1464" s="251"/>
      <c r="C1464" s="540" t="s">
        <v>1984</v>
      </c>
      <c r="D1464" s="292" t="s">
        <v>2174</v>
      </c>
      <c r="E1464" s="251" t="s">
        <v>1901</v>
      </c>
      <c r="F1464" s="304">
        <f>M1464+O1464+Q1464+S1464+U1464+W1464+Y1464</f>
        <v>0</v>
      </c>
      <c r="G1464" s="253">
        <f>L1464</f>
        <v>90</v>
      </c>
      <c r="H1464" s="254">
        <f>F1464*G1464</f>
        <v>0</v>
      </c>
      <c r="I1464" s="253">
        <f>N1464+P1464+R1464+T1464+V1464+X1464+Z1464</f>
        <v>0</v>
      </c>
      <c r="J1464" s="253"/>
      <c r="K1464" s="251" t="s">
        <v>1901</v>
      </c>
      <c r="L1464" s="666">
        <v>90</v>
      </c>
      <c r="M1464" s="258">
        <v>0</v>
      </c>
      <c r="N1464" s="257">
        <f>INT($L1464*M1464*100+0.5)/100</f>
        <v>0</v>
      </c>
      <c r="O1464" s="258">
        <v>0</v>
      </c>
      <c r="P1464" s="257">
        <f>INT($L1464*O1464*100+0.5)/100</f>
        <v>0</v>
      </c>
      <c r="Q1464" s="258">
        <v>0</v>
      </c>
      <c r="R1464" s="257">
        <f>INT($L1464*Q1464*100+0.5)/100</f>
        <v>0</v>
      </c>
      <c r="S1464" s="258">
        <v>0</v>
      </c>
      <c r="T1464" s="257">
        <f>INT($L1464*S1464*100+0.5)/100</f>
        <v>0</v>
      </c>
      <c r="U1464" s="258">
        <v>0</v>
      </c>
      <c r="V1464" s="257">
        <f>INT($L1464*U1464*100+0.5)/100</f>
        <v>0</v>
      </c>
      <c r="W1464" s="258">
        <v>0</v>
      </c>
      <c r="X1464" s="257">
        <f>INT($L1464*W1464*100+0.5)/100</f>
        <v>0</v>
      </c>
      <c r="Y1464" s="258">
        <v>0</v>
      </c>
      <c r="Z1464" s="257">
        <f>INT($L1464*Y1464*100+0.5)/100</f>
        <v>0</v>
      </c>
    </row>
    <row r="1465" spans="1:26" ht="15" hidden="1">
      <c r="A1465" s="250"/>
      <c r="B1465" s="251"/>
      <c r="C1465" s="540"/>
      <c r="D1465" s="292"/>
      <c r="E1465" s="251"/>
      <c r="F1465" s="252"/>
      <c r="G1465" s="253"/>
      <c r="H1465" s="254"/>
      <c r="I1465" s="253"/>
      <c r="J1465" s="253"/>
      <c r="K1465" s="251"/>
      <c r="L1465" s="666"/>
      <c r="M1465" s="258"/>
      <c r="N1465" s="257"/>
      <c r="O1465" s="258"/>
      <c r="P1465" s="257"/>
      <c r="Q1465" s="258"/>
      <c r="R1465" s="257"/>
      <c r="S1465" s="258"/>
      <c r="T1465" s="257"/>
      <c r="U1465" s="258"/>
      <c r="V1465" s="257"/>
      <c r="W1465" s="258"/>
      <c r="X1465" s="257"/>
      <c r="Y1465" s="258"/>
      <c r="Z1465" s="257"/>
    </row>
    <row r="1466" spans="1:26" ht="25.5" hidden="1">
      <c r="A1466" s="250">
        <f>A1462+1</f>
        <v>258</v>
      </c>
      <c r="B1466" s="251"/>
      <c r="C1466" s="532" t="s">
        <v>237</v>
      </c>
      <c r="D1466" s="532" t="s">
        <v>234</v>
      </c>
      <c r="E1466" s="251"/>
      <c r="F1466" s="252"/>
      <c r="G1466" s="253"/>
      <c r="H1466" s="254"/>
      <c r="I1466" s="253"/>
      <c r="J1466" s="253"/>
      <c r="K1466" s="251"/>
      <c r="L1466" s="666"/>
      <c r="M1466" s="258"/>
      <c r="N1466" s="257"/>
      <c r="O1466" s="258"/>
      <c r="P1466" s="257"/>
      <c r="Q1466" s="258"/>
      <c r="R1466" s="257"/>
      <c r="S1466" s="258"/>
      <c r="T1466" s="257"/>
      <c r="U1466" s="258"/>
      <c r="V1466" s="257"/>
      <c r="W1466" s="258"/>
      <c r="X1466" s="257"/>
      <c r="Y1466" s="258"/>
      <c r="Z1466" s="257"/>
    </row>
    <row r="1467" spans="1:26" ht="15" hidden="1">
      <c r="A1467" s="250"/>
      <c r="B1467" s="251"/>
      <c r="C1467" s="540"/>
      <c r="D1467" s="532" t="s">
        <v>233</v>
      </c>
      <c r="E1467" s="251"/>
      <c r="F1467" s="252"/>
      <c r="G1467" s="253"/>
      <c r="H1467" s="254"/>
      <c r="I1467" s="253"/>
      <c r="J1467" s="253"/>
      <c r="K1467" s="251"/>
      <c r="L1467" s="666"/>
      <c r="M1467" s="258"/>
      <c r="N1467" s="257"/>
      <c r="O1467" s="258"/>
      <c r="P1467" s="257"/>
      <c r="Q1467" s="258"/>
      <c r="R1467" s="257"/>
      <c r="S1467" s="258"/>
      <c r="T1467" s="257"/>
      <c r="U1467" s="258"/>
      <c r="V1467" s="257"/>
      <c r="W1467" s="258"/>
      <c r="X1467" s="257"/>
      <c r="Y1467" s="258"/>
      <c r="Z1467" s="257"/>
    </row>
    <row r="1468" spans="1:26" ht="15" hidden="1">
      <c r="A1468" s="250" t="s">
        <v>1906</v>
      </c>
      <c r="B1468" s="251"/>
      <c r="C1468" s="532" t="s">
        <v>1985</v>
      </c>
      <c r="D1468" s="532" t="s">
        <v>223</v>
      </c>
      <c r="E1468" s="251" t="s">
        <v>1901</v>
      </c>
      <c r="F1468" s="304">
        <f>M1468+O1468+Q1468+S1468+U1468+W1468+Y1468</f>
        <v>0</v>
      </c>
      <c r="G1468" s="253">
        <f>L1468</f>
        <v>232.51</v>
      </c>
      <c r="H1468" s="254">
        <f>F1468*G1468</f>
        <v>0</v>
      </c>
      <c r="I1468" s="253">
        <f>N1468+P1468+R1468+T1468+V1468+X1468+Z1468</f>
        <v>0</v>
      </c>
      <c r="J1468" s="253"/>
      <c r="K1468" s="251" t="s">
        <v>1901</v>
      </c>
      <c r="L1468" s="666">
        <v>232.51</v>
      </c>
      <c r="M1468" s="258">
        <v>0</v>
      </c>
      <c r="N1468" s="257">
        <f>INT($L1468*M1468*100+0.5)/100</f>
        <v>0</v>
      </c>
      <c r="O1468" s="258">
        <v>0</v>
      </c>
      <c r="P1468" s="257">
        <f>INT($L1468*O1468*100+0.5)/100</f>
        <v>0</v>
      </c>
      <c r="Q1468" s="258">
        <v>0</v>
      </c>
      <c r="R1468" s="257">
        <f>INT($L1468*Q1468*100+0.5)/100</f>
        <v>0</v>
      </c>
      <c r="S1468" s="258">
        <v>0</v>
      </c>
      <c r="T1468" s="257">
        <f>INT($L1468*S1468*100+0.5)/100</f>
        <v>0</v>
      </c>
      <c r="U1468" s="258">
        <v>0</v>
      </c>
      <c r="V1468" s="257">
        <f>INT($L1468*U1468*100+0.5)/100</f>
        <v>0</v>
      </c>
      <c r="W1468" s="258">
        <v>0</v>
      </c>
      <c r="X1468" s="257">
        <f>INT($L1468*W1468*100+0.5)/100</f>
        <v>0</v>
      </c>
      <c r="Y1468" s="258">
        <v>0</v>
      </c>
      <c r="Z1468" s="257">
        <f>INT($L1468*Y1468*100+0.5)/100</f>
        <v>0</v>
      </c>
    </row>
    <row r="1469" spans="1:26" ht="15" hidden="1">
      <c r="A1469" s="250" t="s">
        <v>1907</v>
      </c>
      <c r="B1469" s="251"/>
      <c r="C1469" s="532" t="s">
        <v>1986</v>
      </c>
      <c r="D1469" s="532" t="s">
        <v>224</v>
      </c>
      <c r="E1469" s="251" t="s">
        <v>1901</v>
      </c>
      <c r="F1469" s="304">
        <f>M1469+O1469+Q1469+S1469+U1469+W1469+Y1469</f>
        <v>0</v>
      </c>
      <c r="G1469" s="253">
        <f>L1469</f>
        <v>275.58</v>
      </c>
      <c r="H1469" s="254">
        <f>F1469*G1469</f>
        <v>0</v>
      </c>
      <c r="I1469" s="253">
        <f>N1469+P1469+R1469+T1469+V1469+X1469+Z1469</f>
        <v>0</v>
      </c>
      <c r="J1469" s="253"/>
      <c r="K1469" s="251" t="s">
        <v>1901</v>
      </c>
      <c r="L1469" s="666">
        <v>275.58</v>
      </c>
      <c r="M1469" s="258">
        <v>0</v>
      </c>
      <c r="N1469" s="257">
        <f>INT($L1469*M1469*100+0.5)/100</f>
        <v>0</v>
      </c>
      <c r="O1469" s="258">
        <v>0</v>
      </c>
      <c r="P1469" s="257">
        <f>INT($L1469*O1469*100+0.5)/100</f>
        <v>0</v>
      </c>
      <c r="Q1469" s="258">
        <v>0</v>
      </c>
      <c r="R1469" s="257">
        <f>INT($L1469*Q1469*100+0.5)/100</f>
        <v>0</v>
      </c>
      <c r="S1469" s="258">
        <v>0</v>
      </c>
      <c r="T1469" s="257">
        <f>INT($L1469*S1469*100+0.5)/100</f>
        <v>0</v>
      </c>
      <c r="U1469" s="258">
        <v>0</v>
      </c>
      <c r="V1469" s="257">
        <f>INT($L1469*U1469*100+0.5)/100</f>
        <v>0</v>
      </c>
      <c r="W1469" s="258">
        <v>0</v>
      </c>
      <c r="X1469" s="257">
        <f>INT($L1469*W1469*100+0.5)/100</f>
        <v>0</v>
      </c>
      <c r="Y1469" s="258">
        <v>0</v>
      </c>
      <c r="Z1469" s="257">
        <f>INT($L1469*Y1469*100+0.5)/100</f>
        <v>0</v>
      </c>
    </row>
    <row r="1470" spans="1:26" ht="15" hidden="1">
      <c r="A1470" s="250" t="s">
        <v>542</v>
      </c>
      <c r="B1470" s="251"/>
      <c r="C1470" s="532" t="s">
        <v>1987</v>
      </c>
      <c r="D1470" s="532" t="s">
        <v>235</v>
      </c>
      <c r="E1470" s="251" t="s">
        <v>1901</v>
      </c>
      <c r="F1470" s="304">
        <f>M1470+O1470+Q1470+S1470+U1470+W1470+Y1470</f>
        <v>0</v>
      </c>
      <c r="G1470" s="253">
        <f>L1470</f>
        <v>325.26</v>
      </c>
      <c r="H1470" s="254">
        <f>F1470*G1470</f>
        <v>0</v>
      </c>
      <c r="I1470" s="253">
        <f>N1470+P1470+R1470+T1470+V1470+X1470+Z1470</f>
        <v>0</v>
      </c>
      <c r="J1470" s="253"/>
      <c r="K1470" s="251" t="s">
        <v>1901</v>
      </c>
      <c r="L1470" s="666">
        <v>325.26</v>
      </c>
      <c r="M1470" s="258">
        <v>0</v>
      </c>
      <c r="N1470" s="257">
        <f>INT($L1470*M1470*100+0.5)/100</f>
        <v>0</v>
      </c>
      <c r="O1470" s="258">
        <v>0</v>
      </c>
      <c r="P1470" s="257">
        <f>INT($L1470*O1470*100+0.5)/100</f>
        <v>0</v>
      </c>
      <c r="Q1470" s="258">
        <v>0</v>
      </c>
      <c r="R1470" s="257">
        <f>INT($L1470*Q1470*100+0.5)/100</f>
        <v>0</v>
      </c>
      <c r="S1470" s="258">
        <v>0</v>
      </c>
      <c r="T1470" s="257">
        <f>INT($L1470*S1470*100+0.5)/100</f>
        <v>0</v>
      </c>
      <c r="U1470" s="258">
        <v>0</v>
      </c>
      <c r="V1470" s="257">
        <f>INT($L1470*U1470*100+0.5)/100</f>
        <v>0</v>
      </c>
      <c r="W1470" s="258">
        <v>0</v>
      </c>
      <c r="X1470" s="257">
        <f>INT($L1470*W1470*100+0.5)/100</f>
        <v>0</v>
      </c>
      <c r="Y1470" s="258">
        <v>0</v>
      </c>
      <c r="Z1470" s="257">
        <f>INT($L1470*Y1470*100+0.5)/100</f>
        <v>0</v>
      </c>
    </row>
    <row r="1471" spans="1:26" ht="15" hidden="1">
      <c r="A1471" s="250" t="s">
        <v>543</v>
      </c>
      <c r="B1471" s="251"/>
      <c r="C1471" s="532" t="s">
        <v>1988</v>
      </c>
      <c r="D1471" s="532" t="s">
        <v>236</v>
      </c>
      <c r="E1471" s="251" t="s">
        <v>1901</v>
      </c>
      <c r="F1471" s="304">
        <f>M1471+O1471+Q1471+S1471+U1471+W1471+Y1471</f>
        <v>0</v>
      </c>
      <c r="G1471" s="253">
        <f>L1471</f>
        <v>397.45</v>
      </c>
      <c r="H1471" s="254">
        <f>F1471*G1471</f>
        <v>0</v>
      </c>
      <c r="I1471" s="253">
        <f>N1471+P1471+R1471+T1471+V1471+X1471+Z1471</f>
        <v>0</v>
      </c>
      <c r="J1471" s="253"/>
      <c r="K1471" s="251" t="s">
        <v>1901</v>
      </c>
      <c r="L1471" s="666">
        <v>397.45</v>
      </c>
      <c r="M1471" s="258">
        <v>0</v>
      </c>
      <c r="N1471" s="257">
        <f>INT($L1471*M1471*100+0.5)/100</f>
        <v>0</v>
      </c>
      <c r="O1471" s="258">
        <v>0</v>
      </c>
      <c r="P1471" s="257">
        <f>INT($L1471*O1471*100+0.5)/100</f>
        <v>0</v>
      </c>
      <c r="Q1471" s="258">
        <v>0</v>
      </c>
      <c r="R1471" s="257">
        <f>INT($L1471*Q1471*100+0.5)/100</f>
        <v>0</v>
      </c>
      <c r="S1471" s="258">
        <v>0</v>
      </c>
      <c r="T1471" s="257">
        <f>INT($L1471*S1471*100+0.5)/100</f>
        <v>0</v>
      </c>
      <c r="U1471" s="258">
        <v>0</v>
      </c>
      <c r="V1471" s="257">
        <f>INT($L1471*U1471*100+0.5)/100</f>
        <v>0</v>
      </c>
      <c r="W1471" s="258">
        <v>0</v>
      </c>
      <c r="X1471" s="257">
        <f>INT($L1471*W1471*100+0.5)/100</f>
        <v>0</v>
      </c>
      <c r="Y1471" s="258">
        <v>0</v>
      </c>
      <c r="Z1471" s="257">
        <f>INT($L1471*Y1471*100+0.5)/100</f>
        <v>0</v>
      </c>
    </row>
    <row r="1472" spans="1:26" ht="15" hidden="1">
      <c r="A1472" s="250" t="s">
        <v>544</v>
      </c>
      <c r="B1472" s="251"/>
      <c r="C1472" s="532" t="s">
        <v>1989</v>
      </c>
      <c r="D1472" s="532" t="s">
        <v>241</v>
      </c>
      <c r="E1472" s="251" t="s">
        <v>1901</v>
      </c>
      <c r="F1472" s="304">
        <f>M1472+O1472+Q1472+S1472+U1472+W1472+Y1472</f>
        <v>0</v>
      </c>
      <c r="G1472" s="253">
        <f>L1472</f>
        <v>494.01</v>
      </c>
      <c r="H1472" s="244">
        <f>F1472*G1472</f>
        <v>0</v>
      </c>
      <c r="I1472" s="253">
        <f>N1472+P1472+R1472+T1472+V1472+X1472+Z1472</f>
        <v>0</v>
      </c>
      <c r="J1472" s="253"/>
      <c r="K1472" s="251" t="s">
        <v>1901</v>
      </c>
      <c r="L1472" s="666">
        <v>494.01</v>
      </c>
      <c r="M1472" s="258">
        <v>0</v>
      </c>
      <c r="N1472" s="257">
        <f>INT($L1472*M1472*100+0.5)/100</f>
        <v>0</v>
      </c>
      <c r="O1472" s="258">
        <v>0</v>
      </c>
      <c r="P1472" s="257">
        <f>INT($L1472*O1472*100+0.5)/100</f>
        <v>0</v>
      </c>
      <c r="Q1472" s="258">
        <v>0</v>
      </c>
      <c r="R1472" s="257">
        <f>INT($L1472*Q1472*100+0.5)/100</f>
        <v>0</v>
      </c>
      <c r="S1472" s="258">
        <v>0</v>
      </c>
      <c r="T1472" s="257">
        <f>INT($L1472*S1472*100+0.5)/100</f>
        <v>0</v>
      </c>
      <c r="U1472" s="258">
        <v>0</v>
      </c>
      <c r="V1472" s="257">
        <f>INT($L1472*U1472*100+0.5)/100</f>
        <v>0</v>
      </c>
      <c r="W1472" s="258">
        <v>0</v>
      </c>
      <c r="X1472" s="257">
        <f>INT($L1472*W1472*100+0.5)/100</f>
        <v>0</v>
      </c>
      <c r="Y1472" s="258">
        <v>0</v>
      </c>
      <c r="Z1472" s="257">
        <f>INT($L1472*Y1472*100+0.5)/100</f>
        <v>0</v>
      </c>
    </row>
    <row r="1473" spans="1:26" ht="15" hidden="1">
      <c r="A1473" s="250"/>
      <c r="B1473" s="251"/>
      <c r="C1473" s="540"/>
      <c r="D1473" s="292"/>
      <c r="E1473" s="251"/>
      <c r="F1473" s="252"/>
      <c r="G1473" s="253"/>
      <c r="H1473" s="254"/>
      <c r="I1473" s="253"/>
      <c r="J1473" s="253"/>
      <c r="K1473" s="251"/>
      <c r="L1473" s="666"/>
      <c r="M1473" s="258"/>
      <c r="N1473" s="257"/>
      <c r="O1473" s="258"/>
      <c r="P1473" s="257"/>
      <c r="Q1473" s="258"/>
      <c r="R1473" s="257"/>
      <c r="S1473" s="258"/>
      <c r="T1473" s="257"/>
      <c r="U1473" s="258"/>
      <c r="V1473" s="257"/>
      <c r="W1473" s="258"/>
      <c r="X1473" s="257"/>
      <c r="Y1473" s="258"/>
      <c r="Z1473" s="257"/>
    </row>
    <row r="1474" spans="1:26" ht="15" hidden="1">
      <c r="A1474" s="250">
        <f>A1466+1</f>
        <v>259</v>
      </c>
      <c r="B1474" s="251"/>
      <c r="C1474" s="532" t="s">
        <v>240</v>
      </c>
      <c r="D1474" s="532" t="s">
        <v>239</v>
      </c>
      <c r="E1474" s="251"/>
      <c r="F1474" s="252"/>
      <c r="G1474" s="253"/>
      <c r="H1474" s="254"/>
      <c r="I1474" s="253"/>
      <c r="J1474" s="253"/>
      <c r="K1474" s="251"/>
      <c r="L1474" s="666"/>
      <c r="M1474" s="258"/>
      <c r="N1474" s="257"/>
      <c r="O1474" s="258"/>
      <c r="P1474" s="257"/>
      <c r="Q1474" s="258"/>
      <c r="R1474" s="257"/>
      <c r="S1474" s="258"/>
      <c r="T1474" s="257"/>
      <c r="U1474" s="258"/>
      <c r="V1474" s="257"/>
      <c r="W1474" s="258"/>
      <c r="X1474" s="257"/>
      <c r="Y1474" s="258"/>
      <c r="Z1474" s="257"/>
    </row>
    <row r="1475" spans="1:26" ht="15" hidden="1">
      <c r="A1475" s="250"/>
      <c r="B1475" s="251"/>
      <c r="C1475" s="540"/>
      <c r="D1475" s="532" t="s">
        <v>238</v>
      </c>
      <c r="E1475" s="251"/>
      <c r="F1475" s="252"/>
      <c r="G1475" s="253"/>
      <c r="H1475" s="254"/>
      <c r="I1475" s="253"/>
      <c r="J1475" s="253"/>
      <c r="K1475" s="251"/>
      <c r="L1475" s="666"/>
      <c r="M1475" s="258"/>
      <c r="N1475" s="257"/>
      <c r="O1475" s="258"/>
      <c r="P1475" s="257"/>
      <c r="Q1475" s="258"/>
      <c r="R1475" s="257"/>
      <c r="S1475" s="258"/>
      <c r="T1475" s="257"/>
      <c r="U1475" s="258"/>
      <c r="V1475" s="257"/>
      <c r="W1475" s="258"/>
      <c r="X1475" s="257"/>
      <c r="Y1475" s="258"/>
      <c r="Z1475" s="257"/>
    </row>
    <row r="1476" spans="1:26" ht="15" hidden="1">
      <c r="A1476" s="250"/>
      <c r="B1476" s="251"/>
      <c r="C1476" s="532" t="s">
        <v>1990</v>
      </c>
      <c r="D1476" s="532" t="s">
        <v>224</v>
      </c>
      <c r="E1476" s="251" t="s">
        <v>1901</v>
      </c>
      <c r="F1476" s="304">
        <f>M1476+O1476+Q1476+S1476+U1476+W1476+Y1476</f>
        <v>0</v>
      </c>
      <c r="G1476" s="253">
        <f>L1476</f>
        <v>145.74</v>
      </c>
      <c r="H1476" s="254">
        <f t="shared" ref="H1476:H1484" si="253">F1476*G1476</f>
        <v>0</v>
      </c>
      <c r="I1476" s="253">
        <f>N1476+P1476+R1476+T1476+V1476+X1476+Z1476</f>
        <v>0</v>
      </c>
      <c r="J1476" s="253"/>
      <c r="K1476" s="251" t="s">
        <v>1901</v>
      </c>
      <c r="L1476" s="666">
        <v>145.74</v>
      </c>
      <c r="M1476" s="258">
        <v>0</v>
      </c>
      <c r="N1476" s="257">
        <f>INT($L1476*M1476*100+0.5)/100</f>
        <v>0</v>
      </c>
      <c r="O1476" s="258">
        <v>0</v>
      </c>
      <c r="P1476" s="257">
        <f>INT($L1476*O1476*100+0.5)/100</f>
        <v>0</v>
      </c>
      <c r="Q1476" s="258">
        <v>0</v>
      </c>
      <c r="R1476" s="257">
        <f>INT($L1476*Q1476*100+0.5)/100</f>
        <v>0</v>
      </c>
      <c r="S1476" s="258">
        <v>0</v>
      </c>
      <c r="T1476" s="257">
        <f>INT($L1476*S1476*100+0.5)/100</f>
        <v>0</v>
      </c>
      <c r="U1476" s="258">
        <v>0</v>
      </c>
      <c r="V1476" s="257">
        <f>INT($L1476*U1476*100+0.5)/100</f>
        <v>0</v>
      </c>
      <c r="W1476" s="258">
        <v>0</v>
      </c>
      <c r="X1476" s="257">
        <f>INT($L1476*W1476*100+0.5)/100</f>
        <v>0</v>
      </c>
      <c r="Y1476" s="258">
        <v>0</v>
      </c>
      <c r="Z1476" s="257">
        <f>INT($L1476*Y1476*100+0.5)/100</f>
        <v>0</v>
      </c>
    </row>
    <row r="1477" spans="1:26" ht="15" hidden="1">
      <c r="A1477" s="250"/>
      <c r="B1477" s="251"/>
      <c r="C1477" s="532" t="s">
        <v>1991</v>
      </c>
      <c r="D1477" s="532" t="s">
        <v>235</v>
      </c>
      <c r="E1477" s="251" t="s">
        <v>1901</v>
      </c>
      <c r="F1477" s="304">
        <f>M1477+O1477+Q1477+S1477+U1477+W1477+Y1477</f>
        <v>0</v>
      </c>
      <c r="G1477" s="253">
        <f>L1477</f>
        <v>155.68</v>
      </c>
      <c r="H1477" s="254">
        <f t="shared" si="253"/>
        <v>0</v>
      </c>
      <c r="I1477" s="253">
        <f>N1477+P1477+R1477+T1477+V1477+X1477+Z1477</f>
        <v>0</v>
      </c>
      <c r="J1477" s="253"/>
      <c r="K1477" s="251" t="s">
        <v>1901</v>
      </c>
      <c r="L1477" s="666">
        <v>155.68</v>
      </c>
      <c r="M1477" s="258">
        <v>0</v>
      </c>
      <c r="N1477" s="257">
        <f>INT($L1477*M1477*100+0.5)/100</f>
        <v>0</v>
      </c>
      <c r="O1477" s="258">
        <v>0</v>
      </c>
      <c r="P1477" s="257">
        <f>INT($L1477*O1477*100+0.5)/100</f>
        <v>0</v>
      </c>
      <c r="Q1477" s="258">
        <v>0</v>
      </c>
      <c r="R1477" s="257">
        <f>INT($L1477*Q1477*100+0.5)/100</f>
        <v>0</v>
      </c>
      <c r="S1477" s="258">
        <v>0</v>
      </c>
      <c r="T1477" s="257">
        <f>INT($L1477*S1477*100+0.5)/100</f>
        <v>0</v>
      </c>
      <c r="U1477" s="258">
        <v>0</v>
      </c>
      <c r="V1477" s="257">
        <f>INT($L1477*U1477*100+0.5)/100</f>
        <v>0</v>
      </c>
      <c r="W1477" s="258">
        <v>0</v>
      </c>
      <c r="X1477" s="257">
        <f>INT($L1477*W1477*100+0.5)/100</f>
        <v>0</v>
      </c>
      <c r="Y1477" s="258">
        <v>0</v>
      </c>
      <c r="Z1477" s="257">
        <f>INT($L1477*Y1477*100+0.5)/100</f>
        <v>0</v>
      </c>
    </row>
    <row r="1478" spans="1:26" ht="15" hidden="1">
      <c r="A1478" s="250"/>
      <c r="B1478" s="251"/>
      <c r="C1478" s="532" t="s">
        <v>1992</v>
      </c>
      <c r="D1478" s="532" t="s">
        <v>236</v>
      </c>
      <c r="E1478" s="251" t="s">
        <v>1901</v>
      </c>
      <c r="F1478" s="304">
        <f>M1478+O1478+Q1478+S1478+U1478+W1478+Y1478</f>
        <v>0</v>
      </c>
      <c r="G1478" s="253">
        <f>L1478</f>
        <v>181.47</v>
      </c>
      <c r="H1478" s="254">
        <f t="shared" si="253"/>
        <v>0</v>
      </c>
      <c r="I1478" s="253">
        <f>N1478+P1478+R1478+T1478+V1478+X1478+Z1478</f>
        <v>0</v>
      </c>
      <c r="J1478" s="253"/>
      <c r="K1478" s="251" t="s">
        <v>1901</v>
      </c>
      <c r="L1478" s="666">
        <v>181.47</v>
      </c>
      <c r="M1478" s="258">
        <v>0</v>
      </c>
      <c r="N1478" s="257">
        <f>INT($L1478*M1478*100+0.5)/100</f>
        <v>0</v>
      </c>
      <c r="O1478" s="258">
        <v>0</v>
      </c>
      <c r="P1478" s="257">
        <f>INT($L1478*O1478*100+0.5)/100</f>
        <v>0</v>
      </c>
      <c r="Q1478" s="258">
        <v>0</v>
      </c>
      <c r="R1478" s="257">
        <f>INT($L1478*Q1478*100+0.5)/100</f>
        <v>0</v>
      </c>
      <c r="S1478" s="258">
        <v>0</v>
      </c>
      <c r="T1478" s="257">
        <f>INT($L1478*S1478*100+0.5)/100</f>
        <v>0</v>
      </c>
      <c r="U1478" s="258">
        <v>0</v>
      </c>
      <c r="V1478" s="257">
        <f>INT($L1478*U1478*100+0.5)/100</f>
        <v>0</v>
      </c>
      <c r="W1478" s="258">
        <v>0</v>
      </c>
      <c r="X1478" s="257">
        <f>INT($L1478*W1478*100+0.5)/100</f>
        <v>0</v>
      </c>
      <c r="Y1478" s="258">
        <v>0</v>
      </c>
      <c r="Z1478" s="257">
        <f>INT($L1478*Y1478*100+0.5)/100</f>
        <v>0</v>
      </c>
    </row>
    <row r="1479" spans="1:26" ht="15" hidden="1">
      <c r="A1479" s="250"/>
      <c r="B1479" s="251"/>
      <c r="C1479" s="532" t="s">
        <v>1993</v>
      </c>
      <c r="D1479" s="532" t="s">
        <v>241</v>
      </c>
      <c r="E1479" s="251" t="s">
        <v>1901</v>
      </c>
      <c r="F1479" s="304">
        <f>M1479+O1479+Q1479+S1479+U1479+W1479+Y1479</f>
        <v>0</v>
      </c>
      <c r="G1479" s="253">
        <f>L1479</f>
        <v>204.32</v>
      </c>
      <c r="H1479" s="254">
        <f t="shared" si="253"/>
        <v>0</v>
      </c>
      <c r="I1479" s="253">
        <f>N1479+P1479+R1479+T1479+V1479+X1479+Z1479</f>
        <v>0</v>
      </c>
      <c r="J1479" s="253"/>
      <c r="K1479" s="251" t="s">
        <v>1901</v>
      </c>
      <c r="L1479" s="666">
        <v>204.32</v>
      </c>
      <c r="M1479" s="258">
        <v>0</v>
      </c>
      <c r="N1479" s="257">
        <f>INT($L1479*M1479*100+0.5)/100</f>
        <v>0</v>
      </c>
      <c r="O1479" s="258">
        <v>0</v>
      </c>
      <c r="P1479" s="257">
        <f>INT($L1479*O1479*100+0.5)/100</f>
        <v>0</v>
      </c>
      <c r="Q1479" s="258">
        <v>0</v>
      </c>
      <c r="R1479" s="257">
        <f>INT($L1479*Q1479*100+0.5)/100</f>
        <v>0</v>
      </c>
      <c r="S1479" s="258">
        <v>0</v>
      </c>
      <c r="T1479" s="257">
        <f>INT($L1479*S1479*100+0.5)/100</f>
        <v>0</v>
      </c>
      <c r="U1479" s="258">
        <v>0</v>
      </c>
      <c r="V1479" s="257">
        <f>INT($L1479*U1479*100+0.5)/100</f>
        <v>0</v>
      </c>
      <c r="W1479" s="258">
        <v>0</v>
      </c>
      <c r="X1479" s="257">
        <f>INT($L1479*W1479*100+0.5)/100</f>
        <v>0</v>
      </c>
      <c r="Y1479" s="258">
        <v>0</v>
      </c>
      <c r="Z1479" s="257">
        <f>INT($L1479*Y1479*100+0.5)/100</f>
        <v>0</v>
      </c>
    </row>
    <row r="1480" spans="1:26" ht="15" hidden="1">
      <c r="A1480" s="250"/>
      <c r="B1480" s="251"/>
      <c r="C1480" s="540"/>
      <c r="D1480" s="292"/>
      <c r="E1480" s="251"/>
      <c r="F1480" s="252"/>
      <c r="G1480" s="253"/>
      <c r="H1480" s="254"/>
      <c r="I1480" s="253"/>
      <c r="J1480" s="253"/>
      <c r="K1480" s="251"/>
      <c r="L1480" s="666"/>
      <c r="M1480" s="258"/>
      <c r="N1480" s="257"/>
      <c r="O1480" s="258"/>
      <c r="P1480" s="257"/>
      <c r="Q1480" s="258"/>
      <c r="R1480" s="257"/>
      <c r="S1480" s="258"/>
      <c r="T1480" s="257"/>
      <c r="U1480" s="258"/>
      <c r="V1480" s="257"/>
      <c r="W1480" s="258"/>
      <c r="X1480" s="257"/>
      <c r="Y1480" s="258"/>
      <c r="Z1480" s="257"/>
    </row>
    <row r="1481" spans="1:26" ht="15" hidden="1">
      <c r="A1481" s="250">
        <f>A1474+1</f>
        <v>260</v>
      </c>
      <c r="B1481" s="251"/>
      <c r="C1481" s="532" t="s">
        <v>244</v>
      </c>
      <c r="D1481" s="532" t="s">
        <v>243</v>
      </c>
      <c r="E1481" s="251"/>
      <c r="F1481" s="304">
        <f>M1481+O1481+Q1481+S1481+U1481+W1481+Y1481</f>
        <v>0</v>
      </c>
      <c r="G1481" s="253">
        <f>L1481</f>
        <v>124.54</v>
      </c>
      <c r="H1481" s="254">
        <f>F1481*G1481</f>
        <v>0</v>
      </c>
      <c r="I1481" s="253">
        <f>N1481+P1481+R1481+T1481+V1481+X1481+Z1481</f>
        <v>0</v>
      </c>
      <c r="J1481" s="253"/>
      <c r="K1481" s="251"/>
      <c r="L1481" s="666">
        <v>124.54</v>
      </c>
      <c r="M1481" s="258">
        <v>0</v>
      </c>
      <c r="N1481" s="257">
        <f>INT($L1481*M1481*100+0.5)/100</f>
        <v>0</v>
      </c>
      <c r="O1481" s="258">
        <v>0</v>
      </c>
      <c r="P1481" s="257">
        <f>INT($L1481*O1481*100+0.5)/100</f>
        <v>0</v>
      </c>
      <c r="Q1481" s="258">
        <v>0</v>
      </c>
      <c r="R1481" s="257">
        <f>INT($L1481*Q1481*100+0.5)/100</f>
        <v>0</v>
      </c>
      <c r="S1481" s="258">
        <v>0</v>
      </c>
      <c r="T1481" s="257">
        <f>INT($L1481*S1481*100+0.5)/100</f>
        <v>0</v>
      </c>
      <c r="U1481" s="258">
        <v>0</v>
      </c>
      <c r="V1481" s="257">
        <f>INT($L1481*U1481*100+0.5)/100</f>
        <v>0</v>
      </c>
      <c r="W1481" s="258">
        <v>0</v>
      </c>
      <c r="X1481" s="257">
        <f>INT($L1481*W1481*100+0.5)/100</f>
        <v>0</v>
      </c>
      <c r="Y1481" s="258">
        <v>0</v>
      </c>
      <c r="Z1481" s="257">
        <f>INT($L1481*Y1481*100+0.5)/100</f>
        <v>0</v>
      </c>
    </row>
    <row r="1482" spans="1:26" ht="15" hidden="1">
      <c r="A1482" s="250"/>
      <c r="B1482" s="251"/>
      <c r="C1482" s="540"/>
      <c r="D1482" s="532" t="s">
        <v>242</v>
      </c>
      <c r="E1482" s="251"/>
      <c r="F1482" s="252"/>
      <c r="G1482" s="253"/>
      <c r="H1482" s="254"/>
      <c r="I1482" s="253"/>
      <c r="J1482" s="253"/>
      <c r="K1482" s="251"/>
      <c r="L1482" s="666"/>
      <c r="M1482" s="258"/>
      <c r="N1482" s="257"/>
      <c r="O1482" s="258"/>
      <c r="P1482" s="257"/>
      <c r="Q1482" s="258"/>
      <c r="R1482" s="257"/>
      <c r="S1482" s="258"/>
      <c r="T1482" s="257"/>
      <c r="U1482" s="258"/>
      <c r="V1482" s="257"/>
      <c r="W1482" s="258"/>
      <c r="X1482" s="257"/>
      <c r="Y1482" s="258"/>
      <c r="Z1482" s="257"/>
    </row>
    <row r="1483" spans="1:26" ht="15" hidden="1">
      <c r="A1483" s="250"/>
      <c r="B1483" s="251"/>
      <c r="C1483" s="540"/>
      <c r="D1483" s="292"/>
      <c r="E1483" s="251"/>
      <c r="F1483" s="252"/>
      <c r="G1483" s="253"/>
      <c r="H1483" s="254"/>
      <c r="I1483" s="253"/>
      <c r="J1483" s="253"/>
      <c r="K1483" s="251"/>
      <c r="L1483" s="666"/>
      <c r="M1483" s="258"/>
      <c r="N1483" s="257"/>
      <c r="O1483" s="258"/>
      <c r="P1483" s="257"/>
      <c r="Q1483" s="258"/>
      <c r="R1483" s="257"/>
      <c r="S1483" s="258"/>
      <c r="T1483" s="257"/>
      <c r="U1483" s="258"/>
      <c r="V1483" s="257"/>
      <c r="W1483" s="258"/>
      <c r="X1483" s="257"/>
      <c r="Y1483" s="258"/>
      <c r="Z1483" s="257"/>
    </row>
    <row r="1484" spans="1:26" ht="15" hidden="1">
      <c r="A1484" s="250">
        <f>A1481+1</f>
        <v>261</v>
      </c>
      <c r="B1484" s="251"/>
      <c r="C1484" s="532" t="s">
        <v>454</v>
      </c>
      <c r="D1484" s="532" t="s">
        <v>455</v>
      </c>
      <c r="E1484" s="251" t="s">
        <v>1901</v>
      </c>
      <c r="F1484" s="304">
        <f>M1484+O1484+Q1484+S1484+U1484+W1484+Y1484</f>
        <v>0</v>
      </c>
      <c r="G1484" s="253">
        <f>L1484</f>
        <v>500</v>
      </c>
      <c r="H1484" s="254">
        <f t="shared" si="253"/>
        <v>0</v>
      </c>
      <c r="I1484" s="253">
        <f>N1484+P1484+R1484+T1484+V1484+X1484+Z1484</f>
        <v>0</v>
      </c>
      <c r="J1484" s="253"/>
      <c r="K1484" s="251" t="s">
        <v>1901</v>
      </c>
      <c r="L1484" s="666">
        <v>500</v>
      </c>
      <c r="M1484" s="258">
        <v>0</v>
      </c>
      <c r="N1484" s="257">
        <f>INT($L1484*M1484*100+0.5)/100</f>
        <v>0</v>
      </c>
      <c r="O1484" s="258">
        <v>0</v>
      </c>
      <c r="P1484" s="257">
        <f>INT($L1484*O1484*100+0.5)/100</f>
        <v>0</v>
      </c>
      <c r="Q1484" s="258">
        <v>0</v>
      </c>
      <c r="R1484" s="257">
        <f>INT($L1484*Q1484*100+0.5)/100</f>
        <v>0</v>
      </c>
      <c r="S1484" s="258">
        <v>0</v>
      </c>
      <c r="T1484" s="257">
        <f>INT($L1484*S1484*100+0.5)/100</f>
        <v>0</v>
      </c>
      <c r="U1484" s="258">
        <v>0</v>
      </c>
      <c r="V1484" s="257">
        <f>INT($L1484*U1484*100+0.5)/100</f>
        <v>0</v>
      </c>
      <c r="W1484" s="258">
        <v>0</v>
      </c>
      <c r="X1484" s="257">
        <f>INT($L1484*W1484*100+0.5)/100</f>
        <v>0</v>
      </c>
      <c r="Y1484" s="258">
        <v>0</v>
      </c>
      <c r="Z1484" s="257">
        <f>INT($L1484*Y1484*100+0.5)/100</f>
        <v>0</v>
      </c>
    </row>
    <row r="1485" spans="1:26" ht="15" hidden="1">
      <c r="A1485" s="250"/>
      <c r="B1485" s="251"/>
      <c r="C1485" s="540"/>
      <c r="D1485" s="532" t="s">
        <v>456</v>
      </c>
      <c r="E1485" s="251"/>
      <c r="F1485" s="252"/>
      <c r="G1485" s="253"/>
      <c r="H1485" s="254"/>
      <c r="I1485" s="253"/>
      <c r="J1485" s="253"/>
      <c r="K1485" s="251"/>
      <c r="L1485" s="666"/>
      <c r="M1485" s="258"/>
      <c r="N1485" s="257"/>
      <c r="O1485" s="258"/>
      <c r="P1485" s="257"/>
      <c r="Q1485" s="258"/>
      <c r="R1485" s="257"/>
      <c r="S1485" s="258"/>
      <c r="T1485" s="257"/>
      <c r="U1485" s="258"/>
      <c r="V1485" s="257"/>
      <c r="W1485" s="258"/>
      <c r="X1485" s="257"/>
      <c r="Y1485" s="258"/>
      <c r="Z1485" s="257"/>
    </row>
    <row r="1486" spans="1:26" ht="15" hidden="1">
      <c r="A1486" s="250"/>
      <c r="B1486" s="251"/>
      <c r="C1486" s="540"/>
      <c r="D1486" s="292"/>
      <c r="E1486" s="251"/>
      <c r="F1486" s="252"/>
      <c r="G1486" s="253"/>
      <c r="H1486" s="254"/>
      <c r="I1486" s="253"/>
      <c r="J1486" s="253"/>
      <c r="K1486" s="251"/>
      <c r="L1486" s="666"/>
      <c r="M1486" s="258"/>
      <c r="N1486" s="257"/>
      <c r="O1486" s="258"/>
      <c r="P1486" s="257"/>
      <c r="Q1486" s="258"/>
      <c r="R1486" s="257"/>
      <c r="S1486" s="258"/>
      <c r="T1486" s="257"/>
      <c r="U1486" s="258"/>
      <c r="V1486" s="257"/>
      <c r="W1486" s="258"/>
      <c r="X1486" s="257"/>
      <c r="Y1486" s="258"/>
      <c r="Z1486" s="257"/>
    </row>
    <row r="1487" spans="1:26" ht="15" hidden="1">
      <c r="A1487" s="250">
        <f>A1484+1</f>
        <v>262</v>
      </c>
      <c r="B1487" s="251"/>
      <c r="C1487" s="532" t="s">
        <v>1996</v>
      </c>
      <c r="D1487" s="532" t="s">
        <v>1882</v>
      </c>
      <c r="E1487" s="251" t="s">
        <v>1439</v>
      </c>
      <c r="F1487" s="304">
        <f>M1487+O1487+Q1487+S1487+U1487+W1487+Y1487</f>
        <v>0</v>
      </c>
      <c r="G1487" s="253">
        <f>L1487</f>
        <v>5.3</v>
      </c>
      <c r="H1487" s="254">
        <f>F1487*G1487</f>
        <v>0</v>
      </c>
      <c r="I1487" s="253">
        <f>N1487+P1487+R1487+T1487+V1487+X1487+Z1487</f>
        <v>0</v>
      </c>
      <c r="J1487" s="253"/>
      <c r="K1487" s="251" t="s">
        <v>1439</v>
      </c>
      <c r="L1487" s="666">
        <v>5.3</v>
      </c>
      <c r="M1487" s="258">
        <v>0</v>
      </c>
      <c r="N1487" s="257">
        <f>INT($L1487*M1487*100+0.5)/100</f>
        <v>0</v>
      </c>
      <c r="O1487" s="258">
        <v>0</v>
      </c>
      <c r="P1487" s="257">
        <f>INT($L1487*O1487*100+0.5)/100</f>
        <v>0</v>
      </c>
      <c r="Q1487" s="258">
        <v>0</v>
      </c>
      <c r="R1487" s="257">
        <f>INT($L1487*Q1487*100+0.5)/100</f>
        <v>0</v>
      </c>
      <c r="S1487" s="258">
        <v>0</v>
      </c>
      <c r="T1487" s="257">
        <f>INT($L1487*S1487*100+0.5)/100</f>
        <v>0</v>
      </c>
      <c r="U1487" s="258">
        <v>0</v>
      </c>
      <c r="V1487" s="257">
        <f>INT($L1487*U1487*100+0.5)/100</f>
        <v>0</v>
      </c>
      <c r="W1487" s="258">
        <v>0</v>
      </c>
      <c r="X1487" s="257">
        <f>INT($L1487*W1487*100+0.5)/100</f>
        <v>0</v>
      </c>
      <c r="Y1487" s="258">
        <v>0</v>
      </c>
      <c r="Z1487" s="257">
        <f>INT($L1487*Y1487*100+0.5)/100</f>
        <v>0</v>
      </c>
    </row>
    <row r="1488" spans="1:26" ht="15" hidden="1">
      <c r="A1488" s="250"/>
      <c r="B1488" s="251"/>
      <c r="C1488" s="540"/>
      <c r="D1488" s="532" t="s">
        <v>1883</v>
      </c>
      <c r="E1488" s="251"/>
      <c r="F1488" s="252"/>
      <c r="G1488" s="253"/>
      <c r="H1488" s="254"/>
      <c r="I1488" s="253"/>
      <c r="J1488" s="253"/>
      <c r="K1488" s="251"/>
      <c r="L1488" s="666"/>
      <c r="M1488" s="258"/>
      <c r="N1488" s="257"/>
      <c r="O1488" s="258"/>
      <c r="P1488" s="257"/>
      <c r="Q1488" s="258"/>
      <c r="R1488" s="257"/>
      <c r="S1488" s="258"/>
      <c r="T1488" s="257"/>
      <c r="U1488" s="258"/>
      <c r="V1488" s="257"/>
      <c r="W1488" s="258"/>
      <c r="X1488" s="257"/>
      <c r="Y1488" s="258"/>
      <c r="Z1488" s="257"/>
    </row>
    <row r="1489" spans="1:26" ht="15" hidden="1">
      <c r="A1489" s="250"/>
      <c r="B1489" s="251"/>
      <c r="C1489" s="540"/>
      <c r="D1489" s="292"/>
      <c r="E1489" s="307"/>
      <c r="F1489" s="304"/>
      <c r="G1489" s="253"/>
      <c r="H1489" s="254"/>
      <c r="I1489" s="253"/>
      <c r="J1489" s="253"/>
      <c r="K1489" s="307"/>
      <c r="L1489" s="666"/>
      <c r="M1489" s="258"/>
      <c r="N1489" s="257"/>
      <c r="O1489" s="258"/>
      <c r="P1489" s="257"/>
      <c r="Q1489" s="258"/>
      <c r="R1489" s="257"/>
      <c r="S1489" s="258"/>
      <c r="T1489" s="257"/>
      <c r="U1489" s="258"/>
      <c r="V1489" s="257"/>
      <c r="W1489" s="258"/>
      <c r="X1489" s="257"/>
      <c r="Y1489" s="258"/>
      <c r="Z1489" s="257"/>
    </row>
    <row r="1490" spans="1:26" ht="15" hidden="1">
      <c r="A1490" s="250">
        <f>A1487+1</f>
        <v>263</v>
      </c>
      <c r="B1490" s="251"/>
      <c r="C1490" s="532" t="s">
        <v>1995</v>
      </c>
      <c r="D1490" s="532" t="s">
        <v>246</v>
      </c>
      <c r="E1490" s="251" t="s">
        <v>1439</v>
      </c>
      <c r="F1490" s="304">
        <f>M1490+O1490+Q1490+S1490+U1490+W1490+Y1490</f>
        <v>0</v>
      </c>
      <c r="G1490" s="253">
        <f>L1490</f>
        <v>26.04</v>
      </c>
      <c r="H1490" s="254">
        <f>F1490*G1490</f>
        <v>0</v>
      </c>
      <c r="I1490" s="253">
        <f>N1490+P1490+R1490+T1490+V1490+X1490+Z1490</f>
        <v>0</v>
      </c>
      <c r="J1490" s="253"/>
      <c r="K1490" s="251" t="s">
        <v>1439</v>
      </c>
      <c r="L1490" s="666">
        <v>26.04</v>
      </c>
      <c r="M1490" s="258">
        <v>0</v>
      </c>
      <c r="N1490" s="257">
        <f>INT($L1490*M1490*100+0.5)/100</f>
        <v>0</v>
      </c>
      <c r="O1490" s="258">
        <v>0</v>
      </c>
      <c r="P1490" s="257">
        <f>INT($L1490*O1490*100+0.5)/100</f>
        <v>0</v>
      </c>
      <c r="Q1490" s="258">
        <v>0</v>
      </c>
      <c r="R1490" s="257">
        <f>INT($L1490*Q1490*100+0.5)/100</f>
        <v>0</v>
      </c>
      <c r="S1490" s="258">
        <v>0</v>
      </c>
      <c r="T1490" s="257">
        <f>INT($L1490*S1490*100+0.5)/100</f>
        <v>0</v>
      </c>
      <c r="U1490" s="258">
        <v>0</v>
      </c>
      <c r="V1490" s="257">
        <f>INT($L1490*U1490*100+0.5)/100</f>
        <v>0</v>
      </c>
      <c r="W1490" s="258">
        <v>0</v>
      </c>
      <c r="X1490" s="257">
        <f>INT($L1490*W1490*100+0.5)/100</f>
        <v>0</v>
      </c>
      <c r="Y1490" s="258">
        <v>0</v>
      </c>
      <c r="Z1490" s="257">
        <f>INT($L1490*Y1490*100+0.5)/100</f>
        <v>0</v>
      </c>
    </row>
    <row r="1491" spans="1:26" ht="15" hidden="1">
      <c r="A1491" s="250"/>
      <c r="B1491" s="251"/>
      <c r="C1491" s="540"/>
      <c r="D1491" s="532" t="s">
        <v>245</v>
      </c>
      <c r="E1491" s="251"/>
      <c r="F1491" s="252"/>
      <c r="G1491" s="253"/>
      <c r="H1491" s="254"/>
      <c r="I1491" s="253"/>
      <c r="J1491" s="253"/>
      <c r="K1491" s="251"/>
      <c r="L1491" s="666"/>
      <c r="M1491" s="258"/>
      <c r="N1491" s="257"/>
      <c r="O1491" s="258"/>
      <c r="P1491" s="257"/>
      <c r="Q1491" s="258"/>
      <c r="R1491" s="257"/>
      <c r="S1491" s="258"/>
      <c r="T1491" s="257"/>
      <c r="U1491" s="258"/>
      <c r="V1491" s="257"/>
      <c r="W1491" s="258"/>
      <c r="X1491" s="257"/>
      <c r="Y1491" s="258"/>
      <c r="Z1491" s="257"/>
    </row>
    <row r="1492" spans="1:26" ht="15" hidden="1">
      <c r="A1492" s="250"/>
      <c r="B1492" s="251"/>
      <c r="C1492" s="540"/>
      <c r="D1492" s="292"/>
      <c r="E1492" s="251"/>
      <c r="F1492" s="252"/>
      <c r="G1492" s="253"/>
      <c r="H1492" s="254"/>
      <c r="I1492" s="253"/>
      <c r="J1492" s="253"/>
      <c r="K1492" s="251"/>
      <c r="L1492" s="666"/>
      <c r="M1492" s="258"/>
      <c r="N1492" s="257"/>
      <c r="O1492" s="258"/>
      <c r="P1492" s="257"/>
      <c r="Q1492" s="258"/>
      <c r="R1492" s="257"/>
      <c r="S1492" s="258"/>
      <c r="T1492" s="257"/>
      <c r="U1492" s="258"/>
      <c r="V1492" s="257"/>
      <c r="W1492" s="258"/>
      <c r="X1492" s="257"/>
      <c r="Y1492" s="258"/>
      <c r="Z1492" s="257"/>
    </row>
    <row r="1493" spans="1:26" ht="15" hidden="1">
      <c r="A1493" s="250">
        <f>A1490+1</f>
        <v>264</v>
      </c>
      <c r="B1493" s="251"/>
      <c r="C1493" s="532" t="s">
        <v>1994</v>
      </c>
      <c r="D1493" s="532" t="s">
        <v>248</v>
      </c>
      <c r="E1493" s="251" t="s">
        <v>1439</v>
      </c>
      <c r="F1493" s="304">
        <f>M1493+O1493+Q1493+S1493+U1493+W1493+Y1493</f>
        <v>0</v>
      </c>
      <c r="G1493" s="253">
        <f>L1493</f>
        <v>20.87</v>
      </c>
      <c r="H1493" s="254">
        <f>F1493*G1493</f>
        <v>0</v>
      </c>
      <c r="I1493" s="253">
        <f>N1493+P1493+R1493+T1493+V1493+X1493+Z1493</f>
        <v>0</v>
      </c>
      <c r="J1493" s="253"/>
      <c r="K1493" s="251" t="s">
        <v>1439</v>
      </c>
      <c r="L1493" s="666">
        <v>20.87</v>
      </c>
      <c r="M1493" s="258">
        <v>0</v>
      </c>
      <c r="N1493" s="257">
        <f>INT($L1493*M1493*100+0.5)/100</f>
        <v>0</v>
      </c>
      <c r="O1493" s="258">
        <v>0</v>
      </c>
      <c r="P1493" s="257">
        <f>INT($L1493*O1493*100+0.5)/100</f>
        <v>0</v>
      </c>
      <c r="Q1493" s="258">
        <v>0</v>
      </c>
      <c r="R1493" s="257">
        <f>INT($L1493*Q1493*100+0.5)/100</f>
        <v>0</v>
      </c>
      <c r="S1493" s="258">
        <v>0</v>
      </c>
      <c r="T1493" s="257">
        <f>INT($L1493*S1493*100+0.5)/100</f>
        <v>0</v>
      </c>
      <c r="U1493" s="258">
        <v>0</v>
      </c>
      <c r="V1493" s="257">
        <f>INT($L1493*U1493*100+0.5)/100</f>
        <v>0</v>
      </c>
      <c r="W1493" s="258">
        <v>0</v>
      </c>
      <c r="X1493" s="257">
        <f>INT($L1493*W1493*100+0.5)/100</f>
        <v>0</v>
      </c>
      <c r="Y1493" s="258">
        <v>0</v>
      </c>
      <c r="Z1493" s="257">
        <f>INT($L1493*Y1493*100+0.5)/100</f>
        <v>0</v>
      </c>
    </row>
    <row r="1494" spans="1:26" ht="15" hidden="1">
      <c r="A1494" s="250"/>
      <c r="B1494" s="251"/>
      <c r="C1494" s="540"/>
      <c r="D1494" s="532" t="s">
        <v>247</v>
      </c>
      <c r="E1494" s="251"/>
      <c r="F1494" s="252"/>
      <c r="G1494" s="253"/>
      <c r="H1494" s="254"/>
      <c r="I1494" s="253"/>
      <c r="J1494" s="253"/>
      <c r="K1494" s="251"/>
      <c r="L1494" s="666"/>
      <c r="M1494" s="258"/>
      <c r="N1494" s="257"/>
      <c r="O1494" s="258"/>
      <c r="P1494" s="257"/>
      <c r="Q1494" s="258"/>
      <c r="R1494" s="257"/>
      <c r="S1494" s="258"/>
      <c r="T1494" s="257"/>
      <c r="U1494" s="258"/>
      <c r="V1494" s="257"/>
      <c r="W1494" s="258"/>
      <c r="X1494" s="257"/>
      <c r="Y1494" s="258"/>
      <c r="Z1494" s="257"/>
    </row>
    <row r="1495" spans="1:26" ht="15" hidden="1">
      <c r="A1495" s="250"/>
      <c r="B1495" s="251"/>
      <c r="C1495" s="540"/>
      <c r="D1495" s="292"/>
      <c r="E1495" s="251"/>
      <c r="F1495" s="252"/>
      <c r="G1495" s="253"/>
      <c r="H1495" s="254"/>
      <c r="I1495" s="253"/>
      <c r="J1495" s="253"/>
      <c r="K1495" s="251"/>
      <c r="L1495" s="666"/>
      <c r="M1495" s="258"/>
      <c r="N1495" s="257"/>
      <c r="O1495" s="258"/>
      <c r="P1495" s="257"/>
      <c r="Q1495" s="258"/>
      <c r="R1495" s="257"/>
      <c r="S1495" s="258"/>
      <c r="T1495" s="257"/>
      <c r="U1495" s="258"/>
      <c r="V1495" s="257"/>
      <c r="W1495" s="258"/>
      <c r="X1495" s="257"/>
      <c r="Y1495" s="258"/>
      <c r="Z1495" s="257"/>
    </row>
    <row r="1496" spans="1:26" ht="15" hidden="1">
      <c r="A1496" s="250">
        <f>A1493+1</f>
        <v>265</v>
      </c>
      <c r="B1496" s="251"/>
      <c r="C1496" s="540" t="s">
        <v>582</v>
      </c>
      <c r="D1496" s="526" t="s">
        <v>2115</v>
      </c>
      <c r="E1496" s="251"/>
      <c r="F1496" s="252"/>
      <c r="G1496" s="253"/>
      <c r="H1496" s="254"/>
      <c r="I1496" s="253"/>
      <c r="J1496" s="253"/>
      <c r="K1496" s="251"/>
      <c r="L1496" s="666"/>
      <c r="M1496" s="258"/>
      <c r="N1496" s="257"/>
      <c r="O1496" s="258"/>
      <c r="P1496" s="257"/>
      <c r="Q1496" s="258"/>
      <c r="R1496" s="257"/>
      <c r="S1496" s="258"/>
      <c r="T1496" s="257"/>
      <c r="U1496" s="258"/>
      <c r="V1496" s="257"/>
      <c r="W1496" s="258"/>
      <c r="X1496" s="257"/>
      <c r="Y1496" s="258"/>
      <c r="Z1496" s="257"/>
    </row>
    <row r="1497" spans="1:26" ht="15" hidden="1">
      <c r="A1497" s="250"/>
      <c r="B1497" s="251"/>
      <c r="C1497" s="540"/>
      <c r="D1497" s="526" t="s">
        <v>2116</v>
      </c>
      <c r="E1497" s="251"/>
      <c r="F1497" s="252"/>
      <c r="G1497" s="253"/>
      <c r="H1497" s="254"/>
      <c r="I1497" s="253"/>
      <c r="J1497" s="253"/>
      <c r="K1497" s="251"/>
      <c r="L1497" s="666"/>
      <c r="M1497" s="258"/>
      <c r="N1497" s="257"/>
      <c r="O1497" s="258"/>
      <c r="P1497" s="257"/>
      <c r="Q1497" s="258"/>
      <c r="R1497" s="257"/>
      <c r="S1497" s="258"/>
      <c r="T1497" s="257"/>
      <c r="U1497" s="258"/>
      <c r="V1497" s="257"/>
      <c r="W1497" s="258"/>
      <c r="X1497" s="257"/>
      <c r="Y1497" s="258"/>
      <c r="Z1497" s="257"/>
    </row>
    <row r="1498" spans="1:26" ht="15" hidden="1">
      <c r="A1498" s="250" t="s">
        <v>1905</v>
      </c>
      <c r="B1498" s="251"/>
      <c r="C1498" s="540" t="s">
        <v>2000</v>
      </c>
      <c r="D1498" s="292" t="s">
        <v>2009</v>
      </c>
      <c r="E1498" s="251" t="s">
        <v>2475</v>
      </c>
      <c r="F1498" s="304">
        <f t="shared" ref="F1498:F1508" si="254">M1498+O1498+Q1498+S1498+U1498+W1498+Y1498</f>
        <v>0</v>
      </c>
      <c r="G1498" s="253">
        <f>L1498</f>
        <v>17.22</v>
      </c>
      <c r="H1498" s="254">
        <f t="shared" ref="H1498:H1508" si="255">F1498*G1498</f>
        <v>0</v>
      </c>
      <c r="I1498" s="253">
        <f t="shared" ref="I1498:I1508" si="256">N1498+P1498+R1498+T1498+V1498+X1498+Z1498</f>
        <v>0</v>
      </c>
      <c r="J1498" s="253"/>
      <c r="K1498" s="251" t="s">
        <v>2475</v>
      </c>
      <c r="L1498" s="666">
        <v>17.22</v>
      </c>
      <c r="M1498" s="258">
        <v>0</v>
      </c>
      <c r="N1498" s="257">
        <f t="shared" ref="N1498:N1508" si="257">INT($L1498*M1498*100+0.5)/100</f>
        <v>0</v>
      </c>
      <c r="O1498" s="258">
        <v>0</v>
      </c>
      <c r="P1498" s="257">
        <f t="shared" ref="P1498:P1508" si="258">INT($L1498*O1498*100+0.5)/100</f>
        <v>0</v>
      </c>
      <c r="Q1498" s="258">
        <v>0</v>
      </c>
      <c r="R1498" s="257">
        <f t="shared" ref="R1498:R1508" si="259">INT($L1498*Q1498*100+0.5)/100</f>
        <v>0</v>
      </c>
      <c r="S1498" s="258">
        <v>0</v>
      </c>
      <c r="T1498" s="257">
        <f t="shared" ref="T1498:T1508" si="260">INT($L1498*S1498*100+0.5)/100</f>
        <v>0</v>
      </c>
      <c r="U1498" s="258">
        <v>0</v>
      </c>
      <c r="V1498" s="257">
        <f t="shared" ref="V1498:V1508" si="261">INT($L1498*U1498*100+0.5)/100</f>
        <v>0</v>
      </c>
      <c r="W1498" s="258">
        <v>0</v>
      </c>
      <c r="X1498" s="257">
        <f t="shared" ref="X1498:X1508" si="262">INT($L1498*W1498*100+0.5)/100</f>
        <v>0</v>
      </c>
      <c r="Y1498" s="258">
        <v>0</v>
      </c>
      <c r="Z1498" s="257">
        <f t="shared" ref="Z1498:Z1508" si="263">INT($L1498*Y1498*100+0.5)/100</f>
        <v>0</v>
      </c>
    </row>
    <row r="1499" spans="1:26" ht="15" hidden="1">
      <c r="A1499" s="250" t="s">
        <v>1906</v>
      </c>
      <c r="B1499" s="251"/>
      <c r="C1499" s="540" t="s">
        <v>1997</v>
      </c>
      <c r="D1499" s="292" t="s">
        <v>2010</v>
      </c>
      <c r="E1499" s="251" t="s">
        <v>2475</v>
      </c>
      <c r="F1499" s="304">
        <f t="shared" si="254"/>
        <v>0</v>
      </c>
      <c r="G1499" s="253">
        <f>L1499</f>
        <v>20.07</v>
      </c>
      <c r="H1499" s="254">
        <f t="shared" si="255"/>
        <v>0</v>
      </c>
      <c r="I1499" s="253">
        <f t="shared" si="256"/>
        <v>0</v>
      </c>
      <c r="J1499" s="253"/>
      <c r="K1499" s="251" t="s">
        <v>2475</v>
      </c>
      <c r="L1499" s="666">
        <v>20.07</v>
      </c>
      <c r="M1499" s="258">
        <v>0</v>
      </c>
      <c r="N1499" s="257">
        <f t="shared" si="257"/>
        <v>0</v>
      </c>
      <c r="O1499" s="258">
        <v>0</v>
      </c>
      <c r="P1499" s="257">
        <f t="shared" si="258"/>
        <v>0</v>
      </c>
      <c r="Q1499" s="258">
        <v>0</v>
      </c>
      <c r="R1499" s="257">
        <f t="shared" si="259"/>
        <v>0</v>
      </c>
      <c r="S1499" s="258">
        <v>0</v>
      </c>
      <c r="T1499" s="257">
        <f t="shared" si="260"/>
        <v>0</v>
      </c>
      <c r="U1499" s="258">
        <v>0</v>
      </c>
      <c r="V1499" s="257">
        <f t="shared" si="261"/>
        <v>0</v>
      </c>
      <c r="W1499" s="258">
        <v>0</v>
      </c>
      <c r="X1499" s="257">
        <f t="shared" si="262"/>
        <v>0</v>
      </c>
      <c r="Y1499" s="258">
        <v>0</v>
      </c>
      <c r="Z1499" s="257">
        <f t="shared" si="263"/>
        <v>0</v>
      </c>
    </row>
    <row r="1500" spans="1:26" ht="15" hidden="1">
      <c r="A1500" s="250" t="s">
        <v>1907</v>
      </c>
      <c r="B1500" s="251"/>
      <c r="C1500" s="540" t="s">
        <v>1998</v>
      </c>
      <c r="D1500" s="292" t="s">
        <v>2011</v>
      </c>
      <c r="E1500" s="251" t="s">
        <v>2475</v>
      </c>
      <c r="F1500" s="304">
        <f t="shared" si="254"/>
        <v>0</v>
      </c>
      <c r="G1500" s="253">
        <f t="shared" ref="G1500:G1558" si="264">L1500</f>
        <v>22.6</v>
      </c>
      <c r="H1500" s="254">
        <f t="shared" si="255"/>
        <v>0</v>
      </c>
      <c r="I1500" s="253">
        <f t="shared" si="256"/>
        <v>0</v>
      </c>
      <c r="J1500" s="253"/>
      <c r="K1500" s="251" t="s">
        <v>2475</v>
      </c>
      <c r="L1500" s="666">
        <v>22.6</v>
      </c>
      <c r="M1500" s="258">
        <v>0</v>
      </c>
      <c r="N1500" s="257">
        <f t="shared" si="257"/>
        <v>0</v>
      </c>
      <c r="O1500" s="258">
        <v>0</v>
      </c>
      <c r="P1500" s="257">
        <f t="shared" si="258"/>
        <v>0</v>
      </c>
      <c r="Q1500" s="258">
        <v>0</v>
      </c>
      <c r="R1500" s="257">
        <f t="shared" si="259"/>
        <v>0</v>
      </c>
      <c r="S1500" s="258">
        <v>0</v>
      </c>
      <c r="T1500" s="257">
        <f t="shared" si="260"/>
        <v>0</v>
      </c>
      <c r="U1500" s="258">
        <v>0</v>
      </c>
      <c r="V1500" s="257">
        <f t="shared" si="261"/>
        <v>0</v>
      </c>
      <c r="W1500" s="258">
        <v>0</v>
      </c>
      <c r="X1500" s="257">
        <f t="shared" si="262"/>
        <v>0</v>
      </c>
      <c r="Y1500" s="258">
        <v>0</v>
      </c>
      <c r="Z1500" s="257">
        <f t="shared" si="263"/>
        <v>0</v>
      </c>
    </row>
    <row r="1501" spans="1:26" ht="15" hidden="1">
      <c r="A1501" s="250" t="s">
        <v>542</v>
      </c>
      <c r="B1501" s="251"/>
      <c r="C1501" s="540" t="s">
        <v>1999</v>
      </c>
      <c r="D1501" s="292" t="s">
        <v>2012</v>
      </c>
      <c r="E1501" s="251" t="s">
        <v>2475</v>
      </c>
      <c r="F1501" s="304">
        <f t="shared" si="254"/>
        <v>0</v>
      </c>
      <c r="G1501" s="253">
        <f t="shared" si="264"/>
        <v>27.1</v>
      </c>
      <c r="H1501" s="254">
        <f t="shared" si="255"/>
        <v>0</v>
      </c>
      <c r="I1501" s="253">
        <f t="shared" si="256"/>
        <v>0</v>
      </c>
      <c r="J1501" s="253"/>
      <c r="K1501" s="251" t="s">
        <v>2475</v>
      </c>
      <c r="L1501" s="666">
        <v>27.1</v>
      </c>
      <c r="M1501" s="258">
        <v>0</v>
      </c>
      <c r="N1501" s="257">
        <f t="shared" si="257"/>
        <v>0</v>
      </c>
      <c r="O1501" s="258">
        <v>0</v>
      </c>
      <c r="P1501" s="257">
        <f t="shared" si="258"/>
        <v>0</v>
      </c>
      <c r="Q1501" s="258">
        <v>0</v>
      </c>
      <c r="R1501" s="257">
        <f t="shared" si="259"/>
        <v>0</v>
      </c>
      <c r="S1501" s="258">
        <v>0</v>
      </c>
      <c r="T1501" s="257">
        <f t="shared" si="260"/>
        <v>0</v>
      </c>
      <c r="U1501" s="258">
        <v>0</v>
      </c>
      <c r="V1501" s="257">
        <f t="shared" si="261"/>
        <v>0</v>
      </c>
      <c r="W1501" s="258">
        <v>0</v>
      </c>
      <c r="X1501" s="257">
        <f t="shared" si="262"/>
        <v>0</v>
      </c>
      <c r="Y1501" s="258">
        <v>0</v>
      </c>
      <c r="Z1501" s="257">
        <f t="shared" si="263"/>
        <v>0</v>
      </c>
    </row>
    <row r="1502" spans="1:26" ht="15" hidden="1">
      <c r="A1502" s="250" t="s">
        <v>543</v>
      </c>
      <c r="B1502" s="251"/>
      <c r="C1502" s="540" t="s">
        <v>2001</v>
      </c>
      <c r="D1502" s="292" t="s">
        <v>2013</v>
      </c>
      <c r="E1502" s="251" t="s">
        <v>2475</v>
      </c>
      <c r="F1502" s="304">
        <f t="shared" si="254"/>
        <v>0</v>
      </c>
      <c r="G1502" s="253">
        <f t="shared" si="264"/>
        <v>35.44</v>
      </c>
      <c r="H1502" s="254">
        <f t="shared" si="255"/>
        <v>0</v>
      </c>
      <c r="I1502" s="253">
        <f t="shared" si="256"/>
        <v>0</v>
      </c>
      <c r="J1502" s="253"/>
      <c r="K1502" s="251" t="s">
        <v>2475</v>
      </c>
      <c r="L1502" s="666">
        <v>35.44</v>
      </c>
      <c r="M1502" s="258">
        <v>0</v>
      </c>
      <c r="N1502" s="257">
        <f t="shared" si="257"/>
        <v>0</v>
      </c>
      <c r="O1502" s="258">
        <v>0</v>
      </c>
      <c r="P1502" s="257">
        <f t="shared" si="258"/>
        <v>0</v>
      </c>
      <c r="Q1502" s="258">
        <v>0</v>
      </c>
      <c r="R1502" s="257">
        <f t="shared" si="259"/>
        <v>0</v>
      </c>
      <c r="S1502" s="258">
        <v>0</v>
      </c>
      <c r="T1502" s="257">
        <f t="shared" si="260"/>
        <v>0</v>
      </c>
      <c r="U1502" s="258">
        <v>0</v>
      </c>
      <c r="V1502" s="257">
        <f t="shared" si="261"/>
        <v>0</v>
      </c>
      <c r="W1502" s="258">
        <v>0</v>
      </c>
      <c r="X1502" s="257">
        <f t="shared" si="262"/>
        <v>0</v>
      </c>
      <c r="Y1502" s="258">
        <v>0</v>
      </c>
      <c r="Z1502" s="257">
        <f t="shared" si="263"/>
        <v>0</v>
      </c>
    </row>
    <row r="1503" spans="1:26" ht="15" hidden="1">
      <c r="A1503" s="250" t="s">
        <v>544</v>
      </c>
      <c r="B1503" s="251"/>
      <c r="C1503" s="540" t="s">
        <v>2002</v>
      </c>
      <c r="D1503" s="292" t="s">
        <v>2014</v>
      </c>
      <c r="E1503" s="251" t="s">
        <v>2475</v>
      </c>
      <c r="F1503" s="304">
        <f t="shared" si="254"/>
        <v>0</v>
      </c>
      <c r="G1503" s="253">
        <f t="shared" si="264"/>
        <v>45.05</v>
      </c>
      <c r="H1503" s="254">
        <f t="shared" si="255"/>
        <v>0</v>
      </c>
      <c r="I1503" s="253">
        <f t="shared" si="256"/>
        <v>0</v>
      </c>
      <c r="J1503" s="253"/>
      <c r="K1503" s="251" t="s">
        <v>2475</v>
      </c>
      <c r="L1503" s="666">
        <v>45.05</v>
      </c>
      <c r="M1503" s="258">
        <v>0</v>
      </c>
      <c r="N1503" s="257">
        <f t="shared" si="257"/>
        <v>0</v>
      </c>
      <c r="O1503" s="258">
        <v>0</v>
      </c>
      <c r="P1503" s="257">
        <f t="shared" si="258"/>
        <v>0</v>
      </c>
      <c r="Q1503" s="258">
        <v>0</v>
      </c>
      <c r="R1503" s="257">
        <f t="shared" si="259"/>
        <v>0</v>
      </c>
      <c r="S1503" s="258">
        <v>0</v>
      </c>
      <c r="T1503" s="257">
        <f t="shared" si="260"/>
        <v>0</v>
      </c>
      <c r="U1503" s="258">
        <v>0</v>
      </c>
      <c r="V1503" s="257">
        <f t="shared" si="261"/>
        <v>0</v>
      </c>
      <c r="W1503" s="258">
        <v>0</v>
      </c>
      <c r="X1503" s="257">
        <f t="shared" si="262"/>
        <v>0</v>
      </c>
      <c r="Y1503" s="258">
        <v>0</v>
      </c>
      <c r="Z1503" s="257">
        <f t="shared" si="263"/>
        <v>0</v>
      </c>
    </row>
    <row r="1504" spans="1:26" ht="15" hidden="1">
      <c r="A1504" s="250" t="s">
        <v>545</v>
      </c>
      <c r="B1504" s="251"/>
      <c r="C1504" s="540" t="s">
        <v>2003</v>
      </c>
      <c r="D1504" s="292" t="s">
        <v>2008</v>
      </c>
      <c r="E1504" s="251" t="s">
        <v>2475</v>
      </c>
      <c r="F1504" s="304">
        <f t="shared" si="254"/>
        <v>0</v>
      </c>
      <c r="G1504" s="253">
        <f t="shared" si="264"/>
        <v>51.35</v>
      </c>
      <c r="H1504" s="254">
        <f t="shared" si="255"/>
        <v>0</v>
      </c>
      <c r="I1504" s="253">
        <f t="shared" si="256"/>
        <v>0</v>
      </c>
      <c r="J1504" s="253"/>
      <c r="K1504" s="251" t="s">
        <v>2475</v>
      </c>
      <c r="L1504" s="666">
        <v>51.35</v>
      </c>
      <c r="M1504" s="258">
        <v>0</v>
      </c>
      <c r="N1504" s="257">
        <f t="shared" si="257"/>
        <v>0</v>
      </c>
      <c r="O1504" s="258">
        <v>0</v>
      </c>
      <c r="P1504" s="257">
        <f t="shared" si="258"/>
        <v>0</v>
      </c>
      <c r="Q1504" s="258">
        <v>0</v>
      </c>
      <c r="R1504" s="257">
        <f t="shared" si="259"/>
        <v>0</v>
      </c>
      <c r="S1504" s="258">
        <v>0</v>
      </c>
      <c r="T1504" s="257">
        <f t="shared" si="260"/>
        <v>0</v>
      </c>
      <c r="U1504" s="258">
        <v>0</v>
      </c>
      <c r="V1504" s="257">
        <f t="shared" si="261"/>
        <v>0</v>
      </c>
      <c r="W1504" s="258">
        <v>0</v>
      </c>
      <c r="X1504" s="257">
        <f t="shared" si="262"/>
        <v>0</v>
      </c>
      <c r="Y1504" s="258">
        <v>0</v>
      </c>
      <c r="Z1504" s="257">
        <f t="shared" si="263"/>
        <v>0</v>
      </c>
    </row>
    <row r="1505" spans="1:26" ht="15" hidden="1">
      <c r="A1505" s="250" t="s">
        <v>2105</v>
      </c>
      <c r="B1505" s="251"/>
      <c r="C1505" s="540" t="s">
        <v>2004</v>
      </c>
      <c r="D1505" s="292" t="s">
        <v>2015</v>
      </c>
      <c r="E1505" s="251" t="s">
        <v>2475</v>
      </c>
      <c r="F1505" s="304">
        <f t="shared" si="254"/>
        <v>0</v>
      </c>
      <c r="G1505" s="253">
        <f t="shared" si="264"/>
        <v>61.61</v>
      </c>
      <c r="H1505" s="254">
        <f t="shared" si="255"/>
        <v>0</v>
      </c>
      <c r="I1505" s="253">
        <f t="shared" si="256"/>
        <v>0</v>
      </c>
      <c r="J1505" s="253"/>
      <c r="K1505" s="251" t="s">
        <v>2475</v>
      </c>
      <c r="L1505" s="666">
        <v>61.61</v>
      </c>
      <c r="M1505" s="258">
        <v>0</v>
      </c>
      <c r="N1505" s="257">
        <f t="shared" si="257"/>
        <v>0</v>
      </c>
      <c r="O1505" s="258">
        <v>0</v>
      </c>
      <c r="P1505" s="257">
        <f t="shared" si="258"/>
        <v>0</v>
      </c>
      <c r="Q1505" s="258">
        <v>0</v>
      </c>
      <c r="R1505" s="257">
        <f t="shared" si="259"/>
        <v>0</v>
      </c>
      <c r="S1505" s="258">
        <v>0</v>
      </c>
      <c r="T1505" s="257">
        <f t="shared" si="260"/>
        <v>0</v>
      </c>
      <c r="U1505" s="258">
        <v>0</v>
      </c>
      <c r="V1505" s="257">
        <f t="shared" si="261"/>
        <v>0</v>
      </c>
      <c r="W1505" s="258">
        <v>0</v>
      </c>
      <c r="X1505" s="257">
        <f t="shared" si="262"/>
        <v>0</v>
      </c>
      <c r="Y1505" s="258">
        <v>0</v>
      </c>
      <c r="Z1505" s="257">
        <f t="shared" si="263"/>
        <v>0</v>
      </c>
    </row>
    <row r="1506" spans="1:26" ht="15" hidden="1">
      <c r="A1506" s="250" t="s">
        <v>2106</v>
      </c>
      <c r="B1506" s="251"/>
      <c r="C1506" s="540" t="s">
        <v>2005</v>
      </c>
      <c r="D1506" s="292" t="s">
        <v>2016</v>
      </c>
      <c r="E1506" s="251" t="s">
        <v>2475</v>
      </c>
      <c r="F1506" s="304">
        <f t="shared" si="254"/>
        <v>0</v>
      </c>
      <c r="G1506" s="253">
        <f t="shared" si="264"/>
        <v>76.180000000000007</v>
      </c>
      <c r="H1506" s="254">
        <f t="shared" si="255"/>
        <v>0</v>
      </c>
      <c r="I1506" s="253">
        <f t="shared" si="256"/>
        <v>0</v>
      </c>
      <c r="J1506" s="253"/>
      <c r="K1506" s="251" t="s">
        <v>2475</v>
      </c>
      <c r="L1506" s="666">
        <v>76.180000000000007</v>
      </c>
      <c r="M1506" s="258">
        <v>0</v>
      </c>
      <c r="N1506" s="257">
        <f t="shared" si="257"/>
        <v>0</v>
      </c>
      <c r="O1506" s="258">
        <v>0</v>
      </c>
      <c r="P1506" s="257">
        <f t="shared" si="258"/>
        <v>0</v>
      </c>
      <c r="Q1506" s="258">
        <v>0</v>
      </c>
      <c r="R1506" s="257">
        <f t="shared" si="259"/>
        <v>0</v>
      </c>
      <c r="S1506" s="258">
        <v>0</v>
      </c>
      <c r="T1506" s="257">
        <f t="shared" si="260"/>
        <v>0</v>
      </c>
      <c r="U1506" s="258">
        <v>0</v>
      </c>
      <c r="V1506" s="257">
        <f t="shared" si="261"/>
        <v>0</v>
      </c>
      <c r="W1506" s="258">
        <v>0</v>
      </c>
      <c r="X1506" s="257">
        <f t="shared" si="262"/>
        <v>0</v>
      </c>
      <c r="Y1506" s="258">
        <v>0</v>
      </c>
      <c r="Z1506" s="257">
        <f t="shared" si="263"/>
        <v>0</v>
      </c>
    </row>
    <row r="1507" spans="1:26" ht="15" hidden="1">
      <c r="A1507" s="250" t="s">
        <v>583</v>
      </c>
      <c r="B1507" s="251"/>
      <c r="C1507" s="540" t="s">
        <v>2006</v>
      </c>
      <c r="D1507" s="292" t="s">
        <v>2017</v>
      </c>
      <c r="E1507" s="251" t="s">
        <v>2475</v>
      </c>
      <c r="F1507" s="304">
        <f t="shared" si="254"/>
        <v>0</v>
      </c>
      <c r="G1507" s="253">
        <f t="shared" si="264"/>
        <v>111.95</v>
      </c>
      <c r="H1507" s="254">
        <f t="shared" si="255"/>
        <v>0</v>
      </c>
      <c r="I1507" s="253">
        <f t="shared" si="256"/>
        <v>0</v>
      </c>
      <c r="J1507" s="253"/>
      <c r="K1507" s="251" t="s">
        <v>2475</v>
      </c>
      <c r="L1507" s="666">
        <v>111.95</v>
      </c>
      <c r="M1507" s="258">
        <v>0</v>
      </c>
      <c r="N1507" s="257">
        <f t="shared" si="257"/>
        <v>0</v>
      </c>
      <c r="O1507" s="258">
        <v>0</v>
      </c>
      <c r="P1507" s="257">
        <f t="shared" si="258"/>
        <v>0</v>
      </c>
      <c r="Q1507" s="258">
        <v>0</v>
      </c>
      <c r="R1507" s="257">
        <f t="shared" si="259"/>
        <v>0</v>
      </c>
      <c r="S1507" s="258">
        <v>0</v>
      </c>
      <c r="T1507" s="257">
        <f t="shared" si="260"/>
        <v>0</v>
      </c>
      <c r="U1507" s="258">
        <v>0</v>
      </c>
      <c r="V1507" s="257">
        <f t="shared" si="261"/>
        <v>0</v>
      </c>
      <c r="W1507" s="258">
        <v>0</v>
      </c>
      <c r="X1507" s="257">
        <f t="shared" si="262"/>
        <v>0</v>
      </c>
      <c r="Y1507" s="258">
        <v>0</v>
      </c>
      <c r="Z1507" s="257">
        <f t="shared" si="263"/>
        <v>0</v>
      </c>
    </row>
    <row r="1508" spans="1:26" ht="15" hidden="1">
      <c r="A1508" s="250" t="s">
        <v>2475</v>
      </c>
      <c r="B1508" s="251"/>
      <c r="C1508" s="540" t="s">
        <v>2007</v>
      </c>
      <c r="D1508" s="292" t="s">
        <v>2018</v>
      </c>
      <c r="E1508" s="251" t="s">
        <v>2475</v>
      </c>
      <c r="F1508" s="304">
        <f t="shared" si="254"/>
        <v>0</v>
      </c>
      <c r="G1508" s="253">
        <f t="shared" si="264"/>
        <v>147.06</v>
      </c>
      <c r="H1508" s="254">
        <f t="shared" si="255"/>
        <v>0</v>
      </c>
      <c r="I1508" s="253">
        <f t="shared" si="256"/>
        <v>0</v>
      </c>
      <c r="J1508" s="253"/>
      <c r="K1508" s="251" t="s">
        <v>2475</v>
      </c>
      <c r="L1508" s="666">
        <v>147.06</v>
      </c>
      <c r="M1508" s="258">
        <v>0</v>
      </c>
      <c r="N1508" s="257">
        <f t="shared" si="257"/>
        <v>0</v>
      </c>
      <c r="O1508" s="258">
        <v>0</v>
      </c>
      <c r="P1508" s="257">
        <f t="shared" si="258"/>
        <v>0</v>
      </c>
      <c r="Q1508" s="258">
        <v>0</v>
      </c>
      <c r="R1508" s="257">
        <f t="shared" si="259"/>
        <v>0</v>
      </c>
      <c r="S1508" s="258">
        <v>0</v>
      </c>
      <c r="T1508" s="257">
        <f t="shared" si="260"/>
        <v>0</v>
      </c>
      <c r="U1508" s="258">
        <v>0</v>
      </c>
      <c r="V1508" s="257">
        <f t="shared" si="261"/>
        <v>0</v>
      </c>
      <c r="W1508" s="258">
        <v>0</v>
      </c>
      <c r="X1508" s="257">
        <f t="shared" si="262"/>
        <v>0</v>
      </c>
      <c r="Y1508" s="258">
        <v>0</v>
      </c>
      <c r="Z1508" s="257">
        <f t="shared" si="263"/>
        <v>0</v>
      </c>
    </row>
    <row r="1509" spans="1:26" ht="15" hidden="1">
      <c r="A1509" s="250"/>
      <c r="B1509" s="251"/>
      <c r="C1509" s="540"/>
      <c r="D1509" s="292"/>
      <c r="E1509" s="251"/>
      <c r="F1509" s="252"/>
      <c r="G1509" s="253"/>
      <c r="H1509" s="254"/>
      <c r="I1509" s="253"/>
      <c r="J1509" s="253"/>
      <c r="K1509" s="251"/>
      <c r="L1509" s="666"/>
      <c r="M1509" s="258"/>
      <c r="N1509" s="257"/>
      <c r="O1509" s="258"/>
      <c r="P1509" s="257"/>
      <c r="Q1509" s="258"/>
      <c r="R1509" s="257"/>
      <c r="S1509" s="258"/>
      <c r="T1509" s="257"/>
      <c r="U1509" s="258"/>
      <c r="V1509" s="257"/>
      <c r="W1509" s="258"/>
      <c r="X1509" s="257"/>
      <c r="Y1509" s="258"/>
      <c r="Z1509" s="257"/>
    </row>
    <row r="1510" spans="1:26" ht="15" hidden="1">
      <c r="A1510" s="250">
        <f>A1496+1</f>
        <v>266</v>
      </c>
      <c r="B1510" s="251"/>
      <c r="C1510" s="540" t="s">
        <v>594</v>
      </c>
      <c r="D1510" s="526" t="s">
        <v>2117</v>
      </c>
      <c r="E1510" s="251"/>
      <c r="F1510" s="252"/>
      <c r="G1510" s="253"/>
      <c r="H1510" s="254"/>
      <c r="I1510" s="253"/>
      <c r="J1510" s="253"/>
      <c r="K1510" s="251"/>
      <c r="L1510" s="666"/>
      <c r="M1510" s="258"/>
      <c r="N1510" s="257"/>
      <c r="O1510" s="258"/>
      <c r="P1510" s="257"/>
      <c r="Q1510" s="258"/>
      <c r="R1510" s="257"/>
      <c r="S1510" s="258"/>
      <c r="T1510" s="257"/>
      <c r="U1510" s="258"/>
      <c r="V1510" s="257"/>
      <c r="W1510" s="258"/>
      <c r="X1510" s="257"/>
      <c r="Y1510" s="258"/>
      <c r="Z1510" s="257"/>
    </row>
    <row r="1511" spans="1:26" ht="15" hidden="1">
      <c r="A1511" s="250"/>
      <c r="B1511" s="251"/>
      <c r="C1511" s="540"/>
      <c r="D1511" s="526" t="s">
        <v>2118</v>
      </c>
      <c r="E1511" s="251"/>
      <c r="F1511" s="252"/>
      <c r="G1511" s="253"/>
      <c r="H1511" s="254"/>
      <c r="I1511" s="253"/>
      <c r="J1511" s="253"/>
      <c r="K1511" s="251"/>
      <c r="L1511" s="666"/>
      <c r="M1511" s="258"/>
      <c r="N1511" s="257"/>
      <c r="O1511" s="258"/>
      <c r="P1511" s="257"/>
      <c r="Q1511" s="258"/>
      <c r="R1511" s="257"/>
      <c r="S1511" s="258"/>
      <c r="T1511" s="257"/>
      <c r="U1511" s="258"/>
      <c r="V1511" s="257"/>
      <c r="W1511" s="258"/>
      <c r="X1511" s="257"/>
      <c r="Y1511" s="258"/>
      <c r="Z1511" s="257"/>
    </row>
    <row r="1512" spans="1:26" ht="15.75" hidden="1" customHeight="1">
      <c r="A1512" s="250" t="s">
        <v>1905</v>
      </c>
      <c r="B1512" s="251"/>
      <c r="C1512" s="540" t="s">
        <v>193</v>
      </c>
      <c r="D1512" s="292" t="s">
        <v>2009</v>
      </c>
      <c r="E1512" s="251" t="s">
        <v>1901</v>
      </c>
      <c r="F1512" s="304">
        <f t="shared" ref="F1512:F1522" si="265">M1512+O1512+Q1512+S1512+U1512+W1512+Y1512</f>
        <v>0</v>
      </c>
      <c r="G1512" s="253">
        <f t="shared" si="264"/>
        <v>18</v>
      </c>
      <c r="H1512" s="254">
        <f>F1512*G1512</f>
        <v>0</v>
      </c>
      <c r="I1512" s="253">
        <f t="shared" ref="I1512:I1522" si="266">N1512+P1512+R1512+T1512+V1512+X1512+Z1512</f>
        <v>0</v>
      </c>
      <c r="J1512" s="253"/>
      <c r="K1512" s="251" t="s">
        <v>1901</v>
      </c>
      <c r="L1512" s="666">
        <v>18</v>
      </c>
      <c r="M1512" s="258">
        <v>0</v>
      </c>
      <c r="N1512" s="257">
        <f t="shared" ref="N1512:N1522" si="267">INT($L1512*M1512*100+0.5)/100</f>
        <v>0</v>
      </c>
      <c r="O1512" s="258">
        <v>0</v>
      </c>
      <c r="P1512" s="257">
        <f t="shared" ref="P1512:P1522" si="268">INT($L1512*O1512*100+0.5)/100</f>
        <v>0</v>
      </c>
      <c r="Q1512" s="258">
        <v>0</v>
      </c>
      <c r="R1512" s="257">
        <f t="shared" ref="R1512:R1522" si="269">INT($L1512*Q1512*100+0.5)/100</f>
        <v>0</v>
      </c>
      <c r="S1512" s="258">
        <v>0</v>
      </c>
      <c r="T1512" s="257">
        <f t="shared" ref="T1512:T1522" si="270">INT($L1512*S1512*100+0.5)/100</f>
        <v>0</v>
      </c>
      <c r="U1512" s="258">
        <v>0</v>
      </c>
      <c r="V1512" s="257">
        <f t="shared" ref="V1512:V1522" si="271">INT($L1512*U1512*100+0.5)/100</f>
        <v>0</v>
      </c>
      <c r="W1512" s="258">
        <v>0</v>
      </c>
      <c r="X1512" s="257">
        <f t="shared" ref="X1512:X1522" si="272">INT($L1512*W1512*100+0.5)/100</f>
        <v>0</v>
      </c>
      <c r="Y1512" s="258">
        <v>0</v>
      </c>
      <c r="Z1512" s="257">
        <f t="shared" ref="Z1512:Z1522" si="273">INT($L1512*Y1512*100+0.5)/100</f>
        <v>0</v>
      </c>
    </row>
    <row r="1513" spans="1:26" ht="15.75" hidden="1" customHeight="1">
      <c r="A1513" s="250" t="s">
        <v>1906</v>
      </c>
      <c r="B1513" s="251"/>
      <c r="C1513" s="540" t="s">
        <v>2019</v>
      </c>
      <c r="D1513" s="292" t="s">
        <v>2010</v>
      </c>
      <c r="E1513" s="251" t="s">
        <v>1901</v>
      </c>
      <c r="F1513" s="304">
        <f t="shared" si="265"/>
        <v>0</v>
      </c>
      <c r="G1513" s="253">
        <f t="shared" si="264"/>
        <v>28</v>
      </c>
      <c r="H1513" s="254">
        <f>F1513*G1513</f>
        <v>0</v>
      </c>
      <c r="I1513" s="253">
        <f t="shared" si="266"/>
        <v>0</v>
      </c>
      <c r="J1513" s="253"/>
      <c r="K1513" s="251" t="s">
        <v>1901</v>
      </c>
      <c r="L1513" s="666">
        <v>28</v>
      </c>
      <c r="M1513" s="258">
        <v>0</v>
      </c>
      <c r="N1513" s="257">
        <f t="shared" si="267"/>
        <v>0</v>
      </c>
      <c r="O1513" s="258">
        <v>0</v>
      </c>
      <c r="P1513" s="257">
        <f t="shared" si="268"/>
        <v>0</v>
      </c>
      <c r="Q1513" s="258">
        <v>0</v>
      </c>
      <c r="R1513" s="257">
        <f t="shared" si="269"/>
        <v>0</v>
      </c>
      <c r="S1513" s="258">
        <v>0</v>
      </c>
      <c r="T1513" s="257">
        <f t="shared" si="270"/>
        <v>0</v>
      </c>
      <c r="U1513" s="258">
        <v>0</v>
      </c>
      <c r="V1513" s="257">
        <f t="shared" si="271"/>
        <v>0</v>
      </c>
      <c r="W1513" s="258">
        <v>0</v>
      </c>
      <c r="X1513" s="257">
        <f t="shared" si="272"/>
        <v>0</v>
      </c>
      <c r="Y1513" s="258">
        <v>0</v>
      </c>
      <c r="Z1513" s="257">
        <f t="shared" si="273"/>
        <v>0</v>
      </c>
    </row>
    <row r="1514" spans="1:26" ht="15.75" hidden="1" customHeight="1">
      <c r="A1514" s="250" t="s">
        <v>1907</v>
      </c>
      <c r="B1514" s="251"/>
      <c r="C1514" s="540" t="s">
        <v>194</v>
      </c>
      <c r="D1514" s="292" t="s">
        <v>2011</v>
      </c>
      <c r="E1514" s="251" t="s">
        <v>1901</v>
      </c>
      <c r="F1514" s="304">
        <f t="shared" si="265"/>
        <v>0</v>
      </c>
      <c r="G1514" s="253">
        <f t="shared" si="264"/>
        <v>35</v>
      </c>
      <c r="H1514" s="254">
        <f>F1514*G1514</f>
        <v>0</v>
      </c>
      <c r="I1514" s="253">
        <f t="shared" si="266"/>
        <v>0</v>
      </c>
      <c r="J1514" s="253"/>
      <c r="K1514" s="251" t="s">
        <v>1901</v>
      </c>
      <c r="L1514" s="666">
        <v>35</v>
      </c>
      <c r="M1514" s="258">
        <v>0</v>
      </c>
      <c r="N1514" s="257">
        <f t="shared" si="267"/>
        <v>0</v>
      </c>
      <c r="O1514" s="258">
        <v>0</v>
      </c>
      <c r="P1514" s="257">
        <f t="shared" si="268"/>
        <v>0</v>
      </c>
      <c r="Q1514" s="258">
        <v>0</v>
      </c>
      <c r="R1514" s="257">
        <f t="shared" si="269"/>
        <v>0</v>
      </c>
      <c r="S1514" s="258">
        <v>0</v>
      </c>
      <c r="T1514" s="257">
        <f t="shared" si="270"/>
        <v>0</v>
      </c>
      <c r="U1514" s="258">
        <v>0</v>
      </c>
      <c r="V1514" s="257">
        <f t="shared" si="271"/>
        <v>0</v>
      </c>
      <c r="W1514" s="258">
        <v>0</v>
      </c>
      <c r="X1514" s="257">
        <f t="shared" si="272"/>
        <v>0</v>
      </c>
      <c r="Y1514" s="258">
        <v>0</v>
      </c>
      <c r="Z1514" s="257">
        <f t="shared" si="273"/>
        <v>0</v>
      </c>
    </row>
    <row r="1515" spans="1:26" ht="15.75" hidden="1" customHeight="1">
      <c r="A1515" s="250" t="s">
        <v>542</v>
      </c>
      <c r="B1515" s="251"/>
      <c r="C1515" s="540" t="s">
        <v>195</v>
      </c>
      <c r="D1515" s="292" t="s">
        <v>2012</v>
      </c>
      <c r="E1515" s="251" t="s">
        <v>1901</v>
      </c>
      <c r="F1515" s="304">
        <f t="shared" si="265"/>
        <v>0</v>
      </c>
      <c r="G1515" s="253">
        <f t="shared" si="264"/>
        <v>35</v>
      </c>
      <c r="H1515" s="254">
        <f>F1515*G1515</f>
        <v>0</v>
      </c>
      <c r="I1515" s="253">
        <f t="shared" si="266"/>
        <v>0</v>
      </c>
      <c r="J1515" s="253"/>
      <c r="K1515" s="251" t="s">
        <v>1901</v>
      </c>
      <c r="L1515" s="666">
        <v>35</v>
      </c>
      <c r="M1515" s="258">
        <v>0</v>
      </c>
      <c r="N1515" s="257">
        <f t="shared" si="267"/>
        <v>0</v>
      </c>
      <c r="O1515" s="258">
        <v>0</v>
      </c>
      <c r="P1515" s="257">
        <f t="shared" si="268"/>
        <v>0</v>
      </c>
      <c r="Q1515" s="258">
        <v>0</v>
      </c>
      <c r="R1515" s="257">
        <f t="shared" si="269"/>
        <v>0</v>
      </c>
      <c r="S1515" s="258">
        <v>0</v>
      </c>
      <c r="T1515" s="257">
        <f t="shared" si="270"/>
        <v>0</v>
      </c>
      <c r="U1515" s="258">
        <v>0</v>
      </c>
      <c r="V1515" s="257">
        <f t="shared" si="271"/>
        <v>0</v>
      </c>
      <c r="W1515" s="258">
        <v>0</v>
      </c>
      <c r="X1515" s="257">
        <f t="shared" si="272"/>
        <v>0</v>
      </c>
      <c r="Y1515" s="258">
        <v>0</v>
      </c>
      <c r="Z1515" s="257">
        <f t="shared" si="273"/>
        <v>0</v>
      </c>
    </row>
    <row r="1516" spans="1:26" ht="15.75" hidden="1" customHeight="1">
      <c r="A1516" s="250" t="s">
        <v>543</v>
      </c>
      <c r="B1516" s="251"/>
      <c r="C1516" s="540" t="s">
        <v>196</v>
      </c>
      <c r="D1516" s="292" t="s">
        <v>2013</v>
      </c>
      <c r="E1516" s="251" t="s">
        <v>1901</v>
      </c>
      <c r="F1516" s="304">
        <f t="shared" si="265"/>
        <v>0</v>
      </c>
      <c r="G1516" s="253">
        <f t="shared" si="264"/>
        <v>49.25</v>
      </c>
      <c r="H1516" s="254">
        <f t="shared" ref="H1516:H1522" si="274">F1516*G1516</f>
        <v>0</v>
      </c>
      <c r="I1516" s="253">
        <f t="shared" si="266"/>
        <v>0</v>
      </c>
      <c r="J1516" s="253"/>
      <c r="K1516" s="251" t="s">
        <v>1901</v>
      </c>
      <c r="L1516" s="666">
        <v>49.25</v>
      </c>
      <c r="M1516" s="258">
        <v>0</v>
      </c>
      <c r="N1516" s="257">
        <f t="shared" si="267"/>
        <v>0</v>
      </c>
      <c r="O1516" s="258">
        <v>0</v>
      </c>
      <c r="P1516" s="257">
        <f t="shared" si="268"/>
        <v>0</v>
      </c>
      <c r="Q1516" s="258">
        <v>0</v>
      </c>
      <c r="R1516" s="257">
        <f t="shared" si="269"/>
        <v>0</v>
      </c>
      <c r="S1516" s="258">
        <v>0</v>
      </c>
      <c r="T1516" s="257">
        <f t="shared" si="270"/>
        <v>0</v>
      </c>
      <c r="U1516" s="258">
        <v>0</v>
      </c>
      <c r="V1516" s="257">
        <f t="shared" si="271"/>
        <v>0</v>
      </c>
      <c r="W1516" s="258">
        <v>0</v>
      </c>
      <c r="X1516" s="257">
        <f t="shared" si="272"/>
        <v>0</v>
      </c>
      <c r="Y1516" s="258">
        <v>0</v>
      </c>
      <c r="Z1516" s="257">
        <f t="shared" si="273"/>
        <v>0</v>
      </c>
    </row>
    <row r="1517" spans="1:26" ht="15.75" hidden="1" customHeight="1">
      <c r="A1517" s="250" t="s">
        <v>544</v>
      </c>
      <c r="B1517" s="251"/>
      <c r="C1517" s="540" t="s">
        <v>197</v>
      </c>
      <c r="D1517" s="292" t="s">
        <v>2014</v>
      </c>
      <c r="E1517" s="251" t="s">
        <v>1901</v>
      </c>
      <c r="F1517" s="304">
        <f t="shared" si="265"/>
        <v>0</v>
      </c>
      <c r="G1517" s="253">
        <f t="shared" si="264"/>
        <v>80</v>
      </c>
      <c r="H1517" s="254">
        <f t="shared" si="274"/>
        <v>0</v>
      </c>
      <c r="I1517" s="253">
        <f t="shared" si="266"/>
        <v>0</v>
      </c>
      <c r="J1517" s="253"/>
      <c r="K1517" s="251" t="s">
        <v>1901</v>
      </c>
      <c r="L1517" s="666">
        <v>80</v>
      </c>
      <c r="M1517" s="258">
        <v>0</v>
      </c>
      <c r="N1517" s="257">
        <f t="shared" si="267"/>
        <v>0</v>
      </c>
      <c r="O1517" s="258">
        <v>0</v>
      </c>
      <c r="P1517" s="257">
        <f t="shared" si="268"/>
        <v>0</v>
      </c>
      <c r="Q1517" s="258">
        <v>0</v>
      </c>
      <c r="R1517" s="257">
        <f t="shared" si="269"/>
        <v>0</v>
      </c>
      <c r="S1517" s="258">
        <v>0</v>
      </c>
      <c r="T1517" s="257">
        <f t="shared" si="270"/>
        <v>0</v>
      </c>
      <c r="U1517" s="258">
        <v>0</v>
      </c>
      <c r="V1517" s="257">
        <f t="shared" si="271"/>
        <v>0</v>
      </c>
      <c r="W1517" s="258">
        <v>0</v>
      </c>
      <c r="X1517" s="257">
        <f t="shared" si="272"/>
        <v>0</v>
      </c>
      <c r="Y1517" s="258">
        <v>0</v>
      </c>
      <c r="Z1517" s="257">
        <f t="shared" si="273"/>
        <v>0</v>
      </c>
    </row>
    <row r="1518" spans="1:26" ht="15.75" hidden="1" customHeight="1">
      <c r="A1518" s="250" t="s">
        <v>545</v>
      </c>
      <c r="B1518" s="251"/>
      <c r="C1518" s="540" t="s">
        <v>198</v>
      </c>
      <c r="D1518" s="292" t="s">
        <v>2008</v>
      </c>
      <c r="E1518" s="251" t="s">
        <v>1901</v>
      </c>
      <c r="F1518" s="304">
        <f t="shared" si="265"/>
        <v>0</v>
      </c>
      <c r="G1518" s="253">
        <f t="shared" si="264"/>
        <v>71.34</v>
      </c>
      <c r="H1518" s="254">
        <f t="shared" si="274"/>
        <v>0</v>
      </c>
      <c r="I1518" s="253">
        <f t="shared" si="266"/>
        <v>0</v>
      </c>
      <c r="J1518" s="253"/>
      <c r="K1518" s="251" t="s">
        <v>1901</v>
      </c>
      <c r="L1518" s="666">
        <v>71.34</v>
      </c>
      <c r="M1518" s="258">
        <v>0</v>
      </c>
      <c r="N1518" s="257">
        <f t="shared" si="267"/>
        <v>0</v>
      </c>
      <c r="O1518" s="258">
        <v>0</v>
      </c>
      <c r="P1518" s="257">
        <f t="shared" si="268"/>
        <v>0</v>
      </c>
      <c r="Q1518" s="258">
        <v>0</v>
      </c>
      <c r="R1518" s="257">
        <f t="shared" si="269"/>
        <v>0</v>
      </c>
      <c r="S1518" s="258">
        <v>0</v>
      </c>
      <c r="T1518" s="257">
        <f t="shared" si="270"/>
        <v>0</v>
      </c>
      <c r="U1518" s="258">
        <v>0</v>
      </c>
      <c r="V1518" s="257">
        <f t="shared" si="271"/>
        <v>0</v>
      </c>
      <c r="W1518" s="258">
        <v>0</v>
      </c>
      <c r="X1518" s="257">
        <f t="shared" si="272"/>
        <v>0</v>
      </c>
      <c r="Y1518" s="258">
        <v>0</v>
      </c>
      <c r="Z1518" s="257">
        <f t="shared" si="273"/>
        <v>0</v>
      </c>
    </row>
    <row r="1519" spans="1:26" ht="15.75" hidden="1" customHeight="1">
      <c r="A1519" s="250" t="s">
        <v>2105</v>
      </c>
      <c r="B1519" s="251"/>
      <c r="C1519" s="540" t="s">
        <v>199</v>
      </c>
      <c r="D1519" s="292" t="s">
        <v>2015</v>
      </c>
      <c r="E1519" s="251" t="s">
        <v>1901</v>
      </c>
      <c r="F1519" s="304">
        <f t="shared" si="265"/>
        <v>0</v>
      </c>
      <c r="G1519" s="253">
        <f t="shared" si="264"/>
        <v>85.59</v>
      </c>
      <c r="H1519" s="254">
        <f t="shared" si="274"/>
        <v>0</v>
      </c>
      <c r="I1519" s="253">
        <f t="shared" si="266"/>
        <v>0</v>
      </c>
      <c r="J1519" s="253"/>
      <c r="K1519" s="251" t="s">
        <v>1901</v>
      </c>
      <c r="L1519" s="666">
        <v>85.59</v>
      </c>
      <c r="M1519" s="258">
        <v>0</v>
      </c>
      <c r="N1519" s="257">
        <f t="shared" si="267"/>
        <v>0</v>
      </c>
      <c r="O1519" s="258">
        <v>0</v>
      </c>
      <c r="P1519" s="257">
        <f t="shared" si="268"/>
        <v>0</v>
      </c>
      <c r="Q1519" s="258">
        <v>0</v>
      </c>
      <c r="R1519" s="257">
        <f t="shared" si="269"/>
        <v>0</v>
      </c>
      <c r="S1519" s="258">
        <v>0</v>
      </c>
      <c r="T1519" s="257">
        <f t="shared" si="270"/>
        <v>0</v>
      </c>
      <c r="U1519" s="258">
        <v>0</v>
      </c>
      <c r="V1519" s="257">
        <f t="shared" si="271"/>
        <v>0</v>
      </c>
      <c r="W1519" s="258">
        <v>0</v>
      </c>
      <c r="X1519" s="257">
        <f t="shared" si="272"/>
        <v>0</v>
      </c>
      <c r="Y1519" s="258">
        <v>0</v>
      </c>
      <c r="Z1519" s="257">
        <f t="shared" si="273"/>
        <v>0</v>
      </c>
    </row>
    <row r="1520" spans="1:26" ht="15.75" hidden="1" customHeight="1">
      <c r="A1520" s="250" t="s">
        <v>2106</v>
      </c>
      <c r="B1520" s="251"/>
      <c r="C1520" s="540" t="s">
        <v>200</v>
      </c>
      <c r="D1520" s="292" t="s">
        <v>2016</v>
      </c>
      <c r="E1520" s="251" t="s">
        <v>1901</v>
      </c>
      <c r="F1520" s="304">
        <f t="shared" si="265"/>
        <v>0</v>
      </c>
      <c r="G1520" s="253">
        <f t="shared" si="264"/>
        <v>105.84</v>
      </c>
      <c r="H1520" s="254">
        <f t="shared" si="274"/>
        <v>0</v>
      </c>
      <c r="I1520" s="253">
        <f t="shared" si="266"/>
        <v>0</v>
      </c>
      <c r="J1520" s="253"/>
      <c r="K1520" s="251" t="s">
        <v>1901</v>
      </c>
      <c r="L1520" s="666">
        <v>105.84</v>
      </c>
      <c r="M1520" s="258">
        <v>0</v>
      </c>
      <c r="N1520" s="257">
        <f t="shared" si="267"/>
        <v>0</v>
      </c>
      <c r="O1520" s="258">
        <v>0</v>
      </c>
      <c r="P1520" s="257">
        <f t="shared" si="268"/>
        <v>0</v>
      </c>
      <c r="Q1520" s="258">
        <v>0</v>
      </c>
      <c r="R1520" s="257">
        <f t="shared" si="269"/>
        <v>0</v>
      </c>
      <c r="S1520" s="258">
        <v>0</v>
      </c>
      <c r="T1520" s="257">
        <f t="shared" si="270"/>
        <v>0</v>
      </c>
      <c r="U1520" s="258">
        <v>0</v>
      </c>
      <c r="V1520" s="257">
        <f t="shared" si="271"/>
        <v>0</v>
      </c>
      <c r="W1520" s="258">
        <v>0</v>
      </c>
      <c r="X1520" s="257">
        <f t="shared" si="272"/>
        <v>0</v>
      </c>
      <c r="Y1520" s="258">
        <v>0</v>
      </c>
      <c r="Z1520" s="257">
        <f t="shared" si="273"/>
        <v>0</v>
      </c>
    </row>
    <row r="1521" spans="1:26" ht="15.75" hidden="1" customHeight="1">
      <c r="A1521" s="250" t="s">
        <v>583</v>
      </c>
      <c r="B1521" s="251"/>
      <c r="C1521" s="540" t="s">
        <v>201</v>
      </c>
      <c r="D1521" s="292" t="s">
        <v>2017</v>
      </c>
      <c r="E1521" s="251" t="s">
        <v>1901</v>
      </c>
      <c r="F1521" s="304">
        <f t="shared" si="265"/>
        <v>0</v>
      </c>
      <c r="G1521" s="253">
        <f t="shared" si="264"/>
        <v>130</v>
      </c>
      <c r="H1521" s="254">
        <f t="shared" si="274"/>
        <v>0</v>
      </c>
      <c r="I1521" s="253">
        <f t="shared" si="266"/>
        <v>0</v>
      </c>
      <c r="J1521" s="253"/>
      <c r="K1521" s="251" t="s">
        <v>1901</v>
      </c>
      <c r="L1521" s="666">
        <v>130</v>
      </c>
      <c r="M1521" s="258">
        <v>0</v>
      </c>
      <c r="N1521" s="257">
        <f t="shared" si="267"/>
        <v>0</v>
      </c>
      <c r="O1521" s="258">
        <v>0</v>
      </c>
      <c r="P1521" s="257">
        <f t="shared" si="268"/>
        <v>0</v>
      </c>
      <c r="Q1521" s="258">
        <v>0</v>
      </c>
      <c r="R1521" s="257">
        <f t="shared" si="269"/>
        <v>0</v>
      </c>
      <c r="S1521" s="258">
        <v>0</v>
      </c>
      <c r="T1521" s="257">
        <f t="shared" si="270"/>
        <v>0</v>
      </c>
      <c r="U1521" s="258">
        <v>0</v>
      </c>
      <c r="V1521" s="257">
        <f t="shared" si="271"/>
        <v>0</v>
      </c>
      <c r="W1521" s="258">
        <v>0</v>
      </c>
      <c r="X1521" s="257">
        <f t="shared" si="272"/>
        <v>0</v>
      </c>
      <c r="Y1521" s="258">
        <v>0</v>
      </c>
      <c r="Z1521" s="257">
        <f t="shared" si="273"/>
        <v>0</v>
      </c>
    </row>
    <row r="1522" spans="1:26" ht="15.75" hidden="1" customHeight="1">
      <c r="A1522" s="250" t="s">
        <v>2475</v>
      </c>
      <c r="B1522" s="251"/>
      <c r="C1522" s="540" t="s">
        <v>202</v>
      </c>
      <c r="D1522" s="292" t="s">
        <v>2018</v>
      </c>
      <c r="E1522" s="251" t="s">
        <v>1901</v>
      </c>
      <c r="F1522" s="304">
        <f t="shared" si="265"/>
        <v>0</v>
      </c>
      <c r="G1522" s="253">
        <f t="shared" si="264"/>
        <v>170</v>
      </c>
      <c r="H1522" s="254">
        <f t="shared" si="274"/>
        <v>0</v>
      </c>
      <c r="I1522" s="253">
        <f t="shared" si="266"/>
        <v>0</v>
      </c>
      <c r="J1522" s="253"/>
      <c r="K1522" s="251" t="s">
        <v>1901</v>
      </c>
      <c r="L1522" s="666">
        <v>170</v>
      </c>
      <c r="M1522" s="258">
        <v>0</v>
      </c>
      <c r="N1522" s="257">
        <f t="shared" si="267"/>
        <v>0</v>
      </c>
      <c r="O1522" s="258">
        <v>0</v>
      </c>
      <c r="P1522" s="257">
        <f t="shared" si="268"/>
        <v>0</v>
      </c>
      <c r="Q1522" s="258">
        <v>0</v>
      </c>
      <c r="R1522" s="257">
        <f t="shared" si="269"/>
        <v>0</v>
      </c>
      <c r="S1522" s="258">
        <v>0</v>
      </c>
      <c r="T1522" s="257">
        <f t="shared" si="270"/>
        <v>0</v>
      </c>
      <c r="U1522" s="258">
        <v>0</v>
      </c>
      <c r="V1522" s="257">
        <f t="shared" si="271"/>
        <v>0</v>
      </c>
      <c r="W1522" s="258">
        <v>0</v>
      </c>
      <c r="X1522" s="257">
        <f t="shared" si="272"/>
        <v>0</v>
      </c>
      <c r="Y1522" s="258">
        <v>0</v>
      </c>
      <c r="Z1522" s="257">
        <f t="shared" si="273"/>
        <v>0</v>
      </c>
    </row>
    <row r="1523" spans="1:26" ht="15.75" hidden="1" customHeight="1">
      <c r="A1523" s="250"/>
      <c r="B1523" s="251"/>
      <c r="C1523" s="540"/>
      <c r="D1523" s="529"/>
      <c r="E1523" s="251"/>
      <c r="F1523" s="252"/>
      <c r="G1523" s="253"/>
      <c r="H1523" s="254"/>
      <c r="I1523" s="253"/>
      <c r="J1523" s="253"/>
      <c r="K1523" s="251"/>
      <c r="L1523" s="666"/>
      <c r="M1523" s="258"/>
      <c r="N1523" s="257"/>
      <c r="O1523" s="258"/>
      <c r="P1523" s="257"/>
      <c r="Q1523" s="258"/>
      <c r="R1523" s="257"/>
      <c r="S1523" s="258"/>
      <c r="T1523" s="257"/>
      <c r="U1523" s="258"/>
      <c r="V1523" s="257"/>
      <c r="W1523" s="258"/>
      <c r="X1523" s="257"/>
      <c r="Y1523" s="258"/>
      <c r="Z1523" s="257"/>
    </row>
    <row r="1524" spans="1:26" ht="15.75" hidden="1" customHeight="1">
      <c r="A1524" s="250">
        <f>A1510+1</f>
        <v>267</v>
      </c>
      <c r="B1524" s="251"/>
      <c r="C1524" s="540" t="s">
        <v>595</v>
      </c>
      <c r="D1524" s="526" t="s">
        <v>447</v>
      </c>
      <c r="E1524" s="251"/>
      <c r="F1524" s="252"/>
      <c r="G1524" s="253"/>
      <c r="H1524" s="254"/>
      <c r="I1524" s="253"/>
      <c r="J1524" s="253"/>
      <c r="K1524" s="251"/>
      <c r="L1524" s="666"/>
      <c r="M1524" s="258"/>
      <c r="N1524" s="257"/>
      <c r="O1524" s="258"/>
      <c r="P1524" s="257"/>
      <c r="Q1524" s="258"/>
      <c r="R1524" s="257"/>
      <c r="S1524" s="258"/>
      <c r="T1524" s="257"/>
      <c r="U1524" s="258"/>
      <c r="V1524" s="257"/>
      <c r="W1524" s="258"/>
      <c r="X1524" s="257"/>
      <c r="Y1524" s="258"/>
      <c r="Z1524" s="257"/>
    </row>
    <row r="1525" spans="1:26" ht="15.75" hidden="1" customHeight="1">
      <c r="A1525" s="250"/>
      <c r="B1525" s="251"/>
      <c r="C1525" s="540"/>
      <c r="D1525" s="526" t="s">
        <v>2119</v>
      </c>
      <c r="E1525" s="251"/>
      <c r="F1525" s="252"/>
      <c r="G1525" s="253"/>
      <c r="H1525" s="254"/>
      <c r="I1525" s="253"/>
      <c r="J1525" s="253"/>
      <c r="K1525" s="251"/>
      <c r="L1525" s="666"/>
      <c r="M1525" s="258"/>
      <c r="N1525" s="257"/>
      <c r="O1525" s="258"/>
      <c r="P1525" s="257"/>
      <c r="Q1525" s="258"/>
      <c r="R1525" s="257"/>
      <c r="S1525" s="258"/>
      <c r="T1525" s="257"/>
      <c r="U1525" s="258"/>
      <c r="V1525" s="257"/>
      <c r="W1525" s="258"/>
      <c r="X1525" s="257"/>
      <c r="Y1525" s="258"/>
      <c r="Z1525" s="257"/>
    </row>
    <row r="1526" spans="1:26" ht="15.75" hidden="1" customHeight="1">
      <c r="A1526" s="250" t="s">
        <v>1903</v>
      </c>
      <c r="B1526" s="251"/>
      <c r="C1526" s="540" t="s">
        <v>203</v>
      </c>
      <c r="D1526" s="292" t="s">
        <v>2013</v>
      </c>
      <c r="E1526" s="251" t="s">
        <v>1901</v>
      </c>
      <c r="F1526" s="304">
        <f t="shared" ref="F1526:F1532" si="275">M1526+O1526+Q1526+S1526+U1526+W1526+Y1526</f>
        <v>0</v>
      </c>
      <c r="G1526" s="253">
        <f t="shared" si="264"/>
        <v>65.66</v>
      </c>
      <c r="H1526" s="254">
        <f>F1526*G1526</f>
        <v>0</v>
      </c>
      <c r="I1526" s="253">
        <f t="shared" ref="I1526:I1532" si="276">N1526+P1526+R1526+T1526+V1526+X1526+Z1526</f>
        <v>0</v>
      </c>
      <c r="J1526" s="253"/>
      <c r="K1526" s="251" t="s">
        <v>1901</v>
      </c>
      <c r="L1526" s="666">
        <v>65.66</v>
      </c>
      <c r="M1526" s="258">
        <v>0</v>
      </c>
      <c r="N1526" s="257">
        <f t="shared" ref="N1526:N1532" si="277">INT($L1526*M1526*100+0.5)/100</f>
        <v>0</v>
      </c>
      <c r="O1526" s="258">
        <v>0</v>
      </c>
      <c r="P1526" s="257">
        <f t="shared" ref="P1526:P1532" si="278">INT($L1526*O1526*100+0.5)/100</f>
        <v>0</v>
      </c>
      <c r="Q1526" s="258">
        <v>0</v>
      </c>
      <c r="R1526" s="257">
        <f t="shared" ref="R1526:R1532" si="279">INT($L1526*Q1526*100+0.5)/100</f>
        <v>0</v>
      </c>
      <c r="S1526" s="258">
        <v>0</v>
      </c>
      <c r="T1526" s="257">
        <f t="shared" ref="T1526:T1532" si="280">INT($L1526*S1526*100+0.5)/100</f>
        <v>0</v>
      </c>
      <c r="U1526" s="258">
        <v>0</v>
      </c>
      <c r="V1526" s="257">
        <f t="shared" ref="V1526:V1532" si="281">INT($L1526*U1526*100+0.5)/100</f>
        <v>0</v>
      </c>
      <c r="W1526" s="258">
        <v>0</v>
      </c>
      <c r="X1526" s="257">
        <f t="shared" ref="X1526:X1532" si="282">INT($L1526*W1526*100+0.5)/100</f>
        <v>0</v>
      </c>
      <c r="Y1526" s="258">
        <v>0</v>
      </c>
      <c r="Z1526" s="257">
        <f t="shared" ref="Z1526:Z1532" si="283">INT($L1526*Y1526*100+0.5)/100</f>
        <v>0</v>
      </c>
    </row>
    <row r="1527" spans="1:26" ht="15.75" hidden="1" customHeight="1">
      <c r="A1527" s="250" t="s">
        <v>1905</v>
      </c>
      <c r="B1527" s="251"/>
      <c r="C1527" s="540" t="s">
        <v>204</v>
      </c>
      <c r="D1527" s="292" t="s">
        <v>2014</v>
      </c>
      <c r="E1527" s="251" t="s">
        <v>1901</v>
      </c>
      <c r="F1527" s="304">
        <f t="shared" si="275"/>
        <v>0</v>
      </c>
      <c r="G1527" s="253">
        <f t="shared" si="264"/>
        <v>80</v>
      </c>
      <c r="H1527" s="254">
        <f t="shared" ref="H1527:H1532" si="284">F1527*G1527</f>
        <v>0</v>
      </c>
      <c r="I1527" s="253">
        <f t="shared" si="276"/>
        <v>0</v>
      </c>
      <c r="J1527" s="253"/>
      <c r="K1527" s="251" t="s">
        <v>1901</v>
      </c>
      <c r="L1527" s="666">
        <v>80</v>
      </c>
      <c r="M1527" s="258">
        <v>0</v>
      </c>
      <c r="N1527" s="257">
        <f t="shared" si="277"/>
        <v>0</v>
      </c>
      <c r="O1527" s="258">
        <v>0</v>
      </c>
      <c r="P1527" s="257">
        <f t="shared" si="278"/>
        <v>0</v>
      </c>
      <c r="Q1527" s="258">
        <v>0</v>
      </c>
      <c r="R1527" s="257">
        <f t="shared" si="279"/>
        <v>0</v>
      </c>
      <c r="S1527" s="258">
        <v>0</v>
      </c>
      <c r="T1527" s="257">
        <f t="shared" si="280"/>
        <v>0</v>
      </c>
      <c r="U1527" s="258">
        <v>0</v>
      </c>
      <c r="V1527" s="257">
        <f t="shared" si="281"/>
        <v>0</v>
      </c>
      <c r="W1527" s="258">
        <v>0</v>
      </c>
      <c r="X1527" s="257">
        <f t="shared" si="282"/>
        <v>0</v>
      </c>
      <c r="Y1527" s="258">
        <v>0</v>
      </c>
      <c r="Z1527" s="257">
        <f t="shared" si="283"/>
        <v>0</v>
      </c>
    </row>
    <row r="1528" spans="1:26" ht="15.75" hidden="1" customHeight="1">
      <c r="A1528" s="250" t="s">
        <v>1906</v>
      </c>
      <c r="B1528" s="251"/>
      <c r="C1528" s="540" t="s">
        <v>205</v>
      </c>
      <c r="D1528" s="292" t="s">
        <v>2008</v>
      </c>
      <c r="E1528" s="251" t="s">
        <v>1901</v>
      </c>
      <c r="F1528" s="304">
        <f t="shared" si="275"/>
        <v>0</v>
      </c>
      <c r="G1528" s="253">
        <f t="shared" si="264"/>
        <v>95.12</v>
      </c>
      <c r="H1528" s="254">
        <f t="shared" si="284"/>
        <v>0</v>
      </c>
      <c r="I1528" s="253">
        <f t="shared" si="276"/>
        <v>0</v>
      </c>
      <c r="J1528" s="253"/>
      <c r="K1528" s="251" t="s">
        <v>1901</v>
      </c>
      <c r="L1528" s="666">
        <v>95.12</v>
      </c>
      <c r="M1528" s="258">
        <v>0</v>
      </c>
      <c r="N1528" s="257">
        <f t="shared" si="277"/>
        <v>0</v>
      </c>
      <c r="O1528" s="258">
        <v>0</v>
      </c>
      <c r="P1528" s="257">
        <f t="shared" si="278"/>
        <v>0</v>
      </c>
      <c r="Q1528" s="258">
        <v>0</v>
      </c>
      <c r="R1528" s="257">
        <f t="shared" si="279"/>
        <v>0</v>
      </c>
      <c r="S1528" s="258">
        <v>0</v>
      </c>
      <c r="T1528" s="257">
        <f t="shared" si="280"/>
        <v>0</v>
      </c>
      <c r="U1528" s="258">
        <v>0</v>
      </c>
      <c r="V1528" s="257">
        <f t="shared" si="281"/>
        <v>0</v>
      </c>
      <c r="W1528" s="258">
        <v>0</v>
      </c>
      <c r="X1528" s="257">
        <f t="shared" si="282"/>
        <v>0</v>
      </c>
      <c r="Y1528" s="258">
        <v>0</v>
      </c>
      <c r="Z1528" s="257">
        <f t="shared" si="283"/>
        <v>0</v>
      </c>
    </row>
    <row r="1529" spans="1:26" ht="15.75" hidden="1" customHeight="1">
      <c r="A1529" s="250" t="s">
        <v>1907</v>
      </c>
      <c r="B1529" s="251"/>
      <c r="C1529" s="540" t="s">
        <v>206</v>
      </c>
      <c r="D1529" s="292" t="s">
        <v>2015</v>
      </c>
      <c r="E1529" s="251" t="s">
        <v>1901</v>
      </c>
      <c r="F1529" s="304">
        <f t="shared" si="275"/>
        <v>0</v>
      </c>
      <c r="G1529" s="253">
        <f t="shared" si="264"/>
        <v>114.12</v>
      </c>
      <c r="H1529" s="254">
        <f t="shared" si="284"/>
        <v>0</v>
      </c>
      <c r="I1529" s="253">
        <f t="shared" si="276"/>
        <v>0</v>
      </c>
      <c r="J1529" s="253"/>
      <c r="K1529" s="251" t="s">
        <v>1901</v>
      </c>
      <c r="L1529" s="666">
        <v>114.12</v>
      </c>
      <c r="M1529" s="258">
        <v>0</v>
      </c>
      <c r="N1529" s="257">
        <f t="shared" si="277"/>
        <v>0</v>
      </c>
      <c r="O1529" s="258">
        <v>0</v>
      </c>
      <c r="P1529" s="257">
        <f t="shared" si="278"/>
        <v>0</v>
      </c>
      <c r="Q1529" s="258">
        <v>0</v>
      </c>
      <c r="R1529" s="257">
        <f t="shared" si="279"/>
        <v>0</v>
      </c>
      <c r="S1529" s="258">
        <v>0</v>
      </c>
      <c r="T1529" s="257">
        <f t="shared" si="280"/>
        <v>0</v>
      </c>
      <c r="U1529" s="258">
        <v>0</v>
      </c>
      <c r="V1529" s="257">
        <f t="shared" si="281"/>
        <v>0</v>
      </c>
      <c r="W1529" s="258">
        <v>0</v>
      </c>
      <c r="X1529" s="257">
        <f t="shared" si="282"/>
        <v>0</v>
      </c>
      <c r="Y1529" s="258">
        <v>0</v>
      </c>
      <c r="Z1529" s="257">
        <f t="shared" si="283"/>
        <v>0</v>
      </c>
    </row>
    <row r="1530" spans="1:26" ht="15.75" hidden="1" customHeight="1">
      <c r="A1530" s="250" t="s">
        <v>542</v>
      </c>
      <c r="B1530" s="251"/>
      <c r="C1530" s="540" t="s">
        <v>207</v>
      </c>
      <c r="D1530" s="292" t="s">
        <v>2016</v>
      </c>
      <c r="E1530" s="251" t="s">
        <v>1901</v>
      </c>
      <c r="F1530" s="304">
        <f t="shared" si="275"/>
        <v>0</v>
      </c>
      <c r="G1530" s="253">
        <f t="shared" si="264"/>
        <v>141.12</v>
      </c>
      <c r="H1530" s="254">
        <f t="shared" si="284"/>
        <v>0</v>
      </c>
      <c r="I1530" s="253">
        <f t="shared" si="276"/>
        <v>0</v>
      </c>
      <c r="J1530" s="253"/>
      <c r="K1530" s="251" t="s">
        <v>1901</v>
      </c>
      <c r="L1530" s="666">
        <v>141.12</v>
      </c>
      <c r="M1530" s="258">
        <v>0</v>
      </c>
      <c r="N1530" s="257">
        <f t="shared" si="277"/>
        <v>0</v>
      </c>
      <c r="O1530" s="258">
        <v>0</v>
      </c>
      <c r="P1530" s="257">
        <f t="shared" si="278"/>
        <v>0</v>
      </c>
      <c r="Q1530" s="258">
        <v>0</v>
      </c>
      <c r="R1530" s="257">
        <f t="shared" si="279"/>
        <v>0</v>
      </c>
      <c r="S1530" s="258">
        <v>0</v>
      </c>
      <c r="T1530" s="257">
        <f t="shared" si="280"/>
        <v>0</v>
      </c>
      <c r="U1530" s="258">
        <v>0</v>
      </c>
      <c r="V1530" s="257">
        <f t="shared" si="281"/>
        <v>0</v>
      </c>
      <c r="W1530" s="258">
        <v>0</v>
      </c>
      <c r="X1530" s="257">
        <f t="shared" si="282"/>
        <v>0</v>
      </c>
      <c r="Y1530" s="258">
        <v>0</v>
      </c>
      <c r="Z1530" s="257">
        <f t="shared" si="283"/>
        <v>0</v>
      </c>
    </row>
    <row r="1531" spans="1:26" ht="15.75" hidden="1" customHeight="1">
      <c r="A1531" s="250" t="s">
        <v>543</v>
      </c>
      <c r="B1531" s="251"/>
      <c r="C1531" s="540" t="s">
        <v>208</v>
      </c>
      <c r="D1531" s="292" t="s">
        <v>2017</v>
      </c>
      <c r="E1531" s="251" t="s">
        <v>1901</v>
      </c>
      <c r="F1531" s="304">
        <f t="shared" si="275"/>
        <v>0</v>
      </c>
      <c r="G1531" s="253">
        <f t="shared" si="264"/>
        <v>170</v>
      </c>
      <c r="H1531" s="254">
        <f t="shared" si="284"/>
        <v>0</v>
      </c>
      <c r="I1531" s="253">
        <f t="shared" si="276"/>
        <v>0</v>
      </c>
      <c r="J1531" s="253"/>
      <c r="K1531" s="251" t="s">
        <v>1901</v>
      </c>
      <c r="L1531" s="666">
        <v>170</v>
      </c>
      <c r="M1531" s="258">
        <v>0</v>
      </c>
      <c r="N1531" s="257">
        <f t="shared" si="277"/>
        <v>0</v>
      </c>
      <c r="O1531" s="258">
        <v>0</v>
      </c>
      <c r="P1531" s="257">
        <f t="shared" si="278"/>
        <v>0</v>
      </c>
      <c r="Q1531" s="258">
        <v>0</v>
      </c>
      <c r="R1531" s="257">
        <f t="shared" si="279"/>
        <v>0</v>
      </c>
      <c r="S1531" s="258">
        <v>0</v>
      </c>
      <c r="T1531" s="257">
        <f t="shared" si="280"/>
        <v>0</v>
      </c>
      <c r="U1531" s="258">
        <v>0</v>
      </c>
      <c r="V1531" s="257">
        <f t="shared" si="281"/>
        <v>0</v>
      </c>
      <c r="W1531" s="258">
        <v>0</v>
      </c>
      <c r="X1531" s="257">
        <f t="shared" si="282"/>
        <v>0</v>
      </c>
      <c r="Y1531" s="258">
        <v>0</v>
      </c>
      <c r="Z1531" s="257">
        <f t="shared" si="283"/>
        <v>0</v>
      </c>
    </row>
    <row r="1532" spans="1:26" ht="15.75" hidden="1" customHeight="1">
      <c r="A1532" s="250" t="s">
        <v>544</v>
      </c>
      <c r="B1532" s="251"/>
      <c r="C1532" s="540" t="s">
        <v>197</v>
      </c>
      <c r="D1532" s="292" t="s">
        <v>2018</v>
      </c>
      <c r="E1532" s="251" t="s">
        <v>1901</v>
      </c>
      <c r="F1532" s="304">
        <f t="shared" si="275"/>
        <v>0</v>
      </c>
      <c r="G1532" s="253">
        <f t="shared" si="264"/>
        <v>190</v>
      </c>
      <c r="H1532" s="254">
        <f t="shared" si="284"/>
        <v>0</v>
      </c>
      <c r="I1532" s="253">
        <f t="shared" si="276"/>
        <v>0</v>
      </c>
      <c r="J1532" s="253"/>
      <c r="K1532" s="251" t="s">
        <v>1901</v>
      </c>
      <c r="L1532" s="666">
        <v>190</v>
      </c>
      <c r="M1532" s="258">
        <v>0</v>
      </c>
      <c r="N1532" s="257">
        <f t="shared" si="277"/>
        <v>0</v>
      </c>
      <c r="O1532" s="258">
        <v>0</v>
      </c>
      <c r="P1532" s="257">
        <f t="shared" si="278"/>
        <v>0</v>
      </c>
      <c r="Q1532" s="258">
        <v>0</v>
      </c>
      <c r="R1532" s="257">
        <f t="shared" si="279"/>
        <v>0</v>
      </c>
      <c r="S1532" s="258">
        <v>0</v>
      </c>
      <c r="T1532" s="257">
        <f t="shared" si="280"/>
        <v>0</v>
      </c>
      <c r="U1532" s="258">
        <v>0</v>
      </c>
      <c r="V1532" s="257">
        <f t="shared" si="281"/>
        <v>0</v>
      </c>
      <c r="W1532" s="258">
        <v>0</v>
      </c>
      <c r="X1532" s="257">
        <f t="shared" si="282"/>
        <v>0</v>
      </c>
      <c r="Y1532" s="258">
        <v>0</v>
      </c>
      <c r="Z1532" s="257">
        <f t="shared" si="283"/>
        <v>0</v>
      </c>
    </row>
    <row r="1533" spans="1:26" ht="15.75" hidden="1" customHeight="1">
      <c r="A1533" s="250"/>
      <c r="B1533" s="251"/>
      <c r="C1533" s="540"/>
      <c r="D1533" s="292"/>
      <c r="E1533" s="251"/>
      <c r="F1533" s="252"/>
      <c r="G1533" s="253"/>
      <c r="H1533" s="254"/>
      <c r="I1533" s="253"/>
      <c r="J1533" s="253"/>
      <c r="K1533" s="251"/>
      <c r="L1533" s="666"/>
      <c r="M1533" s="258"/>
      <c r="N1533" s="257"/>
      <c r="O1533" s="258"/>
      <c r="P1533" s="257"/>
      <c r="Q1533" s="258"/>
      <c r="R1533" s="257"/>
      <c r="S1533" s="258"/>
      <c r="T1533" s="257"/>
      <c r="U1533" s="258"/>
      <c r="V1533" s="257"/>
      <c r="W1533" s="258"/>
      <c r="X1533" s="257"/>
      <c r="Y1533" s="258"/>
      <c r="Z1533" s="257"/>
    </row>
    <row r="1534" spans="1:26" ht="15" hidden="1" customHeight="1">
      <c r="A1534" s="250">
        <f>A1524+1</f>
        <v>268</v>
      </c>
      <c r="B1534" s="251"/>
      <c r="C1534" s="526" t="s">
        <v>2195</v>
      </c>
      <c r="D1534" s="532" t="s">
        <v>1419</v>
      </c>
      <c r="E1534" s="251" t="s">
        <v>1901</v>
      </c>
      <c r="F1534" s="304">
        <f>M1534+O1534+Q1534+S1534+U1534+W1534+Y1534</f>
        <v>0</v>
      </c>
      <c r="G1534" s="253">
        <f t="shared" si="264"/>
        <v>53.18</v>
      </c>
      <c r="H1534" s="254">
        <f>INT(F1534*G1534*100+0.5)/100</f>
        <v>0</v>
      </c>
      <c r="I1534" s="253">
        <f>N1534+P1534+R1534+T1534+V1534+X1534+Z1534</f>
        <v>0</v>
      </c>
      <c r="J1534" s="253"/>
      <c r="K1534" s="251" t="s">
        <v>1901</v>
      </c>
      <c r="L1534" s="666">
        <v>53.18</v>
      </c>
      <c r="M1534" s="258">
        <v>0</v>
      </c>
      <c r="N1534" s="257">
        <f>INT($L1534*M1534*100+0.5)/100</f>
        <v>0</v>
      </c>
      <c r="O1534" s="258">
        <v>0</v>
      </c>
      <c r="P1534" s="257">
        <f>INT($L1534*O1534*100+0.5)/100</f>
        <v>0</v>
      </c>
      <c r="Q1534" s="258">
        <v>0</v>
      </c>
      <c r="R1534" s="257">
        <f>INT($L1534*Q1534*100+0.5)/100</f>
        <v>0</v>
      </c>
      <c r="S1534" s="258">
        <v>0</v>
      </c>
      <c r="T1534" s="257">
        <f>INT($L1534*S1534*100+0.5)/100</f>
        <v>0</v>
      </c>
      <c r="U1534" s="258">
        <v>0</v>
      </c>
      <c r="V1534" s="257">
        <f>INT($L1534*U1534*100+0.5)/100</f>
        <v>0</v>
      </c>
      <c r="W1534" s="258">
        <v>0</v>
      </c>
      <c r="X1534" s="257">
        <f>INT($L1534*W1534*100+0.5)/100</f>
        <v>0</v>
      </c>
      <c r="Y1534" s="258">
        <v>0</v>
      </c>
      <c r="Z1534" s="257">
        <f>INT($L1534*Y1534*100+0.5)/100</f>
        <v>0</v>
      </c>
    </row>
    <row r="1535" spans="1:26" ht="15" hidden="1" customHeight="1">
      <c r="A1535" s="250"/>
      <c r="B1535" s="251"/>
      <c r="C1535" s="526"/>
      <c r="D1535" s="532" t="s">
        <v>1418</v>
      </c>
      <c r="E1535" s="251"/>
      <c r="F1535" s="252"/>
      <c r="G1535" s="253"/>
      <c r="H1535" s="254"/>
      <c r="I1535" s="253"/>
      <c r="J1535" s="253"/>
      <c r="K1535" s="251"/>
      <c r="L1535" s="261"/>
      <c r="M1535" s="258"/>
      <c r="N1535" s="257"/>
      <c r="O1535" s="258"/>
      <c r="P1535" s="257"/>
      <c r="Q1535" s="258"/>
      <c r="R1535" s="257"/>
      <c r="S1535" s="258"/>
      <c r="T1535" s="257"/>
      <c r="U1535" s="258"/>
      <c r="V1535" s="257"/>
      <c r="W1535" s="258"/>
      <c r="X1535" s="257"/>
      <c r="Y1535" s="258"/>
      <c r="Z1535" s="257"/>
    </row>
    <row r="1536" spans="1:26" ht="15" hidden="1" customHeight="1">
      <c r="A1536" s="250"/>
      <c r="B1536" s="251"/>
      <c r="C1536" s="526"/>
      <c r="D1536" s="532"/>
      <c r="E1536" s="251"/>
      <c r="F1536" s="252"/>
      <c r="G1536" s="253"/>
      <c r="H1536" s="254"/>
      <c r="I1536" s="253"/>
      <c r="J1536" s="253"/>
      <c r="K1536" s="251"/>
      <c r="L1536" s="261"/>
      <c r="M1536" s="258"/>
      <c r="N1536" s="257"/>
      <c r="O1536" s="258"/>
      <c r="P1536" s="257"/>
      <c r="Q1536" s="258"/>
      <c r="R1536" s="257"/>
      <c r="S1536" s="258"/>
      <c r="T1536" s="257"/>
      <c r="U1536" s="258"/>
      <c r="V1536" s="257"/>
      <c r="W1536" s="258"/>
      <c r="X1536" s="257"/>
      <c r="Y1536" s="258"/>
      <c r="Z1536" s="257"/>
    </row>
    <row r="1537" spans="1:26" s="303" customFormat="1" ht="30">
      <c r="A1537" s="298"/>
      <c r="B1537" s="299"/>
      <c r="C1537" s="332">
        <v>80</v>
      </c>
      <c r="D1537" s="333" t="s">
        <v>2208</v>
      </c>
      <c r="E1537" s="299"/>
      <c r="F1537" s="301"/>
      <c r="G1537" s="273"/>
      <c r="H1537" s="273"/>
      <c r="I1537" s="272">
        <f>N1537+P1537+R1537+T1537+V1537+X1537+Z1537</f>
        <v>0</v>
      </c>
      <c r="J1537" s="269">
        <f>SUM(N1537:Z1537)</f>
        <v>0</v>
      </c>
      <c r="K1537" s="299"/>
      <c r="L1537" s="271"/>
      <c r="M1537" s="273"/>
      <c r="N1537" s="273">
        <f>SUM(N1329:N1536)</f>
        <v>0</v>
      </c>
      <c r="O1537" s="273"/>
      <c r="P1537" s="273">
        <f>SUM(P1329:P1536)</f>
        <v>0</v>
      </c>
      <c r="Q1537" s="273"/>
      <c r="R1537" s="273">
        <f>SUM(R1329:R1536)</f>
        <v>0</v>
      </c>
      <c r="S1537" s="273"/>
      <c r="T1537" s="273">
        <f>SUM(T1329:T1536)</f>
        <v>0</v>
      </c>
      <c r="U1537" s="273"/>
      <c r="V1537" s="273">
        <f>SUM(V1329:V1536)</f>
        <v>0</v>
      </c>
      <c r="W1537" s="273"/>
      <c r="X1537" s="273">
        <f>SUM(X1329:X1536)</f>
        <v>0</v>
      </c>
      <c r="Y1537" s="273"/>
      <c r="Z1537" s="273">
        <f>SUM(Z1329:Z1536)</f>
        <v>0</v>
      </c>
    </row>
    <row r="1538" spans="1:26" ht="15" customHeight="1">
      <c r="A1538" s="250"/>
      <c r="B1538" s="251"/>
      <c r="C1538" s="329"/>
      <c r="D1538" s="330"/>
      <c r="E1538" s="251"/>
      <c r="F1538" s="252"/>
      <c r="G1538" s="253"/>
      <c r="H1538" s="254"/>
      <c r="I1538" s="253"/>
      <c r="J1538" s="253"/>
      <c r="K1538" s="251"/>
      <c r="L1538" s="261"/>
      <c r="M1538" s="258"/>
      <c r="N1538" s="494">
        <f>N1537/$N$1941</f>
        <v>0</v>
      </c>
      <c r="O1538" s="258"/>
      <c r="P1538" s="257"/>
      <c r="Q1538" s="258"/>
      <c r="R1538" s="257"/>
      <c r="S1538" s="258"/>
      <c r="T1538" s="257"/>
      <c r="U1538" s="258"/>
      <c r="V1538" s="257"/>
      <c r="W1538" s="258"/>
      <c r="X1538" s="257"/>
      <c r="Y1538" s="258"/>
      <c r="Z1538" s="257"/>
    </row>
    <row r="1539" spans="1:26" ht="15" customHeight="1">
      <c r="A1539" s="250"/>
      <c r="B1539" s="251"/>
      <c r="C1539" s="329">
        <v>85</v>
      </c>
      <c r="D1539" s="330" t="s">
        <v>1582</v>
      </c>
      <c r="E1539" s="251"/>
      <c r="F1539" s="252"/>
      <c r="G1539" s="253"/>
      <c r="H1539" s="254"/>
      <c r="I1539" s="253"/>
      <c r="J1539" s="253"/>
      <c r="K1539" s="251"/>
      <c r="L1539" s="261"/>
      <c r="M1539" s="258"/>
      <c r="N1539" s="257"/>
      <c r="O1539" s="258"/>
      <c r="P1539" s="257"/>
      <c r="Q1539" s="258"/>
      <c r="R1539" s="257"/>
      <c r="S1539" s="258"/>
      <c r="T1539" s="257"/>
      <c r="U1539" s="258"/>
      <c r="V1539" s="257"/>
      <c r="W1539" s="258"/>
      <c r="X1539" s="257"/>
      <c r="Y1539" s="258"/>
      <c r="Z1539" s="257"/>
    </row>
    <row r="1540" spans="1:26" ht="15" customHeight="1">
      <c r="A1540" s="250">
        <f>A1534+1</f>
        <v>269</v>
      </c>
      <c r="B1540" s="251"/>
      <c r="C1540" s="657" t="s">
        <v>1587</v>
      </c>
      <c r="D1540" s="526" t="s">
        <v>2057</v>
      </c>
      <c r="E1540" s="251" t="s">
        <v>1898</v>
      </c>
      <c r="F1540" s="304">
        <f>M1540+O1540+Q1540+S1540+U1540+W1540+Y1540</f>
        <v>0</v>
      </c>
      <c r="G1540" s="253">
        <f t="shared" si="264"/>
        <v>0.86</v>
      </c>
      <c r="H1540" s="254">
        <f>INT(F1540*G1540*100+0.5)/100</f>
        <v>0</v>
      </c>
      <c r="I1540" s="253">
        <f>N1540+P1540+R1540+T1540+V1540+X1540+Z1540</f>
        <v>0</v>
      </c>
      <c r="J1540" s="253"/>
      <c r="K1540" s="251" t="s">
        <v>1898</v>
      </c>
      <c r="L1540" s="663">
        <v>0.86</v>
      </c>
      <c r="M1540" s="258">
        <f>M371*0.2</f>
        <v>0</v>
      </c>
      <c r="N1540" s="257">
        <f>INT($L1540*M1540*100+0.5)/100</f>
        <v>0</v>
      </c>
      <c r="O1540" s="258">
        <f>O371*0.2</f>
        <v>0</v>
      </c>
      <c r="P1540" s="257">
        <f>INT($L1540*O1540*100+0.5)/100</f>
        <v>0</v>
      </c>
      <c r="Q1540" s="258">
        <f>Q371*0.2</f>
        <v>0</v>
      </c>
      <c r="R1540" s="257">
        <f>INT($L1540*Q1540*100+0.5)/100</f>
        <v>0</v>
      </c>
      <c r="S1540" s="258">
        <f>S371*0.2</f>
        <v>0</v>
      </c>
      <c r="T1540" s="257">
        <f>INT($L1540*S1540*100+0.5)/100</f>
        <v>0</v>
      </c>
      <c r="U1540" s="258">
        <f>U371*0.2</f>
        <v>0</v>
      </c>
      <c r="V1540" s="257">
        <f>INT($L1540*U1540*100+0.5)/100</f>
        <v>0</v>
      </c>
      <c r="W1540" s="258">
        <f>W371*0.2</f>
        <v>0</v>
      </c>
      <c r="X1540" s="257">
        <f>INT($L1540*W1540*100+0.5)/100</f>
        <v>0</v>
      </c>
      <c r="Y1540" s="258">
        <f>Y371*0.2</f>
        <v>0</v>
      </c>
      <c r="Z1540" s="257">
        <f>INT($L1540*Y1540*100+0.5)/100</f>
        <v>0</v>
      </c>
    </row>
    <row r="1541" spans="1:26" ht="15" customHeight="1">
      <c r="A1541" s="250"/>
      <c r="B1541" s="251"/>
      <c r="C1541" s="647"/>
      <c r="D1541" s="526" t="s">
        <v>2058</v>
      </c>
      <c r="E1541" s="251"/>
      <c r="F1541" s="252"/>
      <c r="G1541" s="253"/>
      <c r="H1541" s="254"/>
      <c r="I1541" s="253"/>
      <c r="J1541" s="253"/>
      <c r="K1541" s="251"/>
      <c r="L1541" s="261"/>
      <c r="M1541" s="258"/>
      <c r="N1541" s="257"/>
      <c r="O1541" s="258"/>
      <c r="P1541" s="257"/>
      <c r="Q1541" s="258"/>
      <c r="R1541" s="257"/>
      <c r="S1541" s="258"/>
      <c r="T1541" s="257"/>
      <c r="U1541" s="258"/>
      <c r="V1541" s="257"/>
      <c r="W1541" s="258"/>
      <c r="X1541" s="257"/>
      <c r="Y1541" s="258"/>
      <c r="Z1541" s="257"/>
    </row>
    <row r="1542" spans="1:26" ht="15" customHeight="1">
      <c r="A1542" s="250"/>
      <c r="B1542" s="251"/>
      <c r="C1542" s="669"/>
      <c r="D1542" s="292"/>
      <c r="E1542" s="251"/>
      <c r="F1542" s="252"/>
      <c r="G1542" s="253"/>
      <c r="H1542" s="254"/>
      <c r="I1542" s="253"/>
      <c r="J1542" s="253"/>
      <c r="K1542" s="251"/>
      <c r="L1542" s="261"/>
      <c r="M1542" s="258"/>
      <c r="N1542" s="257"/>
      <c r="O1542" s="258"/>
      <c r="P1542" s="257"/>
      <c r="Q1542" s="258"/>
      <c r="R1542" s="257"/>
      <c r="S1542" s="258"/>
      <c r="T1542" s="257"/>
      <c r="U1542" s="258"/>
      <c r="V1542" s="257"/>
      <c r="W1542" s="258"/>
      <c r="X1542" s="257"/>
      <c r="Y1542" s="258"/>
      <c r="Z1542" s="257"/>
    </row>
    <row r="1543" spans="1:26" ht="15" customHeight="1">
      <c r="A1543" s="250">
        <f>A1540+1</f>
        <v>270</v>
      </c>
      <c r="B1543" s="251"/>
      <c r="C1543" s="647" t="s">
        <v>436</v>
      </c>
      <c r="D1543" s="526" t="s">
        <v>437</v>
      </c>
      <c r="E1543" s="251" t="s">
        <v>1898</v>
      </c>
      <c r="F1543" s="244">
        <f>M1543+O1543+Q1543+S1543+U1543+W1543+Y1543</f>
        <v>4157.6399999999994</v>
      </c>
      <c r="G1543" s="253">
        <f t="shared" si="264"/>
        <v>0.86</v>
      </c>
      <c r="H1543" s="254">
        <f>INT(F1543*G1543*100+0.5)/100</f>
        <v>3575.57</v>
      </c>
      <c r="I1543" s="253">
        <f>N1543+P1543+R1543+T1543+V1543+X1543+Z1543</f>
        <v>3575.5699999999997</v>
      </c>
      <c r="J1543" s="253"/>
      <c r="K1543" s="251" t="s">
        <v>1898</v>
      </c>
      <c r="L1543" s="255">
        <v>0.86</v>
      </c>
      <c r="M1543" s="258">
        <f>M393</f>
        <v>208</v>
      </c>
      <c r="N1543" s="257">
        <f>INT($L1543*M1543*100+0.5)/100</f>
        <v>178.88</v>
      </c>
      <c r="O1543" s="258">
        <f>O393</f>
        <v>688.2</v>
      </c>
      <c r="P1543" s="257">
        <f>INT($L1543*O1543*100+0.5)/100</f>
        <v>591.85</v>
      </c>
      <c r="Q1543" s="258">
        <f>Q393</f>
        <v>576.20000000000005</v>
      </c>
      <c r="R1543" s="257">
        <f>INT($L1543*Q1543*100+0.5)/100</f>
        <v>495.53</v>
      </c>
      <c r="S1543" s="258">
        <f>S382*0.2</f>
        <v>0</v>
      </c>
      <c r="T1543" s="257">
        <f>INT($L1543*S1543*100+0.5)/100</f>
        <v>0</v>
      </c>
      <c r="U1543" s="258">
        <f>U380</f>
        <v>2685.24</v>
      </c>
      <c r="V1543" s="257">
        <f>INT($L1543*U1543*100+0.5)/100</f>
        <v>2309.31</v>
      </c>
      <c r="W1543" s="258">
        <f>W382*0.2</f>
        <v>0</v>
      </c>
      <c r="X1543" s="257">
        <f>INT($L1543*W1543*100+0.5)/100</f>
        <v>0</v>
      </c>
      <c r="Y1543" s="258">
        <f>Y382*0.2</f>
        <v>0</v>
      </c>
      <c r="Z1543" s="257">
        <f>INT($L1543*Y1543*100+0.5)/100</f>
        <v>0</v>
      </c>
    </row>
    <row r="1544" spans="1:26" ht="15" customHeight="1">
      <c r="A1544" s="250"/>
      <c r="B1544" s="251"/>
      <c r="C1544" s="647"/>
      <c r="D1544" s="526" t="s">
        <v>438</v>
      </c>
      <c r="E1544" s="251"/>
      <c r="F1544" s="252"/>
      <c r="G1544" s="253"/>
      <c r="H1544" s="254"/>
      <c r="I1544" s="253"/>
      <c r="J1544" s="253"/>
      <c r="K1544" s="251"/>
      <c r="L1544" s="261"/>
      <c r="M1544" s="258"/>
      <c r="N1544" s="257"/>
      <c r="O1544" s="258"/>
      <c r="P1544" s="257"/>
      <c r="Q1544" s="258"/>
      <c r="R1544" s="257"/>
      <c r="S1544" s="258"/>
      <c r="T1544" s="257"/>
      <c r="U1544" s="258"/>
      <c r="V1544" s="257"/>
      <c r="W1544" s="258"/>
      <c r="X1544" s="257"/>
      <c r="Y1544" s="258"/>
      <c r="Z1544" s="257"/>
    </row>
    <row r="1545" spans="1:26" ht="15" customHeight="1">
      <c r="A1545" s="250"/>
      <c r="B1545" s="251"/>
      <c r="C1545" s="647"/>
      <c r="D1545" s="292"/>
      <c r="E1545" s="251"/>
      <c r="F1545" s="252"/>
      <c r="G1545" s="253"/>
      <c r="H1545" s="254"/>
      <c r="I1545" s="253"/>
      <c r="J1545" s="253"/>
      <c r="K1545" s="251"/>
      <c r="L1545" s="261"/>
      <c r="M1545" s="258"/>
      <c r="N1545" s="257"/>
      <c r="O1545" s="258"/>
      <c r="P1545" s="257"/>
      <c r="Q1545" s="258"/>
      <c r="R1545" s="257"/>
      <c r="S1545" s="258"/>
      <c r="T1545" s="257"/>
      <c r="U1545" s="258"/>
      <c r="V1545" s="257"/>
      <c r="W1545" s="258"/>
      <c r="X1545" s="257"/>
      <c r="Y1545" s="258"/>
      <c r="Z1545" s="257"/>
    </row>
    <row r="1546" spans="1:26" ht="25.5">
      <c r="A1546" s="250">
        <f>A1543+1</f>
        <v>271</v>
      </c>
      <c r="B1546" s="251"/>
      <c r="C1546" s="647" t="s">
        <v>850</v>
      </c>
      <c r="D1546" s="526" t="s">
        <v>2127</v>
      </c>
      <c r="E1546" s="251" t="s">
        <v>2471</v>
      </c>
      <c r="F1546" s="304">
        <f>M1546+O1546+Q1546+S1546+U1546+W1546+Y1546</f>
        <v>0</v>
      </c>
      <c r="G1546" s="253">
        <f t="shared" si="264"/>
        <v>1.71</v>
      </c>
      <c r="H1546" s="254">
        <f>INT(F1546*G1546*100+0.5)/100</f>
        <v>0</v>
      </c>
      <c r="I1546" s="253">
        <f>N1546+P1546+R1546+T1546+V1546+X1546+Z1546</f>
        <v>0</v>
      </c>
      <c r="J1546" s="253"/>
      <c r="K1546" s="251" t="s">
        <v>2471</v>
      </c>
      <c r="L1546" s="255">
        <v>1.71</v>
      </c>
      <c r="M1546" s="258">
        <f>M450*8</f>
        <v>0</v>
      </c>
      <c r="N1546" s="257">
        <f>INT($L1546*M1546*100+0.5)/100</f>
        <v>0</v>
      </c>
      <c r="O1546" s="258">
        <f>O450*8</f>
        <v>0</v>
      </c>
      <c r="P1546" s="257">
        <f>INT($L1546*O1546*100+0.5)/100</f>
        <v>0</v>
      </c>
      <c r="Q1546" s="258">
        <f>Q450*8</f>
        <v>0</v>
      </c>
      <c r="R1546" s="257">
        <f>INT($L1546*Q1546*100+0.5)/100</f>
        <v>0</v>
      </c>
      <c r="S1546" s="258">
        <f>S450*8</f>
        <v>0</v>
      </c>
      <c r="T1546" s="257">
        <f>INT($L1546*S1546*100+0.5)/100</f>
        <v>0</v>
      </c>
      <c r="U1546" s="258">
        <f>U450*8</f>
        <v>0</v>
      </c>
      <c r="V1546" s="257">
        <f>INT($L1546*U1546*100+0.5)/100</f>
        <v>0</v>
      </c>
      <c r="W1546" s="258">
        <f>W450*8</f>
        <v>0</v>
      </c>
      <c r="X1546" s="257">
        <f>INT($L1546*W1546*100+0.5)/100</f>
        <v>0</v>
      </c>
      <c r="Y1546" s="258">
        <f>Y450*8</f>
        <v>0</v>
      </c>
      <c r="Z1546" s="257">
        <f>INT($L1546*Y1546*100+0.5)/100</f>
        <v>0</v>
      </c>
    </row>
    <row r="1547" spans="1:26" ht="25.5">
      <c r="A1547" s="250"/>
      <c r="B1547" s="251"/>
      <c r="C1547" s="647"/>
      <c r="D1547" s="526" t="s">
        <v>2126</v>
      </c>
      <c r="E1547" s="251"/>
      <c r="F1547" s="252"/>
      <c r="G1547" s="253"/>
      <c r="H1547" s="254"/>
      <c r="I1547" s="253"/>
      <c r="J1547" s="253"/>
      <c r="K1547" s="251"/>
      <c r="L1547" s="261"/>
      <c r="M1547" s="258"/>
      <c r="N1547" s="257"/>
      <c r="O1547" s="258"/>
      <c r="P1547" s="257"/>
      <c r="Q1547" s="258"/>
      <c r="R1547" s="257"/>
      <c r="S1547" s="258"/>
      <c r="T1547" s="257"/>
      <c r="U1547" s="258"/>
      <c r="V1547" s="257"/>
      <c r="W1547" s="258"/>
      <c r="X1547" s="257"/>
      <c r="Y1547" s="258"/>
      <c r="Z1547" s="257"/>
    </row>
    <row r="1548" spans="1:26" ht="15" customHeight="1">
      <c r="A1548" s="250"/>
      <c r="B1548" s="251"/>
      <c r="C1548" s="647"/>
      <c r="D1548" s="292"/>
      <c r="E1548" s="251"/>
      <c r="F1548" s="252"/>
      <c r="G1548" s="253"/>
      <c r="H1548" s="254"/>
      <c r="I1548" s="253"/>
      <c r="J1548" s="253"/>
      <c r="K1548" s="251"/>
      <c r="L1548" s="261"/>
      <c r="M1548" s="258"/>
      <c r="N1548" s="257"/>
      <c r="O1548" s="258"/>
      <c r="P1548" s="257"/>
      <c r="Q1548" s="258"/>
      <c r="R1548" s="257"/>
      <c r="S1548" s="258"/>
      <c r="T1548" s="257"/>
      <c r="U1548" s="258"/>
      <c r="V1548" s="257"/>
      <c r="W1548" s="258"/>
      <c r="X1548" s="257"/>
      <c r="Y1548" s="258"/>
      <c r="Z1548" s="257"/>
    </row>
    <row r="1549" spans="1:26" ht="25.5">
      <c r="A1549" s="250">
        <f>A1546+1</f>
        <v>272</v>
      </c>
      <c r="B1549" s="251"/>
      <c r="C1549" s="647" t="s">
        <v>2196</v>
      </c>
      <c r="D1549" s="526" t="s">
        <v>2129</v>
      </c>
      <c r="E1549" s="251" t="s">
        <v>2471</v>
      </c>
      <c r="F1549" s="252"/>
      <c r="G1549" s="253"/>
      <c r="H1549" s="254"/>
      <c r="I1549" s="253"/>
      <c r="J1549" s="253"/>
      <c r="K1549" s="251" t="s">
        <v>2471</v>
      </c>
      <c r="L1549" s="255"/>
      <c r="M1549" s="258"/>
      <c r="N1549" s="257"/>
      <c r="O1549" s="258"/>
      <c r="P1549" s="257"/>
      <c r="Q1549" s="258"/>
      <c r="R1549" s="257"/>
      <c r="S1549" s="258"/>
      <c r="T1549" s="257"/>
      <c r="U1549" s="258"/>
      <c r="V1549" s="257"/>
      <c r="W1549" s="258"/>
      <c r="X1549" s="257"/>
      <c r="Y1549" s="258"/>
      <c r="Z1549" s="257"/>
    </row>
    <row r="1550" spans="1:26" ht="25.5">
      <c r="A1550" s="250"/>
      <c r="B1550" s="251"/>
      <c r="C1550" s="647"/>
      <c r="D1550" s="526" t="s">
        <v>2128</v>
      </c>
      <c r="E1550" s="251"/>
      <c r="F1550" s="252"/>
      <c r="G1550" s="253"/>
      <c r="H1550" s="254"/>
      <c r="I1550" s="253"/>
      <c r="J1550" s="253"/>
      <c r="K1550" s="251"/>
      <c r="L1550" s="261"/>
      <c r="M1550" s="258"/>
      <c r="N1550" s="257"/>
      <c r="O1550" s="258"/>
      <c r="P1550" s="257"/>
      <c r="Q1550" s="258"/>
      <c r="R1550" s="257"/>
      <c r="S1550" s="258"/>
      <c r="T1550" s="257"/>
      <c r="U1550" s="258"/>
      <c r="V1550" s="257"/>
      <c r="W1550" s="258"/>
      <c r="X1550" s="257"/>
      <c r="Y1550" s="258"/>
      <c r="Z1550" s="257"/>
    </row>
    <row r="1551" spans="1:26" ht="15" customHeight="1">
      <c r="A1551" s="250"/>
      <c r="B1551" s="251"/>
      <c r="C1551" s="648"/>
      <c r="D1551" s="292" t="s">
        <v>993</v>
      </c>
      <c r="E1551" s="251"/>
      <c r="F1551" s="252"/>
      <c r="H1551" s="254"/>
      <c r="I1551" s="253"/>
      <c r="J1551" s="253"/>
      <c r="K1551" s="251"/>
      <c r="L1551" s="255"/>
      <c r="M1551" s="258">
        <v>0</v>
      </c>
      <c r="N1551" s="257"/>
      <c r="O1551" s="258"/>
      <c r="P1551" s="257"/>
      <c r="Q1551" s="258">
        <v>0</v>
      </c>
      <c r="R1551" s="257"/>
      <c r="S1551" s="258"/>
      <c r="T1551" s="257"/>
      <c r="U1551" s="509">
        <f>U373*5</f>
        <v>0</v>
      </c>
      <c r="V1551" s="257"/>
      <c r="W1551" s="258"/>
      <c r="X1551" s="257"/>
      <c r="Y1551" s="509">
        <f>Y384*8</f>
        <v>0</v>
      </c>
      <c r="Z1551" s="257"/>
    </row>
    <row r="1552" spans="1:26" ht="15" customHeight="1">
      <c r="A1552" s="250"/>
      <c r="B1552" s="251"/>
      <c r="C1552" s="648"/>
      <c r="D1552" s="292" t="s">
        <v>994</v>
      </c>
      <c r="E1552" s="251"/>
      <c r="F1552" s="252"/>
      <c r="H1552" s="254"/>
      <c r="I1552" s="253"/>
      <c r="J1552" s="253"/>
      <c r="K1552" s="251"/>
      <c r="L1552" s="255"/>
      <c r="M1552" s="258">
        <f>(145-10.5)*(0.5)*8</f>
        <v>538</v>
      </c>
      <c r="N1552" s="257"/>
      <c r="O1552" s="258">
        <f>(250-12-10.5)*(1.3)*8</f>
        <v>2366</v>
      </c>
      <c r="P1552" s="257"/>
      <c r="Q1552" s="258">
        <f>(250-12-97)*(0.85)*8</f>
        <v>958.8</v>
      </c>
      <c r="R1552" s="257"/>
      <c r="S1552" s="258"/>
      <c r="T1552" s="257"/>
      <c r="U1552" s="509">
        <f>U374*5</f>
        <v>4950</v>
      </c>
      <c r="V1552" s="257"/>
      <c r="W1552" s="258"/>
      <c r="X1552" s="257"/>
      <c r="Y1552" s="509">
        <f>Y385*8</f>
        <v>6026.8</v>
      </c>
      <c r="Z1552" s="257"/>
    </row>
    <row r="1553" spans="1:26" ht="15" customHeight="1">
      <c r="A1553" s="250"/>
      <c r="B1553" s="251"/>
      <c r="C1553" s="648"/>
      <c r="D1553" s="292" t="s">
        <v>995</v>
      </c>
      <c r="E1553" s="251"/>
      <c r="F1553" s="252"/>
      <c r="G1553" s="253"/>
      <c r="H1553" s="254"/>
      <c r="I1553" s="253"/>
      <c r="J1553" s="253"/>
      <c r="K1553" s="251"/>
      <c r="L1553" s="255"/>
      <c r="M1553" s="258">
        <f>(251-14-18-18)*(0.5)*8</f>
        <v>804</v>
      </c>
      <c r="N1553" s="257"/>
      <c r="O1553" s="258">
        <f>(251-97-18-18)*(1.3)*8</f>
        <v>1227.2</v>
      </c>
      <c r="P1553" s="257"/>
      <c r="Q1553" s="258">
        <f>(251-14-18-18)*(0.85)*8</f>
        <v>1366.8</v>
      </c>
      <c r="R1553" s="257"/>
      <c r="S1553" s="258"/>
      <c r="T1553" s="257"/>
      <c r="U1553" s="509">
        <f>U375*5</f>
        <v>8970</v>
      </c>
      <c r="V1553" s="257"/>
      <c r="W1553" s="258"/>
      <c r="X1553" s="257"/>
      <c r="Y1553" s="509">
        <f>Y386*8</f>
        <v>7176</v>
      </c>
      <c r="Z1553" s="257"/>
    </row>
    <row r="1554" spans="1:26" ht="15" customHeight="1">
      <c r="A1554" s="250"/>
      <c r="B1554" s="251"/>
      <c r="C1554" s="648"/>
      <c r="D1554" s="292" t="s">
        <v>2498</v>
      </c>
      <c r="E1554" s="251"/>
      <c r="F1554" s="252"/>
      <c r="G1554" s="253"/>
      <c r="H1554" s="254"/>
      <c r="I1554" s="253"/>
      <c r="J1554" s="253"/>
      <c r="K1554" s="251"/>
      <c r="L1554" s="255"/>
      <c r="M1554" s="258">
        <f>(70)*(0.5)*8</f>
        <v>280</v>
      </c>
      <c r="N1554" s="257"/>
      <c r="O1554" s="258">
        <f>(70)*(1.3)*8</f>
        <v>728</v>
      </c>
      <c r="P1554" s="257"/>
      <c r="Q1554" s="258">
        <f>(70)*(0.85)*8</f>
        <v>476</v>
      </c>
      <c r="R1554" s="257"/>
      <c r="S1554" s="258"/>
      <c r="T1554" s="257"/>
      <c r="U1554" s="509"/>
      <c r="V1554" s="257"/>
      <c r="W1554" s="258"/>
      <c r="X1554" s="257"/>
      <c r="Y1554" s="509">
        <f>Y387*8</f>
        <v>840</v>
      </c>
      <c r="Z1554" s="257"/>
    </row>
    <row r="1555" spans="1:26" ht="15" customHeight="1">
      <c r="A1555" s="250"/>
      <c r="B1555" s="251"/>
      <c r="C1555" s="648"/>
      <c r="D1555" s="292" t="s">
        <v>2446</v>
      </c>
      <c r="E1555" s="251"/>
      <c r="F1555" s="252"/>
      <c r="G1555" s="253"/>
      <c r="H1555" s="254"/>
      <c r="I1555" s="253"/>
      <c r="J1555" s="253"/>
      <c r="K1555" s="251"/>
      <c r="L1555" s="255"/>
      <c r="M1555" s="258">
        <f>(21*(0.5)*(3.5*5)+21*(0.5)*1.5*8+11*(0.5)*4.5*8+11*(0.5)*3.5*5)*0.6</f>
        <v>362.4</v>
      </c>
      <c r="N1555" s="257"/>
      <c r="O1555" s="258">
        <f>200*1.3*8</f>
        <v>2080</v>
      </c>
      <c r="P1555" s="257"/>
      <c r="Q1555" s="258">
        <f>(35*5+35*2)*0.8*8*0.6</f>
        <v>940.8</v>
      </c>
      <c r="R1555" s="257"/>
      <c r="S1555" s="258"/>
      <c r="T1555" s="257"/>
      <c r="U1555" s="509">
        <f>U377*5</f>
        <v>-568.79999999999995</v>
      </c>
      <c r="V1555" s="257"/>
      <c r="W1555" s="258"/>
      <c r="X1555" s="257"/>
      <c r="Y1555" s="509">
        <f>Y390*8</f>
        <v>-2862.8</v>
      </c>
      <c r="Z1555" s="257"/>
    </row>
    <row r="1556" spans="1:26" ht="15" customHeight="1">
      <c r="A1556" s="250"/>
      <c r="B1556" s="251"/>
      <c r="C1556" s="648"/>
      <c r="D1556" s="292" t="s">
        <v>2451</v>
      </c>
      <c r="E1556" s="251"/>
      <c r="F1556" s="252"/>
      <c r="G1556" s="253"/>
      <c r="H1556" s="254"/>
      <c r="I1556" s="253"/>
      <c r="J1556" s="253"/>
      <c r="K1556" s="251"/>
      <c r="L1556" s="256">
        <f>(180+45+70+40)*2.1*8</f>
        <v>5628</v>
      </c>
      <c r="M1556" s="256"/>
      <c r="N1556" s="257"/>
      <c r="O1556" s="258"/>
      <c r="P1556" s="257"/>
      <c r="Q1556" s="258"/>
      <c r="R1556" s="257"/>
      <c r="S1556" s="258"/>
      <c r="T1556" s="257"/>
      <c r="U1556" s="258"/>
      <c r="V1556" s="257"/>
      <c r="W1556" s="258"/>
      <c r="X1556" s="257"/>
      <c r="Y1556" s="258"/>
      <c r="Z1556" s="257"/>
    </row>
    <row r="1557" spans="1:26" ht="15" customHeight="1">
      <c r="A1557" s="250"/>
      <c r="B1557" s="251"/>
      <c r="C1557" s="648"/>
      <c r="D1557" s="292" t="s">
        <v>2446</v>
      </c>
      <c r="E1557" s="251"/>
      <c r="F1557" s="252"/>
      <c r="G1557" s="253"/>
      <c r="H1557" s="254"/>
      <c r="I1557" s="253"/>
      <c r="J1557" s="253"/>
      <c r="K1557" s="251"/>
      <c r="L1557" s="256">
        <f>50*2*8</f>
        <v>800</v>
      </c>
      <c r="M1557" s="297"/>
      <c r="N1557" s="294"/>
      <c r="O1557" s="293"/>
      <c r="P1557" s="294"/>
      <c r="Q1557" s="293"/>
      <c r="R1557" s="294"/>
      <c r="S1557" s="293"/>
      <c r="T1557" s="294"/>
      <c r="U1557" s="293"/>
      <c r="V1557" s="294"/>
      <c r="W1557" s="293"/>
      <c r="X1557" s="294"/>
      <c r="Y1557" s="293"/>
      <c r="Z1557" s="294"/>
    </row>
    <row r="1558" spans="1:26" ht="15" customHeight="1">
      <c r="A1558" s="250"/>
      <c r="B1558" s="251"/>
      <c r="C1558" s="648"/>
      <c r="D1558" s="292" t="s">
        <v>575</v>
      </c>
      <c r="E1558" s="251"/>
      <c r="F1558" s="244">
        <f>M1558+O1558+Q1558+S1558+U1558+W1558+Y1558</f>
        <v>36659.199999999997</v>
      </c>
      <c r="G1558" s="253">
        <f t="shared" si="264"/>
        <v>1.78</v>
      </c>
      <c r="H1558" s="254">
        <f>INT(F1558*G1558*100+0.5)/100</f>
        <v>65253.38</v>
      </c>
      <c r="I1558" s="253">
        <f>N1558+P1558+R1558+T1558+V1558+X1558+Z1558</f>
        <v>65253.38</v>
      </c>
      <c r="J1558" s="253"/>
      <c r="K1558" s="251"/>
      <c r="L1558" s="255">
        <v>1.78</v>
      </c>
      <c r="M1558" s="258">
        <f>SUM(M1551:M1557)</f>
        <v>1984.4</v>
      </c>
      <c r="N1558" s="257">
        <f>INT($L1558*M1558*100+0.5)/100</f>
        <v>3532.23</v>
      </c>
      <c r="O1558" s="258">
        <f>SUM(O1551:O1557)</f>
        <v>6401.2</v>
      </c>
      <c r="P1558" s="257">
        <f>INT($L1558*O1558*100+0.5)/100</f>
        <v>11394.14</v>
      </c>
      <c r="Q1558" s="258">
        <f>SUM(Q1551:Q1557)</f>
        <v>3742.3999999999996</v>
      </c>
      <c r="R1558" s="257">
        <f>INT($L1558*Q1558*100+0.5)/100</f>
        <v>6661.47</v>
      </c>
      <c r="S1558" s="258">
        <f>SUM(S1551:S1557)</f>
        <v>0</v>
      </c>
      <c r="T1558" s="257">
        <f>INT($L1558*S1558*100+0.5)/100</f>
        <v>0</v>
      </c>
      <c r="U1558" s="258">
        <f>SUM(U1551:U1557)</f>
        <v>13351.2</v>
      </c>
      <c r="V1558" s="257">
        <f>INT($L1558*U1558*100+0.5)/100</f>
        <v>23765.14</v>
      </c>
      <c r="W1558" s="258">
        <f>SUM(W1551:W1557)</f>
        <v>0</v>
      </c>
      <c r="X1558" s="257">
        <f>INT($L1558*W1558*100+0.5)/100</f>
        <v>0</v>
      </c>
      <c r="Y1558" s="258">
        <f>SUM(Y1551:Y1557)</f>
        <v>11180</v>
      </c>
      <c r="Z1558" s="257">
        <f>INT($L1558*Y1558*100+0.5)/100</f>
        <v>19900.400000000001</v>
      </c>
    </row>
    <row r="1559" spans="1:26" ht="15" customHeight="1">
      <c r="A1559" s="250"/>
      <c r="B1559" s="251"/>
      <c r="C1559" s="647"/>
      <c r="D1559" s="292"/>
      <c r="E1559" s="251"/>
      <c r="F1559" s="252"/>
      <c r="G1559" s="253"/>
      <c r="H1559" s="254"/>
      <c r="I1559" s="253"/>
      <c r="J1559" s="253"/>
      <c r="K1559" s="251"/>
      <c r="L1559" s="261"/>
      <c r="M1559" s="258"/>
      <c r="N1559" s="257"/>
      <c r="O1559" s="258"/>
      <c r="P1559" s="257"/>
      <c r="Q1559" s="258"/>
      <c r="R1559" s="257"/>
      <c r="S1559" s="258"/>
      <c r="T1559" s="257"/>
      <c r="U1559" s="258"/>
      <c r="V1559" s="257"/>
      <c r="W1559" s="258"/>
      <c r="X1559" s="257"/>
      <c r="Y1559" s="258"/>
      <c r="Z1559" s="257"/>
    </row>
    <row r="1560" spans="1:26" ht="25.5">
      <c r="A1560" s="250">
        <f>A1549+1</f>
        <v>273</v>
      </c>
      <c r="B1560" s="251"/>
      <c r="C1560" s="647" t="s">
        <v>851</v>
      </c>
      <c r="D1560" s="532" t="s">
        <v>928</v>
      </c>
      <c r="E1560" s="251" t="s">
        <v>1898</v>
      </c>
      <c r="F1560" s="304">
        <f>M1560+O1560+Q1560+S1560+U1560+W1560+Y1560</f>
        <v>0</v>
      </c>
      <c r="G1560" s="253">
        <f>L1560</f>
        <v>6.65</v>
      </c>
      <c r="H1560" s="254"/>
      <c r="I1560" s="253">
        <f>N1560+P1560+R1560+T1560+V1560+X1560+Z1560</f>
        <v>0</v>
      </c>
      <c r="J1560" s="253"/>
      <c r="K1560" s="251" t="s">
        <v>1898</v>
      </c>
      <c r="L1560" s="255">
        <v>6.65</v>
      </c>
      <c r="M1560" s="258">
        <v>0</v>
      </c>
      <c r="N1560" s="257">
        <f>INT($L1560*M1560*100+0.5)/100</f>
        <v>0</v>
      </c>
      <c r="O1560" s="258">
        <v>0</v>
      </c>
      <c r="P1560" s="257">
        <f>INT($L1560*O1560*100+0.5)/100</f>
        <v>0</v>
      </c>
      <c r="Q1560" s="258">
        <v>0</v>
      </c>
      <c r="R1560" s="257">
        <f>INT($L1560*Q1560*100+0.5)/100</f>
        <v>0</v>
      </c>
      <c r="S1560" s="258">
        <v>0</v>
      </c>
      <c r="T1560" s="257">
        <f>INT($L1560*S1560*100+0.5)/100</f>
        <v>0</v>
      </c>
      <c r="U1560" s="258">
        <v>0</v>
      </c>
      <c r="V1560" s="257">
        <f>INT($L1560*U1560*100+0.5)/100</f>
        <v>0</v>
      </c>
      <c r="W1560" s="258">
        <v>0</v>
      </c>
      <c r="X1560" s="257">
        <f>INT($L1560*W1560*100+0.5)/100</f>
        <v>0</v>
      </c>
      <c r="Y1560" s="258">
        <v>0</v>
      </c>
      <c r="Z1560" s="257">
        <f>INT($L1560*Y1560*100+0.5)/100</f>
        <v>0</v>
      </c>
    </row>
    <row r="1561" spans="1:26" ht="25.5">
      <c r="A1561" s="250"/>
      <c r="B1561" s="251"/>
      <c r="C1561" s="647"/>
      <c r="D1561" s="532" t="s">
        <v>929</v>
      </c>
      <c r="E1561" s="251"/>
      <c r="F1561" s="252"/>
      <c r="G1561" s="253"/>
      <c r="H1561" s="254"/>
      <c r="I1561" s="253"/>
      <c r="J1561" s="253"/>
      <c r="K1561" s="251"/>
      <c r="L1561" s="261"/>
      <c r="M1561" s="258"/>
      <c r="N1561" s="257"/>
      <c r="O1561" s="258"/>
      <c r="P1561" s="257"/>
      <c r="Q1561" s="258"/>
      <c r="R1561" s="257"/>
      <c r="S1561" s="258"/>
      <c r="T1561" s="257"/>
      <c r="U1561" s="258"/>
      <c r="V1561" s="257"/>
      <c r="W1561" s="258"/>
      <c r="X1561" s="257"/>
      <c r="Y1561" s="258"/>
      <c r="Z1561" s="257"/>
    </row>
    <row r="1562" spans="1:26" ht="15" customHeight="1">
      <c r="A1562" s="250"/>
      <c r="B1562" s="251"/>
      <c r="C1562" s="647"/>
      <c r="D1562" s="292"/>
      <c r="E1562" s="251"/>
      <c r="F1562" s="252"/>
      <c r="G1562" s="253"/>
      <c r="H1562" s="254"/>
      <c r="I1562" s="253"/>
      <c r="J1562" s="253"/>
      <c r="K1562" s="251"/>
      <c r="L1562" s="261"/>
      <c r="M1562" s="258"/>
      <c r="N1562" s="257"/>
      <c r="O1562" s="258"/>
      <c r="P1562" s="257"/>
      <c r="Q1562" s="258"/>
      <c r="R1562" s="257"/>
      <c r="S1562" s="258"/>
      <c r="T1562" s="257"/>
      <c r="U1562" s="258"/>
      <c r="V1562" s="257"/>
      <c r="W1562" s="258"/>
      <c r="X1562" s="257"/>
      <c r="Y1562" s="258"/>
      <c r="Z1562" s="257"/>
    </row>
    <row r="1563" spans="1:26" ht="25.5">
      <c r="A1563" s="250">
        <f>A1560+1</f>
        <v>274</v>
      </c>
      <c r="B1563" s="251"/>
      <c r="C1563" s="647" t="s">
        <v>852</v>
      </c>
      <c r="D1563" s="526" t="s">
        <v>2131</v>
      </c>
      <c r="E1563" s="251" t="s">
        <v>1898</v>
      </c>
      <c r="F1563" s="304">
        <f>M1563+O1563+Q1563+S1563+U1563+W1563+Y1563</f>
        <v>0</v>
      </c>
      <c r="G1563" s="253">
        <f>L1563</f>
        <v>7.08</v>
      </c>
      <c r="H1563" s="254">
        <f>INT(F1563*G1563*100+0.5)/100</f>
        <v>0</v>
      </c>
      <c r="I1563" s="253">
        <f>N1563+P1563+R1563+T1563+V1563+X1563+Z1563</f>
        <v>0</v>
      </c>
      <c r="J1563" s="253"/>
      <c r="K1563" s="251" t="s">
        <v>1898</v>
      </c>
      <c r="L1563" s="255">
        <v>7.08</v>
      </c>
      <c r="M1563" s="258">
        <v>0</v>
      </c>
      <c r="N1563" s="257">
        <f>INT($L1563*M1563*100+0.5)/100</f>
        <v>0</v>
      </c>
      <c r="O1563" s="258">
        <v>0</v>
      </c>
      <c r="P1563" s="257">
        <f>INT($L1563*O1563*100+0.5)/100</f>
        <v>0</v>
      </c>
      <c r="Q1563" s="258">
        <v>0</v>
      </c>
      <c r="R1563" s="257">
        <f>INT($L1563*Q1563*100+0.5)/100</f>
        <v>0</v>
      </c>
      <c r="S1563" s="258">
        <v>0</v>
      </c>
      <c r="T1563" s="257">
        <f>INT($L1563*S1563*100+0.5)/100</f>
        <v>0</v>
      </c>
      <c r="U1563" s="258">
        <v>0</v>
      </c>
      <c r="V1563" s="257">
        <f>INT($L1563*U1563*100+0.5)/100</f>
        <v>0</v>
      </c>
      <c r="W1563" s="258">
        <v>0</v>
      </c>
      <c r="X1563" s="257">
        <f>INT($L1563*W1563*100+0.5)/100</f>
        <v>0</v>
      </c>
      <c r="Y1563" s="258">
        <v>0</v>
      </c>
      <c r="Z1563" s="257">
        <f>INT($L1563*Y1563*100+0.5)/100</f>
        <v>0</v>
      </c>
    </row>
    <row r="1564" spans="1:26" ht="25.5">
      <c r="A1564" s="250"/>
      <c r="B1564" s="251"/>
      <c r="C1564" s="647"/>
      <c r="D1564" s="526" t="s">
        <v>2130</v>
      </c>
      <c r="E1564" s="251"/>
      <c r="F1564" s="252"/>
      <c r="G1564" s="253"/>
      <c r="H1564" s="254"/>
      <c r="I1564" s="253"/>
      <c r="J1564" s="253"/>
      <c r="K1564" s="251"/>
      <c r="L1564" s="261"/>
      <c r="M1564" s="258"/>
      <c r="N1564" s="257"/>
      <c r="O1564" s="258"/>
      <c r="P1564" s="257"/>
      <c r="Q1564" s="258"/>
      <c r="R1564" s="257"/>
      <c r="S1564" s="258"/>
      <c r="T1564" s="257"/>
      <c r="U1564" s="258"/>
      <c r="V1564" s="257"/>
      <c r="W1564" s="258"/>
      <c r="X1564" s="257"/>
      <c r="Y1564" s="258"/>
      <c r="Z1564" s="257"/>
    </row>
    <row r="1565" spans="1:26" ht="15" customHeight="1">
      <c r="A1565" s="250"/>
      <c r="B1565" s="251"/>
      <c r="C1565" s="647"/>
      <c r="D1565" s="292"/>
      <c r="E1565" s="251"/>
      <c r="F1565" s="252"/>
      <c r="G1565" s="253"/>
      <c r="H1565" s="254"/>
      <c r="I1565" s="253"/>
      <c r="J1565" s="253"/>
      <c r="K1565" s="251"/>
      <c r="L1565" s="261"/>
      <c r="M1565" s="258"/>
      <c r="N1565" s="257"/>
      <c r="O1565" s="258"/>
      <c r="P1565" s="257"/>
      <c r="Q1565" s="258"/>
      <c r="R1565" s="257"/>
      <c r="S1565" s="258"/>
      <c r="T1565" s="257"/>
      <c r="U1565" s="258"/>
      <c r="V1565" s="257"/>
      <c r="W1565" s="258"/>
      <c r="X1565" s="257"/>
      <c r="Y1565" s="258"/>
      <c r="Z1565" s="257"/>
    </row>
    <row r="1566" spans="1:26" ht="25.5">
      <c r="A1566" s="250">
        <f>A1563+1</f>
        <v>275</v>
      </c>
      <c r="B1566" s="251"/>
      <c r="C1566" s="647" t="s">
        <v>852</v>
      </c>
      <c r="D1566" s="526" t="s">
        <v>2059</v>
      </c>
      <c r="E1566" s="251" t="s">
        <v>1898</v>
      </c>
      <c r="F1566" s="304">
        <f>M1566+O1566+Q1566+S1566+U1566+W1566+Y1566</f>
        <v>0</v>
      </c>
      <c r="G1566" s="253">
        <f>L1566</f>
        <v>7.43</v>
      </c>
      <c r="H1566" s="254">
        <f>INT(F1566*G1566*100+0.5)/100</f>
        <v>0</v>
      </c>
      <c r="I1566" s="253">
        <f>N1566+P1566+R1566+T1566+V1566+X1566+Z1566</f>
        <v>0</v>
      </c>
      <c r="J1566" s="253"/>
      <c r="K1566" s="251" t="s">
        <v>1898</v>
      </c>
      <c r="L1566" s="255">
        <v>7.43</v>
      </c>
      <c r="M1566" s="258">
        <v>0</v>
      </c>
      <c r="N1566" s="257">
        <f>INT($L1566*M1566*100+0.5)/100</f>
        <v>0</v>
      </c>
      <c r="O1566" s="258">
        <v>0</v>
      </c>
      <c r="P1566" s="257">
        <f>INT($L1566*O1566*100+0.5)/100</f>
        <v>0</v>
      </c>
      <c r="Q1566" s="258">
        <v>0</v>
      </c>
      <c r="R1566" s="257">
        <f>INT($L1566*Q1566*100+0.5)/100</f>
        <v>0</v>
      </c>
      <c r="S1566" s="258">
        <v>0</v>
      </c>
      <c r="T1566" s="257">
        <f>INT($L1566*S1566*100+0.5)/100</f>
        <v>0</v>
      </c>
      <c r="U1566" s="258">
        <v>0</v>
      </c>
      <c r="V1566" s="257">
        <f>INT($L1566*U1566*100+0.5)/100</f>
        <v>0</v>
      </c>
      <c r="W1566" s="258">
        <v>0</v>
      </c>
      <c r="X1566" s="257">
        <f>INT($L1566*W1566*100+0.5)/100</f>
        <v>0</v>
      </c>
      <c r="Y1566" s="258">
        <v>0</v>
      </c>
      <c r="Z1566" s="257">
        <f>INT($L1566*Y1566*100+0.5)/100</f>
        <v>0</v>
      </c>
    </row>
    <row r="1567" spans="1:26" ht="25.5">
      <c r="A1567" s="250"/>
      <c r="B1567" s="251"/>
      <c r="C1567" s="647"/>
      <c r="D1567" s="526" t="s">
        <v>2060</v>
      </c>
      <c r="E1567" s="251"/>
      <c r="F1567" s="252"/>
      <c r="G1567" s="253"/>
      <c r="H1567" s="254"/>
      <c r="I1567" s="253"/>
      <c r="J1567" s="253"/>
      <c r="K1567" s="251"/>
      <c r="L1567" s="261"/>
      <c r="M1567" s="258"/>
      <c r="N1567" s="257"/>
      <c r="O1567" s="258"/>
      <c r="P1567" s="257"/>
      <c r="Q1567" s="258"/>
      <c r="R1567" s="257"/>
      <c r="S1567" s="258"/>
      <c r="T1567" s="257"/>
      <c r="U1567" s="258"/>
      <c r="V1567" s="257"/>
      <c r="W1567" s="258"/>
      <c r="X1567" s="257"/>
      <c r="Y1567" s="258"/>
      <c r="Z1567" s="257"/>
    </row>
    <row r="1568" spans="1:26" ht="15" customHeight="1">
      <c r="A1568" s="250"/>
      <c r="B1568" s="251"/>
      <c r="C1568" s="647"/>
      <c r="D1568" s="292"/>
      <c r="E1568" s="251"/>
      <c r="F1568" s="252"/>
      <c r="G1568" s="253"/>
      <c r="H1568" s="254"/>
      <c r="I1568" s="253"/>
      <c r="J1568" s="253"/>
      <c r="K1568" s="251"/>
      <c r="L1568" s="261"/>
      <c r="M1568" s="258"/>
      <c r="N1568" s="257"/>
      <c r="O1568" s="258"/>
      <c r="P1568" s="257"/>
      <c r="Q1568" s="258"/>
      <c r="R1568" s="257"/>
      <c r="S1568" s="258"/>
      <c r="T1568" s="257"/>
      <c r="U1568" s="258"/>
      <c r="V1568" s="257"/>
      <c r="W1568" s="258"/>
      <c r="X1568" s="257"/>
      <c r="Y1568" s="258"/>
      <c r="Z1568" s="257"/>
    </row>
    <row r="1569" spans="1:26" ht="25.5">
      <c r="A1569" s="250">
        <f>A1566+1</f>
        <v>276</v>
      </c>
      <c r="B1569" s="251"/>
      <c r="C1569" s="647" t="s">
        <v>853</v>
      </c>
      <c r="D1569" s="526" t="s">
        <v>319</v>
      </c>
      <c r="E1569" s="251" t="s">
        <v>591</v>
      </c>
      <c r="F1569" s="252"/>
      <c r="G1569" s="253"/>
      <c r="H1569" s="254"/>
      <c r="I1569" s="253"/>
      <c r="J1569" s="253"/>
      <c r="K1569" s="251" t="s">
        <v>591</v>
      </c>
      <c r="L1569" s="255"/>
      <c r="M1569" s="258"/>
      <c r="N1569" s="257"/>
      <c r="O1569" s="258"/>
      <c r="P1569" s="257"/>
      <c r="Q1569" s="258"/>
      <c r="R1569" s="257"/>
      <c r="S1569" s="258"/>
      <c r="T1569" s="257"/>
      <c r="U1569" s="258"/>
      <c r="V1569" s="257"/>
      <c r="W1569" s="258"/>
      <c r="X1569" s="257"/>
      <c r="Y1569" s="258"/>
      <c r="Z1569" s="257"/>
    </row>
    <row r="1570" spans="1:26" ht="25.5">
      <c r="A1570" s="250"/>
      <c r="B1570" s="251"/>
      <c r="C1570" s="647"/>
      <c r="D1570" s="526" t="s">
        <v>318</v>
      </c>
      <c r="E1570" s="251"/>
      <c r="F1570" s="252"/>
      <c r="G1570" s="253"/>
      <c r="H1570" s="254"/>
      <c r="I1570" s="253"/>
      <c r="J1570" s="253"/>
      <c r="K1570" s="251"/>
      <c r="L1570" s="261"/>
      <c r="M1570" s="258"/>
      <c r="N1570" s="257"/>
      <c r="O1570" s="258"/>
      <c r="P1570" s="257"/>
      <c r="Q1570" s="258"/>
      <c r="R1570" s="257"/>
      <c r="S1570" s="258"/>
      <c r="T1570" s="257"/>
      <c r="U1570" s="258"/>
      <c r="V1570" s="257"/>
      <c r="W1570" s="258"/>
      <c r="X1570" s="257"/>
      <c r="Y1570" s="258"/>
      <c r="Z1570" s="257"/>
    </row>
    <row r="1571" spans="1:26" ht="15" customHeight="1">
      <c r="A1571" s="250"/>
      <c r="B1571" s="251"/>
      <c r="C1571" s="648"/>
      <c r="D1571" s="238" t="s">
        <v>993</v>
      </c>
      <c r="E1571" s="251"/>
      <c r="F1571" s="252"/>
      <c r="G1571" s="253"/>
      <c r="H1571" s="254"/>
      <c r="I1571" s="253"/>
      <c r="J1571" s="253"/>
      <c r="K1571" s="251"/>
      <c r="L1571" s="255"/>
      <c r="M1571" s="258">
        <v>0</v>
      </c>
      <c r="N1571" s="257"/>
      <c r="O1571" s="258"/>
      <c r="P1571" s="257"/>
      <c r="Q1571" s="258">
        <v>0</v>
      </c>
      <c r="R1571" s="257"/>
      <c r="S1571" s="258"/>
      <c r="T1571" s="257"/>
      <c r="U1571" s="509">
        <f>U373*3*24/1000</f>
        <v>0</v>
      </c>
      <c r="V1571" s="257"/>
      <c r="W1571" s="509"/>
      <c r="X1571" s="257"/>
      <c r="Y1571" s="509">
        <f>Y384*4*24/1000</f>
        <v>0</v>
      </c>
      <c r="Z1571" s="257"/>
    </row>
    <row r="1572" spans="1:26" ht="15" customHeight="1">
      <c r="A1572" s="250"/>
      <c r="B1572" s="251"/>
      <c r="C1572" s="648"/>
      <c r="D1572" s="238" t="s">
        <v>995</v>
      </c>
      <c r="E1572" s="251"/>
      <c r="F1572" s="252"/>
      <c r="G1572" s="253"/>
      <c r="H1572" s="254"/>
      <c r="I1572" s="253"/>
      <c r="J1572" s="253"/>
      <c r="K1572" s="251"/>
      <c r="L1572" s="255"/>
      <c r="M1572" s="258">
        <f>(145-10-16)*(0.8)*4*24/1000</f>
        <v>9.1392000000000007</v>
      </c>
      <c r="N1572" s="257"/>
      <c r="O1572" s="258">
        <f>(250-16)*(1.6)*4*24/1000</f>
        <v>35.942399999999999</v>
      </c>
      <c r="P1572" s="257"/>
      <c r="Q1572" s="258">
        <f>(250-12-10.5)*(0.85)*4*24/1000</f>
        <v>18.564</v>
      </c>
      <c r="R1572" s="257"/>
      <c r="S1572" s="258"/>
      <c r="T1572" s="257"/>
      <c r="U1572" s="509">
        <f>U374*3*24/1000</f>
        <v>71.28</v>
      </c>
      <c r="V1572" s="257"/>
      <c r="W1572" s="509"/>
      <c r="X1572" s="257"/>
      <c r="Y1572" s="509">
        <f>Y385*4*24/1000</f>
        <v>72.321600000000004</v>
      </c>
      <c r="Z1572" s="257"/>
    </row>
    <row r="1573" spans="1:26" ht="15" customHeight="1">
      <c r="A1573" s="250"/>
      <c r="B1573" s="251"/>
      <c r="C1573" s="648"/>
      <c r="D1573" s="238" t="s">
        <v>994</v>
      </c>
      <c r="E1573" s="251"/>
      <c r="F1573" s="252"/>
      <c r="G1573" s="253"/>
      <c r="H1573" s="254"/>
      <c r="I1573" s="253"/>
      <c r="J1573" s="253"/>
      <c r="K1573" s="251"/>
      <c r="L1573" s="255"/>
      <c r="M1573" s="258">
        <f>(250-16)*(0.8)*4*24/1000</f>
        <v>17.9712</v>
      </c>
      <c r="N1573" s="257"/>
      <c r="O1573" s="258">
        <f>(250-16)*(1.6)*4*24/1000</f>
        <v>35.942399999999999</v>
      </c>
      <c r="P1573" s="257"/>
      <c r="Q1573" s="258">
        <f>(251-14-18-18)*(0.85)*4*24/1000</f>
        <v>16.401599999999998</v>
      </c>
      <c r="R1573" s="257"/>
      <c r="S1573" s="258"/>
      <c r="T1573" s="257"/>
      <c r="U1573" s="509">
        <f>U375*3*24/1000</f>
        <v>129.16800000000001</v>
      </c>
      <c r="V1573" s="257"/>
      <c r="W1573" s="509"/>
      <c r="X1573" s="257"/>
      <c r="Y1573" s="509">
        <f>Y386*4*24/1000</f>
        <v>86.111999999999995</v>
      </c>
      <c r="Z1573" s="257"/>
    </row>
    <row r="1574" spans="1:26" ht="15" customHeight="1">
      <c r="A1574" s="250"/>
      <c r="B1574" s="251"/>
      <c r="C1574" s="648"/>
      <c r="D1574" s="238" t="s">
        <v>2498</v>
      </c>
      <c r="E1574" s="251"/>
      <c r="F1574" s="252"/>
      <c r="G1574" s="253"/>
      <c r="H1574" s="254"/>
      <c r="I1574" s="253"/>
      <c r="J1574" s="253"/>
      <c r="K1574" s="251"/>
      <c r="L1574" s="255"/>
      <c r="M1574" s="258">
        <f>(70)*(0.8)*4*24/1000</f>
        <v>5.3760000000000003</v>
      </c>
      <c r="N1574" s="257"/>
      <c r="O1574" s="258">
        <f>(70)*(1.6)*4*24/1000</f>
        <v>10.752000000000001</v>
      </c>
      <c r="P1574" s="257"/>
      <c r="Q1574" s="258">
        <f>(70)*(0.85)*4*24/1000</f>
        <v>5.7119999999999997</v>
      </c>
      <c r="R1574" s="257"/>
      <c r="S1574" s="258"/>
      <c r="T1574" s="257"/>
      <c r="U1574" s="509">
        <f>U376*3*24/1000</f>
        <v>1.08</v>
      </c>
      <c r="V1574" s="257"/>
      <c r="W1574" s="509"/>
      <c r="X1574" s="257"/>
      <c r="Y1574" s="509">
        <f>Y387*4*24/1000</f>
        <v>10.08</v>
      </c>
      <c r="Z1574" s="257"/>
    </row>
    <row r="1575" spans="1:26" ht="15" customHeight="1">
      <c r="A1575" s="250"/>
      <c r="B1575" s="251"/>
      <c r="C1575" s="648"/>
      <c r="D1575" s="238" t="s">
        <v>2446</v>
      </c>
      <c r="E1575" s="251"/>
      <c r="F1575" s="252"/>
      <c r="G1575" s="253"/>
      <c r="H1575" s="254"/>
      <c r="I1575" s="253"/>
      <c r="J1575" s="253"/>
      <c r="K1575" s="251"/>
      <c r="L1575" s="255"/>
      <c r="M1575" s="258">
        <f>(21*(0.8)*(3.5)*2*24/1000+21*(0.8)*1.5*4*24/1000+11*(0.8)*4.5*4*24/1000+11*(0.8)*3.5*2*24/1000)*0.6</f>
        <v>6.3129600000000003</v>
      </c>
      <c r="N1575" s="257"/>
      <c r="O1575" s="258">
        <f>100*1.5*4*24/1000</f>
        <v>14.4</v>
      </c>
      <c r="P1575" s="257"/>
      <c r="Q1575" s="258">
        <f>(35*5+35*2)*0.8*4*24/1000*0.6</f>
        <v>11.289599999999998</v>
      </c>
      <c r="R1575" s="257"/>
      <c r="S1575" s="258"/>
      <c r="T1575" s="257"/>
      <c r="U1575" s="509">
        <f>U377*3*24/1000</f>
        <v>-8.1907199999999989</v>
      </c>
      <c r="V1575" s="257"/>
      <c r="W1575" s="509">
        <f>W377*3*24/1000</f>
        <v>8.1907199999999989</v>
      </c>
      <c r="X1575" s="257"/>
      <c r="Y1575" s="509">
        <f>Y390*4*24/1000</f>
        <v>-34.353600000000007</v>
      </c>
      <c r="Z1575" s="257"/>
    </row>
    <row r="1576" spans="1:26" ht="15" customHeight="1">
      <c r="A1576" s="250"/>
      <c r="B1576" s="251"/>
      <c r="C1576" s="648"/>
      <c r="D1576" s="238" t="s">
        <v>2451</v>
      </c>
      <c r="E1576" s="251"/>
      <c r="F1576" s="252"/>
      <c r="G1576" s="253"/>
      <c r="H1576" s="254"/>
      <c r="I1576" s="253"/>
      <c r="J1576" s="253"/>
      <c r="K1576" s="251"/>
      <c r="L1576" s="256">
        <f>(180+45+70+40)*3</f>
        <v>1005</v>
      </c>
      <c r="M1576" s="256"/>
      <c r="N1576" s="257"/>
      <c r="O1576" s="258"/>
      <c r="P1576" s="257"/>
      <c r="Q1576" s="258"/>
      <c r="R1576" s="257"/>
      <c r="S1576" s="258"/>
      <c r="T1576" s="257"/>
      <c r="U1576" s="258"/>
      <c r="V1576" s="257"/>
      <c r="W1576" s="258"/>
      <c r="X1576" s="257"/>
      <c r="Y1576" s="258"/>
      <c r="Z1576" s="257"/>
    </row>
    <row r="1577" spans="1:26" ht="15" customHeight="1">
      <c r="A1577" s="250"/>
      <c r="B1577" s="251"/>
      <c r="C1577" s="648"/>
      <c r="D1577" s="238" t="s">
        <v>927</v>
      </c>
      <c r="E1577" s="251"/>
      <c r="F1577" s="252"/>
      <c r="G1577" s="253"/>
      <c r="H1577" s="254"/>
      <c r="I1577" s="253"/>
      <c r="J1577" s="253"/>
      <c r="K1577" s="251"/>
      <c r="L1577" s="256">
        <v>0</v>
      </c>
      <c r="M1577" s="297"/>
      <c r="N1577" s="294"/>
      <c r="O1577" s="293"/>
      <c r="P1577" s="294"/>
      <c r="Q1577" s="293"/>
      <c r="R1577" s="294"/>
      <c r="S1577" s="293"/>
      <c r="T1577" s="294"/>
      <c r="U1577" s="293"/>
      <c r="V1577" s="294"/>
      <c r="W1577" s="293"/>
      <c r="X1577" s="294"/>
      <c r="Y1577" s="293"/>
      <c r="Z1577" s="294"/>
    </row>
    <row r="1578" spans="1:26" ht="15" customHeight="1">
      <c r="A1578" s="250"/>
      <c r="B1578" s="251"/>
      <c r="C1578" s="648"/>
      <c r="D1578" s="238" t="s">
        <v>575</v>
      </c>
      <c r="E1578" s="251"/>
      <c r="F1578" s="304">
        <f>M1578+O1578+Q1578+S1578+U1578+W1578+Y1578</f>
        <v>523.49135999999999</v>
      </c>
      <c r="G1578" s="253">
        <f>L1578</f>
        <v>95.13</v>
      </c>
      <c r="H1578" s="254">
        <f>INT(F1578*G1578*100+0.5)/100</f>
        <v>49799.73</v>
      </c>
      <c r="I1578" s="253">
        <f>N1578+P1578+R1578+T1578+V1578+X1578+Z1578</f>
        <v>49799.73</v>
      </c>
      <c r="J1578" s="253"/>
      <c r="K1578" s="251"/>
      <c r="L1578" s="255">
        <v>95.13</v>
      </c>
      <c r="M1578" s="258">
        <f>SUM(M1571:M1577)</f>
        <v>38.799359999999993</v>
      </c>
      <c r="N1578" s="257">
        <f>INT($L1578*M1578*100+0.5)/100</f>
        <v>3690.98</v>
      </c>
      <c r="O1578" s="258">
        <f>SUM(O1571:O1577)</f>
        <v>97.036799999999999</v>
      </c>
      <c r="P1578" s="257">
        <f>INT($L1578*O1578*100+0.5)/100</f>
        <v>9231.11</v>
      </c>
      <c r="Q1578" s="258">
        <f>SUM(Q1571:Q1577)</f>
        <v>51.967199999999998</v>
      </c>
      <c r="R1578" s="257">
        <f>INT($L1578*Q1578*100+0.5)/100</f>
        <v>4943.6400000000003</v>
      </c>
      <c r="S1578" s="258">
        <f>SUM(S1571:S1577)</f>
        <v>0</v>
      </c>
      <c r="T1578" s="257">
        <f>INT($L1578*S1578*100+0.5)/100</f>
        <v>0</v>
      </c>
      <c r="U1578" s="258">
        <f>SUM(U1571:U1577)</f>
        <v>193.33728000000002</v>
      </c>
      <c r="V1578" s="257">
        <f>INT($L1578*U1578*100+0.5)/100</f>
        <v>18392.18</v>
      </c>
      <c r="W1578" s="258">
        <f>SUM(W1571:W1577)</f>
        <v>8.1907199999999989</v>
      </c>
      <c r="X1578" s="257">
        <f>INT($L1578*W1578*100+0.5)/100</f>
        <v>779.18</v>
      </c>
      <c r="Y1578" s="258">
        <f>SUM(Y1571:Y1577)</f>
        <v>134.16000000000003</v>
      </c>
      <c r="Z1578" s="257">
        <f>INT($L1578*Y1578*100+0.5)/100</f>
        <v>12762.64</v>
      </c>
    </row>
    <row r="1579" spans="1:26" ht="15" customHeight="1">
      <c r="A1579" s="250"/>
      <c r="B1579" s="251"/>
      <c r="C1579" s="647"/>
      <c r="D1579" s="292"/>
      <c r="E1579" s="251"/>
      <c r="F1579" s="252"/>
      <c r="G1579" s="253"/>
      <c r="H1579" s="254"/>
      <c r="I1579" s="253"/>
      <c r="J1579" s="253"/>
      <c r="K1579" s="251"/>
      <c r="L1579" s="261"/>
      <c r="M1579" s="258"/>
      <c r="N1579" s="257"/>
      <c r="O1579" s="258"/>
      <c r="P1579" s="257"/>
      <c r="Q1579" s="258"/>
      <c r="R1579" s="257"/>
      <c r="S1579" s="258"/>
      <c r="T1579" s="257"/>
      <c r="U1579" s="258"/>
      <c r="V1579" s="257"/>
      <c r="W1579" s="258"/>
      <c r="X1579" s="257"/>
      <c r="Y1579" s="258"/>
      <c r="Z1579" s="257"/>
    </row>
    <row r="1580" spans="1:26" ht="25.5">
      <c r="A1580" s="250">
        <f>A1569+1</f>
        <v>277</v>
      </c>
      <c r="B1580" s="251"/>
      <c r="C1580" s="647" t="s">
        <v>854</v>
      </c>
      <c r="D1580" s="526" t="s">
        <v>1047</v>
      </c>
      <c r="E1580" s="251" t="s">
        <v>1898</v>
      </c>
      <c r="F1580" s="304">
        <f>M1580+O1580+Q1580+S1580+U1580+W1580+Y1580</f>
        <v>0</v>
      </c>
      <c r="G1580" s="253">
        <f>L1580</f>
        <v>6.93</v>
      </c>
      <c r="H1580" s="254">
        <f>INT(F1580*G1580*100+0.5)/100</f>
        <v>0</v>
      </c>
      <c r="I1580" s="253">
        <f>N1580+P1580+R1580+T1580+V1580+X1580+Z1580</f>
        <v>0</v>
      </c>
      <c r="J1580" s="253"/>
      <c r="K1580" s="251" t="s">
        <v>1898</v>
      </c>
      <c r="L1580" s="255">
        <v>6.93</v>
      </c>
      <c r="M1580" s="258">
        <v>0</v>
      </c>
      <c r="N1580" s="257">
        <f>INT($L1580*M1580*100+0.5)/100</f>
        <v>0</v>
      </c>
      <c r="O1580" s="258">
        <v>0</v>
      </c>
      <c r="P1580" s="257">
        <f>INT($L1580*O1580*100+0.5)/100</f>
        <v>0</v>
      </c>
      <c r="Q1580" s="258">
        <v>0</v>
      </c>
      <c r="R1580" s="257">
        <f>INT($L1580*Q1580*100+0.5)/100</f>
        <v>0</v>
      </c>
      <c r="S1580" s="258">
        <f>SUM(S1573:S1579)</f>
        <v>0</v>
      </c>
      <c r="T1580" s="257">
        <f>INT($L1580*S1580*100+0.5)/100</f>
        <v>0</v>
      </c>
      <c r="U1580" s="258">
        <v>0</v>
      </c>
      <c r="V1580" s="257">
        <f>INT($L1580*U1580*100+0.5)/100</f>
        <v>0</v>
      </c>
      <c r="W1580" s="258">
        <v>0</v>
      </c>
      <c r="X1580" s="257">
        <f>INT($L1580*W1580*100+0.5)/100</f>
        <v>0</v>
      </c>
      <c r="Y1580" s="258">
        <v>0</v>
      </c>
      <c r="Z1580" s="257">
        <f>INT($L1580*Y1580*100+0.5)/100</f>
        <v>0</v>
      </c>
    </row>
    <row r="1581" spans="1:26" ht="25.5">
      <c r="A1581" s="250"/>
      <c r="B1581" s="251"/>
      <c r="C1581" s="647"/>
      <c r="D1581" s="526" t="s">
        <v>1048</v>
      </c>
      <c r="E1581" s="251"/>
      <c r="F1581" s="252"/>
      <c r="G1581" s="253"/>
      <c r="H1581" s="254"/>
      <c r="I1581" s="253"/>
      <c r="J1581" s="253"/>
      <c r="K1581" s="251"/>
      <c r="L1581" s="261"/>
      <c r="M1581" s="258"/>
      <c r="N1581" s="257"/>
      <c r="O1581" s="258"/>
      <c r="P1581" s="257"/>
      <c r="Q1581" s="258"/>
      <c r="R1581" s="257"/>
      <c r="S1581" s="258"/>
      <c r="T1581" s="257"/>
      <c r="U1581" s="258"/>
      <c r="V1581" s="257"/>
      <c r="W1581" s="258"/>
      <c r="X1581" s="257"/>
      <c r="Y1581" s="258"/>
      <c r="Z1581" s="257"/>
    </row>
    <row r="1582" spans="1:26" ht="15" customHeight="1">
      <c r="A1582" s="250"/>
      <c r="B1582" s="251"/>
      <c r="C1582" s="647"/>
      <c r="D1582" s="238"/>
      <c r="E1582" s="251"/>
      <c r="F1582" s="252"/>
      <c r="G1582" s="253"/>
      <c r="H1582" s="254"/>
      <c r="I1582" s="253"/>
      <c r="J1582" s="253"/>
      <c r="K1582" s="251"/>
      <c r="L1582" s="261"/>
      <c r="M1582" s="258"/>
      <c r="N1582" s="257"/>
      <c r="O1582" s="258"/>
      <c r="P1582" s="257"/>
      <c r="Q1582" s="258"/>
      <c r="R1582" s="257"/>
      <c r="S1582" s="258"/>
      <c r="T1582" s="257"/>
      <c r="U1582" s="258"/>
      <c r="V1582" s="257"/>
      <c r="W1582" s="258"/>
      <c r="X1582" s="257"/>
      <c r="Y1582" s="258"/>
      <c r="Z1582" s="257"/>
    </row>
    <row r="1583" spans="1:26" ht="25.5">
      <c r="A1583" s="250">
        <f>A1580+1</f>
        <v>278</v>
      </c>
      <c r="B1583" s="251"/>
      <c r="C1583" s="647" t="s">
        <v>855</v>
      </c>
      <c r="D1583" s="553" t="s">
        <v>320</v>
      </c>
      <c r="E1583" s="251" t="s">
        <v>591</v>
      </c>
      <c r="F1583" s="304">
        <f>M1583+O1583+Q1583+S1583+U1583+W1583+Y1583</f>
        <v>0</v>
      </c>
      <c r="G1583" s="253">
        <f>L1583</f>
        <v>88.78</v>
      </c>
      <c r="H1583" s="254">
        <f>INT(F1583*G1583*100+0.5)/100</f>
        <v>0</v>
      </c>
      <c r="I1583" s="253">
        <f>N1583+P1583+R1583+T1583+V1583+X1583+Z1583</f>
        <v>0</v>
      </c>
      <c r="J1583" s="253"/>
      <c r="K1583" s="251" t="s">
        <v>591</v>
      </c>
      <c r="L1583" s="255">
        <v>88.78</v>
      </c>
      <c r="M1583" s="258">
        <v>0</v>
      </c>
      <c r="N1583" s="257">
        <f>INT($L1583*M1583*100+0.5)/100</f>
        <v>0</v>
      </c>
      <c r="O1583" s="258">
        <v>0</v>
      </c>
      <c r="P1583" s="257">
        <f>INT($L1583*O1583*100+0.5)/100</f>
        <v>0</v>
      </c>
      <c r="Q1583" s="258">
        <v>0</v>
      </c>
      <c r="R1583" s="257">
        <f>INT($L1583*Q1583*100+0.5)/100</f>
        <v>0</v>
      </c>
      <c r="S1583" s="258">
        <v>0</v>
      </c>
      <c r="T1583" s="257">
        <f>INT($L1583*S1583*100+0.5)/100</f>
        <v>0</v>
      </c>
      <c r="U1583" s="258">
        <v>0</v>
      </c>
      <c r="V1583" s="257">
        <f>INT($L1583*U1583*100+0.5)/100</f>
        <v>0</v>
      </c>
      <c r="W1583" s="258">
        <v>0</v>
      </c>
      <c r="X1583" s="257">
        <f>INT($L1583*W1583*100+0.5)/100</f>
        <v>0</v>
      </c>
      <c r="Y1583" s="258">
        <v>0</v>
      </c>
      <c r="Z1583" s="257">
        <f>INT($L1583*Y1583*100+0.5)/100</f>
        <v>0</v>
      </c>
    </row>
    <row r="1584" spans="1:26" ht="25.5">
      <c r="A1584" s="250"/>
      <c r="B1584" s="251"/>
      <c r="C1584" s="647"/>
      <c r="D1584" s="553" t="s">
        <v>321</v>
      </c>
      <c r="E1584" s="251"/>
      <c r="F1584" s="252"/>
      <c r="G1584" s="253"/>
      <c r="H1584" s="254"/>
      <c r="I1584" s="253"/>
      <c r="J1584" s="253"/>
      <c r="K1584" s="251"/>
      <c r="L1584" s="261"/>
      <c r="M1584" s="258"/>
      <c r="N1584" s="257"/>
      <c r="O1584" s="258"/>
      <c r="P1584" s="257"/>
      <c r="Q1584" s="258"/>
      <c r="R1584" s="257"/>
      <c r="S1584" s="258"/>
      <c r="T1584" s="257"/>
      <c r="U1584" s="258"/>
      <c r="V1584" s="257"/>
      <c r="W1584" s="258"/>
      <c r="X1584" s="257"/>
      <c r="Y1584" s="258"/>
      <c r="Z1584" s="257"/>
    </row>
    <row r="1585" spans="1:26" ht="15" customHeight="1">
      <c r="A1585" s="250"/>
      <c r="B1585" s="251"/>
      <c r="C1585" s="647"/>
      <c r="D1585" s="238"/>
      <c r="E1585" s="251"/>
      <c r="F1585" s="252"/>
      <c r="G1585" s="253"/>
      <c r="H1585" s="254"/>
      <c r="I1585" s="253"/>
      <c r="J1585" s="253"/>
      <c r="K1585" s="251"/>
      <c r="L1585" s="261"/>
      <c r="M1585" s="258"/>
      <c r="N1585" s="257"/>
      <c r="O1585" s="258"/>
      <c r="P1585" s="257"/>
      <c r="Q1585" s="258"/>
      <c r="R1585" s="257"/>
      <c r="S1585" s="258"/>
      <c r="T1585" s="257"/>
      <c r="U1585" s="258"/>
      <c r="V1585" s="257"/>
      <c r="W1585" s="258"/>
      <c r="X1585" s="257"/>
      <c r="Y1585" s="258"/>
      <c r="Z1585" s="257"/>
    </row>
    <row r="1586" spans="1:26" ht="25.5">
      <c r="A1586" s="250">
        <f>A1583+1</f>
        <v>279</v>
      </c>
      <c r="B1586" s="251"/>
      <c r="C1586" s="647" t="s">
        <v>856</v>
      </c>
      <c r="D1586" s="526" t="s">
        <v>1541</v>
      </c>
      <c r="E1586" s="251" t="s">
        <v>1898</v>
      </c>
      <c r="F1586" s="304">
        <f>M1586+O1586+Q1586+S1586+U1586+W1586+Y1586</f>
        <v>340</v>
      </c>
      <c r="G1586" s="253">
        <f>L1586</f>
        <v>3.75</v>
      </c>
      <c r="H1586" s="254">
        <f>INT(F1586*G1586*100+0.5)/100</f>
        <v>1275</v>
      </c>
      <c r="I1586" s="253">
        <f>N1586+P1586+R1586+T1586+V1586+X1586+Z1586</f>
        <v>1275</v>
      </c>
      <c r="J1586" s="253"/>
      <c r="K1586" s="251" t="s">
        <v>1898</v>
      </c>
      <c r="L1586" s="255">
        <v>3.75</v>
      </c>
      <c r="M1586" s="258">
        <f>170*2</f>
        <v>340</v>
      </c>
      <c r="N1586" s="257">
        <f>INT($L1586*M1586*100+0.5)/100</f>
        <v>1275</v>
      </c>
      <c r="O1586" s="258">
        <v>0</v>
      </c>
      <c r="P1586" s="257">
        <f>INT($L1586*O1586*100+0.5)/100</f>
        <v>0</v>
      </c>
      <c r="Q1586" s="258">
        <v>0</v>
      </c>
      <c r="R1586" s="257">
        <f>INT($L1586*Q1586*100+0.5)/100</f>
        <v>0</v>
      </c>
      <c r="S1586" s="258">
        <v>0</v>
      </c>
      <c r="T1586" s="257">
        <f>INT($L1586*S1586*100+0.5)/100</f>
        <v>0</v>
      </c>
      <c r="U1586" s="258">
        <v>0</v>
      </c>
      <c r="V1586" s="257">
        <f>INT($L1586*U1586*100+0.5)/100</f>
        <v>0</v>
      </c>
      <c r="W1586" s="258">
        <v>0</v>
      </c>
      <c r="X1586" s="257">
        <f>INT($L1586*W1586*100+0.5)/100</f>
        <v>0</v>
      </c>
      <c r="Y1586" s="258">
        <v>0</v>
      </c>
      <c r="Z1586" s="257">
        <f>INT($L1586*Y1586*100+0.5)/100</f>
        <v>0</v>
      </c>
    </row>
    <row r="1587" spans="1:26" ht="25.5">
      <c r="A1587" s="250"/>
      <c r="B1587" s="251"/>
      <c r="C1587" s="647"/>
      <c r="D1587" s="526" t="s">
        <v>1542</v>
      </c>
      <c r="E1587" s="251"/>
      <c r="F1587" s="252"/>
      <c r="G1587" s="253"/>
      <c r="H1587" s="254"/>
      <c r="I1587" s="253"/>
      <c r="J1587" s="253"/>
      <c r="K1587" s="251"/>
      <c r="L1587" s="261"/>
      <c r="M1587" s="258"/>
      <c r="N1587" s="257"/>
      <c r="O1587" s="258"/>
      <c r="P1587" s="257"/>
      <c r="Q1587" s="258"/>
      <c r="R1587" s="257"/>
      <c r="S1587" s="258"/>
      <c r="T1587" s="257"/>
      <c r="U1587" s="258"/>
      <c r="V1587" s="257"/>
      <c r="W1587" s="258"/>
      <c r="X1587" s="257"/>
      <c r="Y1587" s="258"/>
      <c r="Z1587" s="257"/>
    </row>
    <row r="1588" spans="1:26" ht="15" customHeight="1">
      <c r="A1588" s="250"/>
      <c r="B1588" s="251"/>
      <c r="C1588" s="647"/>
      <c r="D1588" s="526"/>
      <c r="E1588" s="251"/>
      <c r="F1588" s="252"/>
      <c r="G1588" s="253"/>
      <c r="H1588" s="254"/>
      <c r="I1588" s="253"/>
      <c r="J1588" s="253"/>
      <c r="K1588" s="251"/>
      <c r="L1588" s="261"/>
      <c r="M1588" s="258"/>
      <c r="N1588" s="257"/>
      <c r="O1588" s="258"/>
      <c r="P1588" s="257"/>
      <c r="Q1588" s="258"/>
      <c r="R1588" s="257"/>
      <c r="S1588" s="258"/>
      <c r="T1588" s="257"/>
      <c r="U1588" s="258"/>
      <c r="V1588" s="257"/>
      <c r="W1588" s="258"/>
      <c r="X1588" s="257"/>
      <c r="Y1588" s="258"/>
      <c r="Z1588" s="257"/>
    </row>
    <row r="1589" spans="1:26" ht="15" customHeight="1">
      <c r="A1589" s="250">
        <f>A1586+1</f>
        <v>280</v>
      </c>
      <c r="B1589" s="251"/>
      <c r="C1589" s="647" t="s">
        <v>1044</v>
      </c>
      <c r="D1589" s="526" t="s">
        <v>1046</v>
      </c>
      <c r="E1589" s="251" t="s">
        <v>1898</v>
      </c>
      <c r="F1589" s="304">
        <f>M1589+O1589+Q1589+S1589+U1589+W1589+Y1589</f>
        <v>567.20000000000005</v>
      </c>
      <c r="G1589" s="253">
        <f>L1589</f>
        <v>30.41</v>
      </c>
      <c r="H1589" s="254">
        <f>INT(F1589*G1589*100+0.5)/100</f>
        <v>17248.55</v>
      </c>
      <c r="I1589" s="253">
        <f>N1589+P1589+R1589+T1589+V1589+X1589+Z1589</f>
        <v>17248.559999999998</v>
      </c>
      <c r="J1589" s="253"/>
      <c r="K1589" s="251" t="s">
        <v>1898</v>
      </c>
      <c r="L1589" s="255">
        <v>30.41</v>
      </c>
      <c r="M1589" s="258">
        <f>M402</f>
        <v>39.5</v>
      </c>
      <c r="N1589" s="257">
        <f>INT($L1589*M1589*100+0.5)/100</f>
        <v>1201.2</v>
      </c>
      <c r="O1589" s="258">
        <f>O402</f>
        <v>102.7</v>
      </c>
      <c r="P1589" s="257">
        <f>INT($L1589*O1589*100+0.5)/100</f>
        <v>3123.11</v>
      </c>
      <c r="Q1589" s="258">
        <f>Q402</f>
        <v>67.150000000000006</v>
      </c>
      <c r="R1589" s="257">
        <f>INT($L1589*Q1589*100+0.5)/100</f>
        <v>2042.03</v>
      </c>
      <c r="S1589" s="258">
        <f>S402</f>
        <v>0</v>
      </c>
      <c r="T1589" s="257">
        <f>INT($L1589*S1589*100+0.5)/100</f>
        <v>0</v>
      </c>
      <c r="U1589" s="258">
        <f>U402</f>
        <v>0</v>
      </c>
      <c r="V1589" s="257">
        <f>INT($L1589*U1589*100+0.5)/100</f>
        <v>0</v>
      </c>
      <c r="W1589" s="258">
        <v>0</v>
      </c>
      <c r="X1589" s="257">
        <f>INT($L1589*W1589*100+0.5)/100</f>
        <v>0</v>
      </c>
      <c r="Y1589" s="258">
        <f>Y402</f>
        <v>357.85</v>
      </c>
      <c r="Z1589" s="257">
        <f>INT($L1589*Y1589*100+0.5)/100</f>
        <v>10882.22</v>
      </c>
    </row>
    <row r="1590" spans="1:26" ht="15" customHeight="1">
      <c r="A1590" s="250"/>
      <c r="B1590" s="251"/>
      <c r="C1590" s="647"/>
      <c r="D1590" s="526" t="s">
        <v>1045</v>
      </c>
      <c r="E1590" s="251"/>
      <c r="F1590" s="252"/>
      <c r="G1590" s="253"/>
      <c r="H1590" s="254"/>
      <c r="I1590" s="253"/>
      <c r="J1590" s="253"/>
      <c r="K1590" s="251"/>
      <c r="L1590" s="261"/>
      <c r="M1590" s="258"/>
      <c r="N1590" s="257"/>
      <c r="O1590" s="258"/>
      <c r="P1590" s="257"/>
      <c r="Q1590" s="258"/>
      <c r="R1590" s="257"/>
      <c r="S1590" s="258"/>
      <c r="T1590" s="257"/>
      <c r="U1590" s="258"/>
      <c r="V1590" s="257"/>
      <c r="W1590" s="258"/>
      <c r="X1590" s="257"/>
      <c r="Y1590" s="258"/>
      <c r="Z1590" s="257"/>
    </row>
    <row r="1591" spans="1:26" ht="15" customHeight="1">
      <c r="A1591" s="250"/>
      <c r="B1591" s="251"/>
      <c r="C1591" s="647"/>
      <c r="D1591" s="526"/>
      <c r="E1591" s="251"/>
      <c r="F1591" s="252"/>
      <c r="G1591" s="253"/>
      <c r="H1591" s="254"/>
      <c r="I1591" s="253"/>
      <c r="J1591" s="253"/>
      <c r="K1591" s="251"/>
      <c r="L1591" s="261"/>
      <c r="M1591" s="258"/>
      <c r="N1591" s="257"/>
      <c r="O1591" s="258"/>
      <c r="P1591" s="257"/>
      <c r="Q1591" s="258"/>
      <c r="R1591" s="257"/>
      <c r="S1591" s="258"/>
      <c r="T1591" s="257"/>
      <c r="U1591" s="258"/>
      <c r="V1591" s="257"/>
      <c r="W1591" s="258"/>
      <c r="X1591" s="257"/>
      <c r="Y1591" s="258"/>
      <c r="Z1591" s="257"/>
    </row>
    <row r="1592" spans="1:26" s="247" customFormat="1" ht="15" customHeight="1">
      <c r="A1592" s="284">
        <f>A1589+1</f>
        <v>281</v>
      </c>
      <c r="B1592" s="237"/>
      <c r="C1592" s="652" t="s">
        <v>1550</v>
      </c>
      <c r="D1592" s="532" t="s">
        <v>1549</v>
      </c>
      <c r="E1592" s="237" t="s">
        <v>2475</v>
      </c>
      <c r="F1592" s="304"/>
      <c r="G1592" s="240"/>
      <c r="H1592" s="244"/>
      <c r="I1592" s="240"/>
      <c r="J1592" s="240"/>
      <c r="K1592" s="237" t="s">
        <v>2475</v>
      </c>
      <c r="L1592" s="306"/>
      <c r="M1592" s="289"/>
      <c r="N1592" s="245"/>
      <c r="O1592" s="289"/>
      <c r="P1592" s="245"/>
      <c r="Q1592" s="289"/>
      <c r="R1592" s="245"/>
      <c r="S1592" s="289"/>
      <c r="T1592" s="245"/>
      <c r="U1592" s="289"/>
      <c r="V1592" s="245"/>
      <c r="W1592" s="289"/>
      <c r="X1592" s="245"/>
      <c r="Y1592" s="289"/>
      <c r="Z1592" s="245"/>
    </row>
    <row r="1593" spans="1:26" s="247" customFormat="1" ht="15" customHeight="1">
      <c r="A1593" s="284"/>
      <c r="B1593" s="237"/>
      <c r="C1593" s="654"/>
      <c r="D1593" s="532" t="s">
        <v>1551</v>
      </c>
      <c r="E1593" s="237"/>
      <c r="F1593" s="304"/>
      <c r="G1593" s="240"/>
      <c r="H1593" s="244"/>
      <c r="I1593" s="240"/>
      <c r="J1593" s="240"/>
      <c r="K1593" s="237"/>
      <c r="L1593" s="243"/>
      <c r="M1593" s="289"/>
      <c r="N1593" s="245"/>
      <c r="O1593" s="289"/>
      <c r="P1593" s="245"/>
      <c r="Q1593" s="289"/>
      <c r="R1593" s="245"/>
      <c r="S1593" s="289"/>
      <c r="T1593" s="245"/>
      <c r="U1593" s="289"/>
      <c r="V1593" s="245"/>
      <c r="W1593" s="289"/>
      <c r="X1593" s="245"/>
      <c r="Y1593" s="289"/>
      <c r="Z1593" s="245"/>
    </row>
    <row r="1594" spans="1:26" s="247" customFormat="1" ht="15" customHeight="1">
      <c r="A1594" s="284"/>
      <c r="B1594" s="237"/>
      <c r="C1594" s="653"/>
      <c r="D1594" s="238" t="s">
        <v>993</v>
      </c>
      <c r="E1594" s="237"/>
      <c r="F1594" s="304"/>
      <c r="G1594" s="240"/>
      <c r="H1594" s="244"/>
      <c r="I1594" s="240"/>
      <c r="J1594" s="240"/>
      <c r="K1594" s="237"/>
      <c r="L1594" s="306"/>
      <c r="M1594" s="289">
        <v>0</v>
      </c>
      <c r="N1594" s="245"/>
      <c r="O1594" s="289">
        <v>0</v>
      </c>
      <c r="P1594" s="245"/>
      <c r="Q1594" s="289">
        <v>0</v>
      </c>
      <c r="R1594" s="245"/>
      <c r="S1594" s="289"/>
      <c r="T1594" s="245"/>
      <c r="U1594" s="289">
        <v>0</v>
      </c>
      <c r="V1594" s="245"/>
      <c r="W1594" s="289"/>
      <c r="X1594" s="245"/>
      <c r="Y1594" s="289">
        <v>0</v>
      </c>
      <c r="Z1594" s="245"/>
    </row>
    <row r="1595" spans="1:26" s="247" customFormat="1" ht="15" customHeight="1">
      <c r="A1595" s="284"/>
      <c r="B1595" s="237"/>
      <c r="C1595" s="653"/>
      <c r="D1595" s="238" t="s">
        <v>995</v>
      </c>
      <c r="E1595" s="237"/>
      <c r="F1595" s="304"/>
      <c r="G1595" s="240"/>
      <c r="H1595" s="244"/>
      <c r="I1595" s="240"/>
      <c r="J1595" s="240"/>
      <c r="K1595" s="237"/>
      <c r="L1595" s="306"/>
      <c r="M1595" s="289">
        <v>0</v>
      </c>
      <c r="N1595" s="245"/>
      <c r="O1595" s="289">
        <v>0</v>
      </c>
      <c r="P1595" s="245"/>
      <c r="Q1595" s="289">
        <v>0</v>
      </c>
      <c r="R1595" s="245"/>
      <c r="S1595" s="289"/>
      <c r="T1595" s="245"/>
      <c r="U1595" s="289">
        <v>0</v>
      </c>
      <c r="V1595" s="245"/>
      <c r="W1595" s="289"/>
      <c r="X1595" s="245"/>
      <c r="Y1595" s="289">
        <v>0</v>
      </c>
      <c r="Z1595" s="245"/>
    </row>
    <row r="1596" spans="1:26" s="247" customFormat="1" ht="15" customHeight="1">
      <c r="A1596" s="284"/>
      <c r="B1596" s="237"/>
      <c r="C1596" s="653"/>
      <c r="D1596" s="238" t="s">
        <v>994</v>
      </c>
      <c r="E1596" s="237"/>
      <c r="F1596" s="304"/>
      <c r="G1596" s="240"/>
      <c r="H1596" s="244"/>
      <c r="I1596" s="240"/>
      <c r="J1596" s="240"/>
      <c r="K1596" s="237"/>
      <c r="L1596" s="306"/>
      <c r="M1596" s="289">
        <v>0</v>
      </c>
      <c r="N1596" s="245"/>
      <c r="O1596" s="289">
        <v>0</v>
      </c>
      <c r="P1596" s="245"/>
      <c r="Q1596" s="289">
        <v>0</v>
      </c>
      <c r="R1596" s="245"/>
      <c r="S1596" s="289"/>
      <c r="T1596" s="245"/>
      <c r="U1596" s="289">
        <v>0</v>
      </c>
      <c r="V1596" s="245"/>
      <c r="W1596" s="289"/>
      <c r="X1596" s="245"/>
      <c r="Y1596" s="289">
        <v>0</v>
      </c>
      <c r="Z1596" s="245"/>
    </row>
    <row r="1597" spans="1:26" s="247" customFormat="1" ht="15" customHeight="1">
      <c r="A1597" s="284"/>
      <c r="B1597" s="237"/>
      <c r="C1597" s="653"/>
      <c r="D1597" s="238" t="s">
        <v>1453</v>
      </c>
      <c r="E1597" s="237"/>
      <c r="F1597" s="304"/>
      <c r="G1597" s="240"/>
      <c r="H1597" s="244"/>
      <c r="I1597" s="240"/>
      <c r="J1597" s="240"/>
      <c r="K1597" s="237"/>
      <c r="L1597" s="306"/>
      <c r="M1597" s="289">
        <v>0</v>
      </c>
      <c r="N1597" s="245"/>
      <c r="O1597" s="289">
        <v>0</v>
      </c>
      <c r="P1597" s="245"/>
      <c r="Q1597" s="289">
        <v>0</v>
      </c>
      <c r="R1597" s="245"/>
      <c r="S1597" s="289"/>
      <c r="T1597" s="245"/>
      <c r="U1597" s="289">
        <v>60</v>
      </c>
      <c r="V1597" s="245"/>
      <c r="W1597" s="289">
        <f>INT(158*0.6*(2+1+1)+18)+3</f>
        <v>400</v>
      </c>
      <c r="X1597" s="245"/>
      <c r="Y1597" s="289"/>
      <c r="Z1597" s="245"/>
    </row>
    <row r="1598" spans="1:26" s="247" customFormat="1" ht="15" customHeight="1">
      <c r="A1598" s="284"/>
      <c r="B1598" s="237"/>
      <c r="C1598" s="653"/>
      <c r="D1598" s="238" t="s">
        <v>2451</v>
      </c>
      <c r="E1598" s="237"/>
      <c r="F1598" s="304"/>
      <c r="G1598" s="240"/>
      <c r="H1598" s="244"/>
      <c r="I1598" s="240"/>
      <c r="J1598" s="240"/>
      <c r="K1598" s="237"/>
      <c r="L1598" s="288">
        <v>0</v>
      </c>
      <c r="M1598" s="288"/>
      <c r="N1598" s="245"/>
      <c r="O1598" s="289"/>
      <c r="P1598" s="245"/>
      <c r="Q1598" s="289"/>
      <c r="R1598" s="245"/>
      <c r="S1598" s="289"/>
      <c r="T1598" s="245"/>
      <c r="U1598" s="289"/>
      <c r="V1598" s="245"/>
      <c r="W1598" s="289"/>
      <c r="X1598" s="245"/>
      <c r="Y1598" s="289"/>
      <c r="Z1598" s="245"/>
    </row>
    <row r="1599" spans="1:26" s="247" customFormat="1" ht="15" customHeight="1">
      <c r="A1599" s="284"/>
      <c r="B1599" s="237"/>
      <c r="C1599" s="653"/>
      <c r="D1599" s="238" t="s">
        <v>2446</v>
      </c>
      <c r="E1599" s="237"/>
      <c r="F1599" s="304"/>
      <c r="G1599" s="240"/>
      <c r="H1599" s="244"/>
      <c r="I1599" s="240"/>
      <c r="J1599" s="240"/>
      <c r="K1599" s="237"/>
      <c r="L1599" s="288">
        <v>0</v>
      </c>
      <c r="M1599" s="491"/>
      <c r="N1599" s="296"/>
      <c r="O1599" s="291"/>
      <c r="P1599" s="296"/>
      <c r="Q1599" s="291"/>
      <c r="R1599" s="296"/>
      <c r="S1599" s="291"/>
      <c r="T1599" s="296"/>
      <c r="U1599" s="291"/>
      <c r="V1599" s="296"/>
      <c r="W1599" s="291"/>
      <c r="X1599" s="296"/>
      <c r="Y1599" s="291"/>
      <c r="Z1599" s="296"/>
    </row>
    <row r="1600" spans="1:26" s="247" customFormat="1" ht="15" customHeight="1">
      <c r="A1600" s="284"/>
      <c r="B1600" s="237"/>
      <c r="C1600" s="653"/>
      <c r="D1600" s="238" t="s">
        <v>1900</v>
      </c>
      <c r="E1600" s="237"/>
      <c r="F1600" s="304">
        <f>M1600+O1600+Q1600+S1600+U1600+W1600+Y1600</f>
        <v>460</v>
      </c>
      <c r="G1600" s="240">
        <f>L1600</f>
        <v>25.18</v>
      </c>
      <c r="H1600" s="244">
        <f>INT(F1600*G1600*100+0.5)/100</f>
        <v>11582.8</v>
      </c>
      <c r="I1600" s="253">
        <f>N1600+P1600+R1600+T1600+V1600+X1600+Z1600</f>
        <v>11582.8</v>
      </c>
      <c r="J1600" s="240"/>
      <c r="K1600" s="237"/>
      <c r="L1600" s="306">
        <v>25.18</v>
      </c>
      <c r="M1600" s="289">
        <f>SUM(M1594:M1599)</f>
        <v>0</v>
      </c>
      <c r="N1600" s="245">
        <f>INT($L1600*M1600*100+0.5)/100</f>
        <v>0</v>
      </c>
      <c r="O1600" s="289">
        <f>SUM(O1594:O1599)</f>
        <v>0</v>
      </c>
      <c r="P1600" s="245">
        <f>INT($L1600*O1600*100+0.5)/100</f>
        <v>0</v>
      </c>
      <c r="Q1600" s="289">
        <f>SUM(Q1594:Q1599)</f>
        <v>0</v>
      </c>
      <c r="R1600" s="245">
        <f>INT($L1600*Q1600*100+0.5)/100</f>
        <v>0</v>
      </c>
      <c r="S1600" s="289">
        <f>SUM(S1594:S1599)</f>
        <v>0</v>
      </c>
      <c r="T1600" s="245">
        <f>INT($L1600*S1600*100+0.5)/100</f>
        <v>0</v>
      </c>
      <c r="U1600" s="289">
        <f>SUM(U1594:U1599)</f>
        <v>60</v>
      </c>
      <c r="V1600" s="245">
        <f>INT($L1600*U1600*100+0.5)/100</f>
        <v>1510.8</v>
      </c>
      <c r="W1600" s="289">
        <f>SUM(W1594:W1599)</f>
        <v>400</v>
      </c>
      <c r="X1600" s="245">
        <f>INT($L1600*W1600*100+0.5)/100</f>
        <v>10072</v>
      </c>
      <c r="Y1600" s="289">
        <f>SUM(Y1594:Y1599)</f>
        <v>0</v>
      </c>
      <c r="Z1600" s="245">
        <f>INT($L1600*Y1600*100+0.5)/100</f>
        <v>0</v>
      </c>
    </row>
    <row r="1601" spans="1:26" s="247" customFormat="1" ht="15" customHeight="1">
      <c r="A1601" s="284"/>
      <c r="B1601" s="237"/>
      <c r="C1601" s="237"/>
      <c r="D1601" s="238"/>
      <c r="E1601" s="237"/>
      <c r="F1601" s="304"/>
      <c r="G1601" s="240"/>
      <c r="H1601" s="244"/>
      <c r="I1601" s="240"/>
      <c r="J1601" s="240"/>
      <c r="K1601" s="237"/>
      <c r="L1601" s="306"/>
      <c r="M1601" s="289"/>
      <c r="N1601" s="245"/>
      <c r="O1601" s="289"/>
      <c r="P1601" s="245"/>
      <c r="Q1601" s="289"/>
      <c r="R1601" s="245"/>
      <c r="S1601" s="289"/>
      <c r="T1601" s="245"/>
      <c r="U1601" s="289"/>
      <c r="V1601" s="245"/>
      <c r="W1601" s="289"/>
      <c r="X1601" s="245"/>
      <c r="Y1601" s="289"/>
      <c r="Z1601" s="245"/>
    </row>
    <row r="1602" spans="1:26" ht="15" customHeight="1">
      <c r="A1602" s="250"/>
      <c r="B1602" s="251"/>
      <c r="C1602" s="526"/>
      <c r="D1602" s="526"/>
      <c r="E1602" s="251"/>
      <c r="F1602" s="252"/>
      <c r="G1602" s="253"/>
      <c r="H1602" s="254"/>
      <c r="I1602" s="253"/>
      <c r="J1602" s="253"/>
      <c r="K1602" s="251"/>
      <c r="L1602" s="261"/>
      <c r="M1602" s="258"/>
      <c r="N1602" s="257"/>
      <c r="O1602" s="258"/>
      <c r="P1602" s="257"/>
      <c r="Q1602" s="258"/>
      <c r="R1602" s="257"/>
      <c r="S1602" s="258"/>
      <c r="T1602" s="257"/>
      <c r="U1602" s="258"/>
      <c r="V1602" s="257"/>
      <c r="W1602" s="258"/>
      <c r="X1602" s="257"/>
      <c r="Y1602" s="258"/>
      <c r="Z1602" s="257"/>
    </row>
    <row r="1603" spans="1:26" s="303" customFormat="1" ht="15" customHeight="1">
      <c r="A1603" s="298"/>
      <c r="B1603" s="299"/>
      <c r="C1603" s="332">
        <v>85</v>
      </c>
      <c r="D1603" s="333" t="s">
        <v>1582</v>
      </c>
      <c r="E1603" s="299"/>
      <c r="F1603" s="301"/>
      <c r="G1603" s="273"/>
      <c r="H1603" s="273"/>
      <c r="I1603" s="272">
        <f>N1603+P1603+R1603+T1603+V1603+X1603+Z1603</f>
        <v>148735.04000000001</v>
      </c>
      <c r="J1603" s="269">
        <f>SUM(N1603:Z1603)</f>
        <v>148735.04000000001</v>
      </c>
      <c r="K1603" s="299"/>
      <c r="L1603" s="271"/>
      <c r="M1603" s="273"/>
      <c r="N1603" s="273">
        <f>SUM(N1540:N1602)</f>
        <v>9878.2900000000009</v>
      </c>
      <c r="O1603" s="273"/>
      <c r="P1603" s="273">
        <f>SUM(P1540:P1602)</f>
        <v>24340.21</v>
      </c>
      <c r="Q1603" s="273"/>
      <c r="R1603" s="273">
        <f>SUM(R1540:R1602)</f>
        <v>14142.67</v>
      </c>
      <c r="S1603" s="273"/>
      <c r="T1603" s="273">
        <f>SUM(T1540:T1602)</f>
        <v>0</v>
      </c>
      <c r="U1603" s="273"/>
      <c r="V1603" s="273">
        <f>SUM(V1540:V1602)</f>
        <v>45977.430000000008</v>
      </c>
      <c r="W1603" s="273"/>
      <c r="X1603" s="273">
        <f>SUM(X1540:X1602)</f>
        <v>10851.18</v>
      </c>
      <c r="Y1603" s="273"/>
      <c r="Z1603" s="273">
        <f>SUM(Z1540:Z1602)</f>
        <v>43545.26</v>
      </c>
    </row>
    <row r="1604" spans="1:26" ht="15" customHeight="1">
      <c r="A1604" s="250"/>
      <c r="B1604" s="251"/>
      <c r="C1604" s="329"/>
      <c r="D1604" s="330"/>
      <c r="E1604" s="251"/>
      <c r="F1604" s="252"/>
      <c r="G1604" s="253"/>
      <c r="H1604" s="254"/>
      <c r="I1604" s="694">
        <f>I1603/'CompSolo Wolf'!I1590</f>
        <v>0.63744862558038828</v>
      </c>
      <c r="J1604" s="253"/>
      <c r="K1604" s="251"/>
      <c r="L1604" s="261"/>
      <c r="M1604" s="258"/>
      <c r="N1604" s="494">
        <f>N1603/$N$1941</f>
        <v>7.1419601118994744E-2</v>
      </c>
      <c r="O1604" s="258"/>
      <c r="P1604" s="257"/>
      <c r="Q1604" s="258"/>
      <c r="R1604" s="257"/>
      <c r="S1604" s="258"/>
      <c r="T1604" s="257"/>
      <c r="U1604" s="258"/>
      <c r="V1604" s="257"/>
      <c r="W1604" s="258"/>
      <c r="X1604" s="257"/>
      <c r="Y1604" s="258"/>
      <c r="Z1604" s="257"/>
    </row>
    <row r="1605" spans="1:26" ht="34.5" customHeight="1">
      <c r="A1605" s="250"/>
      <c r="B1605" s="251"/>
      <c r="C1605" s="329">
        <v>86</v>
      </c>
      <c r="D1605" s="330" t="s">
        <v>933</v>
      </c>
      <c r="E1605" s="251"/>
      <c r="F1605" s="252"/>
      <c r="G1605" s="253"/>
      <c r="H1605" s="254"/>
      <c r="I1605" s="253"/>
      <c r="J1605" s="253"/>
      <c r="K1605" s="251"/>
      <c r="L1605" s="261"/>
      <c r="M1605" s="258"/>
      <c r="N1605" s="257"/>
      <c r="O1605" s="258"/>
      <c r="P1605" s="257"/>
      <c r="Q1605" s="258"/>
      <c r="R1605" s="257"/>
      <c r="S1605" s="258"/>
      <c r="T1605" s="257"/>
      <c r="U1605" s="258"/>
      <c r="V1605" s="257"/>
      <c r="W1605" s="258"/>
      <c r="X1605" s="257"/>
      <c r="Y1605" s="258"/>
      <c r="Z1605" s="257"/>
    </row>
    <row r="1606" spans="1:26" s="247" customFormat="1" ht="15" customHeight="1">
      <c r="A1606" s="284">
        <f>A1592+1</f>
        <v>282</v>
      </c>
      <c r="B1606" s="237"/>
      <c r="C1606" s="654" t="s">
        <v>857</v>
      </c>
      <c r="D1606" s="532" t="s">
        <v>1049</v>
      </c>
      <c r="E1606" s="237" t="s">
        <v>2475</v>
      </c>
      <c r="F1606" s="304"/>
      <c r="G1606" s="240"/>
      <c r="H1606" s="244"/>
      <c r="I1606" s="240"/>
      <c r="J1606" s="240"/>
      <c r="K1606" s="237" t="s">
        <v>2475</v>
      </c>
      <c r="L1606" s="306"/>
      <c r="M1606" s="289"/>
      <c r="N1606" s="245"/>
      <c r="O1606" s="289"/>
      <c r="P1606" s="245"/>
      <c r="Q1606" s="289"/>
      <c r="R1606" s="245"/>
      <c r="S1606" s="289"/>
      <c r="T1606" s="245"/>
      <c r="U1606" s="289"/>
      <c r="V1606" s="245"/>
      <c r="W1606" s="289"/>
      <c r="X1606" s="245"/>
      <c r="Y1606" s="289"/>
      <c r="Z1606" s="245"/>
    </row>
    <row r="1607" spans="1:26" s="247" customFormat="1" ht="15" customHeight="1">
      <c r="A1607" s="284"/>
      <c r="B1607" s="237"/>
      <c r="C1607" s="654"/>
      <c r="D1607" s="532" t="s">
        <v>1050</v>
      </c>
      <c r="E1607" s="237"/>
      <c r="F1607" s="304"/>
      <c r="G1607" s="240"/>
      <c r="H1607" s="244"/>
      <c r="I1607" s="240"/>
      <c r="J1607" s="240"/>
      <c r="K1607" s="237"/>
      <c r="L1607" s="243"/>
      <c r="M1607" s="289"/>
      <c r="N1607" s="245"/>
      <c r="O1607" s="289"/>
      <c r="P1607" s="245"/>
      <c r="Q1607" s="289"/>
      <c r="R1607" s="245"/>
      <c r="S1607" s="289"/>
      <c r="T1607" s="245"/>
      <c r="U1607" s="289"/>
      <c r="V1607" s="245"/>
      <c r="W1607" s="289"/>
      <c r="X1607" s="245"/>
      <c r="Y1607" s="289"/>
      <c r="Z1607" s="245"/>
    </row>
    <row r="1608" spans="1:26" s="247" customFormat="1" ht="15" customHeight="1">
      <c r="A1608" s="284"/>
      <c r="B1608" s="237"/>
      <c r="C1608" s="653"/>
      <c r="D1608" s="238" t="s">
        <v>993</v>
      </c>
      <c r="E1608" s="237"/>
      <c r="F1608" s="304"/>
      <c r="G1608" s="240"/>
      <c r="H1608" s="244"/>
      <c r="I1608" s="240"/>
      <c r="J1608" s="240"/>
      <c r="K1608" s="237"/>
      <c r="L1608" s="306"/>
      <c r="M1608" s="289">
        <v>0</v>
      </c>
      <c r="N1608" s="245"/>
      <c r="O1608" s="289">
        <v>0</v>
      </c>
      <c r="P1608" s="245"/>
      <c r="Q1608" s="289">
        <v>0</v>
      </c>
      <c r="R1608" s="245"/>
      <c r="S1608" s="289"/>
      <c r="T1608" s="245"/>
      <c r="U1608" s="289">
        <v>0</v>
      </c>
      <c r="V1608" s="245"/>
      <c r="W1608" s="289"/>
      <c r="X1608" s="245"/>
      <c r="Y1608" s="289">
        <v>0</v>
      </c>
      <c r="Z1608" s="245"/>
    </row>
    <row r="1609" spans="1:26" s="247" customFormat="1" ht="15" customHeight="1">
      <c r="A1609" s="284"/>
      <c r="B1609" s="237"/>
      <c r="C1609" s="653"/>
      <c r="D1609" s="238" t="s">
        <v>995</v>
      </c>
      <c r="E1609" s="237"/>
      <c r="F1609" s="304"/>
      <c r="G1609" s="240"/>
      <c r="H1609" s="244"/>
      <c r="I1609" s="240"/>
      <c r="J1609" s="240"/>
      <c r="K1609" s="237"/>
      <c r="L1609" s="306"/>
      <c r="M1609" s="289">
        <v>0</v>
      </c>
      <c r="N1609" s="245"/>
      <c r="O1609" s="289">
        <v>0</v>
      </c>
      <c r="P1609" s="245"/>
      <c r="Q1609" s="289">
        <v>0</v>
      </c>
      <c r="R1609" s="245"/>
      <c r="S1609" s="289"/>
      <c r="T1609" s="245"/>
      <c r="U1609" s="289">
        <f>(10+145+10)*2</f>
        <v>330</v>
      </c>
      <c r="V1609" s="245"/>
      <c r="W1609" s="289"/>
      <c r="X1609" s="245"/>
      <c r="Y1609" s="289">
        <v>0</v>
      </c>
      <c r="Z1609" s="245"/>
    </row>
    <row r="1610" spans="1:26" s="247" customFormat="1" ht="15" customHeight="1">
      <c r="A1610" s="284"/>
      <c r="B1610" s="237"/>
      <c r="C1610" s="653"/>
      <c r="D1610" s="238" t="s">
        <v>994</v>
      </c>
      <c r="E1610" s="237"/>
      <c r="F1610" s="304"/>
      <c r="G1610" s="240"/>
      <c r="H1610" s="244"/>
      <c r="I1610" s="240"/>
      <c r="J1610" s="240"/>
      <c r="K1610" s="237"/>
      <c r="L1610" s="306"/>
      <c r="M1610" s="289">
        <v>0</v>
      </c>
      <c r="N1610" s="245"/>
      <c r="O1610" s="289">
        <v>0</v>
      </c>
      <c r="P1610" s="245"/>
      <c r="Q1610" s="289">
        <v>0</v>
      </c>
      <c r="R1610" s="245"/>
      <c r="S1610" s="289"/>
      <c r="T1610" s="245"/>
      <c r="U1610" s="289">
        <f>(250+10)*2</f>
        <v>520</v>
      </c>
      <c r="V1610" s="245"/>
      <c r="W1610" s="289"/>
      <c r="X1610" s="245"/>
      <c r="Y1610" s="289">
        <v>0</v>
      </c>
      <c r="Z1610" s="245"/>
    </row>
    <row r="1611" spans="1:26" s="247" customFormat="1" ht="15" customHeight="1">
      <c r="A1611" s="284"/>
      <c r="B1611" s="237"/>
      <c r="C1611" s="653"/>
      <c r="D1611" s="238" t="s">
        <v>1453</v>
      </c>
      <c r="E1611" s="237"/>
      <c r="F1611" s="304"/>
      <c r="G1611" s="240"/>
      <c r="H1611" s="244"/>
      <c r="I1611" s="240"/>
      <c r="J1611" s="240"/>
      <c r="K1611" s="237"/>
      <c r="L1611" s="306"/>
      <c r="M1611" s="289">
        <v>0</v>
      </c>
      <c r="N1611" s="245"/>
      <c r="O1611" s="289">
        <v>0</v>
      </c>
      <c r="P1611" s="245"/>
      <c r="Q1611" s="289">
        <v>0</v>
      </c>
      <c r="R1611" s="245"/>
      <c r="S1611" s="289"/>
      <c r="T1611" s="245"/>
      <c r="U1611" s="289">
        <f>4*6.5+2*7+10</f>
        <v>50</v>
      </c>
      <c r="V1611" s="245"/>
      <c r="W1611" s="289">
        <v>0</v>
      </c>
      <c r="X1611" s="245"/>
      <c r="Y1611" s="289"/>
      <c r="Z1611" s="245"/>
    </row>
    <row r="1612" spans="1:26" s="247" customFormat="1" ht="15" customHeight="1">
      <c r="A1612" s="284"/>
      <c r="B1612" s="237"/>
      <c r="C1612" s="653"/>
      <c r="D1612" s="238" t="s">
        <v>2451</v>
      </c>
      <c r="E1612" s="237"/>
      <c r="F1612" s="304"/>
      <c r="G1612" s="240"/>
      <c r="H1612" s="244"/>
      <c r="I1612" s="240"/>
      <c r="J1612" s="240"/>
      <c r="K1612" s="237"/>
      <c r="L1612" s="288">
        <v>0</v>
      </c>
      <c r="M1612" s="288"/>
      <c r="N1612" s="245"/>
      <c r="O1612" s="289"/>
      <c r="P1612" s="245"/>
      <c r="Q1612" s="289"/>
      <c r="R1612" s="245"/>
      <c r="S1612" s="289"/>
      <c r="T1612" s="245"/>
      <c r="U1612" s="289"/>
      <c r="V1612" s="245"/>
      <c r="W1612" s="289"/>
      <c r="X1612" s="245"/>
      <c r="Y1612" s="289"/>
      <c r="Z1612" s="245"/>
    </row>
    <row r="1613" spans="1:26" s="247" customFormat="1" ht="15" customHeight="1">
      <c r="A1613" s="284"/>
      <c r="B1613" s="237"/>
      <c r="C1613" s="653"/>
      <c r="D1613" s="238" t="s">
        <v>2446</v>
      </c>
      <c r="E1613" s="237"/>
      <c r="F1613" s="304"/>
      <c r="G1613" s="240"/>
      <c r="H1613" s="244"/>
      <c r="I1613" s="240"/>
      <c r="J1613" s="240"/>
      <c r="K1613" s="237"/>
      <c r="L1613" s="288">
        <v>0</v>
      </c>
      <c r="M1613" s="491"/>
      <c r="N1613" s="296"/>
      <c r="O1613" s="291"/>
      <c r="P1613" s="296"/>
      <c r="Q1613" s="291"/>
      <c r="R1613" s="296"/>
      <c r="S1613" s="291"/>
      <c r="T1613" s="296"/>
      <c r="U1613" s="291"/>
      <c r="V1613" s="296"/>
      <c r="W1613" s="291"/>
      <c r="X1613" s="296"/>
      <c r="Y1613" s="291"/>
      <c r="Z1613" s="296"/>
    </row>
    <row r="1614" spans="1:26" s="247" customFormat="1" ht="15" customHeight="1">
      <c r="A1614" s="284"/>
      <c r="B1614" s="237"/>
      <c r="C1614" s="653"/>
      <c r="D1614" s="238" t="s">
        <v>1900</v>
      </c>
      <c r="E1614" s="237"/>
      <c r="F1614" s="304">
        <f>M1614+O1614+Q1614+S1614+U1614+W1614+Y1614</f>
        <v>900</v>
      </c>
      <c r="G1614" s="240">
        <f>L1614</f>
        <v>71.55</v>
      </c>
      <c r="H1614" s="244">
        <f>INT(F1614*G1614*100+0.5)/100</f>
        <v>64395</v>
      </c>
      <c r="I1614" s="253">
        <f>N1614+P1614+R1614+T1614+V1614+X1614+Z1614</f>
        <v>64395</v>
      </c>
      <c r="J1614" s="240"/>
      <c r="K1614" s="237"/>
      <c r="L1614" s="306">
        <v>71.55</v>
      </c>
      <c r="M1614" s="289">
        <f>SUM(M1608:M1613)</f>
        <v>0</v>
      </c>
      <c r="N1614" s="245">
        <f>INT($L1614*M1614*100+0.5)/100</f>
        <v>0</v>
      </c>
      <c r="O1614" s="289">
        <f>SUM(O1608:O1613)</f>
        <v>0</v>
      </c>
      <c r="P1614" s="245">
        <f>INT($L1614*O1614*100+0.5)/100</f>
        <v>0</v>
      </c>
      <c r="Q1614" s="289">
        <f>SUM(Q1608:Q1613)</f>
        <v>0</v>
      </c>
      <c r="R1614" s="245">
        <f>INT($L1614*Q1614*100+0.5)/100</f>
        <v>0</v>
      </c>
      <c r="S1614" s="289">
        <f>SUM(S1608:S1613)</f>
        <v>0</v>
      </c>
      <c r="T1614" s="245">
        <f>INT($L1614*S1614*100+0.5)/100</f>
        <v>0</v>
      </c>
      <c r="U1614" s="289">
        <f>SUM(U1608:U1613)</f>
        <v>900</v>
      </c>
      <c r="V1614" s="245">
        <f>INT($L1614*U1614*100+0.5)/100</f>
        <v>64395</v>
      </c>
      <c r="W1614" s="289">
        <f>SUM(W1608:W1613)</f>
        <v>0</v>
      </c>
      <c r="X1614" s="245">
        <f>INT($L1614*W1614*100+0.5)/100</f>
        <v>0</v>
      </c>
      <c r="Y1614" s="289">
        <f>SUM(Y1608:Y1613)</f>
        <v>0</v>
      </c>
      <c r="Z1614" s="245">
        <f>INT($L1614*Y1614*100+0.5)/100</f>
        <v>0</v>
      </c>
    </row>
    <row r="1615" spans="1:26" s="247" customFormat="1" ht="15" customHeight="1">
      <c r="A1615" s="284"/>
      <c r="B1615" s="237"/>
      <c r="C1615" s="653"/>
      <c r="D1615" s="238"/>
      <c r="E1615" s="237"/>
      <c r="F1615" s="304"/>
      <c r="G1615" s="240"/>
      <c r="H1615" s="244"/>
      <c r="I1615" s="240"/>
      <c r="J1615" s="240"/>
      <c r="K1615" s="237"/>
      <c r="L1615" s="306"/>
      <c r="M1615" s="289"/>
      <c r="N1615" s="245"/>
      <c r="O1615" s="289"/>
      <c r="P1615" s="245"/>
      <c r="Q1615" s="289"/>
      <c r="R1615" s="245"/>
      <c r="S1615" s="289"/>
      <c r="T1615" s="245"/>
      <c r="U1615" s="289"/>
      <c r="V1615" s="245"/>
      <c r="W1615" s="289"/>
      <c r="X1615" s="245"/>
      <c r="Y1615" s="289"/>
      <c r="Z1615" s="245"/>
    </row>
    <row r="1616" spans="1:26" ht="15" customHeight="1">
      <c r="A1616" s="250">
        <f>A1606+1</f>
        <v>283</v>
      </c>
      <c r="B1616" s="251"/>
      <c r="C1616" s="647" t="s">
        <v>858</v>
      </c>
      <c r="D1616" s="526" t="s">
        <v>1544</v>
      </c>
      <c r="E1616" s="251" t="s">
        <v>2475</v>
      </c>
      <c r="F1616" s="304">
        <f>M1616+O1616+Q1616+S1616+U1616+W1616+Y1616</f>
        <v>54</v>
      </c>
      <c r="G1616" s="253">
        <f>L1616</f>
        <v>7.3</v>
      </c>
      <c r="H1616" s="254">
        <f>INT(F1616*G1616*100+0.5)/100</f>
        <v>394.2</v>
      </c>
      <c r="I1616" s="253">
        <f>N1616+P1616+R1616+T1616+V1616+X1616+Z1616</f>
        <v>394.2</v>
      </c>
      <c r="J1616" s="253"/>
      <c r="K1616" s="251" t="s">
        <v>1901</v>
      </c>
      <c r="L1616" s="255">
        <f>7.3</f>
        <v>7.3</v>
      </c>
      <c r="M1616" s="258">
        <v>0</v>
      </c>
      <c r="N1616" s="257">
        <f>INT($L1616*M1616*100+0.5)/100</f>
        <v>0</v>
      </c>
      <c r="O1616" s="258">
        <v>0</v>
      </c>
      <c r="P1616" s="257">
        <f>INT($L1616*O1616*100+0.5)/100</f>
        <v>0</v>
      </c>
      <c r="Q1616" s="258">
        <v>0</v>
      </c>
      <c r="R1616" s="257">
        <f>INT($L1616*Q1616*100+0.5)/100</f>
        <v>0</v>
      </c>
      <c r="S1616" s="258">
        <v>0</v>
      </c>
      <c r="T1616" s="257">
        <f>INT($L1616*S1616*100+0.5)/100</f>
        <v>0</v>
      </c>
      <c r="U1616" s="258">
        <v>0</v>
      </c>
      <c r="V1616" s="257">
        <f>INT($L1616*U1616*100+0.5)/100</f>
        <v>0</v>
      </c>
      <c r="W1616" s="258">
        <v>0</v>
      </c>
      <c r="X1616" s="257">
        <f>INT($L1616*W1616*100+0.5)/100</f>
        <v>0</v>
      </c>
      <c r="Y1616" s="458">
        <f>9*6</f>
        <v>54</v>
      </c>
      <c r="Z1616" s="257">
        <f>INT($L1616*Y1616*100+0.5)/100</f>
        <v>394.2</v>
      </c>
    </row>
    <row r="1617" spans="1:26" ht="15" customHeight="1">
      <c r="A1617" s="250"/>
      <c r="B1617" s="251"/>
      <c r="C1617" s="647"/>
      <c r="D1617" s="526" t="s">
        <v>1543</v>
      </c>
      <c r="E1617" s="251"/>
      <c r="F1617" s="252"/>
      <c r="G1617" s="253"/>
      <c r="H1617" s="254"/>
      <c r="I1617" s="253"/>
      <c r="J1617" s="253"/>
      <c r="K1617" s="251"/>
      <c r="L1617" s="261"/>
      <c r="M1617" s="258"/>
      <c r="N1617" s="257"/>
      <c r="O1617" s="258"/>
      <c r="P1617" s="257"/>
      <c r="Q1617" s="258"/>
      <c r="R1617" s="257"/>
      <c r="S1617" s="258"/>
      <c r="T1617" s="257"/>
      <c r="U1617" s="258"/>
      <c r="V1617" s="257"/>
      <c r="W1617" s="258"/>
      <c r="X1617" s="257"/>
      <c r="Y1617" s="258"/>
      <c r="Z1617" s="257"/>
    </row>
    <row r="1618" spans="1:26" ht="15" customHeight="1">
      <c r="A1618" s="250"/>
      <c r="B1618" s="251"/>
      <c r="C1618" s="647"/>
      <c r="D1618" s="292"/>
      <c r="E1618" s="251"/>
      <c r="F1618" s="252"/>
      <c r="G1618" s="253"/>
      <c r="H1618" s="254"/>
      <c r="I1618" s="253"/>
      <c r="J1618" s="253"/>
      <c r="K1618" s="251"/>
      <c r="L1618" s="261"/>
      <c r="M1618" s="258"/>
      <c r="N1618" s="257"/>
      <c r="O1618" s="258"/>
      <c r="P1618" s="257"/>
      <c r="Q1618" s="258"/>
      <c r="R1618" s="257"/>
      <c r="S1618" s="258"/>
      <c r="T1618" s="257"/>
      <c r="U1618" s="258"/>
      <c r="V1618" s="257"/>
      <c r="W1618" s="258"/>
      <c r="X1618" s="257"/>
      <c r="Y1618" s="258"/>
      <c r="Z1618" s="257"/>
    </row>
    <row r="1619" spans="1:26" ht="25.5">
      <c r="A1619" s="250">
        <f>A1616+1</f>
        <v>284</v>
      </c>
      <c r="B1619" s="251"/>
      <c r="C1619" s="647" t="s">
        <v>859</v>
      </c>
      <c r="D1619" s="526" t="s">
        <v>1545</v>
      </c>
      <c r="E1619" s="251" t="s">
        <v>1901</v>
      </c>
      <c r="F1619" s="304">
        <f>M1619+O1619+Q1619+S1619+U1619+W1619+Y1619</f>
        <v>9</v>
      </c>
      <c r="G1619" s="253">
        <f>L1619</f>
        <v>36.5</v>
      </c>
      <c r="H1619" s="254">
        <f>INT(F1619*G1619*100+0.5)/100</f>
        <v>328.5</v>
      </c>
      <c r="I1619" s="253">
        <f>N1619+P1619+R1619+T1619+V1619+X1619+Z1619</f>
        <v>328.5</v>
      </c>
      <c r="J1619" s="253"/>
      <c r="K1619" s="251" t="s">
        <v>1901</v>
      </c>
      <c r="L1619" s="255">
        <v>36.5</v>
      </c>
      <c r="M1619" s="258">
        <v>0</v>
      </c>
      <c r="N1619" s="257">
        <f>INT($L1619*M1619*100+0.5)/100</f>
        <v>0</v>
      </c>
      <c r="O1619" s="258">
        <v>0</v>
      </c>
      <c r="P1619" s="257">
        <f>INT($L1619*O1619*100+0.5)/100</f>
        <v>0</v>
      </c>
      <c r="Q1619" s="258">
        <v>0</v>
      </c>
      <c r="R1619" s="257">
        <f>INT($L1619*Q1619*100+0.5)/100</f>
        <v>0</v>
      </c>
      <c r="S1619" s="258">
        <v>0</v>
      </c>
      <c r="T1619" s="257">
        <f>INT($L1619*S1619*100+0.5)/100</f>
        <v>0</v>
      </c>
      <c r="U1619" s="258">
        <v>0</v>
      </c>
      <c r="V1619" s="257">
        <f>INT($L1619*U1619*100+0.5)/100</f>
        <v>0</v>
      </c>
      <c r="W1619" s="258">
        <v>0</v>
      </c>
      <c r="X1619" s="257">
        <f>INT($L1619*W1619*100+0.5)/100</f>
        <v>0</v>
      </c>
      <c r="Y1619" s="458">
        <v>9</v>
      </c>
      <c r="Z1619" s="257">
        <f>INT($L1619*Y1619*100+0.5)/100</f>
        <v>328.5</v>
      </c>
    </row>
    <row r="1620" spans="1:26" ht="25.5">
      <c r="A1620" s="250"/>
      <c r="B1620" s="251"/>
      <c r="C1620" s="647"/>
      <c r="D1620" s="526" t="s">
        <v>930</v>
      </c>
      <c r="E1620" s="251"/>
      <c r="F1620" s="252"/>
      <c r="G1620" s="253"/>
      <c r="H1620" s="254"/>
      <c r="I1620" s="253"/>
      <c r="J1620" s="253"/>
      <c r="K1620" s="251"/>
      <c r="L1620" s="261"/>
      <c r="M1620" s="258"/>
      <c r="N1620" s="257"/>
      <c r="O1620" s="258"/>
      <c r="P1620" s="257"/>
      <c r="Q1620" s="258"/>
      <c r="R1620" s="257"/>
      <c r="S1620" s="258"/>
      <c r="T1620" s="257"/>
      <c r="U1620" s="258"/>
      <c r="V1620" s="257"/>
      <c r="W1620" s="258"/>
      <c r="X1620" s="257"/>
      <c r="Y1620" s="258"/>
      <c r="Z1620" s="257"/>
    </row>
    <row r="1621" spans="1:26" ht="15" customHeight="1">
      <c r="A1621" s="250"/>
      <c r="B1621" s="251"/>
      <c r="C1621" s="670"/>
      <c r="D1621" s="330"/>
      <c r="E1621" s="251"/>
      <c r="F1621" s="252"/>
      <c r="G1621" s="253"/>
      <c r="H1621" s="254"/>
      <c r="I1621" s="253"/>
      <c r="J1621" s="253"/>
      <c r="K1621" s="251"/>
      <c r="L1621" s="261"/>
      <c r="M1621" s="258"/>
      <c r="N1621" s="257"/>
      <c r="O1621" s="258"/>
      <c r="P1621" s="257"/>
      <c r="Q1621" s="258"/>
      <c r="R1621" s="257"/>
      <c r="S1621" s="258"/>
      <c r="T1621" s="257"/>
      <c r="U1621" s="258"/>
      <c r="V1621" s="257"/>
      <c r="W1621" s="258"/>
      <c r="X1621" s="257"/>
      <c r="Y1621" s="258"/>
      <c r="Z1621" s="257"/>
    </row>
    <row r="1622" spans="1:26" ht="25.5">
      <c r="A1622" s="250">
        <f>A1619+1</f>
        <v>285</v>
      </c>
      <c r="B1622" s="251"/>
      <c r="C1622" s="647" t="s">
        <v>860</v>
      </c>
      <c r="D1622" s="526" t="s">
        <v>1546</v>
      </c>
      <c r="E1622" s="251" t="s">
        <v>2475</v>
      </c>
      <c r="F1622" s="304">
        <f>M1622+O1622+Q1622+S1622+U1622+W1622+Y1622</f>
        <v>500</v>
      </c>
      <c r="G1622" s="253">
        <f>L1622</f>
        <v>0.38</v>
      </c>
      <c r="H1622" s="254">
        <f>INT(F1622*G1622*100+0.5)/100</f>
        <v>190</v>
      </c>
      <c r="I1622" s="253">
        <f>N1622+P1622+R1622+T1622+V1622+X1622+Z1622</f>
        <v>190</v>
      </c>
      <c r="J1622" s="253"/>
      <c r="K1622" s="251" t="s">
        <v>2475</v>
      </c>
      <c r="L1622" s="255">
        <v>0.38</v>
      </c>
      <c r="M1622" s="258">
        <v>0</v>
      </c>
      <c r="N1622" s="257">
        <f>INT($L1622*M1622*100+0.5)/100</f>
        <v>0</v>
      </c>
      <c r="O1622" s="258">
        <v>0</v>
      </c>
      <c r="P1622" s="257">
        <f>INT($L1622*O1622*100+0.5)/100</f>
        <v>0</v>
      </c>
      <c r="Q1622" s="258">
        <v>0</v>
      </c>
      <c r="R1622" s="257">
        <f>INT($L1622*Q1622*100+0.5)/100</f>
        <v>0</v>
      </c>
      <c r="S1622" s="258">
        <v>0</v>
      </c>
      <c r="T1622" s="257">
        <f>INT($L1622*S1622*100+0.5)/100</f>
        <v>0</v>
      </c>
      <c r="U1622" s="258">
        <v>0</v>
      </c>
      <c r="V1622" s="257">
        <f>INT($L1622*U1622*100+0.5)/100</f>
        <v>0</v>
      </c>
      <c r="W1622" s="258">
        <v>0</v>
      </c>
      <c r="X1622" s="257">
        <f>INT($L1622*W1622*100+0.5)/100</f>
        <v>0</v>
      </c>
      <c r="Y1622" s="258">
        <v>500</v>
      </c>
      <c r="Z1622" s="257">
        <f>INT($L1622*Y1622*100+0.5)/100</f>
        <v>190</v>
      </c>
    </row>
    <row r="1623" spans="1:26" ht="25.5">
      <c r="A1623" s="250"/>
      <c r="B1623" s="251"/>
      <c r="C1623" s="647"/>
      <c r="D1623" s="526" t="s">
        <v>347</v>
      </c>
      <c r="E1623" s="251"/>
      <c r="F1623" s="252"/>
      <c r="G1623" s="253"/>
      <c r="H1623" s="254"/>
      <c r="I1623" s="253"/>
      <c r="J1623" s="253"/>
      <c r="K1623" s="251"/>
      <c r="L1623" s="261"/>
      <c r="M1623" s="258"/>
      <c r="N1623" s="257"/>
      <c r="O1623" s="258"/>
      <c r="P1623" s="257"/>
      <c r="Q1623" s="258"/>
      <c r="R1623" s="257"/>
      <c r="S1623" s="258"/>
      <c r="T1623" s="257"/>
      <c r="U1623" s="258"/>
      <c r="V1623" s="257"/>
      <c r="W1623" s="258"/>
      <c r="X1623" s="257"/>
      <c r="Y1623" s="258"/>
      <c r="Z1623" s="257"/>
    </row>
    <row r="1624" spans="1:26" ht="15" customHeight="1">
      <c r="A1624" s="250"/>
      <c r="B1624" s="251"/>
      <c r="C1624" s="670"/>
      <c r="D1624" s="330"/>
      <c r="E1624" s="251"/>
      <c r="F1624" s="252"/>
      <c r="G1624" s="253"/>
      <c r="H1624" s="254"/>
      <c r="I1624" s="253"/>
      <c r="J1624" s="253"/>
      <c r="K1624" s="251"/>
      <c r="L1624" s="261"/>
      <c r="M1624" s="258"/>
      <c r="N1624" s="257"/>
      <c r="O1624" s="258"/>
      <c r="P1624" s="257"/>
      <c r="Q1624" s="258"/>
      <c r="R1624" s="257"/>
      <c r="S1624" s="258"/>
      <c r="T1624" s="257"/>
      <c r="U1624" s="258"/>
      <c r="V1624" s="257"/>
      <c r="W1624" s="258"/>
      <c r="X1624" s="257"/>
      <c r="Y1624" s="258"/>
      <c r="Z1624" s="257"/>
    </row>
    <row r="1625" spans="1:26" ht="25.5">
      <c r="A1625" s="250">
        <f>A1622+1</f>
        <v>286</v>
      </c>
      <c r="B1625" s="251"/>
      <c r="C1625" s="647" t="s">
        <v>861</v>
      </c>
      <c r="D1625" s="526" t="s">
        <v>1548</v>
      </c>
      <c r="E1625" s="251" t="s">
        <v>1898</v>
      </c>
      <c r="F1625" s="304">
        <f>M1625+O1625+Q1625+S1625+U1625+W1625+Y1625</f>
        <v>14</v>
      </c>
      <c r="G1625" s="253">
        <f>L1625</f>
        <v>4.13</v>
      </c>
      <c r="H1625" s="254">
        <f>INT(F1625*G1625*100+0.5)/100</f>
        <v>57.82</v>
      </c>
      <c r="I1625" s="253">
        <f>N1625+P1625+R1625+T1625+V1625+X1625+Z1625</f>
        <v>57.82</v>
      </c>
      <c r="J1625" s="253"/>
      <c r="K1625" s="251" t="s">
        <v>1898</v>
      </c>
      <c r="L1625" s="255">
        <v>4.13</v>
      </c>
      <c r="M1625" s="258">
        <v>0</v>
      </c>
      <c r="N1625" s="257">
        <f>INT($L1625*M1625*100+0.5)/100</f>
        <v>0</v>
      </c>
      <c r="O1625" s="258">
        <v>0</v>
      </c>
      <c r="P1625" s="257">
        <f>INT($L1625*O1625*100+0.5)/100</f>
        <v>0</v>
      </c>
      <c r="Q1625" s="258">
        <v>0</v>
      </c>
      <c r="R1625" s="257">
        <f>INT($L1625*Q1625*100+0.5)/100</f>
        <v>0</v>
      </c>
      <c r="S1625" s="258">
        <v>0</v>
      </c>
      <c r="T1625" s="257">
        <f>INT($L1625*S1625*100+0.5)/100</f>
        <v>0</v>
      </c>
      <c r="U1625" s="258">
        <v>0</v>
      </c>
      <c r="V1625" s="257">
        <f>INT($L1625*U1625*100+0.5)/100</f>
        <v>0</v>
      </c>
      <c r="W1625" s="258">
        <v>0</v>
      </c>
      <c r="X1625" s="257">
        <f>INT($L1625*W1625*100+0.5)/100</f>
        <v>0</v>
      </c>
      <c r="Y1625" s="258">
        <v>14</v>
      </c>
      <c r="Z1625" s="257">
        <f>INT($L1625*Y1625*100+0.5)/100</f>
        <v>57.82</v>
      </c>
    </row>
    <row r="1626" spans="1:26" ht="25.5">
      <c r="A1626" s="250"/>
      <c r="B1626" s="251"/>
      <c r="C1626" s="526"/>
      <c r="D1626" s="526" t="s">
        <v>1547</v>
      </c>
      <c r="E1626" s="202"/>
      <c r="F1626" s="252"/>
      <c r="G1626" s="253"/>
      <c r="H1626" s="254"/>
      <c r="I1626" s="253"/>
      <c r="J1626" s="253"/>
      <c r="K1626" s="202"/>
      <c r="L1626" s="261"/>
      <c r="M1626" s="258"/>
      <c r="N1626" s="257"/>
      <c r="O1626" s="258"/>
      <c r="P1626" s="257"/>
      <c r="Q1626" s="258"/>
      <c r="R1626" s="257"/>
      <c r="S1626" s="258"/>
      <c r="T1626" s="257"/>
      <c r="U1626" s="258"/>
      <c r="V1626" s="257"/>
      <c r="W1626" s="258"/>
      <c r="X1626" s="257"/>
      <c r="Y1626" s="258"/>
      <c r="Z1626" s="257"/>
    </row>
    <row r="1627" spans="1:26" ht="15" customHeight="1">
      <c r="A1627" s="250"/>
      <c r="B1627" s="251"/>
      <c r="C1627" s="526"/>
      <c r="D1627" s="526"/>
      <c r="E1627" s="202"/>
      <c r="F1627" s="252"/>
      <c r="G1627" s="253"/>
      <c r="H1627" s="254"/>
      <c r="I1627" s="253"/>
      <c r="J1627" s="253"/>
      <c r="K1627" s="202"/>
      <c r="L1627" s="261"/>
      <c r="M1627" s="258"/>
      <c r="N1627" s="257"/>
      <c r="O1627" s="258"/>
      <c r="P1627" s="257"/>
      <c r="Q1627" s="258"/>
      <c r="R1627" s="257"/>
      <c r="S1627" s="258"/>
      <c r="T1627" s="257"/>
      <c r="U1627" s="258"/>
      <c r="V1627" s="257"/>
      <c r="W1627" s="258"/>
      <c r="X1627" s="257"/>
      <c r="Y1627" s="258"/>
      <c r="Z1627" s="257"/>
    </row>
    <row r="1628" spans="1:26" s="303" customFormat="1" ht="45" customHeight="1">
      <c r="A1628" s="298"/>
      <c r="B1628" s="299"/>
      <c r="C1628" s="332">
        <v>86</v>
      </c>
      <c r="D1628" s="333" t="s">
        <v>934</v>
      </c>
      <c r="E1628" s="299"/>
      <c r="F1628" s="301"/>
      <c r="G1628" s="273"/>
      <c r="H1628" s="273"/>
      <c r="I1628" s="272">
        <f>N1628+P1628+R1628+T1628+V1628+X1628+Z1628</f>
        <v>65365.52</v>
      </c>
      <c r="J1628" s="269">
        <f>SUM(N1628:Z1628)</f>
        <v>65365.52</v>
      </c>
      <c r="K1628" s="299"/>
      <c r="L1628" s="271"/>
      <c r="M1628" s="273"/>
      <c r="N1628" s="273">
        <f>SUM(N1614:N1627)</f>
        <v>0</v>
      </c>
      <c r="O1628" s="273"/>
      <c r="P1628" s="273">
        <f>SUM(P1614:P1627)</f>
        <v>0</v>
      </c>
      <c r="Q1628" s="273"/>
      <c r="R1628" s="273">
        <f>SUM(R1614:R1627)</f>
        <v>0</v>
      </c>
      <c r="S1628" s="273"/>
      <c r="T1628" s="273">
        <f>SUM(T1614:T1627)</f>
        <v>0</v>
      </c>
      <c r="U1628" s="273"/>
      <c r="V1628" s="273">
        <f>SUM(V1614:V1627)</f>
        <v>64395</v>
      </c>
      <c r="W1628" s="273"/>
      <c r="X1628" s="273">
        <f>SUM(X1614:X1627)</f>
        <v>0</v>
      </c>
      <c r="Y1628" s="273"/>
      <c r="Z1628" s="273">
        <f>SUM(Z1614:Z1627)</f>
        <v>970.5200000000001</v>
      </c>
    </row>
    <row r="1629" spans="1:26" ht="15" customHeight="1">
      <c r="A1629" s="250"/>
      <c r="B1629" s="251"/>
      <c r="C1629" s="329"/>
      <c r="D1629" s="330"/>
      <c r="E1629" s="251"/>
      <c r="F1629" s="252"/>
      <c r="G1629" s="253"/>
      <c r="H1629" s="254"/>
      <c r="I1629" s="694">
        <f>I1628/'CompSolo Wolf'!I1615</f>
        <v>0.61048009420175076</v>
      </c>
      <c r="J1629" s="253"/>
      <c r="K1629" s="251"/>
      <c r="L1629" s="261"/>
      <c r="M1629" s="258"/>
      <c r="N1629" s="494">
        <f>N1628/$N$1941</f>
        <v>0</v>
      </c>
      <c r="O1629" s="258"/>
      <c r="P1629" s="257"/>
      <c r="Q1629" s="258"/>
      <c r="R1629" s="257"/>
      <c r="S1629" s="258"/>
      <c r="T1629" s="257"/>
      <c r="U1629" s="258"/>
      <c r="V1629" s="257"/>
      <c r="W1629" s="258"/>
      <c r="X1629" s="257"/>
      <c r="Y1629" s="258"/>
      <c r="Z1629" s="257"/>
    </row>
    <row r="1630" spans="1:26" ht="22.5">
      <c r="A1630" s="250"/>
      <c r="B1630" s="251"/>
      <c r="C1630" s="329">
        <v>87</v>
      </c>
      <c r="D1630" s="330" t="s">
        <v>935</v>
      </c>
      <c r="E1630" s="251"/>
      <c r="F1630" s="252"/>
      <c r="G1630" s="253"/>
      <c r="H1630" s="254"/>
      <c r="I1630" s="253"/>
      <c r="J1630" s="253"/>
      <c r="K1630" s="251"/>
      <c r="L1630" s="261"/>
      <c r="M1630" s="258"/>
      <c r="N1630" s="257"/>
      <c r="O1630" s="258"/>
      <c r="P1630" s="257"/>
      <c r="Q1630" s="258"/>
      <c r="R1630" s="257"/>
      <c r="S1630" s="258"/>
      <c r="T1630" s="257"/>
      <c r="U1630" s="258"/>
      <c r="V1630" s="257"/>
      <c r="W1630" s="258"/>
      <c r="X1630" s="257"/>
      <c r="Y1630" s="258"/>
      <c r="Z1630" s="257"/>
    </row>
    <row r="1631" spans="1:26" ht="15" customHeight="1">
      <c r="A1631" s="250">
        <f>A1625+1</f>
        <v>287</v>
      </c>
      <c r="B1631" s="251"/>
      <c r="C1631" s="647" t="s">
        <v>862</v>
      </c>
      <c r="D1631" s="526" t="s">
        <v>939</v>
      </c>
      <c r="E1631" s="251" t="s">
        <v>2475</v>
      </c>
      <c r="F1631" s="252"/>
      <c r="G1631" s="253"/>
      <c r="H1631" s="254"/>
      <c r="I1631" s="253"/>
      <c r="J1631" s="253"/>
      <c r="K1631" s="251" t="s">
        <v>2475</v>
      </c>
      <c r="L1631" s="255"/>
      <c r="M1631" s="258"/>
      <c r="N1631" s="257"/>
      <c r="O1631" s="258"/>
      <c r="P1631" s="257"/>
      <c r="Q1631" s="258"/>
      <c r="R1631" s="257"/>
      <c r="S1631" s="258"/>
      <c r="T1631" s="257"/>
      <c r="U1631" s="258"/>
      <c r="V1631" s="257"/>
      <c r="W1631" s="258"/>
      <c r="X1631" s="257"/>
      <c r="Y1631" s="258"/>
      <c r="Z1631" s="257"/>
    </row>
    <row r="1632" spans="1:26" ht="25.5">
      <c r="A1632" s="250"/>
      <c r="B1632" s="251"/>
      <c r="C1632" s="647"/>
      <c r="D1632" s="526" t="s">
        <v>348</v>
      </c>
      <c r="E1632" s="251"/>
      <c r="F1632" s="252"/>
      <c r="G1632" s="253"/>
      <c r="H1632" s="254"/>
      <c r="I1632" s="253"/>
      <c r="J1632" s="253"/>
      <c r="K1632" s="251"/>
      <c r="L1632" s="261"/>
      <c r="M1632" s="258"/>
      <c r="N1632" s="257"/>
      <c r="O1632" s="258"/>
      <c r="P1632" s="257"/>
      <c r="Q1632" s="258"/>
      <c r="R1632" s="257"/>
      <c r="S1632" s="258"/>
      <c r="T1632" s="257"/>
      <c r="U1632" s="258"/>
      <c r="V1632" s="257"/>
      <c r="W1632" s="258"/>
      <c r="X1632" s="257"/>
      <c r="Y1632" s="258"/>
      <c r="Z1632" s="257"/>
    </row>
    <row r="1633" spans="1:26" ht="15" customHeight="1">
      <c r="A1633" s="250"/>
      <c r="B1633" s="251"/>
      <c r="C1633" s="647"/>
      <c r="D1633" s="526" t="s">
        <v>349</v>
      </c>
      <c r="E1633" s="251"/>
      <c r="F1633" s="252"/>
      <c r="G1633" s="253"/>
      <c r="H1633" s="254"/>
      <c r="I1633" s="253"/>
      <c r="J1633" s="253"/>
      <c r="K1633" s="251"/>
      <c r="L1633" s="255"/>
      <c r="M1633" s="258"/>
      <c r="N1633" s="257"/>
      <c r="O1633" s="258"/>
      <c r="P1633" s="257"/>
      <c r="Q1633" s="258"/>
      <c r="R1633" s="257"/>
      <c r="S1633" s="258"/>
      <c r="T1633" s="257"/>
      <c r="U1633" s="258"/>
      <c r="V1633" s="257"/>
      <c r="W1633" s="258"/>
      <c r="X1633" s="257"/>
      <c r="Y1633" s="258"/>
      <c r="Z1633" s="257"/>
    </row>
    <row r="1634" spans="1:26" ht="15" customHeight="1">
      <c r="A1634" s="250"/>
      <c r="B1634" s="251"/>
      <c r="C1634" s="647"/>
      <c r="D1634" s="526" t="s">
        <v>350</v>
      </c>
      <c r="E1634" s="251"/>
      <c r="F1634" s="252"/>
      <c r="G1634" s="253"/>
      <c r="H1634" s="254"/>
      <c r="I1634" s="253"/>
      <c r="J1634" s="253"/>
      <c r="K1634" s="251"/>
      <c r="L1634" s="255"/>
      <c r="M1634" s="293"/>
      <c r="N1634" s="294"/>
      <c r="O1634" s="293"/>
      <c r="P1634" s="294"/>
      <c r="Q1634" s="293"/>
      <c r="R1634" s="294"/>
      <c r="S1634" s="293"/>
      <c r="T1634" s="294"/>
      <c r="U1634" s="293"/>
      <c r="V1634" s="294"/>
      <c r="W1634" s="293"/>
      <c r="X1634" s="294"/>
      <c r="Y1634" s="293"/>
      <c r="Z1634" s="294"/>
    </row>
    <row r="1635" spans="1:26" ht="15" customHeight="1">
      <c r="A1635" s="250"/>
      <c r="B1635" s="251"/>
      <c r="C1635" s="670"/>
      <c r="D1635" s="292" t="s">
        <v>1900</v>
      </c>
      <c r="E1635" s="251"/>
      <c r="F1635" s="304">
        <f>M1635+O1635+Q1635+S1635+U1635+W1635+Y1635</f>
        <v>84</v>
      </c>
      <c r="G1635" s="253">
        <f>L1635</f>
        <v>1.37</v>
      </c>
      <c r="H1635" s="254">
        <f>INT(F1635*G1635*100+0.5)/100</f>
        <v>115.08</v>
      </c>
      <c r="I1635" s="253">
        <f>N1635+P1635+R1635+T1635+V1635+X1635+Z1635</f>
        <v>115.08</v>
      </c>
      <c r="J1635" s="253"/>
      <c r="K1635" s="251"/>
      <c r="L1635" s="262">
        <v>1.37</v>
      </c>
      <c r="M1635" s="258">
        <f>SUM(M1633:M1634)</f>
        <v>0</v>
      </c>
      <c r="N1635" s="257">
        <f>INT($L1635*M1635*100+0.5)/100</f>
        <v>0</v>
      </c>
      <c r="O1635" s="258">
        <v>0</v>
      </c>
      <c r="P1635" s="257">
        <f>INT($L1635*O1635*100+0.5)/100</f>
        <v>0</v>
      </c>
      <c r="Q1635" s="258">
        <v>0</v>
      </c>
      <c r="R1635" s="257">
        <f>INT($L1635*Q1635*100+0.5)/100</f>
        <v>0</v>
      </c>
      <c r="S1635" s="258">
        <f>6*(3.5+7+3.5)</f>
        <v>84</v>
      </c>
      <c r="T1635" s="257">
        <f>INT($L1635*S1635*100+0.5)/100</f>
        <v>115.08</v>
      </c>
      <c r="U1635" s="258">
        <v>0</v>
      </c>
      <c r="V1635" s="257">
        <f>INT($L1635*U1635*100+0.5)/100</f>
        <v>0</v>
      </c>
      <c r="W1635" s="258">
        <v>0</v>
      </c>
      <c r="X1635" s="257">
        <f>INT($L1635*W1635*100+0.5)/100</f>
        <v>0</v>
      </c>
      <c r="Y1635" s="258">
        <v>0</v>
      </c>
      <c r="Z1635" s="257">
        <f>INT($L1635*Y1635*100+0.5)/100</f>
        <v>0</v>
      </c>
    </row>
    <row r="1636" spans="1:26" ht="15" customHeight="1">
      <c r="A1636" s="250"/>
      <c r="B1636" s="251"/>
      <c r="C1636" s="670"/>
      <c r="D1636" s="330"/>
      <c r="E1636" s="251"/>
      <c r="F1636" s="252"/>
      <c r="G1636" s="253"/>
      <c r="H1636" s="254"/>
      <c r="I1636" s="253"/>
      <c r="J1636" s="253"/>
      <c r="K1636" s="251"/>
      <c r="L1636" s="261"/>
      <c r="M1636" s="258"/>
      <c r="N1636" s="257"/>
      <c r="O1636" s="258"/>
      <c r="P1636" s="257"/>
      <c r="Q1636" s="258"/>
      <c r="R1636" s="257"/>
      <c r="S1636" s="258"/>
      <c r="T1636" s="257"/>
      <c r="U1636" s="258"/>
      <c r="V1636" s="257"/>
      <c r="W1636" s="258"/>
      <c r="X1636" s="257"/>
      <c r="Y1636" s="258"/>
      <c r="Z1636" s="257"/>
    </row>
    <row r="1637" spans="1:26" ht="15" customHeight="1">
      <c r="A1637" s="250">
        <f>A1631+1</f>
        <v>288</v>
      </c>
      <c r="B1637" s="251"/>
      <c r="C1637" s="647" t="s">
        <v>863</v>
      </c>
      <c r="D1637" s="526" t="s">
        <v>940</v>
      </c>
      <c r="E1637" s="251" t="s">
        <v>2475</v>
      </c>
      <c r="F1637" s="252"/>
      <c r="G1637" s="253"/>
      <c r="H1637" s="254"/>
      <c r="I1637" s="253"/>
      <c r="J1637" s="253"/>
      <c r="K1637" s="251" t="s">
        <v>2475</v>
      </c>
      <c r="L1637" s="255"/>
      <c r="M1637" s="258"/>
      <c r="N1637" s="257"/>
      <c r="O1637" s="258"/>
      <c r="P1637" s="257"/>
      <c r="Q1637" s="258"/>
      <c r="R1637" s="257"/>
      <c r="S1637" s="258"/>
      <c r="T1637" s="257"/>
      <c r="U1637" s="258"/>
      <c r="V1637" s="257"/>
      <c r="W1637" s="258"/>
      <c r="X1637" s="257"/>
      <c r="Y1637" s="258"/>
      <c r="Z1637" s="257"/>
    </row>
    <row r="1638" spans="1:26" ht="25.5">
      <c r="A1638" s="250"/>
      <c r="B1638" s="251"/>
      <c r="C1638" s="647"/>
      <c r="D1638" s="526" t="s">
        <v>351</v>
      </c>
      <c r="E1638" s="251"/>
      <c r="F1638" s="252"/>
      <c r="G1638" s="253"/>
      <c r="H1638" s="254"/>
      <c r="I1638" s="253"/>
      <c r="J1638" s="253"/>
      <c r="K1638" s="251"/>
      <c r="L1638" s="261"/>
      <c r="M1638" s="258"/>
      <c r="N1638" s="257"/>
      <c r="O1638" s="258"/>
      <c r="P1638" s="257"/>
      <c r="Q1638" s="258"/>
      <c r="R1638" s="257"/>
      <c r="S1638" s="258"/>
      <c r="T1638" s="257"/>
      <c r="U1638" s="258"/>
      <c r="V1638" s="257"/>
      <c r="W1638" s="258"/>
      <c r="X1638" s="257"/>
      <c r="Y1638" s="258"/>
      <c r="Z1638" s="257"/>
    </row>
    <row r="1639" spans="1:26" ht="15" customHeight="1">
      <c r="A1639" s="250"/>
      <c r="B1639" s="251"/>
      <c r="C1639" s="647"/>
      <c r="D1639" s="526" t="s">
        <v>349</v>
      </c>
      <c r="E1639" s="251"/>
      <c r="F1639" s="252"/>
      <c r="G1639" s="253"/>
      <c r="H1639" s="254"/>
      <c r="I1639" s="253"/>
      <c r="J1639" s="253"/>
      <c r="K1639" s="251"/>
      <c r="L1639" s="255"/>
      <c r="M1639" s="258">
        <f>10+145+10+250+10</f>
        <v>425</v>
      </c>
      <c r="N1639" s="257"/>
      <c r="O1639" s="258"/>
      <c r="P1639" s="257"/>
      <c r="Q1639" s="258"/>
      <c r="R1639" s="257"/>
      <c r="S1639" s="258"/>
      <c r="T1639" s="257"/>
      <c r="U1639" s="258"/>
      <c r="V1639" s="257"/>
      <c r="W1639" s="258"/>
      <c r="X1639" s="257"/>
      <c r="Y1639" s="258"/>
      <c r="Z1639" s="257"/>
    </row>
    <row r="1640" spans="1:26" ht="15" customHeight="1">
      <c r="A1640" s="250"/>
      <c r="B1640" s="251"/>
      <c r="C1640" s="526"/>
      <c r="D1640" s="526" t="s">
        <v>941</v>
      </c>
      <c r="E1640" s="251"/>
      <c r="F1640" s="252"/>
      <c r="G1640" s="253"/>
      <c r="H1640" s="254"/>
      <c r="I1640" s="253"/>
      <c r="J1640" s="253"/>
      <c r="K1640" s="251"/>
      <c r="L1640" s="255"/>
      <c r="M1640" s="293">
        <v>25</v>
      </c>
      <c r="N1640" s="294"/>
      <c r="O1640" s="293"/>
      <c r="P1640" s="294"/>
      <c r="Q1640" s="293"/>
      <c r="R1640" s="294"/>
      <c r="S1640" s="293"/>
      <c r="T1640" s="294"/>
      <c r="U1640" s="293"/>
      <c r="V1640" s="294"/>
      <c r="W1640" s="293"/>
      <c r="X1640" s="294"/>
      <c r="Y1640" s="293"/>
      <c r="Z1640" s="294"/>
    </row>
    <row r="1641" spans="1:26" ht="15" customHeight="1">
      <c r="A1641" s="250"/>
      <c r="B1641" s="251"/>
      <c r="C1641" s="329"/>
      <c r="D1641" s="292" t="s">
        <v>1900</v>
      </c>
      <c r="E1641" s="251"/>
      <c r="F1641" s="304">
        <f>M1641+O1641+Q1641+S1641+U1641+W1641+Y1641</f>
        <v>450</v>
      </c>
      <c r="G1641" s="253">
        <f>L1641</f>
        <v>3.91</v>
      </c>
      <c r="H1641" s="254">
        <f>INT(F1641*G1641*100+0.5)/100</f>
        <v>1759.5</v>
      </c>
      <c r="I1641" s="253">
        <f>N1641+P1641+R1641+T1641+V1641+X1641+Z1641</f>
        <v>1759.5</v>
      </c>
      <c r="J1641" s="253"/>
      <c r="K1641" s="251"/>
      <c r="L1641" s="255">
        <v>3.91</v>
      </c>
      <c r="M1641" s="258">
        <f>SUM(M1639:M1640)</f>
        <v>450</v>
      </c>
      <c r="N1641" s="257">
        <f>INT($L1641*M1641*100+0.5)/100</f>
        <v>1759.5</v>
      </c>
      <c r="O1641" s="258">
        <v>0</v>
      </c>
      <c r="P1641" s="257">
        <f>INT($L1641*O1641*100+0.5)/100</f>
        <v>0</v>
      </c>
      <c r="Q1641" s="258">
        <v>0</v>
      </c>
      <c r="R1641" s="257">
        <f>INT($L1641*Q1641*100+0.5)/100</f>
        <v>0</v>
      </c>
      <c r="S1641" s="258">
        <v>0</v>
      </c>
      <c r="T1641" s="257">
        <f>INT($L1641*S1641*100+0.5)/100</f>
        <v>0</v>
      </c>
      <c r="U1641" s="258">
        <v>0</v>
      </c>
      <c r="V1641" s="257">
        <f>INT($L1641*U1641*100+0.5)/100</f>
        <v>0</v>
      </c>
      <c r="W1641" s="258">
        <v>0</v>
      </c>
      <c r="X1641" s="257">
        <f>INT($L1641*W1641*100+0.5)/100</f>
        <v>0</v>
      </c>
      <c r="Y1641" s="258">
        <v>0</v>
      </c>
      <c r="Z1641" s="257">
        <f>INT($L1641*Y1641*100+0.5)/100</f>
        <v>0</v>
      </c>
    </row>
    <row r="1642" spans="1:26" ht="15" customHeight="1">
      <c r="A1642" s="250"/>
      <c r="B1642" s="251"/>
      <c r="C1642" s="329"/>
      <c r="D1642" s="330"/>
      <c r="E1642" s="251"/>
      <c r="F1642" s="252"/>
      <c r="G1642" s="253"/>
      <c r="H1642" s="254"/>
      <c r="I1642" s="253"/>
      <c r="J1642" s="253"/>
      <c r="K1642" s="251"/>
      <c r="L1642" s="261"/>
      <c r="M1642" s="258"/>
      <c r="N1642" s="257"/>
      <c r="O1642" s="258"/>
      <c r="P1642" s="257"/>
      <c r="Q1642" s="258"/>
      <c r="R1642" s="257"/>
      <c r="S1642" s="258"/>
      <c r="T1642" s="257"/>
      <c r="U1642" s="258"/>
      <c r="V1642" s="257"/>
      <c r="W1642" s="258"/>
      <c r="X1642" s="257"/>
      <c r="Y1642" s="258"/>
      <c r="Z1642" s="257"/>
    </row>
    <row r="1643" spans="1:26" s="303" customFormat="1" ht="45">
      <c r="A1643" s="298"/>
      <c r="B1643" s="299"/>
      <c r="C1643" s="332">
        <v>87</v>
      </c>
      <c r="D1643" s="333" t="s">
        <v>936</v>
      </c>
      <c r="E1643" s="299"/>
      <c r="F1643" s="301"/>
      <c r="G1643" s="273"/>
      <c r="H1643" s="273"/>
      <c r="I1643" s="272">
        <f>N1643+P1643+R1643+T1643+V1643+X1643+Z1643</f>
        <v>1874.58</v>
      </c>
      <c r="J1643" s="269">
        <f>SUM(N1643:Z1643)</f>
        <v>1874.58</v>
      </c>
      <c r="K1643" s="299"/>
      <c r="L1643" s="271"/>
      <c r="M1643" s="273"/>
      <c r="N1643" s="273">
        <f>SUM(N1631:N1642)</f>
        <v>1759.5</v>
      </c>
      <c r="O1643" s="273"/>
      <c r="P1643" s="273">
        <f>SUM(P1631:P1642)</f>
        <v>0</v>
      </c>
      <c r="Q1643" s="273"/>
      <c r="R1643" s="273">
        <f>SUM(R1631:R1642)</f>
        <v>0</v>
      </c>
      <c r="S1643" s="273"/>
      <c r="T1643" s="273">
        <f>SUM(T1631:T1642)</f>
        <v>115.08</v>
      </c>
      <c r="U1643" s="273"/>
      <c r="V1643" s="273">
        <f>SUM(V1631:V1642)</f>
        <v>0</v>
      </c>
      <c r="W1643" s="273"/>
      <c r="X1643" s="273">
        <f>SUM(X1631:X1642)</f>
        <v>0</v>
      </c>
      <c r="Y1643" s="273"/>
      <c r="Z1643" s="273">
        <f>SUM(Z1631:Z1642)</f>
        <v>0</v>
      </c>
    </row>
    <row r="1644" spans="1:26" ht="15" customHeight="1">
      <c r="A1644" s="250"/>
      <c r="B1644" s="251"/>
      <c r="C1644" s="329"/>
      <c r="D1644" s="330"/>
      <c r="E1644" s="251"/>
      <c r="F1644" s="252"/>
      <c r="G1644" s="253"/>
      <c r="H1644" s="254"/>
      <c r="I1644" s="694">
        <f>I1643/'CompSolo Wolf'!I1630</f>
        <v>0.58534894613583133</v>
      </c>
      <c r="J1644" s="253"/>
      <c r="K1644" s="251"/>
      <c r="L1644" s="261"/>
      <c r="M1644" s="258"/>
      <c r="N1644" s="494">
        <f>N1643/$N$1941</f>
        <v>1.2721107415237985E-2</v>
      </c>
      <c r="O1644" s="258"/>
      <c r="P1644" s="257"/>
      <c r="Q1644" s="258"/>
      <c r="R1644" s="257"/>
      <c r="S1644" s="258"/>
      <c r="T1644" s="257"/>
      <c r="U1644" s="258"/>
      <c r="V1644" s="257"/>
      <c r="W1644" s="258"/>
      <c r="X1644" s="257"/>
      <c r="Y1644" s="258"/>
      <c r="Z1644" s="257"/>
    </row>
    <row r="1645" spans="1:26" ht="25.5">
      <c r="A1645" s="250"/>
      <c r="B1645" s="251"/>
      <c r="C1645" s="453" t="s">
        <v>1583</v>
      </c>
      <c r="D1645" s="330" t="s">
        <v>1584</v>
      </c>
      <c r="E1645" s="251"/>
      <c r="F1645" s="252"/>
      <c r="G1645" s="253"/>
      <c r="H1645" s="254"/>
      <c r="I1645" s="253"/>
      <c r="J1645" s="253"/>
      <c r="K1645" s="251"/>
      <c r="L1645" s="261"/>
      <c r="M1645" s="258"/>
      <c r="N1645" s="257"/>
      <c r="O1645" s="258"/>
      <c r="P1645" s="257"/>
      <c r="Q1645" s="258"/>
      <c r="R1645" s="257"/>
      <c r="S1645" s="258"/>
      <c r="T1645" s="257"/>
      <c r="U1645" s="258"/>
      <c r="V1645" s="257"/>
      <c r="W1645" s="258"/>
      <c r="X1645" s="257"/>
      <c r="Y1645" s="258"/>
      <c r="Z1645" s="257"/>
    </row>
    <row r="1646" spans="1:26" ht="15" hidden="1" customHeight="1">
      <c r="A1646" s="250">
        <f>A1637+1</f>
        <v>289</v>
      </c>
      <c r="B1646" s="251"/>
      <c r="C1646" s="526" t="s">
        <v>1802</v>
      </c>
      <c r="D1646" s="526" t="s">
        <v>1801</v>
      </c>
      <c r="E1646" s="251" t="s">
        <v>1898</v>
      </c>
      <c r="F1646" s="252"/>
      <c r="G1646" s="253"/>
      <c r="H1646" s="254"/>
      <c r="I1646" s="253"/>
      <c r="J1646" s="253"/>
      <c r="K1646" s="251" t="s">
        <v>1898</v>
      </c>
      <c r="L1646" s="261"/>
      <c r="M1646" s="258"/>
      <c r="N1646" s="257"/>
      <c r="O1646" s="258"/>
      <c r="P1646" s="257"/>
      <c r="Q1646" s="258"/>
      <c r="R1646" s="257"/>
      <c r="S1646" s="258"/>
      <c r="T1646" s="257"/>
      <c r="U1646" s="258"/>
      <c r="V1646" s="257"/>
      <c r="W1646" s="258"/>
      <c r="X1646" s="257"/>
      <c r="Y1646" s="258"/>
      <c r="Z1646" s="257"/>
    </row>
    <row r="1647" spans="1:26" ht="15" hidden="1" customHeight="1">
      <c r="A1647" s="250"/>
      <c r="B1647" s="251"/>
      <c r="C1647" s="526"/>
      <c r="D1647" s="526" t="s">
        <v>1800</v>
      </c>
      <c r="E1647" s="202"/>
      <c r="F1647" s="252"/>
      <c r="G1647" s="253"/>
      <c r="H1647" s="254"/>
      <c r="I1647" s="253"/>
      <c r="J1647" s="253"/>
      <c r="K1647" s="202"/>
      <c r="L1647" s="261"/>
      <c r="M1647" s="258"/>
      <c r="N1647" s="257"/>
      <c r="O1647" s="258"/>
      <c r="P1647" s="257"/>
      <c r="Q1647" s="258"/>
      <c r="R1647" s="257"/>
      <c r="S1647" s="258"/>
      <c r="T1647" s="257"/>
      <c r="U1647" s="258"/>
      <c r="V1647" s="257"/>
      <c r="W1647" s="258"/>
      <c r="X1647" s="257"/>
      <c r="Y1647" s="258"/>
      <c r="Z1647" s="257"/>
    </row>
    <row r="1648" spans="1:26" ht="15" hidden="1" customHeight="1">
      <c r="A1648" s="250"/>
      <c r="B1648" s="251"/>
      <c r="C1648" s="526"/>
      <c r="D1648" s="292" t="s">
        <v>1904</v>
      </c>
      <c r="E1648" s="251"/>
      <c r="F1648" s="304">
        <f>M1648+O1648+Q1648+S1648+U1648+W1648+Y1648</f>
        <v>0</v>
      </c>
      <c r="G1648" s="253">
        <f>L1648</f>
        <v>1.43</v>
      </c>
      <c r="H1648" s="254">
        <f>INT(F1648*G1648*100+0.5)/100</f>
        <v>0</v>
      </c>
      <c r="I1648" s="253">
        <f>N1648+P1648+R1648+T1648+V1648+X1648+Z1648</f>
        <v>0</v>
      </c>
      <c r="J1648" s="253"/>
      <c r="K1648" s="251"/>
      <c r="L1648" s="306">
        <v>1.43</v>
      </c>
      <c r="M1648" s="258">
        <v>0</v>
      </c>
      <c r="N1648" s="257">
        <f>INT($L1648*M1648*100+0.5)/100</f>
        <v>0</v>
      </c>
      <c r="O1648" s="258">
        <v>0</v>
      </c>
      <c r="P1648" s="257">
        <f>INT($L1648*O1648*100+0.5)/100</f>
        <v>0</v>
      </c>
      <c r="Q1648" s="258">
        <v>0</v>
      </c>
      <c r="R1648" s="257">
        <f>INT($L1648*Q1648*100+0.5)/100</f>
        <v>0</v>
      </c>
      <c r="S1648" s="258">
        <v>0</v>
      </c>
      <c r="T1648" s="257">
        <f>INT($L1648*S1648*100+0.5)/100</f>
        <v>0</v>
      </c>
      <c r="U1648" s="258">
        <v>0</v>
      </c>
      <c r="V1648" s="257">
        <f>INT($L1648*U1648*100+0.5)/100</f>
        <v>0</v>
      </c>
      <c r="W1648" s="258">
        <v>0</v>
      </c>
      <c r="X1648" s="257">
        <f>INT($L1648*W1648*100+0.5)/100</f>
        <v>0</v>
      </c>
      <c r="Y1648" s="258">
        <v>0</v>
      </c>
      <c r="Z1648" s="257">
        <f>INT($L1648*Y1648*100+0.5)/100</f>
        <v>0</v>
      </c>
    </row>
    <row r="1649" spans="1:26" ht="15" hidden="1" customHeight="1">
      <c r="A1649" s="250"/>
      <c r="B1649" s="251"/>
      <c r="C1649" s="526"/>
      <c r="D1649" s="292"/>
      <c r="E1649" s="251"/>
      <c r="F1649" s="252"/>
      <c r="G1649" s="253"/>
      <c r="H1649" s="254"/>
      <c r="I1649" s="253"/>
      <c r="J1649" s="253"/>
      <c r="K1649" s="251"/>
      <c r="L1649" s="261"/>
      <c r="M1649" s="258"/>
      <c r="N1649" s="257"/>
      <c r="O1649" s="258"/>
      <c r="P1649" s="257"/>
      <c r="Q1649" s="258"/>
      <c r="R1649" s="257"/>
      <c r="S1649" s="258"/>
      <c r="T1649" s="257"/>
      <c r="U1649" s="258"/>
      <c r="V1649" s="257"/>
      <c r="W1649" s="258"/>
      <c r="X1649" s="257"/>
      <c r="Y1649" s="258"/>
      <c r="Z1649" s="257"/>
    </row>
    <row r="1650" spans="1:26" s="303" customFormat="1" ht="15" customHeight="1">
      <c r="A1650" s="298"/>
      <c r="B1650" s="299"/>
      <c r="C1650" s="267" t="s">
        <v>1583</v>
      </c>
      <c r="D1650" s="333" t="s">
        <v>1584</v>
      </c>
      <c r="E1650" s="299"/>
      <c r="F1650" s="301"/>
      <c r="G1650" s="273"/>
      <c r="H1650" s="273"/>
      <c r="I1650" s="697">
        <f>SUM(I1645:I1649)</f>
        <v>0</v>
      </c>
      <c r="J1650" s="698">
        <f>SUM(N1650:Z1650)</f>
        <v>0</v>
      </c>
      <c r="K1650" s="699"/>
      <c r="L1650" s="700"/>
      <c r="M1650" s="273"/>
      <c r="N1650" s="273">
        <f>SUM(N1646:N1649)</f>
        <v>0</v>
      </c>
      <c r="O1650" s="273"/>
      <c r="P1650" s="273">
        <f>SUM(P1646:P1649)</f>
        <v>0</v>
      </c>
      <c r="Q1650" s="273"/>
      <c r="R1650" s="273">
        <f>SUM(R1646:R1649)</f>
        <v>0</v>
      </c>
      <c r="S1650" s="273"/>
      <c r="T1650" s="273">
        <f>SUM(T1646:T1649)</f>
        <v>0</v>
      </c>
      <c r="U1650" s="273"/>
      <c r="V1650" s="273">
        <f>SUM(V1646:V1649)</f>
        <v>0</v>
      </c>
      <c r="W1650" s="273"/>
      <c r="X1650" s="273">
        <f>SUM(X1646:X1649)</f>
        <v>0</v>
      </c>
      <c r="Y1650" s="273"/>
      <c r="Z1650" s="273">
        <f>SUM(Z1646:Z1649)</f>
        <v>0</v>
      </c>
    </row>
    <row r="1651" spans="1:26" ht="15" customHeight="1">
      <c r="A1651" s="250"/>
      <c r="B1651" s="251"/>
      <c r="C1651" s="526"/>
      <c r="D1651" s="292"/>
      <c r="E1651" s="517"/>
      <c r="F1651" s="516"/>
      <c r="G1651" s="521"/>
      <c r="H1651" s="336"/>
      <c r="I1651" s="701"/>
      <c r="J1651" s="702"/>
      <c r="K1651" s="703"/>
      <c r="L1651" s="517"/>
      <c r="M1651" s="237"/>
      <c r="N1651" s="494">
        <f>N1650/$N$1941</f>
        <v>0</v>
      </c>
      <c r="O1651" s="441" t="s">
        <v>2390</v>
      </c>
      <c r="P1651" s="237"/>
      <c r="Q1651" s="441"/>
      <c r="R1651" s="237"/>
      <c r="S1651" s="237"/>
      <c r="T1651" s="237"/>
      <c r="U1651" s="237"/>
      <c r="V1651" s="237"/>
      <c r="W1651" s="237"/>
      <c r="X1651" s="237"/>
      <c r="Y1651" s="237"/>
      <c r="Z1651" s="554"/>
    </row>
    <row r="1652" spans="1:26" ht="29.25" customHeight="1">
      <c r="A1652" s="250"/>
      <c r="B1652" s="251"/>
      <c r="C1652" s="453" t="s">
        <v>1030</v>
      </c>
      <c r="D1652" s="330" t="s">
        <v>1029</v>
      </c>
      <c r="E1652" s="251"/>
      <c r="F1652" s="252"/>
      <c r="G1652" s="522"/>
      <c r="H1652" s="253"/>
      <c r="I1652" s="704"/>
      <c r="J1652" s="523"/>
      <c r="K1652" s="370"/>
      <c r="L1652" s="705"/>
      <c r="M1652" s="256"/>
      <c r="N1652" s="257"/>
      <c r="O1652" s="258"/>
      <c r="P1652" s="257"/>
      <c r="Q1652" s="258"/>
      <c r="R1652" s="257"/>
      <c r="S1652" s="258"/>
      <c r="T1652" s="257"/>
      <c r="U1652" s="258"/>
      <c r="V1652" s="257"/>
      <c r="W1652" s="258"/>
      <c r="X1652" s="257"/>
      <c r="Y1652" s="258"/>
      <c r="Z1652" s="257"/>
    </row>
    <row r="1653" spans="1:26" ht="15" hidden="1" customHeight="1">
      <c r="A1653" s="250">
        <f>A1646+1</f>
        <v>290</v>
      </c>
      <c r="B1653" s="251">
        <v>30</v>
      </c>
      <c r="C1653" s="555" t="s">
        <v>2191</v>
      </c>
      <c r="D1653" s="526" t="s">
        <v>2062</v>
      </c>
      <c r="E1653" s="251" t="s">
        <v>1909</v>
      </c>
      <c r="F1653" s="252"/>
      <c r="G1653" s="254"/>
      <c r="H1653" s="261"/>
      <c r="I1653" s="253"/>
      <c r="J1653" s="253"/>
      <c r="K1653" s="251" t="s">
        <v>1909</v>
      </c>
      <c r="L1653" s="261"/>
      <c r="M1653" s="258"/>
      <c r="N1653" s="257"/>
      <c r="O1653" s="258"/>
      <c r="P1653" s="257"/>
      <c r="Q1653" s="258"/>
      <c r="R1653" s="257"/>
      <c r="S1653" s="258"/>
      <c r="T1653" s="257"/>
      <c r="U1653" s="258"/>
      <c r="V1653" s="257"/>
      <c r="W1653" s="258"/>
      <c r="X1653" s="257"/>
      <c r="Y1653" s="258"/>
      <c r="Z1653" s="257"/>
    </row>
    <row r="1654" spans="1:26" ht="15" hidden="1" customHeight="1">
      <c r="A1654" s="250"/>
      <c r="B1654" s="251"/>
      <c r="C1654" s="556" t="s">
        <v>2061</v>
      </c>
      <c r="D1654" s="557" t="s">
        <v>2063</v>
      </c>
      <c r="E1654" s="251" t="s">
        <v>2461</v>
      </c>
      <c r="F1654" s="252"/>
      <c r="G1654" s="254"/>
      <c r="H1654" s="261"/>
      <c r="I1654" s="253"/>
      <c r="J1654" s="253"/>
      <c r="K1654" s="251" t="s">
        <v>2461</v>
      </c>
      <c r="L1654" s="261"/>
      <c r="M1654" s="258"/>
      <c r="N1654" s="257"/>
      <c r="O1654" s="258"/>
      <c r="P1654" s="257"/>
      <c r="Q1654" s="258"/>
      <c r="R1654" s="257"/>
      <c r="S1654" s="258"/>
      <c r="T1654" s="257"/>
      <c r="U1654" s="258"/>
      <c r="V1654" s="257"/>
      <c r="W1654" s="258"/>
      <c r="X1654" s="257"/>
      <c r="Y1654" s="258"/>
      <c r="Z1654" s="257"/>
    </row>
    <row r="1655" spans="1:26" ht="15" hidden="1" customHeight="1">
      <c r="A1655" s="250"/>
      <c r="B1655" s="251"/>
      <c r="C1655" s="526"/>
      <c r="D1655" s="292" t="s">
        <v>585</v>
      </c>
      <c r="E1655" s="251"/>
      <c r="F1655" s="252"/>
      <c r="G1655" s="254"/>
      <c r="H1655" s="261"/>
      <c r="I1655" s="253"/>
      <c r="J1655" s="253"/>
      <c r="K1655" s="251"/>
      <c r="L1655" s="261"/>
      <c r="M1655" s="258">
        <v>0</v>
      </c>
      <c r="N1655" s="257"/>
      <c r="O1655" s="258">
        <v>0</v>
      </c>
      <c r="P1655" s="257"/>
      <c r="Q1655" s="258">
        <v>0</v>
      </c>
      <c r="R1655" s="257"/>
      <c r="S1655" s="258">
        <v>0</v>
      </c>
      <c r="T1655" s="257"/>
      <c r="U1655" s="258">
        <v>0</v>
      </c>
      <c r="V1655" s="257"/>
      <c r="W1655" s="258">
        <v>0</v>
      </c>
      <c r="X1655" s="257"/>
      <c r="Y1655" s="258">
        <v>0</v>
      </c>
      <c r="Z1655" s="257"/>
    </row>
    <row r="1656" spans="1:26" ht="15" hidden="1" customHeight="1">
      <c r="A1656" s="250"/>
      <c r="B1656" s="251"/>
      <c r="C1656" s="532"/>
      <c r="D1656" s="238" t="s">
        <v>586</v>
      </c>
      <c r="E1656" s="237"/>
      <c r="F1656" s="304"/>
      <c r="G1656" s="254"/>
      <c r="H1656" s="243"/>
      <c r="I1656" s="240"/>
      <c r="J1656" s="240"/>
      <c r="K1656" s="237"/>
      <c r="L1656" s="243"/>
      <c r="M1656" s="258">
        <v>0</v>
      </c>
      <c r="N1656" s="257"/>
      <c r="O1656" s="258">
        <v>0</v>
      </c>
      <c r="P1656" s="257"/>
      <c r="Q1656" s="258">
        <v>0</v>
      </c>
      <c r="R1656" s="257"/>
      <c r="S1656" s="258">
        <v>0</v>
      </c>
      <c r="T1656" s="257"/>
      <c r="U1656" s="258">
        <v>0</v>
      </c>
      <c r="V1656" s="257"/>
      <c r="W1656" s="258">
        <v>0</v>
      </c>
      <c r="X1656" s="257"/>
      <c r="Y1656" s="258">
        <v>0</v>
      </c>
      <c r="Z1656" s="257"/>
    </row>
    <row r="1657" spans="1:26" ht="15" hidden="1" customHeight="1">
      <c r="A1657" s="250"/>
      <c r="B1657" s="251"/>
      <c r="C1657" s="532"/>
      <c r="D1657" s="238" t="s">
        <v>1899</v>
      </c>
      <c r="E1657" s="237"/>
      <c r="F1657" s="334"/>
      <c r="G1657" s="254"/>
      <c r="H1657" s="243"/>
      <c r="I1657" s="240"/>
      <c r="J1657" s="240"/>
      <c r="K1657" s="237"/>
      <c r="L1657" s="243"/>
      <c r="M1657" s="293">
        <v>0</v>
      </c>
      <c r="N1657" s="294"/>
      <c r="O1657" s="293">
        <v>0</v>
      </c>
      <c r="P1657" s="294"/>
      <c r="Q1657" s="293">
        <v>0</v>
      </c>
      <c r="R1657" s="294"/>
      <c r="S1657" s="293">
        <v>0</v>
      </c>
      <c r="T1657" s="294"/>
      <c r="U1657" s="293">
        <v>0</v>
      </c>
      <c r="V1657" s="294"/>
      <c r="W1657" s="293">
        <v>0</v>
      </c>
      <c r="X1657" s="294"/>
      <c r="Y1657" s="293">
        <v>0</v>
      </c>
      <c r="Z1657" s="294"/>
    </row>
    <row r="1658" spans="1:26" ht="15" hidden="1" customHeight="1">
      <c r="A1658" s="250"/>
      <c r="B1658" s="251"/>
      <c r="C1658" s="532"/>
      <c r="D1658" s="238" t="s">
        <v>575</v>
      </c>
      <c r="E1658" s="237"/>
      <c r="F1658" s="304"/>
      <c r="G1658" s="254"/>
      <c r="H1658" s="243">
        <f>INT(F1658*G1658*100+0.5)/100</f>
        <v>0</v>
      </c>
      <c r="I1658" s="240"/>
      <c r="J1658" s="240"/>
      <c r="K1658" s="237"/>
      <c r="L1658" s="306">
        <v>134</v>
      </c>
      <c r="M1658" s="258">
        <v>0</v>
      </c>
      <c r="N1658" s="257">
        <f>INT($L1658*M1658*100+0.5)/100</f>
        <v>0</v>
      </c>
      <c r="O1658" s="258">
        <v>0</v>
      </c>
      <c r="P1658" s="257">
        <f>INT($L1658*O1658*100+0.5)/100</f>
        <v>0</v>
      </c>
      <c r="Q1658" s="258">
        <v>0</v>
      </c>
      <c r="R1658" s="257">
        <f>INT($L1658*Q1658*100+0.5)/100</f>
        <v>0</v>
      </c>
      <c r="S1658" s="258">
        <v>0</v>
      </c>
      <c r="T1658" s="257">
        <f>INT($L1658*S1658*100+0.5)/100</f>
        <v>0</v>
      </c>
      <c r="U1658" s="258">
        <v>0</v>
      </c>
      <c r="V1658" s="257">
        <f>INT($L1658*U1658*100+0.5)/100</f>
        <v>0</v>
      </c>
      <c r="W1658" s="258">
        <v>0</v>
      </c>
      <c r="X1658" s="257">
        <f>INT($L1658*W1658*100+0.5)/100</f>
        <v>0</v>
      </c>
      <c r="Y1658" s="258">
        <v>0</v>
      </c>
      <c r="Z1658" s="257">
        <f>INT($L1658*Y1658*100+0.5)/100</f>
        <v>0</v>
      </c>
    </row>
    <row r="1659" spans="1:26" ht="15" hidden="1" customHeight="1">
      <c r="A1659" s="250"/>
      <c r="B1659" s="251"/>
      <c r="C1659" s="532"/>
      <c r="D1659" s="238"/>
      <c r="E1659" s="237"/>
      <c r="F1659" s="304"/>
      <c r="G1659" s="254"/>
      <c r="H1659" s="243"/>
      <c r="I1659" s="240"/>
      <c r="J1659" s="240"/>
      <c r="K1659" s="237"/>
      <c r="L1659" s="243"/>
      <c r="M1659" s="258"/>
      <c r="N1659" s="257"/>
      <c r="O1659" s="258"/>
      <c r="P1659" s="257"/>
      <c r="Q1659" s="258"/>
      <c r="R1659" s="257"/>
      <c r="S1659" s="258"/>
      <c r="T1659" s="257"/>
      <c r="U1659" s="258"/>
      <c r="V1659" s="257"/>
      <c r="W1659" s="258"/>
      <c r="X1659" s="257"/>
      <c r="Y1659" s="258"/>
      <c r="Z1659" s="257"/>
    </row>
    <row r="1660" spans="1:26" ht="15" hidden="1" customHeight="1">
      <c r="A1660" s="250">
        <f>A1653+1</f>
        <v>291</v>
      </c>
      <c r="B1660" s="251">
        <v>31</v>
      </c>
      <c r="C1660" s="555" t="s">
        <v>289</v>
      </c>
      <c r="D1660" s="532" t="s">
        <v>2065</v>
      </c>
      <c r="E1660" s="237" t="s">
        <v>1909</v>
      </c>
      <c r="F1660" s="304"/>
      <c r="G1660" s="254"/>
      <c r="H1660" s="243"/>
      <c r="I1660" s="240"/>
      <c r="J1660" s="240"/>
      <c r="K1660" s="237" t="s">
        <v>1909</v>
      </c>
      <c r="L1660" s="243"/>
      <c r="M1660" s="258"/>
      <c r="N1660" s="257"/>
      <c r="O1660" s="258"/>
      <c r="P1660" s="257"/>
      <c r="Q1660" s="258"/>
      <c r="R1660" s="257"/>
      <c r="S1660" s="258"/>
      <c r="T1660" s="257"/>
      <c r="U1660" s="258"/>
      <c r="V1660" s="257"/>
      <c r="W1660" s="258"/>
      <c r="X1660" s="257"/>
      <c r="Y1660" s="258"/>
      <c r="Z1660" s="257"/>
    </row>
    <row r="1661" spans="1:26" ht="15" hidden="1" customHeight="1">
      <c r="A1661" s="250"/>
      <c r="B1661" s="251"/>
      <c r="C1661" s="556" t="s">
        <v>2064</v>
      </c>
      <c r="D1661" s="532" t="s">
        <v>2066</v>
      </c>
      <c r="E1661" s="237" t="s">
        <v>2461</v>
      </c>
      <c r="F1661" s="304"/>
      <c r="G1661" s="254"/>
      <c r="H1661" s="243"/>
      <c r="I1661" s="240"/>
      <c r="J1661" s="240"/>
      <c r="K1661" s="237" t="s">
        <v>2461</v>
      </c>
      <c r="L1661" s="243"/>
      <c r="M1661" s="258"/>
      <c r="N1661" s="257"/>
      <c r="O1661" s="258"/>
      <c r="P1661" s="257"/>
      <c r="Q1661" s="258"/>
      <c r="R1661" s="257"/>
      <c r="S1661" s="258"/>
      <c r="T1661" s="257"/>
      <c r="U1661" s="258"/>
      <c r="V1661" s="257"/>
      <c r="W1661" s="258"/>
      <c r="X1661" s="257"/>
      <c r="Y1661" s="258"/>
      <c r="Z1661" s="257"/>
    </row>
    <row r="1662" spans="1:26" ht="15" hidden="1" customHeight="1">
      <c r="A1662" s="250"/>
      <c r="B1662" s="251"/>
      <c r="C1662" s="532"/>
      <c r="D1662" s="238" t="s">
        <v>587</v>
      </c>
      <c r="E1662" s="237"/>
      <c r="F1662" s="304"/>
      <c r="G1662" s="254"/>
      <c r="H1662" s="243"/>
      <c r="I1662" s="240"/>
      <c r="J1662" s="240"/>
      <c r="K1662" s="237"/>
      <c r="L1662" s="243"/>
      <c r="M1662" s="258">
        <v>0</v>
      </c>
      <c r="N1662" s="257"/>
      <c r="O1662" s="258">
        <v>0</v>
      </c>
      <c r="P1662" s="257"/>
      <c r="Q1662" s="258">
        <v>0</v>
      </c>
      <c r="R1662" s="257"/>
      <c r="S1662" s="258">
        <v>0</v>
      </c>
      <c r="T1662" s="257"/>
      <c r="U1662" s="258">
        <v>0</v>
      </c>
      <c r="V1662" s="257"/>
      <c r="W1662" s="258">
        <v>0</v>
      </c>
      <c r="X1662" s="257"/>
      <c r="Y1662" s="258">
        <v>0</v>
      </c>
      <c r="Z1662" s="257"/>
    </row>
    <row r="1663" spans="1:26" ht="15" hidden="1" customHeight="1">
      <c r="A1663" s="250"/>
      <c r="B1663" s="251"/>
      <c r="C1663" s="532"/>
      <c r="D1663" s="238" t="s">
        <v>2102</v>
      </c>
      <c r="E1663" s="237"/>
      <c r="F1663" s="334"/>
      <c r="G1663" s="254"/>
      <c r="H1663" s="243"/>
      <c r="I1663" s="240"/>
      <c r="J1663" s="240"/>
      <c r="K1663" s="237"/>
      <c r="L1663" s="243"/>
      <c r="M1663" s="293">
        <v>0</v>
      </c>
      <c r="N1663" s="294"/>
      <c r="O1663" s="293">
        <v>0</v>
      </c>
      <c r="P1663" s="294"/>
      <c r="Q1663" s="293">
        <v>0</v>
      </c>
      <c r="R1663" s="294"/>
      <c r="S1663" s="293">
        <v>0</v>
      </c>
      <c r="T1663" s="294"/>
      <c r="U1663" s="293">
        <v>0</v>
      </c>
      <c r="V1663" s="294"/>
      <c r="W1663" s="293">
        <v>0</v>
      </c>
      <c r="X1663" s="294"/>
      <c r="Y1663" s="293">
        <v>0</v>
      </c>
      <c r="Z1663" s="294"/>
    </row>
    <row r="1664" spans="1:26" ht="15" hidden="1" customHeight="1">
      <c r="A1664" s="250"/>
      <c r="B1664" s="251"/>
      <c r="C1664" s="532"/>
      <c r="D1664" s="238" t="s">
        <v>575</v>
      </c>
      <c r="E1664" s="237"/>
      <c r="F1664" s="304"/>
      <c r="G1664" s="254"/>
      <c r="H1664" s="243">
        <f>INT(F1664*G1664*100+0.5)/100</f>
        <v>0</v>
      </c>
      <c r="I1664" s="240"/>
      <c r="J1664" s="240"/>
      <c r="K1664" s="237"/>
      <c r="L1664" s="306">
        <v>259</v>
      </c>
      <c r="M1664" s="258">
        <v>0</v>
      </c>
      <c r="N1664" s="257">
        <f>INT($L1664*M1664*100+0.5)/100</f>
        <v>0</v>
      </c>
      <c r="O1664" s="258">
        <v>0</v>
      </c>
      <c r="P1664" s="257">
        <f>INT($L1664*O1664*100+0.5)/100</f>
        <v>0</v>
      </c>
      <c r="Q1664" s="258">
        <v>0</v>
      </c>
      <c r="R1664" s="257">
        <f>INT($L1664*Q1664*100+0.5)/100</f>
        <v>0</v>
      </c>
      <c r="S1664" s="258">
        <v>0</v>
      </c>
      <c r="T1664" s="257">
        <f>INT($L1664*S1664*100+0.5)/100</f>
        <v>0</v>
      </c>
      <c r="U1664" s="258">
        <v>0</v>
      </c>
      <c r="V1664" s="257">
        <f>INT($L1664*U1664*100+0.5)/100</f>
        <v>0</v>
      </c>
      <c r="W1664" s="258">
        <v>0</v>
      </c>
      <c r="X1664" s="257">
        <f>INT($L1664*W1664*100+0.5)/100</f>
        <v>0</v>
      </c>
      <c r="Y1664" s="258">
        <v>0</v>
      </c>
      <c r="Z1664" s="257">
        <f>INT($L1664*Y1664*100+0.5)/100</f>
        <v>0</v>
      </c>
    </row>
    <row r="1665" spans="1:26" ht="15" hidden="1" customHeight="1">
      <c r="A1665" s="250"/>
      <c r="B1665" s="251"/>
      <c r="C1665" s="532"/>
      <c r="D1665" s="238"/>
      <c r="E1665" s="237"/>
      <c r="F1665" s="304"/>
      <c r="G1665" s="254"/>
      <c r="H1665" s="243"/>
      <c r="I1665" s="240"/>
      <c r="J1665" s="240"/>
      <c r="K1665" s="237"/>
      <c r="L1665" s="243"/>
      <c r="M1665" s="258"/>
      <c r="N1665" s="257"/>
      <c r="O1665" s="258"/>
      <c r="P1665" s="257"/>
      <c r="Q1665" s="258"/>
      <c r="R1665" s="257"/>
      <c r="S1665" s="258"/>
      <c r="T1665" s="257"/>
      <c r="U1665" s="258"/>
      <c r="V1665" s="257"/>
      <c r="W1665" s="258"/>
      <c r="X1665" s="257"/>
      <c r="Y1665" s="258"/>
      <c r="Z1665" s="257"/>
    </row>
    <row r="1666" spans="1:26" ht="15" hidden="1" customHeight="1">
      <c r="A1666" s="250">
        <f>A1660+1</f>
        <v>292</v>
      </c>
      <c r="B1666" s="251">
        <v>32</v>
      </c>
      <c r="C1666" s="555" t="s">
        <v>2192</v>
      </c>
      <c r="D1666" s="532" t="s">
        <v>218</v>
      </c>
      <c r="E1666" s="237" t="s">
        <v>1909</v>
      </c>
      <c r="F1666" s="304"/>
      <c r="G1666" s="254"/>
      <c r="H1666" s="243"/>
      <c r="I1666" s="240"/>
      <c r="J1666" s="240"/>
      <c r="K1666" s="237" t="s">
        <v>1909</v>
      </c>
      <c r="L1666" s="243"/>
      <c r="M1666" s="258"/>
      <c r="N1666" s="257"/>
      <c r="O1666" s="258"/>
      <c r="P1666" s="257"/>
      <c r="Q1666" s="258"/>
      <c r="R1666" s="257"/>
      <c r="S1666" s="258"/>
      <c r="T1666" s="257"/>
      <c r="U1666" s="258"/>
      <c r="V1666" s="257"/>
      <c r="W1666" s="258"/>
      <c r="X1666" s="257"/>
      <c r="Y1666" s="258"/>
      <c r="Z1666" s="257"/>
    </row>
    <row r="1667" spans="1:26" ht="15" hidden="1" customHeight="1">
      <c r="A1667" s="250"/>
      <c r="B1667" s="251"/>
      <c r="C1667" s="556" t="s">
        <v>2067</v>
      </c>
      <c r="D1667" s="532" t="s">
        <v>219</v>
      </c>
      <c r="E1667" s="237" t="s">
        <v>2461</v>
      </c>
      <c r="F1667" s="304"/>
      <c r="G1667" s="254"/>
      <c r="H1667" s="243"/>
      <c r="I1667" s="240"/>
      <c r="J1667" s="240"/>
      <c r="K1667" s="237" t="s">
        <v>2461</v>
      </c>
      <c r="L1667" s="243"/>
      <c r="M1667" s="258"/>
      <c r="N1667" s="257"/>
      <c r="O1667" s="258"/>
      <c r="P1667" s="257"/>
      <c r="Q1667" s="258"/>
      <c r="R1667" s="257"/>
      <c r="S1667" s="258"/>
      <c r="T1667" s="257"/>
      <c r="U1667" s="258"/>
      <c r="V1667" s="257"/>
      <c r="W1667" s="258"/>
      <c r="X1667" s="257"/>
      <c r="Y1667" s="258"/>
      <c r="Z1667" s="257"/>
    </row>
    <row r="1668" spans="1:26" ht="15" hidden="1" customHeight="1">
      <c r="A1668" s="250"/>
      <c r="B1668" s="251"/>
      <c r="C1668" s="526"/>
      <c r="D1668" s="238" t="s">
        <v>588</v>
      </c>
      <c r="E1668" s="237"/>
      <c r="F1668" s="304"/>
      <c r="G1668" s="254"/>
      <c r="H1668" s="243"/>
      <c r="I1668" s="240"/>
      <c r="J1668" s="240"/>
      <c r="K1668" s="237"/>
      <c r="L1668" s="243"/>
      <c r="M1668" s="258">
        <v>0</v>
      </c>
      <c r="N1668" s="257"/>
      <c r="O1668" s="258">
        <v>0</v>
      </c>
      <c r="P1668" s="257"/>
      <c r="Q1668" s="258">
        <v>0</v>
      </c>
      <c r="R1668" s="257"/>
      <c r="S1668" s="258">
        <v>0</v>
      </c>
      <c r="T1668" s="257"/>
      <c r="U1668" s="258">
        <v>0</v>
      </c>
      <c r="V1668" s="257"/>
      <c r="W1668" s="258">
        <v>0</v>
      </c>
      <c r="X1668" s="257"/>
      <c r="Y1668" s="258">
        <v>0</v>
      </c>
      <c r="Z1668" s="257"/>
    </row>
    <row r="1669" spans="1:26" ht="15" hidden="1" customHeight="1">
      <c r="A1669" s="250"/>
      <c r="B1669" s="251"/>
      <c r="C1669" s="526"/>
      <c r="D1669" s="238" t="s">
        <v>1899</v>
      </c>
      <c r="E1669" s="237"/>
      <c r="F1669" s="334"/>
      <c r="G1669" s="254"/>
      <c r="H1669" s="243"/>
      <c r="I1669" s="240"/>
      <c r="J1669" s="240"/>
      <c r="K1669" s="237"/>
      <c r="L1669" s="243"/>
      <c r="M1669" s="293">
        <v>0</v>
      </c>
      <c r="N1669" s="294"/>
      <c r="O1669" s="293">
        <v>0</v>
      </c>
      <c r="P1669" s="294"/>
      <c r="Q1669" s="293">
        <v>0</v>
      </c>
      <c r="R1669" s="294"/>
      <c r="S1669" s="293">
        <v>0</v>
      </c>
      <c r="T1669" s="294"/>
      <c r="U1669" s="293">
        <v>0</v>
      </c>
      <c r="V1669" s="294"/>
      <c r="W1669" s="293">
        <v>0</v>
      </c>
      <c r="X1669" s="294"/>
      <c r="Y1669" s="293">
        <v>0</v>
      </c>
      <c r="Z1669" s="294"/>
    </row>
    <row r="1670" spans="1:26" ht="15" hidden="1" customHeight="1">
      <c r="A1670" s="250"/>
      <c r="B1670" s="251"/>
      <c r="C1670" s="526"/>
      <c r="D1670" s="238" t="s">
        <v>575</v>
      </c>
      <c r="E1670" s="237"/>
      <c r="F1670" s="304"/>
      <c r="G1670" s="254"/>
      <c r="H1670" s="243">
        <f>INT(F1670*G1670*100+0.5)/100</f>
        <v>0</v>
      </c>
      <c r="I1670" s="240"/>
      <c r="J1670" s="240"/>
      <c r="K1670" s="237"/>
      <c r="L1670" s="306">
        <v>306</v>
      </c>
      <c r="M1670" s="258">
        <v>0</v>
      </c>
      <c r="N1670" s="257">
        <f>INT($L1670*M1670*100+0.5)/100</f>
        <v>0</v>
      </c>
      <c r="O1670" s="258">
        <v>0</v>
      </c>
      <c r="P1670" s="257">
        <f>INT($L1670*O1670*100+0.5)/100</f>
        <v>0</v>
      </c>
      <c r="Q1670" s="258">
        <v>0</v>
      </c>
      <c r="R1670" s="257">
        <f>INT($L1670*Q1670*100+0.5)/100</f>
        <v>0</v>
      </c>
      <c r="S1670" s="258">
        <v>0</v>
      </c>
      <c r="T1670" s="257">
        <f>INT($L1670*S1670*100+0.5)/100</f>
        <v>0</v>
      </c>
      <c r="U1670" s="258">
        <v>0</v>
      </c>
      <c r="V1670" s="257">
        <f>INT($L1670*U1670*100+0.5)/100</f>
        <v>0</v>
      </c>
      <c r="W1670" s="258">
        <v>0</v>
      </c>
      <c r="X1670" s="257">
        <f>INT($L1670*W1670*100+0.5)/100</f>
        <v>0</v>
      </c>
      <c r="Y1670" s="258">
        <v>0</v>
      </c>
      <c r="Z1670" s="257">
        <f>INT($L1670*Y1670*100+0.5)/100</f>
        <v>0</v>
      </c>
    </row>
    <row r="1671" spans="1:26" ht="15" hidden="1" customHeight="1">
      <c r="A1671" s="250"/>
      <c r="B1671" s="251"/>
      <c r="C1671" s="526"/>
      <c r="D1671" s="292"/>
      <c r="E1671" s="251"/>
      <c r="F1671" s="252"/>
      <c r="G1671" s="254"/>
      <c r="H1671" s="261"/>
      <c r="I1671" s="253"/>
      <c r="J1671" s="253"/>
      <c r="K1671" s="251"/>
      <c r="L1671" s="261"/>
      <c r="M1671" s="258"/>
      <c r="N1671" s="257"/>
      <c r="O1671" s="258"/>
      <c r="P1671" s="257"/>
      <c r="Q1671" s="258"/>
      <c r="R1671" s="257"/>
      <c r="S1671" s="258"/>
      <c r="T1671" s="257"/>
      <c r="U1671" s="258"/>
      <c r="V1671" s="257"/>
      <c r="W1671" s="258"/>
      <c r="X1671" s="257"/>
      <c r="Y1671" s="258"/>
      <c r="Z1671" s="257"/>
    </row>
    <row r="1672" spans="1:26" ht="15" hidden="1" customHeight="1">
      <c r="A1672" s="250">
        <f>A1666+1</f>
        <v>293</v>
      </c>
      <c r="B1672" s="251"/>
      <c r="C1672" s="535" t="s">
        <v>292</v>
      </c>
      <c r="D1672" s="558" t="s">
        <v>1014</v>
      </c>
      <c r="E1672" s="251" t="s">
        <v>1898</v>
      </c>
      <c r="F1672" s="252"/>
      <c r="G1672" s="254"/>
      <c r="H1672" s="261"/>
      <c r="I1672" s="225"/>
      <c r="J1672" s="225"/>
      <c r="K1672" s="251" t="s">
        <v>1898</v>
      </c>
      <c r="L1672" s="261"/>
      <c r="M1672" s="258"/>
      <c r="N1672" s="257"/>
      <c r="O1672" s="258"/>
      <c r="P1672" s="257"/>
      <c r="Q1672" s="258"/>
      <c r="R1672" s="257"/>
      <c r="S1672" s="258"/>
      <c r="T1672" s="257"/>
      <c r="U1672" s="258"/>
      <c r="V1672" s="257"/>
      <c r="W1672" s="258"/>
      <c r="X1672" s="257"/>
      <c r="Y1672" s="258"/>
      <c r="Z1672" s="257"/>
    </row>
    <row r="1673" spans="1:26" ht="15" hidden="1" customHeight="1">
      <c r="A1673" s="250"/>
      <c r="B1673" s="251"/>
      <c r="C1673" s="526"/>
      <c r="D1673" s="558" t="s">
        <v>1013</v>
      </c>
      <c r="E1673" s="251" t="s">
        <v>1898</v>
      </c>
      <c r="F1673" s="252"/>
      <c r="G1673" s="254"/>
      <c r="H1673" s="261"/>
      <c r="I1673" s="225"/>
      <c r="J1673" s="225"/>
      <c r="K1673" s="251" t="s">
        <v>1898</v>
      </c>
      <c r="L1673" s="261"/>
      <c r="M1673" s="258"/>
      <c r="N1673" s="257"/>
      <c r="O1673" s="258"/>
      <c r="P1673" s="257"/>
      <c r="Q1673" s="258"/>
      <c r="R1673" s="257"/>
      <c r="S1673" s="258"/>
      <c r="T1673" s="257"/>
      <c r="U1673" s="258"/>
      <c r="V1673" s="257"/>
      <c r="W1673" s="258"/>
      <c r="X1673" s="257"/>
      <c r="Y1673" s="258"/>
      <c r="Z1673" s="257"/>
    </row>
    <row r="1674" spans="1:26" s="247" customFormat="1" ht="15" hidden="1" customHeight="1">
      <c r="A1674" s="284"/>
      <c r="B1674" s="237"/>
      <c r="C1674" s="532"/>
      <c r="D1674" s="276"/>
      <c r="E1674" s="237"/>
      <c r="F1674" s="304"/>
      <c r="G1674" s="254"/>
      <c r="H1674" s="243">
        <f>INT(F1674*G1674*100+0.5)/100</f>
        <v>0</v>
      </c>
      <c r="I1674" s="350"/>
      <c r="J1674" s="350"/>
      <c r="K1674" s="237"/>
      <c r="L1674" s="278">
        <v>19.670000000000002</v>
      </c>
      <c r="M1674" s="289">
        <v>0</v>
      </c>
      <c r="N1674" s="245">
        <f>INT($L1674*M1674*100+0.5)/100</f>
        <v>0</v>
      </c>
      <c r="O1674" s="289">
        <v>0</v>
      </c>
      <c r="P1674" s="245">
        <f>INT($L1674*O1674*100+0.5)/100</f>
        <v>0</v>
      </c>
      <c r="Q1674" s="289">
        <v>0</v>
      </c>
      <c r="R1674" s="245">
        <f>INT($L1674*Q1674*100+0.5)/100</f>
        <v>0</v>
      </c>
      <c r="S1674" s="289">
        <v>0</v>
      </c>
      <c r="T1674" s="245">
        <f>INT($L1674*S1674*100+0.5)/100</f>
        <v>0</v>
      </c>
      <c r="U1674" s="289">
        <v>0</v>
      </c>
      <c r="V1674" s="245">
        <f>INT($L1674*U1674*100+0.5)/100</f>
        <v>0</v>
      </c>
      <c r="W1674" s="289">
        <v>0</v>
      </c>
      <c r="X1674" s="245">
        <f>INT($L1674*W1674*100+0.5)/100</f>
        <v>0</v>
      </c>
      <c r="Y1674" s="289">
        <v>0</v>
      </c>
      <c r="Z1674" s="245">
        <f>INT($L1674*Y1674*100+0.5)/100</f>
        <v>0</v>
      </c>
    </row>
    <row r="1675" spans="1:26" s="247" customFormat="1" ht="15" hidden="1" customHeight="1">
      <c r="A1675" s="284"/>
      <c r="B1675" s="237"/>
      <c r="C1675" s="532"/>
      <c r="D1675" s="276"/>
      <c r="E1675" s="237"/>
      <c r="F1675" s="304"/>
      <c r="G1675" s="254"/>
      <c r="H1675" s="243"/>
      <c r="I1675" s="350"/>
      <c r="J1675" s="350"/>
      <c r="K1675" s="237"/>
      <c r="L1675" s="243"/>
      <c r="M1675" s="289"/>
      <c r="N1675" s="245"/>
      <c r="O1675" s="289"/>
      <c r="P1675" s="245"/>
      <c r="Q1675" s="289"/>
      <c r="R1675" s="245"/>
      <c r="S1675" s="289"/>
      <c r="T1675" s="245"/>
      <c r="U1675" s="289"/>
      <c r="V1675" s="245"/>
      <c r="W1675" s="289"/>
      <c r="X1675" s="245"/>
      <c r="Y1675" s="289"/>
      <c r="Z1675" s="245"/>
    </row>
    <row r="1676" spans="1:26" ht="15" hidden="1" customHeight="1">
      <c r="A1676" s="250">
        <f>A1672+1</f>
        <v>294</v>
      </c>
      <c r="B1676" s="251"/>
      <c r="C1676" s="559" t="s">
        <v>2152</v>
      </c>
      <c r="D1676" s="558" t="s">
        <v>1861</v>
      </c>
      <c r="E1676" s="251" t="s">
        <v>1898</v>
      </c>
      <c r="F1676" s="252"/>
      <c r="G1676" s="254"/>
      <c r="H1676" s="261">
        <f>INT(F1676*G1676*100+0.5)/100</f>
        <v>0</v>
      </c>
      <c r="I1676" s="225"/>
      <c r="J1676" s="225"/>
      <c r="K1676" s="251" t="s">
        <v>1898</v>
      </c>
      <c r="L1676" s="306">
        <v>16.5</v>
      </c>
      <c r="M1676" s="258">
        <v>0</v>
      </c>
      <c r="N1676" s="257">
        <f>INT($L1676*M1676*100+0.5)/100</f>
        <v>0</v>
      </c>
      <c r="O1676" s="258">
        <v>0</v>
      </c>
      <c r="P1676" s="257">
        <f>INT($L1676*O1676*100+0.5)/100</f>
        <v>0</v>
      </c>
      <c r="Q1676" s="258">
        <v>0</v>
      </c>
      <c r="R1676" s="257">
        <f>INT($L1676*Q1676*100+0.5)/100</f>
        <v>0</v>
      </c>
      <c r="S1676" s="258">
        <v>0</v>
      </c>
      <c r="T1676" s="257">
        <f>INT($L1676*S1676*100+0.5)/100</f>
        <v>0</v>
      </c>
      <c r="U1676" s="258">
        <v>0</v>
      </c>
      <c r="V1676" s="257">
        <f>INT($L1676*U1676*100+0.5)/100</f>
        <v>0</v>
      </c>
      <c r="W1676" s="258">
        <v>0</v>
      </c>
      <c r="X1676" s="257">
        <f>INT($L1676*W1676*100+0.5)/100</f>
        <v>0</v>
      </c>
      <c r="Y1676" s="258">
        <v>0</v>
      </c>
      <c r="Z1676" s="257">
        <f>INT($L1676*Y1676*100+0.5)/100</f>
        <v>0</v>
      </c>
    </row>
    <row r="1677" spans="1:26" ht="15" hidden="1" customHeight="1">
      <c r="A1677" s="250"/>
      <c r="B1677" s="251"/>
      <c r="C1677" s="540"/>
      <c r="D1677" s="558" t="s">
        <v>1860</v>
      </c>
      <c r="E1677" s="251" t="s">
        <v>1898</v>
      </c>
      <c r="F1677" s="252"/>
      <c r="G1677" s="254"/>
      <c r="H1677" s="261"/>
      <c r="I1677" s="225"/>
      <c r="J1677" s="225"/>
      <c r="K1677" s="251" t="s">
        <v>1898</v>
      </c>
      <c r="L1677" s="261"/>
      <c r="M1677" s="258"/>
      <c r="N1677" s="257"/>
      <c r="O1677" s="258"/>
      <c r="P1677" s="257"/>
      <c r="Q1677" s="258"/>
      <c r="R1677" s="257"/>
      <c r="S1677" s="258"/>
      <c r="T1677" s="257"/>
      <c r="U1677" s="258"/>
      <c r="V1677" s="257"/>
      <c r="W1677" s="258"/>
      <c r="X1677" s="257"/>
      <c r="Y1677" s="258"/>
      <c r="Z1677" s="257"/>
    </row>
    <row r="1678" spans="1:26" ht="15" hidden="1" customHeight="1">
      <c r="A1678" s="250"/>
      <c r="B1678" s="251"/>
      <c r="C1678" s="540"/>
      <c r="D1678" s="335"/>
      <c r="E1678" s="251"/>
      <c r="F1678" s="252"/>
      <c r="G1678" s="254"/>
      <c r="H1678" s="261"/>
      <c r="I1678" s="225"/>
      <c r="J1678" s="225"/>
      <c r="K1678" s="251"/>
      <c r="L1678" s="261"/>
      <c r="M1678" s="258"/>
      <c r="N1678" s="257"/>
      <c r="O1678" s="258"/>
      <c r="P1678" s="257"/>
      <c r="Q1678" s="258"/>
      <c r="R1678" s="257"/>
      <c r="S1678" s="258"/>
      <c r="T1678" s="257"/>
      <c r="U1678" s="258"/>
      <c r="V1678" s="257"/>
      <c r="W1678" s="258"/>
      <c r="X1678" s="257"/>
      <c r="Y1678" s="258"/>
      <c r="Z1678" s="257"/>
    </row>
    <row r="1679" spans="1:26" ht="15" hidden="1" customHeight="1">
      <c r="A1679" s="250">
        <f>A1666+1</f>
        <v>293</v>
      </c>
      <c r="B1679" s="251"/>
      <c r="C1679" s="559" t="s">
        <v>2205</v>
      </c>
      <c r="D1679" s="558" t="s">
        <v>529</v>
      </c>
      <c r="E1679" s="251" t="s">
        <v>1901</v>
      </c>
      <c r="F1679" s="252"/>
      <c r="G1679" s="254"/>
      <c r="H1679" s="261">
        <f>INT(F1679*G1679*100+0.5)/100</f>
        <v>0</v>
      </c>
      <c r="I1679" s="225"/>
      <c r="J1679" s="225"/>
      <c r="K1679" s="251" t="s">
        <v>1901</v>
      </c>
      <c r="L1679" s="306">
        <f>0.86</f>
        <v>0.86</v>
      </c>
      <c r="M1679" s="316">
        <v>0</v>
      </c>
      <c r="N1679" s="259">
        <f>INT($L1679*M1679*100+0.5)/100</f>
        <v>0</v>
      </c>
      <c r="O1679" s="316">
        <v>0</v>
      </c>
      <c r="P1679" s="259">
        <f>INT($L1679*O1679*100+0.5)/100</f>
        <v>0</v>
      </c>
      <c r="Q1679" s="316">
        <v>0</v>
      </c>
      <c r="R1679" s="259">
        <f>INT($L1679*Q1679*100+0.5)/100</f>
        <v>0</v>
      </c>
      <c r="S1679" s="316">
        <v>0</v>
      </c>
      <c r="T1679" s="257">
        <f>INT($L1679*S1679*100+0.5)/100</f>
        <v>0</v>
      </c>
      <c r="U1679" s="316">
        <v>0</v>
      </c>
      <c r="V1679" s="257">
        <f>INT($L1679*U1679*100+0.5)/100</f>
        <v>0</v>
      </c>
      <c r="W1679" s="316">
        <v>0</v>
      </c>
      <c r="X1679" s="257">
        <f>INT($L1679*W1679*100+0.5)/100</f>
        <v>0</v>
      </c>
      <c r="Y1679" s="316">
        <v>0</v>
      </c>
      <c r="Z1679" s="257">
        <f>INT($L1679*Y1679*100+0.5)/100</f>
        <v>0</v>
      </c>
    </row>
    <row r="1680" spans="1:26" ht="15" hidden="1" customHeight="1">
      <c r="A1680" s="250"/>
      <c r="B1680" s="251"/>
      <c r="C1680" s="540"/>
      <c r="D1680" s="558" t="s">
        <v>340</v>
      </c>
      <c r="E1680" s="251" t="s">
        <v>1902</v>
      </c>
      <c r="F1680" s="252"/>
      <c r="G1680" s="254"/>
      <c r="H1680" s="261"/>
      <c r="I1680" s="225"/>
      <c r="J1680" s="225"/>
      <c r="K1680" s="251" t="s">
        <v>1902</v>
      </c>
      <c r="L1680" s="261"/>
      <c r="M1680" s="316"/>
      <c r="N1680" s="259"/>
      <c r="O1680" s="316"/>
      <c r="P1680" s="259"/>
      <c r="Q1680" s="316"/>
      <c r="R1680" s="259"/>
      <c r="S1680" s="316"/>
      <c r="T1680" s="257"/>
      <c r="U1680" s="316"/>
      <c r="V1680" s="257"/>
      <c r="W1680" s="316"/>
      <c r="X1680" s="257"/>
      <c r="Y1680" s="316"/>
      <c r="Z1680" s="257"/>
    </row>
    <row r="1681" spans="1:26" ht="15" hidden="1" customHeight="1">
      <c r="A1681" s="250"/>
      <c r="B1681" s="251"/>
      <c r="C1681" s="540"/>
      <c r="D1681" s="335" t="s">
        <v>1016</v>
      </c>
      <c r="E1681" s="251"/>
      <c r="F1681" s="252"/>
      <c r="G1681" s="254"/>
      <c r="H1681" s="261"/>
      <c r="I1681" s="225"/>
      <c r="J1681" s="225"/>
      <c r="K1681" s="251"/>
      <c r="L1681" s="261"/>
      <c r="M1681" s="316"/>
      <c r="N1681" s="259"/>
      <c r="O1681" s="316"/>
      <c r="P1681" s="259"/>
      <c r="Q1681" s="316"/>
      <c r="R1681" s="259"/>
      <c r="S1681" s="316"/>
      <c r="T1681" s="257"/>
      <c r="U1681" s="316"/>
      <c r="V1681" s="257"/>
      <c r="W1681" s="316"/>
      <c r="X1681" s="257"/>
      <c r="Y1681" s="316"/>
      <c r="Z1681" s="257"/>
    </row>
    <row r="1682" spans="1:26" ht="15" hidden="1" customHeight="1">
      <c r="A1682" s="250"/>
      <c r="B1682" s="251"/>
      <c r="C1682" s="540"/>
      <c r="D1682" s="558"/>
      <c r="E1682" s="251"/>
      <c r="F1682" s="252"/>
      <c r="G1682" s="254"/>
      <c r="H1682" s="261"/>
      <c r="I1682" s="225"/>
      <c r="J1682" s="225"/>
      <c r="K1682" s="251"/>
      <c r="L1682" s="261"/>
      <c r="M1682" s="316"/>
      <c r="N1682" s="259"/>
      <c r="O1682" s="316"/>
      <c r="P1682" s="259"/>
      <c r="Q1682" s="316"/>
      <c r="R1682" s="259"/>
      <c r="S1682" s="316"/>
      <c r="T1682" s="257"/>
      <c r="U1682" s="316"/>
      <c r="V1682" s="257"/>
      <c r="W1682" s="316"/>
      <c r="X1682" s="257"/>
      <c r="Y1682" s="316"/>
      <c r="Z1682" s="257"/>
    </row>
    <row r="1683" spans="1:26" ht="15" hidden="1">
      <c r="A1683" s="250">
        <f>A1679+1</f>
        <v>294</v>
      </c>
      <c r="B1683" s="251"/>
      <c r="C1683" s="559" t="s">
        <v>1862</v>
      </c>
      <c r="D1683" s="558" t="s">
        <v>1859</v>
      </c>
      <c r="E1683" s="251" t="s">
        <v>1898</v>
      </c>
      <c r="F1683" s="252"/>
      <c r="G1683" s="254"/>
      <c r="H1683" s="261">
        <f>INT(F1683*G1683*100+0.5)/100</f>
        <v>0</v>
      </c>
      <c r="I1683" s="225"/>
      <c r="J1683" s="225"/>
      <c r="K1683" s="251" t="s">
        <v>1898</v>
      </c>
      <c r="L1683" s="306">
        <v>401.56</v>
      </c>
      <c r="M1683" s="258">
        <v>0</v>
      </c>
      <c r="N1683" s="257">
        <f>INT($L1683*M1683*100+0.5)/100</f>
        <v>0</v>
      </c>
      <c r="O1683" s="258">
        <v>0</v>
      </c>
      <c r="P1683" s="257">
        <f>INT($L1683*O1683*100+0.5)/100</f>
        <v>0</v>
      </c>
      <c r="Q1683" s="258">
        <v>0</v>
      </c>
      <c r="R1683" s="257">
        <f>INT($L1683*Q1683*100+0.5)/100</f>
        <v>0</v>
      </c>
      <c r="S1683" s="258">
        <v>0</v>
      </c>
      <c r="T1683" s="257">
        <f>INT($L1683*S1683*100+0.5)/100</f>
        <v>0</v>
      </c>
      <c r="U1683" s="258">
        <v>0</v>
      </c>
      <c r="V1683" s="257">
        <f>INT($L1683*U1683*100+0.5)/100</f>
        <v>0</v>
      </c>
      <c r="W1683" s="258">
        <v>0</v>
      </c>
      <c r="X1683" s="257">
        <f>INT($L1683*W1683*100+0.5)/100</f>
        <v>0</v>
      </c>
      <c r="Y1683" s="258">
        <v>0</v>
      </c>
      <c r="Z1683" s="257">
        <f>INT($L1683*Y1683*100+0.5)/100</f>
        <v>0</v>
      </c>
    </row>
    <row r="1684" spans="1:26" ht="15" hidden="1" customHeight="1">
      <c r="A1684" s="250"/>
      <c r="B1684" s="251"/>
      <c r="C1684" s="540"/>
      <c r="D1684" s="558" t="s">
        <v>1858</v>
      </c>
      <c r="E1684" s="251" t="s">
        <v>1898</v>
      </c>
      <c r="F1684" s="252"/>
      <c r="G1684" s="254"/>
      <c r="H1684" s="261"/>
      <c r="I1684" s="225"/>
      <c r="J1684" s="225"/>
      <c r="K1684" s="251" t="s">
        <v>1898</v>
      </c>
      <c r="L1684" s="306"/>
      <c r="M1684" s="258"/>
      <c r="N1684" s="257"/>
      <c r="O1684" s="258"/>
      <c r="P1684" s="257"/>
      <c r="Q1684" s="258"/>
      <c r="R1684" s="257"/>
      <c r="S1684" s="258"/>
      <c r="T1684" s="257"/>
      <c r="U1684" s="258"/>
      <c r="V1684" s="257"/>
      <c r="W1684" s="258"/>
      <c r="X1684" s="257"/>
      <c r="Y1684" s="258"/>
      <c r="Z1684" s="257"/>
    </row>
    <row r="1685" spans="1:26" ht="15" hidden="1" customHeight="1">
      <c r="A1685" s="250"/>
      <c r="B1685" s="251"/>
      <c r="C1685" s="540"/>
      <c r="D1685" s="335"/>
      <c r="E1685" s="251"/>
      <c r="F1685" s="252"/>
      <c r="G1685" s="254"/>
      <c r="H1685" s="261"/>
      <c r="I1685" s="225"/>
      <c r="J1685" s="225"/>
      <c r="K1685" s="251"/>
      <c r="L1685" s="306"/>
      <c r="M1685" s="258"/>
      <c r="N1685" s="257"/>
      <c r="O1685" s="258"/>
      <c r="P1685" s="257"/>
      <c r="Q1685" s="258"/>
      <c r="R1685" s="257"/>
      <c r="S1685" s="258"/>
      <c r="T1685" s="257"/>
      <c r="U1685" s="258"/>
      <c r="V1685" s="257"/>
      <c r="W1685" s="258"/>
      <c r="X1685" s="257"/>
      <c r="Y1685" s="258"/>
      <c r="Z1685" s="257"/>
    </row>
    <row r="1686" spans="1:26" ht="15" hidden="1" customHeight="1">
      <c r="A1686" s="250">
        <f>A1683+1</f>
        <v>295</v>
      </c>
      <c r="B1686" s="251"/>
      <c r="C1686" s="560" t="s">
        <v>2193</v>
      </c>
      <c r="D1686" s="558" t="s">
        <v>1864</v>
      </c>
      <c r="E1686" s="251" t="s">
        <v>2475</v>
      </c>
      <c r="F1686" s="252"/>
      <c r="G1686" s="254"/>
      <c r="H1686" s="261">
        <f>INT(F1686*G1686*100+0.5)/100</f>
        <v>0</v>
      </c>
      <c r="I1686" s="225"/>
      <c r="J1686" s="225"/>
      <c r="K1686" s="251" t="s">
        <v>2475</v>
      </c>
      <c r="L1686" s="306">
        <v>7.72</v>
      </c>
      <c r="M1686" s="258">
        <v>0</v>
      </c>
      <c r="N1686" s="257">
        <f>INT($L1686*M1686*100+0.5)/100</f>
        <v>0</v>
      </c>
      <c r="O1686" s="258">
        <v>0</v>
      </c>
      <c r="P1686" s="257">
        <f>INT($L1686*O1686*100+0.5)/100</f>
        <v>0</v>
      </c>
      <c r="Q1686" s="258">
        <v>0</v>
      </c>
      <c r="R1686" s="257">
        <f>INT($L1686*Q1686*100+0.5)/100</f>
        <v>0</v>
      </c>
      <c r="S1686" s="258">
        <v>0</v>
      </c>
      <c r="T1686" s="257">
        <f>INT($L1686*S1686*100+0.5)/100</f>
        <v>0</v>
      </c>
      <c r="U1686" s="258">
        <v>0</v>
      </c>
      <c r="V1686" s="257">
        <f>INT($L1686*U1686*100+0.5)/100</f>
        <v>0</v>
      </c>
      <c r="W1686" s="258">
        <v>0</v>
      </c>
      <c r="X1686" s="257">
        <f>INT($L1686*W1686*100+0.5)/100</f>
        <v>0</v>
      </c>
      <c r="Y1686" s="258">
        <v>0</v>
      </c>
      <c r="Z1686" s="257">
        <f>INT($L1686*Y1686*100+0.5)/100</f>
        <v>0</v>
      </c>
    </row>
    <row r="1687" spans="1:26" ht="15" hidden="1" customHeight="1">
      <c r="A1687" s="250"/>
      <c r="B1687" s="251"/>
      <c r="C1687" s="540"/>
      <c r="D1687" s="558" t="s">
        <v>1863</v>
      </c>
      <c r="E1687" s="251"/>
      <c r="F1687" s="252"/>
      <c r="G1687" s="254"/>
      <c r="H1687" s="261"/>
      <c r="I1687" s="225"/>
      <c r="J1687" s="225"/>
      <c r="K1687" s="251"/>
      <c r="L1687" s="306"/>
      <c r="M1687" s="258"/>
      <c r="N1687" s="257"/>
      <c r="O1687" s="258"/>
      <c r="P1687" s="257"/>
      <c r="Q1687" s="258"/>
      <c r="R1687" s="257"/>
      <c r="S1687" s="258"/>
      <c r="T1687" s="257"/>
      <c r="U1687" s="258"/>
      <c r="V1687" s="257"/>
      <c r="W1687" s="258"/>
      <c r="X1687" s="257"/>
      <c r="Y1687" s="258"/>
      <c r="Z1687" s="257"/>
    </row>
    <row r="1688" spans="1:26" ht="15" hidden="1" customHeight="1">
      <c r="A1688" s="250"/>
      <c r="B1688" s="251"/>
      <c r="C1688" s="540"/>
      <c r="D1688" s="335"/>
      <c r="E1688" s="251"/>
      <c r="F1688" s="252"/>
      <c r="G1688" s="254"/>
      <c r="H1688" s="261"/>
      <c r="I1688" s="225"/>
      <c r="J1688" s="225"/>
      <c r="K1688" s="251"/>
      <c r="L1688" s="306"/>
      <c r="M1688" s="258"/>
      <c r="N1688" s="257"/>
      <c r="O1688" s="258"/>
      <c r="P1688" s="257"/>
      <c r="Q1688" s="258"/>
      <c r="R1688" s="257"/>
      <c r="S1688" s="258"/>
      <c r="T1688" s="257"/>
      <c r="U1688" s="258"/>
      <c r="V1688" s="257"/>
      <c r="W1688" s="258"/>
      <c r="X1688" s="257"/>
      <c r="Y1688" s="258"/>
      <c r="Z1688" s="257"/>
    </row>
    <row r="1689" spans="1:26" ht="15" hidden="1" customHeight="1">
      <c r="A1689" s="250">
        <f>A1686+1</f>
        <v>296</v>
      </c>
      <c r="B1689" s="251"/>
      <c r="C1689" s="560" t="s">
        <v>2194</v>
      </c>
      <c r="D1689" s="558" t="s">
        <v>1868</v>
      </c>
      <c r="E1689" s="251" t="s">
        <v>1901</v>
      </c>
      <c r="F1689" s="252"/>
      <c r="G1689" s="254"/>
      <c r="H1689" s="261">
        <f>INT(F1689*G1689*100+0.5)/100</f>
        <v>0</v>
      </c>
      <c r="I1689" s="225"/>
      <c r="J1689" s="225"/>
      <c r="K1689" s="251" t="s">
        <v>1901</v>
      </c>
      <c r="L1689" s="306">
        <v>23.9</v>
      </c>
      <c r="M1689" s="258">
        <v>0</v>
      </c>
      <c r="N1689" s="257">
        <f>INT($L1689*M1689*100+0.5)/100</f>
        <v>0</v>
      </c>
      <c r="O1689" s="258">
        <v>0</v>
      </c>
      <c r="P1689" s="259">
        <f>INT($L1689*O1689*100+0.5)/100</f>
        <v>0</v>
      </c>
      <c r="Q1689" s="258">
        <v>0</v>
      </c>
      <c r="R1689" s="259">
        <f>INT($L1689*Q1689*100+0.5)/100</f>
        <v>0</v>
      </c>
      <c r="S1689" s="258">
        <v>0</v>
      </c>
      <c r="T1689" s="257">
        <f>INT($L1689*S1689*100+0.5)/100</f>
        <v>0</v>
      </c>
      <c r="U1689" s="258">
        <v>0</v>
      </c>
      <c r="V1689" s="257">
        <f>INT($L1689*U1689*100+0.5)/100</f>
        <v>0</v>
      </c>
      <c r="W1689" s="258">
        <v>0</v>
      </c>
      <c r="X1689" s="257">
        <f>INT($L1689*W1689*100+0.5)/100</f>
        <v>0</v>
      </c>
      <c r="Y1689" s="258">
        <v>0</v>
      </c>
      <c r="Z1689" s="257">
        <f>INT($L1689*Y1689*100+0.5)/100</f>
        <v>0</v>
      </c>
    </row>
    <row r="1690" spans="1:26" ht="15" hidden="1" customHeight="1">
      <c r="A1690" s="250"/>
      <c r="B1690" s="251"/>
      <c r="C1690" s="540"/>
      <c r="D1690" s="558" t="s">
        <v>1867</v>
      </c>
      <c r="E1690" s="251" t="s">
        <v>1902</v>
      </c>
      <c r="F1690" s="252"/>
      <c r="G1690" s="254"/>
      <c r="H1690" s="261"/>
      <c r="I1690" s="225"/>
      <c r="J1690" s="225"/>
      <c r="K1690" s="251" t="s">
        <v>1902</v>
      </c>
      <c r="L1690" s="306"/>
      <c r="M1690" s="316"/>
      <c r="N1690" s="259"/>
      <c r="O1690" s="316"/>
      <c r="P1690" s="259"/>
      <c r="Q1690" s="316"/>
      <c r="R1690" s="259"/>
      <c r="S1690" s="316"/>
      <c r="T1690" s="257"/>
      <c r="U1690" s="316"/>
      <c r="V1690" s="257"/>
      <c r="W1690" s="316"/>
      <c r="X1690" s="257"/>
      <c r="Y1690" s="316"/>
      <c r="Z1690" s="257"/>
    </row>
    <row r="1691" spans="1:26" ht="15" hidden="1" customHeight="1">
      <c r="A1691" s="250"/>
      <c r="B1691" s="251"/>
      <c r="C1691" s="540"/>
      <c r="D1691" s="335"/>
      <c r="E1691" s="251"/>
      <c r="F1691" s="252"/>
      <c r="G1691" s="254"/>
      <c r="H1691" s="261"/>
      <c r="I1691" s="225"/>
      <c r="J1691" s="225"/>
      <c r="K1691" s="251"/>
      <c r="L1691" s="306"/>
      <c r="M1691" s="316"/>
      <c r="N1691" s="259"/>
      <c r="O1691" s="316"/>
      <c r="P1691" s="259"/>
      <c r="Q1691" s="316"/>
      <c r="R1691" s="259"/>
      <c r="S1691" s="316"/>
      <c r="T1691" s="257"/>
      <c r="U1691" s="316"/>
      <c r="V1691" s="257"/>
      <c r="W1691" s="316"/>
      <c r="X1691" s="257"/>
      <c r="Y1691" s="316"/>
      <c r="Z1691" s="257"/>
    </row>
    <row r="1692" spans="1:26" ht="15" hidden="1" customHeight="1">
      <c r="A1692" s="561"/>
      <c r="B1692" s="251"/>
      <c r="C1692" s="560" t="s">
        <v>1025</v>
      </c>
      <c r="D1692" s="562" t="s">
        <v>1020</v>
      </c>
      <c r="E1692" s="251"/>
      <c r="F1692" s="252"/>
      <c r="G1692" s="254"/>
      <c r="H1692" s="261"/>
      <c r="I1692" s="225"/>
      <c r="J1692" s="225"/>
      <c r="K1692" s="251"/>
      <c r="L1692" s="306"/>
      <c r="M1692" s="316"/>
      <c r="N1692" s="259"/>
      <c r="O1692" s="316"/>
      <c r="P1692" s="259"/>
      <c r="Q1692" s="316"/>
      <c r="R1692" s="259"/>
      <c r="S1692" s="316"/>
      <c r="T1692" s="257"/>
      <c r="U1692" s="316"/>
      <c r="V1692" s="257"/>
      <c r="W1692" s="316"/>
      <c r="X1692" s="257"/>
      <c r="Y1692" s="316"/>
      <c r="Z1692" s="257"/>
    </row>
    <row r="1693" spans="1:26" ht="15" hidden="1" customHeight="1">
      <c r="A1693" s="250"/>
      <c r="B1693" s="251"/>
      <c r="C1693" s="540"/>
      <c r="D1693" s="562" t="s">
        <v>1021</v>
      </c>
      <c r="E1693" s="251"/>
      <c r="F1693" s="252"/>
      <c r="G1693" s="254"/>
      <c r="H1693" s="261"/>
      <c r="I1693" s="225"/>
      <c r="J1693" s="225"/>
      <c r="K1693" s="251"/>
      <c r="L1693" s="306"/>
      <c r="M1693" s="316"/>
      <c r="N1693" s="259"/>
      <c r="O1693" s="316"/>
      <c r="P1693" s="259"/>
      <c r="Q1693" s="316"/>
      <c r="R1693" s="259"/>
      <c r="S1693" s="316"/>
      <c r="T1693" s="257"/>
      <c r="U1693" s="316"/>
      <c r="V1693" s="257"/>
      <c r="W1693" s="316"/>
      <c r="X1693" s="257"/>
      <c r="Y1693" s="316"/>
      <c r="Z1693" s="257"/>
    </row>
    <row r="1694" spans="1:26" ht="15" hidden="1" customHeight="1">
      <c r="A1694" s="250">
        <f>A1689+1</f>
        <v>297</v>
      </c>
      <c r="B1694" s="251"/>
      <c r="C1694" s="560" t="s">
        <v>1022</v>
      </c>
      <c r="D1694" s="335" t="s">
        <v>1023</v>
      </c>
      <c r="E1694" s="251" t="s">
        <v>2475</v>
      </c>
      <c r="F1694" s="252"/>
      <c r="G1694" s="254"/>
      <c r="H1694" s="261">
        <f>INT(F1694*G1694*100+0.5)/100</f>
        <v>0</v>
      </c>
      <c r="I1694" s="225"/>
      <c r="J1694" s="225"/>
      <c r="K1694" s="251" t="s">
        <v>2475</v>
      </c>
      <c r="L1694" s="306">
        <v>4.62</v>
      </c>
      <c r="M1694" s="316">
        <v>0</v>
      </c>
      <c r="N1694" s="259">
        <f>INT($L1694*M1694*100+0.5)/100</f>
        <v>0</v>
      </c>
      <c r="O1694" s="316">
        <v>0</v>
      </c>
      <c r="P1694" s="259">
        <f>INT($L1694*O1694*100+0.5)/100</f>
        <v>0</v>
      </c>
      <c r="Q1694" s="316">
        <v>0</v>
      </c>
      <c r="R1694" s="259">
        <f>INT($L1694*Q1694*100+0.5)/100</f>
        <v>0</v>
      </c>
      <c r="S1694" s="316">
        <v>0</v>
      </c>
      <c r="T1694" s="257">
        <f>INT($L1694*S1694*100+0.5)/100</f>
        <v>0</v>
      </c>
      <c r="U1694" s="316">
        <v>0</v>
      </c>
      <c r="V1694" s="257">
        <f>INT($L1694*U1694*100+0.5)/100</f>
        <v>0</v>
      </c>
      <c r="W1694" s="316">
        <v>0</v>
      </c>
      <c r="X1694" s="257">
        <f>INT($L1694*W1694*100+0.5)/100</f>
        <v>0</v>
      </c>
      <c r="Y1694" s="316">
        <v>0</v>
      </c>
      <c r="Z1694" s="257">
        <f>INT($L1694*Y1694*100+0.5)/100</f>
        <v>0</v>
      </c>
    </row>
    <row r="1695" spans="1:26" ht="15" hidden="1" customHeight="1">
      <c r="A1695" s="250"/>
      <c r="B1695" s="251"/>
      <c r="C1695" s="563"/>
      <c r="D1695" s="335"/>
      <c r="E1695" s="251"/>
      <c r="F1695" s="252"/>
      <c r="G1695" s="254"/>
      <c r="H1695" s="261"/>
      <c r="I1695" s="225"/>
      <c r="J1695" s="225"/>
      <c r="K1695" s="251"/>
      <c r="L1695" s="306"/>
      <c r="M1695" s="316"/>
      <c r="N1695" s="259"/>
      <c r="O1695" s="316"/>
      <c r="P1695" s="259"/>
      <c r="Q1695" s="316"/>
      <c r="R1695" s="259"/>
      <c r="S1695" s="316"/>
      <c r="T1695" s="257"/>
      <c r="U1695" s="316"/>
      <c r="V1695" s="257"/>
      <c r="W1695" s="316"/>
      <c r="X1695" s="257"/>
      <c r="Y1695" s="316"/>
      <c r="Z1695" s="257"/>
    </row>
    <row r="1696" spans="1:26" ht="15" hidden="1" customHeight="1">
      <c r="A1696" s="250">
        <f>A1694+1</f>
        <v>298</v>
      </c>
      <c r="B1696" s="251"/>
      <c r="C1696" s="560" t="s">
        <v>1024</v>
      </c>
      <c r="D1696" s="558" t="s">
        <v>1866</v>
      </c>
      <c r="E1696" s="251" t="s">
        <v>1901</v>
      </c>
      <c r="F1696" s="252"/>
      <c r="G1696" s="254"/>
      <c r="H1696" s="261">
        <f>INT(F1696*G1696*100+0.5)/100</f>
        <v>0</v>
      </c>
      <c r="I1696" s="225"/>
      <c r="J1696" s="225"/>
      <c r="K1696" s="251" t="s">
        <v>1901</v>
      </c>
      <c r="L1696" s="306">
        <v>53.17</v>
      </c>
      <c r="M1696" s="258">
        <v>0</v>
      </c>
      <c r="N1696" s="257">
        <f>INT($L1696*M1696*100+0.5)/100</f>
        <v>0</v>
      </c>
      <c r="O1696" s="258">
        <v>0</v>
      </c>
      <c r="P1696" s="257">
        <f>INT($L1696*O1696*100+0.5)/100</f>
        <v>0</v>
      </c>
      <c r="Q1696" s="258">
        <v>0</v>
      </c>
      <c r="R1696" s="257">
        <f>INT($L1696*Q1696*100+0.5)/100</f>
        <v>0</v>
      </c>
      <c r="S1696" s="258">
        <v>0</v>
      </c>
      <c r="T1696" s="257">
        <f>INT($L1696*S1696*100+0.5)/100</f>
        <v>0</v>
      </c>
      <c r="U1696" s="258">
        <v>0</v>
      </c>
      <c r="V1696" s="257">
        <f>INT($L1696*U1696*100+0.5)/100</f>
        <v>0</v>
      </c>
      <c r="W1696" s="258">
        <v>0</v>
      </c>
      <c r="X1696" s="257">
        <f>INT($L1696*W1696*100+0.5)/100</f>
        <v>0</v>
      </c>
      <c r="Y1696" s="258">
        <v>0</v>
      </c>
      <c r="Z1696" s="257">
        <f>INT($L1696*Y1696*100+0.5)/100</f>
        <v>0</v>
      </c>
    </row>
    <row r="1697" spans="1:26" ht="15" hidden="1" customHeight="1">
      <c r="A1697" s="250"/>
      <c r="B1697" s="251"/>
      <c r="C1697" s="540"/>
      <c r="D1697" s="558" t="s">
        <v>1865</v>
      </c>
      <c r="E1697" s="251" t="s">
        <v>1902</v>
      </c>
      <c r="F1697" s="252"/>
      <c r="G1697" s="254"/>
      <c r="H1697" s="261"/>
      <c r="I1697" s="225"/>
      <c r="J1697" s="225"/>
      <c r="K1697" s="251" t="s">
        <v>1902</v>
      </c>
      <c r="L1697" s="306"/>
      <c r="M1697" s="258"/>
      <c r="N1697" s="257"/>
      <c r="O1697" s="258"/>
      <c r="P1697" s="257"/>
      <c r="Q1697" s="258"/>
      <c r="R1697" s="257"/>
      <c r="S1697" s="258"/>
      <c r="T1697" s="257"/>
      <c r="U1697" s="258"/>
      <c r="V1697" s="257"/>
      <c r="W1697" s="258"/>
      <c r="X1697" s="257"/>
      <c r="Y1697" s="258"/>
      <c r="Z1697" s="257"/>
    </row>
    <row r="1698" spans="1:26" ht="15" hidden="1" customHeight="1">
      <c r="A1698" s="250"/>
      <c r="B1698" s="251"/>
      <c r="C1698" s="563"/>
      <c r="D1698" s="335"/>
      <c r="E1698" s="251"/>
      <c r="F1698" s="252"/>
      <c r="G1698" s="254"/>
      <c r="H1698" s="261"/>
      <c r="I1698" s="225"/>
      <c r="J1698" s="225"/>
      <c r="K1698" s="251"/>
      <c r="L1698" s="306"/>
      <c r="M1698" s="258"/>
      <c r="N1698" s="257"/>
      <c r="O1698" s="258"/>
      <c r="P1698" s="257"/>
      <c r="Q1698" s="258"/>
      <c r="R1698" s="257"/>
      <c r="S1698" s="258"/>
      <c r="T1698" s="257"/>
      <c r="U1698" s="258"/>
      <c r="V1698" s="257"/>
      <c r="W1698" s="258"/>
      <c r="X1698" s="257"/>
      <c r="Y1698" s="258"/>
      <c r="Z1698" s="257"/>
    </row>
    <row r="1699" spans="1:26" s="247" customFormat="1" ht="15.75" hidden="1">
      <c r="A1699" s="284">
        <f>A1696+1</f>
        <v>299</v>
      </c>
      <c r="B1699" s="251"/>
      <c r="C1699" s="560" t="s">
        <v>1768</v>
      </c>
      <c r="D1699" s="335" t="s">
        <v>1767</v>
      </c>
      <c r="E1699" s="251" t="s">
        <v>539</v>
      </c>
      <c r="F1699" s="252"/>
      <c r="G1699" s="254"/>
      <c r="H1699" s="261">
        <f>F1699*G1699</f>
        <v>0</v>
      </c>
      <c r="I1699" s="336"/>
      <c r="J1699" s="336"/>
      <c r="K1699" s="251" t="s">
        <v>539</v>
      </c>
      <c r="L1699" s="306">
        <v>120</v>
      </c>
      <c r="M1699" s="288">
        <v>0</v>
      </c>
      <c r="N1699" s="257">
        <f>INT($L1699*M1699*100+0.5)/100</f>
        <v>0</v>
      </c>
      <c r="O1699" s="288">
        <v>0</v>
      </c>
      <c r="P1699" s="257">
        <f>INT($L1699*O1699*100+0.5)/100</f>
        <v>0</v>
      </c>
      <c r="Q1699" s="288">
        <v>0</v>
      </c>
      <c r="R1699" s="257">
        <f>INT($L1699*Q1699*100+0.5)/100</f>
        <v>0</v>
      </c>
      <c r="S1699" s="288">
        <v>0</v>
      </c>
      <c r="T1699" s="257">
        <f>INT($L1699*S1699*100+0.5)/100</f>
        <v>0</v>
      </c>
      <c r="U1699" s="288">
        <v>0</v>
      </c>
      <c r="V1699" s="257">
        <f>INT($L1699*U1699*100+0.5)/100</f>
        <v>0</v>
      </c>
      <c r="W1699" s="288">
        <v>0</v>
      </c>
      <c r="X1699" s="257">
        <f>INT($L1699*W1699*100+0.5)/100</f>
        <v>0</v>
      </c>
      <c r="Y1699" s="288">
        <v>0</v>
      </c>
      <c r="Z1699" s="257">
        <f>INT($L1699*Y1699*100+0.5)/100</f>
        <v>0</v>
      </c>
    </row>
    <row r="1700" spans="1:26" s="247" customFormat="1" ht="15.75" hidden="1">
      <c r="A1700" s="250"/>
      <c r="B1700" s="251"/>
      <c r="C1700" s="326"/>
      <c r="D1700" s="564" t="s">
        <v>1766</v>
      </c>
      <c r="E1700" s="251" t="s">
        <v>1416</v>
      </c>
      <c r="F1700" s="337"/>
      <c r="G1700" s="254"/>
      <c r="H1700" s="518"/>
      <c r="I1700" s="336"/>
      <c r="J1700" s="336"/>
      <c r="K1700" s="251" t="s">
        <v>1416</v>
      </c>
      <c r="L1700" s="306"/>
      <c r="M1700" s="288"/>
      <c r="N1700" s="257"/>
      <c r="O1700" s="288"/>
      <c r="P1700" s="257"/>
      <c r="Q1700" s="288"/>
      <c r="R1700" s="257"/>
      <c r="S1700" s="288"/>
      <c r="T1700" s="257"/>
      <c r="U1700" s="288"/>
      <c r="V1700" s="257"/>
      <c r="W1700" s="288"/>
      <c r="X1700" s="257"/>
      <c r="Y1700" s="288"/>
      <c r="Z1700" s="257"/>
    </row>
    <row r="1701" spans="1:26" s="247" customFormat="1" ht="15.75" hidden="1" customHeight="1">
      <c r="A1701" s="284"/>
      <c r="B1701" s="237"/>
      <c r="C1701" s="352"/>
      <c r="D1701" s="565"/>
      <c r="E1701" s="237"/>
      <c r="F1701" s="239"/>
      <c r="G1701" s="254"/>
      <c r="H1701" s="519"/>
      <c r="I1701" s="336"/>
      <c r="J1701" s="336"/>
      <c r="K1701" s="237"/>
      <c r="L1701" s="306"/>
      <c r="M1701" s="288"/>
      <c r="N1701" s="245"/>
      <c r="O1701" s="288"/>
      <c r="P1701" s="245"/>
      <c r="Q1701" s="288"/>
      <c r="R1701" s="245"/>
      <c r="S1701" s="288"/>
      <c r="T1701" s="245"/>
      <c r="U1701" s="288"/>
      <c r="V1701" s="245"/>
      <c r="W1701" s="288"/>
      <c r="X1701" s="245"/>
      <c r="Y1701" s="288"/>
      <c r="Z1701" s="245"/>
    </row>
    <row r="1702" spans="1:26" s="247" customFormat="1" ht="15.75" hidden="1">
      <c r="A1702" s="250">
        <f>A1699+1</f>
        <v>300</v>
      </c>
      <c r="B1702" s="251"/>
      <c r="C1702" s="560" t="s">
        <v>1769</v>
      </c>
      <c r="D1702" s="335" t="s">
        <v>1770</v>
      </c>
      <c r="E1702" s="251" t="s">
        <v>539</v>
      </c>
      <c r="F1702" s="252"/>
      <c r="G1702" s="254"/>
      <c r="H1702" s="261">
        <f>F1702*G1702</f>
        <v>0</v>
      </c>
      <c r="I1702" s="336"/>
      <c r="J1702" s="336"/>
      <c r="K1702" s="251" t="s">
        <v>539</v>
      </c>
      <c r="L1702" s="306">
        <v>80</v>
      </c>
      <c r="M1702" s="288">
        <v>0</v>
      </c>
      <c r="N1702" s="257">
        <f>INT($L1702*M1702*100+0.5)/100</f>
        <v>0</v>
      </c>
      <c r="O1702" s="288">
        <v>0</v>
      </c>
      <c r="P1702" s="257">
        <f>INT($L1702*O1702*100+0.5)/100</f>
        <v>0</v>
      </c>
      <c r="Q1702" s="288">
        <v>0</v>
      </c>
      <c r="R1702" s="257">
        <f>INT($L1702*Q1702*100+0.5)/100</f>
        <v>0</v>
      </c>
      <c r="S1702" s="288">
        <v>0</v>
      </c>
      <c r="T1702" s="257">
        <f>INT($L1702*S1702*100+0.5)/100</f>
        <v>0</v>
      </c>
      <c r="U1702" s="288">
        <v>0</v>
      </c>
      <c r="V1702" s="257">
        <f>INT($L1702*U1702*100+0.5)/100</f>
        <v>0</v>
      </c>
      <c r="W1702" s="288">
        <v>0</v>
      </c>
      <c r="X1702" s="257">
        <f>INT($L1702*W1702*100+0.5)/100</f>
        <v>0</v>
      </c>
      <c r="Y1702" s="288">
        <v>0</v>
      </c>
      <c r="Z1702" s="257">
        <f>INT($L1702*Y1702*100+0.5)/100</f>
        <v>0</v>
      </c>
    </row>
    <row r="1703" spans="1:26" s="247" customFormat="1" ht="15.75" hidden="1">
      <c r="A1703" s="250"/>
      <c r="B1703" s="251"/>
      <c r="C1703" s="326"/>
      <c r="D1703" s="564" t="s">
        <v>1771</v>
      </c>
      <c r="E1703" s="251" t="s">
        <v>1416</v>
      </c>
      <c r="F1703" s="337"/>
      <c r="G1703" s="254"/>
      <c r="H1703" s="518"/>
      <c r="I1703" s="336"/>
      <c r="J1703" s="336"/>
      <c r="K1703" s="251" t="s">
        <v>1416</v>
      </c>
      <c r="L1703" s="306"/>
      <c r="M1703" s="288"/>
      <c r="N1703" s="257"/>
      <c r="O1703" s="288"/>
      <c r="P1703" s="257"/>
      <c r="Q1703" s="288"/>
      <c r="R1703" s="257"/>
      <c r="S1703" s="288"/>
      <c r="T1703" s="257"/>
      <c r="U1703" s="288"/>
      <c r="V1703" s="257"/>
      <c r="W1703" s="288"/>
      <c r="X1703" s="257"/>
      <c r="Y1703" s="288"/>
      <c r="Z1703" s="257"/>
    </row>
    <row r="1704" spans="1:26" s="247" customFormat="1" ht="15.75" hidden="1" customHeight="1">
      <c r="A1704" s="284"/>
      <c r="B1704" s="237"/>
      <c r="C1704" s="352"/>
      <c r="D1704" s="565"/>
      <c r="E1704" s="237"/>
      <c r="F1704" s="239"/>
      <c r="G1704" s="254"/>
      <c r="H1704" s="519"/>
      <c r="I1704" s="336"/>
      <c r="J1704" s="336"/>
      <c r="K1704" s="237"/>
      <c r="L1704" s="306"/>
      <c r="M1704" s="288"/>
      <c r="N1704" s="245"/>
      <c r="O1704" s="288"/>
      <c r="P1704" s="245"/>
      <c r="Q1704" s="288"/>
      <c r="R1704" s="245"/>
      <c r="S1704" s="288"/>
      <c r="T1704" s="245"/>
      <c r="U1704" s="288"/>
      <c r="V1704" s="245"/>
      <c r="W1704" s="288"/>
      <c r="X1704" s="245"/>
      <c r="Y1704" s="288"/>
      <c r="Z1704" s="245"/>
    </row>
    <row r="1705" spans="1:26" s="247" customFormat="1" ht="15.75" hidden="1">
      <c r="A1705" s="284">
        <f>A1702+1</f>
        <v>301</v>
      </c>
      <c r="B1705" s="251"/>
      <c r="C1705" s="560" t="s">
        <v>216</v>
      </c>
      <c r="D1705" s="335" t="s">
        <v>1027</v>
      </c>
      <c r="E1705" s="251" t="s">
        <v>539</v>
      </c>
      <c r="F1705" s="252"/>
      <c r="G1705" s="254"/>
      <c r="H1705" s="261">
        <f>F1705*G1705</f>
        <v>0</v>
      </c>
      <c r="I1705" s="336"/>
      <c r="J1705" s="336"/>
      <c r="K1705" s="251" t="s">
        <v>539</v>
      </c>
      <c r="L1705" s="306">
        <v>155</v>
      </c>
      <c r="M1705" s="288">
        <v>0</v>
      </c>
      <c r="N1705" s="257">
        <f>INT($L1705*M1705*100+0.5)/100</f>
        <v>0</v>
      </c>
      <c r="O1705" s="288">
        <v>0</v>
      </c>
      <c r="P1705" s="257">
        <f>INT($L1705*O1705*100+0.5)/100</f>
        <v>0</v>
      </c>
      <c r="Q1705" s="288">
        <v>0</v>
      </c>
      <c r="R1705" s="257">
        <f>INT($L1705*Q1705*100+0.5)/100</f>
        <v>0</v>
      </c>
      <c r="S1705" s="288">
        <v>0</v>
      </c>
      <c r="T1705" s="257">
        <f>INT($L1705*S1705*100+0.5)/100</f>
        <v>0</v>
      </c>
      <c r="U1705" s="288">
        <v>0</v>
      </c>
      <c r="V1705" s="257">
        <f>INT($L1705*U1705*100+0.5)/100</f>
        <v>0</v>
      </c>
      <c r="W1705" s="288">
        <v>0</v>
      </c>
      <c r="X1705" s="257">
        <f>INT($L1705*W1705*100+0.5)/100</f>
        <v>0</v>
      </c>
      <c r="Y1705" s="288">
        <v>0</v>
      </c>
      <c r="Z1705" s="257">
        <f>INT($L1705*Y1705*100+0.5)/100</f>
        <v>0</v>
      </c>
    </row>
    <row r="1706" spans="1:26" s="247" customFormat="1" ht="15.75" hidden="1">
      <c r="A1706" s="250"/>
      <c r="B1706" s="251"/>
      <c r="C1706" s="326"/>
      <c r="D1706" s="562" t="s">
        <v>1026</v>
      </c>
      <c r="E1706" s="251" t="s">
        <v>1416</v>
      </c>
      <c r="F1706" s="337"/>
      <c r="G1706" s="254"/>
      <c r="H1706" s="518"/>
      <c r="I1706" s="336"/>
      <c r="J1706" s="336"/>
      <c r="K1706" s="251" t="s">
        <v>1416</v>
      </c>
      <c r="L1706" s="306"/>
      <c r="M1706" s="288"/>
      <c r="N1706" s="257"/>
      <c r="O1706" s="288"/>
      <c r="P1706" s="257"/>
      <c r="Q1706" s="288"/>
      <c r="R1706" s="257"/>
      <c r="S1706" s="288"/>
      <c r="T1706" s="257"/>
      <c r="U1706" s="288"/>
      <c r="V1706" s="257"/>
      <c r="W1706" s="288"/>
      <c r="X1706" s="257"/>
      <c r="Y1706" s="288"/>
      <c r="Z1706" s="257"/>
    </row>
    <row r="1707" spans="1:26" s="247" customFormat="1" ht="15.75" hidden="1">
      <c r="A1707" s="250"/>
      <c r="B1707" s="251"/>
      <c r="C1707" s="326"/>
      <c r="D1707" s="562"/>
      <c r="E1707" s="251"/>
      <c r="F1707" s="337"/>
      <c r="G1707" s="254"/>
      <c r="H1707" s="518"/>
      <c r="I1707" s="336"/>
      <c r="J1707" s="336"/>
      <c r="K1707" s="251"/>
      <c r="L1707" s="306"/>
      <c r="M1707" s="288"/>
      <c r="N1707" s="257"/>
      <c r="O1707" s="288"/>
      <c r="P1707" s="257"/>
      <c r="Q1707" s="288"/>
      <c r="R1707" s="257"/>
      <c r="S1707" s="288"/>
      <c r="T1707" s="257"/>
      <c r="U1707" s="288"/>
      <c r="V1707" s="257"/>
      <c r="W1707" s="288"/>
      <c r="X1707" s="257"/>
      <c r="Y1707" s="288"/>
      <c r="Z1707" s="257"/>
    </row>
    <row r="1708" spans="1:26" s="325" customFormat="1" ht="32.25" customHeight="1">
      <c r="A1708" s="318"/>
      <c r="B1708" s="319"/>
      <c r="C1708" s="267" t="s">
        <v>1030</v>
      </c>
      <c r="D1708" s="333" t="s">
        <v>1029</v>
      </c>
      <c r="E1708" s="319"/>
      <c r="F1708" s="338"/>
      <c r="G1708" s="522"/>
      <c r="H1708" s="520"/>
      <c r="I1708" s="339"/>
      <c r="J1708" s="339"/>
      <c r="K1708" s="319"/>
      <c r="L1708" s="340"/>
      <c r="M1708" s="324"/>
      <c r="N1708" s="323">
        <f>SUM(N1653:N1707)</f>
        <v>0</v>
      </c>
      <c r="O1708" s="324"/>
      <c r="P1708" s="323">
        <f>SUM(P1653:P1707)</f>
        <v>0</v>
      </c>
      <c r="Q1708" s="324"/>
      <c r="R1708" s="323">
        <f>SUM(R1653:R1707)</f>
        <v>0</v>
      </c>
      <c r="S1708" s="324"/>
      <c r="T1708" s="323">
        <f>SUM(T1653:T1707)</f>
        <v>0</v>
      </c>
      <c r="U1708" s="324"/>
      <c r="V1708" s="323">
        <f>SUM(V1653:V1707)</f>
        <v>0</v>
      </c>
      <c r="W1708" s="324"/>
      <c r="X1708" s="323">
        <f>SUM(X1653:X1707)</f>
        <v>0</v>
      </c>
      <c r="Y1708" s="324"/>
      <c r="Z1708" s="323">
        <f>SUM(Z1653:Z1707)</f>
        <v>0</v>
      </c>
    </row>
    <row r="1709" spans="1:26" s="247" customFormat="1" ht="15.75" customHeight="1">
      <c r="A1709" s="284"/>
      <c r="B1709" s="237"/>
      <c r="C1709" s="453"/>
      <c r="D1709" s="330"/>
      <c r="E1709" s="237"/>
      <c r="F1709" s="239"/>
      <c r="G1709" s="521"/>
      <c r="H1709" s="519"/>
      <c r="I1709" s="336"/>
      <c r="J1709" s="336"/>
      <c r="K1709" s="237"/>
      <c r="L1709" s="306"/>
      <c r="M1709" s="288"/>
      <c r="N1709" s="245"/>
      <c r="O1709" s="288"/>
      <c r="P1709" s="245"/>
      <c r="Q1709" s="288"/>
      <c r="R1709" s="245"/>
      <c r="S1709" s="288"/>
      <c r="T1709" s="245"/>
      <c r="U1709" s="288"/>
      <c r="V1709" s="245"/>
      <c r="W1709" s="288"/>
      <c r="X1709" s="245"/>
      <c r="Y1709" s="288"/>
      <c r="Z1709" s="245"/>
    </row>
    <row r="1710" spans="1:26" ht="15" customHeight="1">
      <c r="A1710" s="250"/>
      <c r="B1710" s="251"/>
      <c r="C1710" s="453" t="s">
        <v>1585</v>
      </c>
      <c r="D1710" s="330" t="s">
        <v>1586</v>
      </c>
      <c r="E1710" s="251"/>
      <c r="F1710" s="252"/>
      <c r="G1710" s="522"/>
      <c r="H1710" s="261"/>
      <c r="I1710" s="253"/>
      <c r="J1710" s="253"/>
      <c r="K1710" s="251"/>
      <c r="L1710" s="261"/>
      <c r="M1710" s="258"/>
      <c r="N1710" s="257"/>
      <c r="O1710" s="258"/>
      <c r="P1710" s="257"/>
      <c r="Q1710" s="258"/>
      <c r="R1710" s="257"/>
      <c r="S1710" s="258"/>
      <c r="T1710" s="257"/>
      <c r="U1710" s="258"/>
      <c r="V1710" s="257"/>
      <c r="W1710" s="258"/>
      <c r="X1710" s="257"/>
      <c r="Y1710" s="258"/>
      <c r="Z1710" s="257"/>
    </row>
    <row r="1711" spans="1:26" ht="15" hidden="1" customHeight="1">
      <c r="A1711" s="250">
        <f>A1705+1</f>
        <v>302</v>
      </c>
      <c r="B1711" s="251"/>
      <c r="C1711" s="540" t="s">
        <v>2197</v>
      </c>
      <c r="D1711" s="558" t="s">
        <v>1870</v>
      </c>
      <c r="E1711" s="251" t="s">
        <v>1901</v>
      </c>
      <c r="F1711" s="252"/>
      <c r="G1711" s="253"/>
      <c r="H1711" s="254">
        <f>INT(F1711*G1711*100+0.5)/100</f>
        <v>0</v>
      </c>
      <c r="I1711" s="225"/>
      <c r="J1711" s="225"/>
      <c r="K1711" s="251" t="s">
        <v>1901</v>
      </c>
      <c r="L1711" s="278">
        <v>8</v>
      </c>
      <c r="M1711" s="316">
        <v>0</v>
      </c>
      <c r="N1711" s="259">
        <f>INT($L1711*M1711*100+0.5)/100</f>
        <v>0</v>
      </c>
      <c r="O1711" s="316">
        <v>0</v>
      </c>
      <c r="P1711" s="259">
        <f>INT($L1711*O1711*100+0.5)/100</f>
        <v>0</v>
      </c>
      <c r="Q1711" s="316">
        <v>0</v>
      </c>
      <c r="R1711" s="259">
        <f>INT($L1711*Q1711*100+0.5)/100</f>
        <v>0</v>
      </c>
      <c r="S1711" s="316">
        <v>0</v>
      </c>
      <c r="T1711" s="257">
        <f>INT($L1711*S1711*100+0.5)/100</f>
        <v>0</v>
      </c>
      <c r="U1711" s="316">
        <v>0</v>
      </c>
      <c r="V1711" s="257">
        <f>INT($L1711*U1711*100+0.5)/100</f>
        <v>0</v>
      </c>
      <c r="W1711" s="316">
        <v>0</v>
      </c>
      <c r="X1711" s="257">
        <f>INT($L1711*W1711*100+0.5)/100</f>
        <v>0</v>
      </c>
      <c r="Y1711" s="316">
        <v>0</v>
      </c>
      <c r="Z1711" s="257">
        <f>INT($L1711*Y1711*100+0.5)/100</f>
        <v>0</v>
      </c>
    </row>
    <row r="1712" spans="1:26" ht="15" hidden="1" customHeight="1">
      <c r="A1712" s="250"/>
      <c r="B1712" s="251"/>
      <c r="C1712" s="540"/>
      <c r="D1712" s="558" t="s">
        <v>1869</v>
      </c>
      <c r="E1712" s="251" t="s">
        <v>1902</v>
      </c>
      <c r="F1712" s="252"/>
      <c r="G1712" s="253"/>
      <c r="H1712" s="254"/>
      <c r="I1712" s="225"/>
      <c r="J1712" s="225"/>
      <c r="K1712" s="251" t="s">
        <v>1902</v>
      </c>
      <c r="L1712" s="278"/>
      <c r="M1712" s="316"/>
      <c r="N1712" s="259"/>
      <c r="O1712" s="316"/>
      <c r="P1712" s="259"/>
      <c r="Q1712" s="316"/>
      <c r="R1712" s="259"/>
      <c r="S1712" s="316"/>
      <c r="T1712" s="257"/>
      <c r="U1712" s="316"/>
      <c r="V1712" s="257"/>
      <c r="W1712" s="316"/>
      <c r="X1712" s="257"/>
      <c r="Y1712" s="316"/>
      <c r="Z1712" s="257"/>
    </row>
    <row r="1713" spans="1:26" ht="15" hidden="1" customHeight="1">
      <c r="A1713" s="250"/>
      <c r="B1713" s="251"/>
      <c r="C1713" s="540"/>
      <c r="D1713" s="335"/>
      <c r="E1713" s="251"/>
      <c r="F1713" s="252"/>
      <c r="G1713" s="253"/>
      <c r="H1713" s="254"/>
      <c r="I1713" s="225"/>
      <c r="J1713" s="225"/>
      <c r="K1713" s="251"/>
      <c r="L1713" s="278"/>
      <c r="M1713" s="316"/>
      <c r="N1713" s="259"/>
      <c r="O1713" s="316"/>
      <c r="P1713" s="259"/>
      <c r="Q1713" s="316"/>
      <c r="R1713" s="259"/>
      <c r="S1713" s="316"/>
      <c r="T1713" s="257"/>
      <c r="U1713" s="316"/>
      <c r="V1713" s="257"/>
      <c r="W1713" s="316"/>
      <c r="X1713" s="257"/>
      <c r="Y1713" s="316"/>
      <c r="Z1713" s="257"/>
    </row>
    <row r="1714" spans="1:26" ht="15" hidden="1" customHeight="1">
      <c r="A1714" s="250">
        <f>A1711+1</f>
        <v>303</v>
      </c>
      <c r="B1714" s="251"/>
      <c r="C1714" s="540" t="s">
        <v>2198</v>
      </c>
      <c r="D1714" s="558" t="s">
        <v>2209</v>
      </c>
      <c r="E1714" s="251" t="s">
        <v>2475</v>
      </c>
      <c r="F1714" s="252"/>
      <c r="G1714" s="253"/>
      <c r="H1714" s="254"/>
      <c r="I1714" s="225"/>
      <c r="J1714" s="225"/>
      <c r="K1714" s="251" t="s">
        <v>2475</v>
      </c>
      <c r="L1714" s="278"/>
      <c r="M1714" s="316"/>
      <c r="N1714" s="259"/>
      <c r="O1714" s="316"/>
      <c r="P1714" s="259"/>
      <c r="Q1714" s="316"/>
      <c r="R1714" s="259"/>
      <c r="S1714" s="316"/>
      <c r="T1714" s="257"/>
      <c r="U1714" s="316"/>
      <c r="V1714" s="257"/>
      <c r="W1714" s="316"/>
      <c r="X1714" s="257"/>
      <c r="Y1714" s="316"/>
      <c r="Z1714" s="257"/>
    </row>
    <row r="1715" spans="1:26" ht="15" hidden="1" customHeight="1">
      <c r="A1715" s="250"/>
      <c r="B1715" s="251"/>
      <c r="C1715" s="540"/>
      <c r="D1715" s="558" t="s">
        <v>1015</v>
      </c>
      <c r="E1715" s="251" t="s">
        <v>2475</v>
      </c>
      <c r="F1715" s="252"/>
      <c r="G1715" s="253"/>
      <c r="H1715" s="254"/>
      <c r="I1715" s="225"/>
      <c r="J1715" s="225"/>
      <c r="K1715" s="251" t="s">
        <v>2475</v>
      </c>
      <c r="L1715" s="262"/>
      <c r="M1715" s="316"/>
      <c r="N1715" s="259"/>
      <c r="O1715" s="316"/>
      <c r="P1715" s="259"/>
      <c r="Q1715" s="316"/>
      <c r="R1715" s="259"/>
      <c r="S1715" s="316"/>
      <c r="T1715" s="257"/>
      <c r="U1715" s="316"/>
      <c r="V1715" s="257"/>
      <c r="W1715" s="316"/>
      <c r="X1715" s="257"/>
      <c r="Y1715" s="316"/>
      <c r="Z1715" s="257"/>
    </row>
    <row r="1716" spans="1:26" ht="15" hidden="1" customHeight="1">
      <c r="A1716" s="250"/>
      <c r="B1716" s="251"/>
      <c r="C1716" s="540"/>
      <c r="D1716" s="335" t="s">
        <v>1588</v>
      </c>
      <c r="E1716" s="251"/>
      <c r="F1716" s="252"/>
      <c r="G1716" s="253"/>
      <c r="H1716" s="254">
        <f>INT(F1716*G1716*100+0.5)/100</f>
        <v>0</v>
      </c>
      <c r="I1716" s="225"/>
      <c r="J1716" s="225"/>
      <c r="K1716" s="251"/>
      <c r="L1716" s="262">
        <v>51</v>
      </c>
      <c r="M1716" s="316">
        <v>0</v>
      </c>
      <c r="N1716" s="259">
        <f>INT($L1716*M1716*100+0.5)/100</f>
        <v>0</v>
      </c>
      <c r="O1716" s="316">
        <v>0</v>
      </c>
      <c r="P1716" s="259">
        <f>INT($L1716*O1716*100+0.5)/100</f>
        <v>0</v>
      </c>
      <c r="Q1716" s="316">
        <v>0</v>
      </c>
      <c r="R1716" s="259">
        <f>INT($L1716*Q1716*100+0.5)/100</f>
        <v>0</v>
      </c>
      <c r="S1716" s="316">
        <v>0</v>
      </c>
      <c r="T1716" s="257">
        <f>INT($L1716*S1716*100+0.5)/100</f>
        <v>0</v>
      </c>
      <c r="U1716" s="316">
        <v>0</v>
      </c>
      <c r="V1716" s="257">
        <f>INT($L1716*U1716*100+0.5)/100</f>
        <v>0</v>
      </c>
      <c r="W1716" s="316">
        <v>0</v>
      </c>
      <c r="X1716" s="257">
        <f>INT($L1716*W1716*100+0.5)/100</f>
        <v>0</v>
      </c>
      <c r="Y1716" s="316">
        <v>0</v>
      </c>
      <c r="Z1716" s="257">
        <f>INT($L1716*Y1716*100+0.5)/100</f>
        <v>0</v>
      </c>
    </row>
    <row r="1717" spans="1:26" ht="15" hidden="1" customHeight="1">
      <c r="A1717" s="250"/>
      <c r="B1717" s="251"/>
      <c r="C1717" s="540"/>
      <c r="D1717" s="335"/>
      <c r="E1717" s="251"/>
      <c r="F1717" s="252"/>
      <c r="G1717" s="253"/>
      <c r="H1717" s="254"/>
      <c r="I1717" s="225"/>
      <c r="J1717" s="225"/>
      <c r="K1717" s="251"/>
      <c r="L1717" s="262"/>
      <c r="M1717" s="316"/>
      <c r="N1717" s="259"/>
      <c r="O1717" s="316"/>
      <c r="P1717" s="259"/>
      <c r="Q1717" s="316"/>
      <c r="R1717" s="259"/>
      <c r="S1717" s="316"/>
      <c r="T1717" s="257"/>
      <c r="U1717" s="316"/>
      <c r="V1717" s="257"/>
      <c r="W1717" s="316"/>
      <c r="X1717" s="257"/>
      <c r="Y1717" s="316"/>
      <c r="Z1717" s="257"/>
    </row>
    <row r="1718" spans="1:26" ht="15" hidden="1" customHeight="1">
      <c r="A1718" s="250">
        <f>A1714+1</f>
        <v>304</v>
      </c>
      <c r="B1718" s="251"/>
      <c r="C1718" s="540" t="s">
        <v>2199</v>
      </c>
      <c r="D1718" s="558" t="s">
        <v>1589</v>
      </c>
      <c r="E1718" s="251" t="s">
        <v>1898</v>
      </c>
      <c r="F1718" s="252"/>
      <c r="G1718" s="253"/>
      <c r="H1718" s="254"/>
      <c r="I1718" s="225"/>
      <c r="J1718" s="225"/>
      <c r="K1718" s="251" t="s">
        <v>1898</v>
      </c>
      <c r="L1718" s="262"/>
      <c r="M1718" s="316"/>
      <c r="N1718" s="259"/>
      <c r="O1718" s="316"/>
      <c r="P1718" s="259"/>
      <c r="Q1718" s="316"/>
      <c r="R1718" s="259"/>
      <c r="S1718" s="316"/>
      <c r="T1718" s="257"/>
      <c r="U1718" s="316"/>
      <c r="V1718" s="257"/>
      <c r="W1718" s="316"/>
      <c r="X1718" s="257"/>
      <c r="Y1718" s="316"/>
      <c r="Z1718" s="257"/>
    </row>
    <row r="1719" spans="1:26" ht="15" hidden="1" customHeight="1">
      <c r="A1719" s="250"/>
      <c r="B1719" s="251"/>
      <c r="C1719" s="540"/>
      <c r="D1719" s="558" t="s">
        <v>1590</v>
      </c>
      <c r="E1719" s="251" t="s">
        <v>2475</v>
      </c>
      <c r="F1719" s="252"/>
      <c r="G1719" s="253"/>
      <c r="H1719" s="254"/>
      <c r="I1719" s="225"/>
      <c r="J1719" s="225"/>
      <c r="K1719" s="251" t="s">
        <v>2475</v>
      </c>
      <c r="L1719" s="262"/>
      <c r="M1719" s="316"/>
      <c r="N1719" s="259"/>
      <c r="O1719" s="316"/>
      <c r="P1719" s="259"/>
      <c r="Q1719" s="316"/>
      <c r="R1719" s="259"/>
      <c r="S1719" s="316"/>
      <c r="T1719" s="257"/>
      <c r="U1719" s="316"/>
      <c r="V1719" s="257"/>
      <c r="W1719" s="316"/>
      <c r="X1719" s="257"/>
      <c r="Y1719" s="316"/>
      <c r="Z1719" s="257"/>
    </row>
    <row r="1720" spans="1:26" ht="15" hidden="1" customHeight="1">
      <c r="A1720" s="250"/>
      <c r="B1720" s="251"/>
      <c r="C1720" s="540"/>
      <c r="D1720" s="335" t="s">
        <v>590</v>
      </c>
      <c r="E1720" s="251"/>
      <c r="F1720" s="252"/>
      <c r="G1720" s="253"/>
      <c r="H1720" s="254">
        <f>INT(F1720*G1720*100+0.5)/100</f>
        <v>0</v>
      </c>
      <c r="I1720" s="225"/>
      <c r="J1720" s="225"/>
      <c r="K1720" s="251"/>
      <c r="L1720" s="262">
        <v>46</v>
      </c>
      <c r="M1720" s="316">
        <v>0</v>
      </c>
      <c r="N1720" s="259">
        <f>INT($L1720*M1720*100+0.5)/100</f>
        <v>0</v>
      </c>
      <c r="O1720" s="316">
        <v>0</v>
      </c>
      <c r="P1720" s="259">
        <f>INT($L1720*O1720*100+0.5)/100</f>
        <v>0</v>
      </c>
      <c r="Q1720" s="316">
        <v>0</v>
      </c>
      <c r="R1720" s="259">
        <f>INT($L1720*Q1720*100+0.5)/100</f>
        <v>0</v>
      </c>
      <c r="S1720" s="316">
        <v>0</v>
      </c>
      <c r="T1720" s="257">
        <f>INT($L1720*S1720*100+0.5)/100</f>
        <v>0</v>
      </c>
      <c r="U1720" s="316">
        <v>0</v>
      </c>
      <c r="V1720" s="257">
        <f>INT($L1720*U1720*100+0.5)/100</f>
        <v>0</v>
      </c>
      <c r="W1720" s="316">
        <v>0</v>
      </c>
      <c r="X1720" s="257">
        <f>INT($L1720*W1720*100+0.5)/100</f>
        <v>0</v>
      </c>
      <c r="Y1720" s="316">
        <v>0</v>
      </c>
      <c r="Z1720" s="257">
        <f>INT($L1720*Y1720*100+0.5)/100</f>
        <v>0</v>
      </c>
    </row>
    <row r="1721" spans="1:26" ht="15" hidden="1" customHeight="1">
      <c r="A1721" s="250"/>
      <c r="B1721" s="251"/>
      <c r="C1721" s="540"/>
      <c r="D1721" s="335"/>
      <c r="E1721" s="251"/>
      <c r="F1721" s="252"/>
      <c r="G1721" s="253"/>
      <c r="H1721" s="254"/>
      <c r="I1721" s="225"/>
      <c r="J1721" s="225"/>
      <c r="K1721" s="251"/>
      <c r="L1721" s="262"/>
      <c r="M1721" s="316"/>
      <c r="N1721" s="259"/>
      <c r="O1721" s="316"/>
      <c r="P1721" s="259"/>
      <c r="Q1721" s="316"/>
      <c r="R1721" s="259"/>
      <c r="S1721" s="316"/>
      <c r="T1721" s="257"/>
      <c r="U1721" s="316"/>
      <c r="V1721" s="257"/>
      <c r="W1721" s="316"/>
      <c r="X1721" s="257"/>
      <c r="Y1721" s="316"/>
      <c r="Z1721" s="257"/>
    </row>
    <row r="1722" spans="1:26" ht="15" hidden="1" customHeight="1">
      <c r="A1722" s="250">
        <f>A1718+1</f>
        <v>305</v>
      </c>
      <c r="B1722" s="251"/>
      <c r="C1722" s="540" t="s">
        <v>2200</v>
      </c>
      <c r="D1722" s="558" t="s">
        <v>1017</v>
      </c>
      <c r="E1722" s="251" t="s">
        <v>1909</v>
      </c>
      <c r="F1722" s="252"/>
      <c r="G1722" s="253"/>
      <c r="H1722" s="254"/>
      <c r="I1722" s="225"/>
      <c r="J1722" s="225"/>
      <c r="K1722" s="251" t="s">
        <v>1909</v>
      </c>
      <c r="L1722" s="262"/>
      <c r="M1722" s="316"/>
      <c r="N1722" s="259"/>
      <c r="O1722" s="316"/>
      <c r="P1722" s="259"/>
      <c r="Q1722" s="316"/>
      <c r="R1722" s="259"/>
      <c r="S1722" s="316"/>
      <c r="T1722" s="257"/>
      <c r="U1722" s="316"/>
      <c r="V1722" s="257"/>
      <c r="W1722" s="316"/>
      <c r="X1722" s="257"/>
      <c r="Y1722" s="316"/>
      <c r="Z1722" s="257"/>
    </row>
    <row r="1723" spans="1:26" ht="15" hidden="1" customHeight="1">
      <c r="A1723" s="250"/>
      <c r="B1723" s="251"/>
      <c r="C1723" s="540"/>
      <c r="D1723" s="558" t="s">
        <v>1018</v>
      </c>
      <c r="E1723" s="251" t="s">
        <v>2461</v>
      </c>
      <c r="F1723" s="252"/>
      <c r="G1723" s="253"/>
      <c r="H1723" s="254"/>
      <c r="I1723" s="225"/>
      <c r="J1723" s="225"/>
      <c r="K1723" s="251" t="s">
        <v>2461</v>
      </c>
      <c r="L1723" s="262"/>
      <c r="M1723" s="316"/>
      <c r="N1723" s="259"/>
      <c r="O1723" s="316"/>
      <c r="P1723" s="259"/>
      <c r="Q1723" s="316"/>
      <c r="R1723" s="259"/>
      <c r="S1723" s="316"/>
      <c r="T1723" s="257"/>
      <c r="U1723" s="316"/>
      <c r="V1723" s="257"/>
      <c r="W1723" s="316"/>
      <c r="X1723" s="257"/>
      <c r="Y1723" s="316"/>
      <c r="Z1723" s="257"/>
    </row>
    <row r="1724" spans="1:26" ht="15" hidden="1" customHeight="1">
      <c r="A1724" s="250"/>
      <c r="B1724" s="251"/>
      <c r="C1724" s="540"/>
      <c r="D1724" s="335" t="s">
        <v>1591</v>
      </c>
      <c r="E1724" s="251"/>
      <c r="F1724" s="252"/>
      <c r="G1724" s="253"/>
      <c r="H1724" s="254">
        <f>INT(F1724*G1724*100+0.5)/100</f>
        <v>0</v>
      </c>
      <c r="I1724" s="225"/>
      <c r="J1724" s="225"/>
      <c r="K1724" s="251"/>
      <c r="L1724" s="262">
        <v>45</v>
      </c>
      <c r="M1724" s="316">
        <v>0</v>
      </c>
      <c r="N1724" s="259">
        <f>INT($L1724*M1724*100+0.5)/100</f>
        <v>0</v>
      </c>
      <c r="O1724" s="316">
        <v>0</v>
      </c>
      <c r="P1724" s="259">
        <f>INT($L1724*O1724*100+0.5)/100</f>
        <v>0</v>
      </c>
      <c r="Q1724" s="316">
        <v>0</v>
      </c>
      <c r="R1724" s="259">
        <f>INT($L1724*Q1724*100+0.5)/100</f>
        <v>0</v>
      </c>
      <c r="S1724" s="316">
        <v>0</v>
      </c>
      <c r="T1724" s="257">
        <f>INT($L1724*S1724*100+0.5)/100</f>
        <v>0</v>
      </c>
      <c r="U1724" s="316">
        <v>0</v>
      </c>
      <c r="V1724" s="257">
        <f>INT($L1724*U1724*100+0.5)/100</f>
        <v>0</v>
      </c>
      <c r="W1724" s="316">
        <v>0</v>
      </c>
      <c r="X1724" s="257">
        <f>INT($L1724*W1724*100+0.5)/100</f>
        <v>0</v>
      </c>
      <c r="Y1724" s="316">
        <v>0</v>
      </c>
      <c r="Z1724" s="257">
        <f>INT($L1724*Y1724*100+0.5)/100</f>
        <v>0</v>
      </c>
    </row>
    <row r="1725" spans="1:26" ht="15" hidden="1" customHeight="1">
      <c r="A1725" s="250"/>
      <c r="B1725" s="251"/>
      <c r="C1725" s="540"/>
      <c r="D1725" s="558"/>
      <c r="E1725" s="251"/>
      <c r="F1725" s="252"/>
      <c r="G1725" s="253"/>
      <c r="H1725" s="254"/>
      <c r="I1725" s="225"/>
      <c r="J1725" s="225"/>
      <c r="K1725" s="251"/>
      <c r="L1725" s="262"/>
      <c r="M1725" s="316"/>
      <c r="N1725" s="259"/>
      <c r="O1725" s="316"/>
      <c r="P1725" s="259"/>
      <c r="Q1725" s="316"/>
      <c r="R1725" s="259"/>
      <c r="S1725" s="316"/>
      <c r="T1725" s="257"/>
      <c r="U1725" s="316"/>
      <c r="V1725" s="257"/>
      <c r="W1725" s="316"/>
      <c r="X1725" s="257"/>
      <c r="Y1725" s="316"/>
      <c r="Z1725" s="257"/>
    </row>
    <row r="1726" spans="1:26" ht="15" hidden="1" customHeight="1">
      <c r="A1726" s="250">
        <f>A1722+1</f>
        <v>306</v>
      </c>
      <c r="B1726" s="251"/>
      <c r="C1726" s="540" t="s">
        <v>2201</v>
      </c>
      <c r="D1726" s="558" t="s">
        <v>2026</v>
      </c>
      <c r="E1726" s="251" t="s">
        <v>1850</v>
      </c>
      <c r="F1726" s="252"/>
      <c r="G1726" s="253"/>
      <c r="H1726" s="254"/>
      <c r="I1726" s="225"/>
      <c r="J1726" s="225"/>
      <c r="K1726" s="251" t="s">
        <v>1850</v>
      </c>
      <c r="L1726" s="262"/>
      <c r="M1726" s="258"/>
      <c r="N1726" s="257"/>
      <c r="O1726" s="258"/>
      <c r="P1726" s="257"/>
      <c r="Q1726" s="258"/>
      <c r="R1726" s="257"/>
      <c r="S1726" s="258"/>
      <c r="T1726" s="257"/>
      <c r="U1726" s="258"/>
      <c r="V1726" s="257"/>
      <c r="W1726" s="258"/>
      <c r="X1726" s="257"/>
      <c r="Y1726" s="258"/>
      <c r="Z1726" s="257"/>
    </row>
    <row r="1727" spans="1:26" ht="15" hidden="1" customHeight="1">
      <c r="A1727" s="250"/>
      <c r="B1727" s="251"/>
      <c r="C1727" s="540"/>
      <c r="D1727" s="558" t="s">
        <v>2027</v>
      </c>
      <c r="E1727" s="251" t="s">
        <v>1851</v>
      </c>
      <c r="F1727" s="252"/>
      <c r="G1727" s="253"/>
      <c r="H1727" s="254"/>
      <c r="I1727" s="225"/>
      <c r="J1727" s="225"/>
      <c r="K1727" s="251" t="s">
        <v>1851</v>
      </c>
      <c r="L1727" s="262"/>
      <c r="M1727" s="258"/>
      <c r="N1727" s="257"/>
      <c r="O1727" s="258"/>
      <c r="P1727" s="257"/>
      <c r="Q1727" s="258"/>
      <c r="R1727" s="257"/>
      <c r="S1727" s="258"/>
      <c r="T1727" s="257"/>
      <c r="U1727" s="258"/>
      <c r="V1727" s="257"/>
      <c r="W1727" s="258"/>
      <c r="X1727" s="257"/>
      <c r="Y1727" s="258"/>
      <c r="Z1727" s="257"/>
    </row>
    <row r="1728" spans="1:26" ht="15" hidden="1" customHeight="1">
      <c r="A1728" s="250"/>
      <c r="B1728" s="251"/>
      <c r="C1728" s="540"/>
      <c r="D1728" s="335" t="s">
        <v>1019</v>
      </c>
      <c r="E1728" s="251"/>
      <c r="F1728" s="252"/>
      <c r="G1728" s="253"/>
      <c r="H1728" s="254">
        <f>INT(F1728*G1728*100+0.5)/100</f>
        <v>0</v>
      </c>
      <c r="I1728" s="225"/>
      <c r="J1728" s="225"/>
      <c r="K1728" s="251"/>
      <c r="L1728" s="262">
        <f>110*1.25+40</f>
        <v>177.5</v>
      </c>
      <c r="M1728" s="258">
        <v>0</v>
      </c>
      <c r="N1728" s="257">
        <f>INT($L1728*M1728*100+0.5)/100</f>
        <v>0</v>
      </c>
      <c r="O1728" s="258">
        <v>0</v>
      </c>
      <c r="P1728" s="257">
        <f>INT($L1728*O1728*100+0.5)/100</f>
        <v>0</v>
      </c>
      <c r="Q1728" s="258">
        <v>0</v>
      </c>
      <c r="R1728" s="257">
        <f>INT($L1728*Q1728*100+0.5)/100</f>
        <v>0</v>
      </c>
      <c r="S1728" s="258">
        <v>0</v>
      </c>
      <c r="T1728" s="257">
        <f>INT($L1728*S1728*100+0.5)/100</f>
        <v>0</v>
      </c>
      <c r="U1728" s="258">
        <v>0</v>
      </c>
      <c r="V1728" s="257">
        <f>INT($L1728*U1728*100+0.5)/100</f>
        <v>0</v>
      </c>
      <c r="W1728" s="258">
        <v>0</v>
      </c>
      <c r="X1728" s="257">
        <f>INT($L1728*W1728*100+0.5)/100</f>
        <v>0</v>
      </c>
      <c r="Y1728" s="258">
        <v>0</v>
      </c>
      <c r="Z1728" s="257">
        <f>INT($L1728*Y1728*100+0.5)/100</f>
        <v>0</v>
      </c>
    </row>
    <row r="1729" spans="1:26" ht="15" hidden="1" customHeight="1">
      <c r="A1729" s="250"/>
      <c r="B1729" s="251"/>
      <c r="C1729" s="226"/>
      <c r="D1729" s="335"/>
      <c r="E1729" s="251"/>
      <c r="F1729" s="252"/>
      <c r="G1729" s="253"/>
      <c r="H1729" s="254"/>
      <c r="I1729" s="225"/>
      <c r="J1729" s="225"/>
      <c r="K1729" s="251"/>
      <c r="L1729" s="278"/>
      <c r="M1729" s="258"/>
      <c r="N1729" s="257"/>
      <c r="O1729" s="258"/>
      <c r="P1729" s="257"/>
      <c r="Q1729" s="258"/>
      <c r="R1729" s="257"/>
      <c r="S1729" s="258"/>
      <c r="T1729" s="257"/>
      <c r="U1729" s="258"/>
      <c r="V1729" s="257"/>
      <c r="W1729" s="258"/>
      <c r="X1729" s="257"/>
      <c r="Y1729" s="258"/>
      <c r="Z1729" s="257"/>
    </row>
    <row r="1730" spans="1:26" ht="15" hidden="1" customHeight="1">
      <c r="A1730" s="250">
        <f>A1726+1</f>
        <v>307</v>
      </c>
      <c r="B1730" s="251"/>
      <c r="C1730" s="540" t="s">
        <v>2202</v>
      </c>
      <c r="D1730" s="527" t="s">
        <v>592</v>
      </c>
      <c r="E1730" s="251" t="s">
        <v>539</v>
      </c>
      <c r="F1730" s="252"/>
      <c r="G1730" s="253"/>
      <c r="H1730" s="254">
        <f>INT(F1730*G1730*100+0.5)/100</f>
        <v>0</v>
      </c>
      <c r="I1730" s="225"/>
      <c r="J1730" s="225"/>
      <c r="K1730" s="251" t="s">
        <v>539</v>
      </c>
      <c r="L1730" s="278">
        <f>3500*1.2</f>
        <v>4200</v>
      </c>
      <c r="M1730" s="258">
        <v>0</v>
      </c>
      <c r="N1730" s="257">
        <f>INT($L1730*M1730*100+0.5)/100</f>
        <v>0</v>
      </c>
      <c r="O1730" s="258">
        <v>0</v>
      </c>
      <c r="P1730" s="257">
        <f>INT($L1730*O1730*100+0.5)/100</f>
        <v>0</v>
      </c>
      <c r="Q1730" s="258">
        <v>0</v>
      </c>
      <c r="R1730" s="257">
        <f>INT($L1730*Q1730*100+0.5)/100</f>
        <v>0</v>
      </c>
      <c r="S1730" s="258">
        <v>0</v>
      </c>
      <c r="T1730" s="257">
        <f>INT($L1730*S1730*100+0.5)/100</f>
        <v>0</v>
      </c>
      <c r="U1730" s="258">
        <v>0</v>
      </c>
      <c r="V1730" s="257">
        <f>INT($L1730*U1730*100+0.5)/100</f>
        <v>0</v>
      </c>
      <c r="W1730" s="258">
        <v>0</v>
      </c>
      <c r="X1730" s="257">
        <f>INT($L1730*W1730*100+0.5)/100</f>
        <v>0</v>
      </c>
      <c r="Y1730" s="258">
        <v>0</v>
      </c>
      <c r="Z1730" s="257">
        <f>INT($L1730*Y1730*100+0.5)/100</f>
        <v>0</v>
      </c>
    </row>
    <row r="1731" spans="1:26" ht="15" hidden="1" customHeight="1">
      <c r="A1731" s="250"/>
      <c r="B1731" s="251"/>
      <c r="C1731" s="526"/>
      <c r="D1731" s="527" t="s">
        <v>1325</v>
      </c>
      <c r="E1731" s="251" t="s">
        <v>1416</v>
      </c>
      <c r="F1731" s="252"/>
      <c r="G1731" s="253"/>
      <c r="H1731" s="254"/>
      <c r="I1731" s="225"/>
      <c r="J1731" s="225"/>
      <c r="K1731" s="251" t="s">
        <v>1416</v>
      </c>
      <c r="L1731" s="278"/>
      <c r="M1731" s="258"/>
      <c r="N1731" s="257"/>
      <c r="O1731" s="258"/>
      <c r="P1731" s="257"/>
      <c r="Q1731" s="258"/>
      <c r="R1731" s="257"/>
      <c r="S1731" s="258"/>
      <c r="T1731" s="257"/>
      <c r="U1731" s="258"/>
      <c r="V1731" s="257"/>
      <c r="W1731" s="258"/>
      <c r="X1731" s="257"/>
      <c r="Y1731" s="258"/>
      <c r="Z1731" s="257"/>
    </row>
    <row r="1732" spans="1:26" ht="15" hidden="1" customHeight="1">
      <c r="A1732" s="250"/>
      <c r="B1732" s="251"/>
      <c r="C1732" s="526"/>
      <c r="D1732" s="335"/>
      <c r="E1732" s="251"/>
      <c r="F1732" s="252"/>
      <c r="G1732" s="253"/>
      <c r="H1732" s="254"/>
      <c r="I1732" s="225"/>
      <c r="J1732" s="225"/>
      <c r="K1732" s="251"/>
      <c r="L1732" s="278"/>
      <c r="M1732" s="258"/>
      <c r="N1732" s="257"/>
      <c r="O1732" s="258"/>
      <c r="P1732" s="257"/>
      <c r="Q1732" s="258"/>
      <c r="R1732" s="257"/>
      <c r="S1732" s="258"/>
      <c r="T1732" s="257"/>
      <c r="U1732" s="258"/>
      <c r="V1732" s="257"/>
      <c r="W1732" s="258"/>
      <c r="X1732" s="257"/>
      <c r="Y1732" s="258"/>
      <c r="Z1732" s="257"/>
    </row>
    <row r="1733" spans="1:26" ht="15" hidden="1" customHeight="1">
      <c r="A1733" s="250">
        <f>A1730+1</f>
        <v>308</v>
      </c>
      <c r="B1733" s="251"/>
      <c r="C1733" s="540" t="s">
        <v>2203</v>
      </c>
      <c r="D1733" s="527" t="s">
        <v>1327</v>
      </c>
      <c r="E1733" s="251" t="s">
        <v>539</v>
      </c>
      <c r="F1733" s="252"/>
      <c r="G1733" s="253"/>
      <c r="H1733" s="254">
        <f>INT(F1733*G1733*100+0.5)/100</f>
        <v>0</v>
      </c>
      <c r="I1733" s="225"/>
      <c r="J1733" s="225"/>
      <c r="K1733" s="251" t="s">
        <v>539</v>
      </c>
      <c r="L1733" s="278">
        <f>185*1.25+2*30+1*40</f>
        <v>331.25</v>
      </c>
      <c r="M1733" s="258">
        <v>0</v>
      </c>
      <c r="N1733" s="257">
        <f>INT($L1733*M1733*100+0.5)/100</f>
        <v>0</v>
      </c>
      <c r="O1733" s="258">
        <v>0</v>
      </c>
      <c r="P1733" s="257">
        <f>INT($L1733*O1733*100+0.5)/100</f>
        <v>0</v>
      </c>
      <c r="Q1733" s="258">
        <v>0</v>
      </c>
      <c r="R1733" s="257">
        <f>INT($L1733*Q1733*100+0.5)/100</f>
        <v>0</v>
      </c>
      <c r="S1733" s="258">
        <v>0</v>
      </c>
      <c r="T1733" s="257">
        <f>INT($L1733*S1733*100+0.5)/100</f>
        <v>0</v>
      </c>
      <c r="U1733" s="258">
        <v>0</v>
      </c>
      <c r="V1733" s="257">
        <f>INT($L1733*U1733*100+0.5)/100</f>
        <v>0</v>
      </c>
      <c r="W1733" s="258">
        <v>0</v>
      </c>
      <c r="X1733" s="257">
        <f>INT($L1733*W1733*100+0.5)/100</f>
        <v>0</v>
      </c>
      <c r="Y1733" s="258">
        <v>0</v>
      </c>
      <c r="Z1733" s="257">
        <f>INT($L1733*Y1733*100+0.5)/100</f>
        <v>0</v>
      </c>
    </row>
    <row r="1734" spans="1:26" ht="15" hidden="1" customHeight="1">
      <c r="A1734" s="250"/>
      <c r="B1734" s="251"/>
      <c r="C1734" s="526"/>
      <c r="D1734" s="527" t="s">
        <v>1325</v>
      </c>
      <c r="E1734" s="251" t="s">
        <v>1416</v>
      </c>
      <c r="F1734" s="252"/>
      <c r="G1734" s="253"/>
      <c r="H1734" s="254"/>
      <c r="I1734" s="225"/>
      <c r="J1734" s="225"/>
      <c r="K1734" s="251" t="s">
        <v>1416</v>
      </c>
      <c r="L1734" s="278"/>
      <c r="M1734" s="258"/>
      <c r="N1734" s="257"/>
      <c r="O1734" s="258"/>
      <c r="P1734" s="257"/>
      <c r="Q1734" s="258"/>
      <c r="R1734" s="257"/>
      <c r="S1734" s="258"/>
      <c r="T1734" s="257"/>
      <c r="U1734" s="258"/>
      <c r="V1734" s="257"/>
      <c r="W1734" s="258"/>
      <c r="X1734" s="257"/>
      <c r="Y1734" s="258"/>
      <c r="Z1734" s="257"/>
    </row>
    <row r="1735" spans="1:26" ht="15" hidden="1" customHeight="1">
      <c r="A1735" s="250"/>
      <c r="B1735" s="251"/>
      <c r="C1735" s="526"/>
      <c r="D1735" s="335"/>
      <c r="E1735" s="251"/>
      <c r="F1735" s="252"/>
      <c r="G1735" s="253"/>
      <c r="H1735" s="254"/>
      <c r="I1735" s="225"/>
      <c r="J1735" s="225"/>
      <c r="K1735" s="251"/>
      <c r="L1735" s="278"/>
      <c r="M1735" s="258"/>
      <c r="N1735" s="257"/>
      <c r="O1735" s="258"/>
      <c r="P1735" s="257"/>
      <c r="Q1735" s="258"/>
      <c r="R1735" s="257"/>
      <c r="S1735" s="258"/>
      <c r="T1735" s="257"/>
      <c r="U1735" s="258"/>
      <c r="V1735" s="257"/>
      <c r="W1735" s="258"/>
      <c r="X1735" s="257"/>
      <c r="Y1735" s="258"/>
      <c r="Z1735" s="257"/>
    </row>
    <row r="1736" spans="1:26" ht="15" hidden="1" customHeight="1">
      <c r="A1736" s="250">
        <f>A1733+1</f>
        <v>309</v>
      </c>
      <c r="B1736" s="251"/>
      <c r="C1736" s="540" t="s">
        <v>2204</v>
      </c>
      <c r="D1736" s="527" t="s">
        <v>1328</v>
      </c>
      <c r="E1736" s="251" t="s">
        <v>539</v>
      </c>
      <c r="F1736" s="252"/>
      <c r="G1736" s="253"/>
      <c r="H1736" s="254">
        <f>INT(F1736*G1736*100+0.5)/100</f>
        <v>0</v>
      </c>
      <c r="I1736" s="225"/>
      <c r="J1736" s="225"/>
      <c r="K1736" s="251" t="s">
        <v>539</v>
      </c>
      <c r="L1736" s="278">
        <f>2744*1.25+2*8*30+3*40</f>
        <v>4030</v>
      </c>
      <c r="M1736" s="258">
        <v>0</v>
      </c>
      <c r="N1736" s="257">
        <f>INT($L1736*M1736*100+0.5)/100</f>
        <v>0</v>
      </c>
      <c r="O1736" s="258">
        <v>0</v>
      </c>
      <c r="P1736" s="257">
        <f>INT($L1736*O1736*100+0.5)/100</f>
        <v>0</v>
      </c>
      <c r="Q1736" s="258">
        <v>0</v>
      </c>
      <c r="R1736" s="257">
        <f>INT($L1736*Q1736*100+0.5)/100</f>
        <v>0</v>
      </c>
      <c r="S1736" s="258">
        <v>0</v>
      </c>
      <c r="T1736" s="257">
        <f>INT($L1736*S1736*100+0.5)/100</f>
        <v>0</v>
      </c>
      <c r="U1736" s="258">
        <v>0</v>
      </c>
      <c r="V1736" s="257">
        <f>INT($L1736*U1736*100+0.5)/100</f>
        <v>0</v>
      </c>
      <c r="W1736" s="258">
        <v>0</v>
      </c>
      <c r="X1736" s="257">
        <f>INT($L1736*W1736*100+0.5)/100</f>
        <v>0</v>
      </c>
      <c r="Y1736" s="258">
        <v>0</v>
      </c>
      <c r="Z1736" s="257">
        <f>INT($L1736*Y1736*100+0.5)/100</f>
        <v>0</v>
      </c>
    </row>
    <row r="1737" spans="1:26" ht="15" hidden="1" customHeight="1">
      <c r="A1737" s="250"/>
      <c r="B1737" s="251"/>
      <c r="C1737" s="526"/>
      <c r="D1737" s="527" t="s">
        <v>1329</v>
      </c>
      <c r="E1737" s="251" t="s">
        <v>1416</v>
      </c>
      <c r="F1737" s="252"/>
      <c r="G1737" s="253"/>
      <c r="H1737" s="254"/>
      <c r="I1737" s="225"/>
      <c r="J1737" s="225"/>
      <c r="K1737" s="251" t="s">
        <v>1416</v>
      </c>
      <c r="L1737" s="278"/>
      <c r="M1737" s="258"/>
      <c r="N1737" s="257"/>
      <c r="O1737" s="258"/>
      <c r="P1737" s="257"/>
      <c r="Q1737" s="258"/>
      <c r="R1737" s="257"/>
      <c r="S1737" s="258"/>
      <c r="T1737" s="257"/>
      <c r="U1737" s="258"/>
      <c r="V1737" s="257"/>
      <c r="W1737" s="258"/>
      <c r="X1737" s="257"/>
      <c r="Y1737" s="258"/>
      <c r="Z1737" s="257"/>
    </row>
    <row r="1738" spans="1:26" ht="15" hidden="1">
      <c r="A1738" s="250"/>
      <c r="B1738" s="251"/>
      <c r="C1738" s="326"/>
      <c r="D1738" s="335"/>
      <c r="E1738" s="251"/>
      <c r="F1738" s="252"/>
      <c r="G1738" s="253"/>
      <c r="H1738" s="254"/>
      <c r="I1738" s="253"/>
      <c r="J1738" s="253"/>
      <c r="K1738" s="251"/>
      <c r="L1738" s="262"/>
      <c r="M1738" s="258"/>
      <c r="N1738" s="260"/>
      <c r="O1738" s="258"/>
      <c r="P1738" s="257"/>
      <c r="Q1738" s="258"/>
      <c r="R1738" s="257"/>
      <c r="S1738" s="258"/>
      <c r="T1738" s="257"/>
      <c r="U1738" s="258"/>
      <c r="V1738" s="257"/>
      <c r="W1738" s="258"/>
      <c r="X1738" s="257"/>
      <c r="Y1738" s="258"/>
      <c r="Z1738" s="257"/>
    </row>
    <row r="1739" spans="1:26" ht="15" hidden="1" customHeight="1">
      <c r="A1739" s="250">
        <f>A1736+1</f>
        <v>310</v>
      </c>
      <c r="B1739" s="251">
        <v>67</v>
      </c>
      <c r="C1739" s="540" t="s">
        <v>2206</v>
      </c>
      <c r="D1739" s="527" t="s">
        <v>2181</v>
      </c>
      <c r="E1739" s="251" t="s">
        <v>1901</v>
      </c>
      <c r="F1739" s="252"/>
      <c r="G1739" s="253"/>
      <c r="H1739" s="254">
        <f>F1739*G1739</f>
        <v>0</v>
      </c>
      <c r="I1739" s="253"/>
      <c r="J1739" s="253"/>
      <c r="K1739" s="251" t="s">
        <v>1901</v>
      </c>
      <c r="L1739" s="262">
        <v>120</v>
      </c>
      <c r="M1739" s="258">
        <v>0</v>
      </c>
      <c r="N1739" s="257">
        <f>INT($L1739*M1739*100+0.5)/100</f>
        <v>0</v>
      </c>
      <c r="O1739" s="258">
        <v>0</v>
      </c>
      <c r="P1739" s="257">
        <f>INT($L1739*O1739*100+0.5)/100</f>
        <v>0</v>
      </c>
      <c r="Q1739" s="258">
        <v>0</v>
      </c>
      <c r="R1739" s="257">
        <f>INT($L1739*Q1739*100+0.5)/100</f>
        <v>0</v>
      </c>
      <c r="S1739" s="258">
        <v>0</v>
      </c>
      <c r="T1739" s="257">
        <f>INT($L1739*S1739*100+0.5)/100</f>
        <v>0</v>
      </c>
      <c r="U1739" s="258">
        <v>0</v>
      </c>
      <c r="V1739" s="257">
        <f>INT($L1739*U1739*100+0.5)/100</f>
        <v>0</v>
      </c>
      <c r="W1739" s="258">
        <v>0</v>
      </c>
      <c r="X1739" s="257">
        <f>INT($L1739*W1739*100+0.5)/100</f>
        <v>0</v>
      </c>
      <c r="Y1739" s="258">
        <v>0</v>
      </c>
      <c r="Z1739" s="257">
        <f>INT($L1739*Y1739*100+0.5)/100</f>
        <v>0</v>
      </c>
    </row>
    <row r="1740" spans="1:26" ht="15" hidden="1" customHeight="1">
      <c r="A1740" s="250"/>
      <c r="B1740" s="251"/>
      <c r="C1740" s="540"/>
      <c r="D1740" s="527" t="s">
        <v>2180</v>
      </c>
      <c r="E1740" s="251" t="s">
        <v>1902</v>
      </c>
      <c r="F1740" s="252"/>
      <c r="G1740" s="253"/>
      <c r="H1740" s="254"/>
      <c r="I1740" s="253"/>
      <c r="J1740" s="253"/>
      <c r="K1740" s="251" t="s">
        <v>1902</v>
      </c>
      <c r="L1740" s="262"/>
      <c r="M1740" s="258"/>
      <c r="N1740" s="257"/>
      <c r="O1740" s="258"/>
      <c r="P1740" s="257"/>
      <c r="Q1740" s="258"/>
      <c r="R1740" s="257"/>
      <c r="S1740" s="258"/>
      <c r="T1740" s="257"/>
      <c r="U1740" s="258"/>
      <c r="V1740" s="257"/>
      <c r="W1740" s="258"/>
      <c r="X1740" s="257"/>
      <c r="Y1740" s="258"/>
      <c r="Z1740" s="257"/>
    </row>
    <row r="1741" spans="1:26" ht="15" hidden="1" customHeight="1">
      <c r="A1741" s="250"/>
      <c r="B1741" s="251"/>
      <c r="C1741" s="326"/>
      <c r="D1741" s="335"/>
      <c r="E1741" s="251"/>
      <c r="F1741" s="252"/>
      <c r="G1741" s="253"/>
      <c r="H1741" s="254"/>
      <c r="I1741" s="253"/>
      <c r="J1741" s="253"/>
      <c r="K1741" s="251"/>
      <c r="L1741" s="262"/>
      <c r="M1741" s="258"/>
      <c r="N1741" s="257"/>
      <c r="O1741" s="258"/>
      <c r="P1741" s="257"/>
      <c r="Q1741" s="258"/>
      <c r="R1741" s="257"/>
      <c r="S1741" s="258"/>
      <c r="T1741" s="257"/>
      <c r="U1741" s="258"/>
      <c r="V1741" s="257"/>
      <c r="W1741" s="258"/>
      <c r="X1741" s="257"/>
      <c r="Y1741" s="258"/>
      <c r="Z1741" s="257"/>
    </row>
    <row r="1742" spans="1:26" ht="15" hidden="1" customHeight="1">
      <c r="A1742" s="250">
        <f>A1739+1</f>
        <v>311</v>
      </c>
      <c r="B1742" s="251">
        <v>65</v>
      </c>
      <c r="C1742" s="540" t="s">
        <v>1062</v>
      </c>
      <c r="D1742" s="527" t="s">
        <v>2179</v>
      </c>
      <c r="E1742" s="251" t="s">
        <v>1901</v>
      </c>
      <c r="F1742" s="252"/>
      <c r="G1742" s="253"/>
      <c r="H1742" s="254"/>
      <c r="I1742" s="253"/>
      <c r="J1742" s="253"/>
      <c r="K1742" s="251" t="s">
        <v>1901</v>
      </c>
      <c r="L1742" s="262"/>
      <c r="M1742" s="316"/>
      <c r="N1742" s="257"/>
      <c r="O1742" s="316"/>
      <c r="P1742" s="257"/>
      <c r="Q1742" s="316"/>
      <c r="R1742" s="257"/>
      <c r="S1742" s="316"/>
      <c r="T1742" s="257"/>
      <c r="U1742" s="316"/>
      <c r="V1742" s="257"/>
      <c r="W1742" s="316"/>
      <c r="X1742" s="257"/>
      <c r="Y1742" s="316"/>
      <c r="Z1742" s="257"/>
    </row>
    <row r="1743" spans="1:26" ht="15" hidden="1" customHeight="1">
      <c r="A1743" s="250"/>
      <c r="B1743" s="251"/>
      <c r="C1743" s="326"/>
      <c r="D1743" s="527" t="s">
        <v>2178</v>
      </c>
      <c r="E1743" s="251" t="s">
        <v>1902</v>
      </c>
      <c r="F1743" s="252"/>
      <c r="G1743" s="253"/>
      <c r="H1743" s="254"/>
      <c r="I1743" s="253"/>
      <c r="J1743" s="253"/>
      <c r="K1743" s="251" t="s">
        <v>1902</v>
      </c>
      <c r="L1743" s="262"/>
      <c r="M1743" s="316"/>
      <c r="N1743" s="257"/>
      <c r="O1743" s="316"/>
      <c r="P1743" s="257"/>
      <c r="Q1743" s="316"/>
      <c r="R1743" s="257"/>
      <c r="S1743" s="316"/>
      <c r="T1743" s="257"/>
      <c r="U1743" s="316"/>
      <c r="V1743" s="257"/>
      <c r="W1743" s="316"/>
      <c r="X1743" s="257"/>
      <c r="Y1743" s="316"/>
      <c r="Z1743" s="257"/>
    </row>
    <row r="1744" spans="1:26" ht="15" hidden="1" customHeight="1">
      <c r="A1744" s="250" t="s">
        <v>1903</v>
      </c>
      <c r="B1744" s="251"/>
      <c r="C1744" s="540" t="s">
        <v>1063</v>
      </c>
      <c r="D1744" s="335" t="s">
        <v>908</v>
      </c>
      <c r="E1744" s="251"/>
      <c r="F1744" s="252"/>
      <c r="G1744" s="253"/>
      <c r="H1744" s="254">
        <f>F1744*G1744</f>
        <v>0</v>
      </c>
      <c r="I1744" s="253"/>
      <c r="J1744" s="253"/>
      <c r="K1744" s="251"/>
      <c r="L1744" s="262">
        <v>70</v>
      </c>
      <c r="M1744" s="258">
        <v>0</v>
      </c>
      <c r="N1744" s="257">
        <f>INT($L1744*M1744*100+0.5)/100</f>
        <v>0</v>
      </c>
      <c r="O1744" s="258">
        <v>0</v>
      </c>
      <c r="P1744" s="257">
        <f>INT($L1744*O1744*100+0.5)/100</f>
        <v>0</v>
      </c>
      <c r="Q1744" s="258">
        <v>0</v>
      </c>
      <c r="R1744" s="257">
        <f>INT($L1744*Q1744*100+0.5)/100</f>
        <v>0</v>
      </c>
      <c r="S1744" s="258">
        <v>0</v>
      </c>
      <c r="T1744" s="257">
        <f>INT($L1744*S1744*100+0.5)/100</f>
        <v>0</v>
      </c>
      <c r="U1744" s="258">
        <v>0</v>
      </c>
      <c r="V1744" s="257">
        <f>INT($L1744*U1744*100+0.5)/100</f>
        <v>0</v>
      </c>
      <c r="W1744" s="258">
        <v>0</v>
      </c>
      <c r="X1744" s="257">
        <f>INT($L1744*W1744*100+0.5)/100</f>
        <v>0</v>
      </c>
      <c r="Y1744" s="258">
        <v>0</v>
      </c>
      <c r="Z1744" s="257">
        <f>INT($L1744*Y1744*100+0.5)/100</f>
        <v>0</v>
      </c>
    </row>
    <row r="1745" spans="1:26" ht="15" hidden="1" customHeight="1">
      <c r="A1745" s="250" t="s">
        <v>1905</v>
      </c>
      <c r="B1745" s="251"/>
      <c r="C1745" s="540" t="s">
        <v>1064</v>
      </c>
      <c r="D1745" s="335" t="s">
        <v>906</v>
      </c>
      <c r="E1745" s="251"/>
      <c r="F1745" s="252"/>
      <c r="G1745" s="253"/>
      <c r="H1745" s="254">
        <f>F1745*G1745</f>
        <v>0</v>
      </c>
      <c r="I1745" s="253"/>
      <c r="J1745" s="253"/>
      <c r="K1745" s="251"/>
      <c r="L1745" s="262">
        <v>110</v>
      </c>
      <c r="M1745" s="258">
        <v>0</v>
      </c>
      <c r="N1745" s="257">
        <f>INT($L1745*M1745*100+0.5)/100</f>
        <v>0</v>
      </c>
      <c r="O1745" s="258">
        <v>0</v>
      </c>
      <c r="P1745" s="257">
        <f>INT($L1745*O1745*100+0.5)/100</f>
        <v>0</v>
      </c>
      <c r="Q1745" s="258">
        <v>0</v>
      </c>
      <c r="R1745" s="257">
        <f>INT($L1745*Q1745*100+0.5)/100</f>
        <v>0</v>
      </c>
      <c r="S1745" s="258">
        <v>0</v>
      </c>
      <c r="T1745" s="257">
        <f>INT($L1745*S1745*100+0.5)/100</f>
        <v>0</v>
      </c>
      <c r="U1745" s="258">
        <v>0</v>
      </c>
      <c r="V1745" s="257">
        <f>INT($L1745*U1745*100+0.5)/100</f>
        <v>0</v>
      </c>
      <c r="W1745" s="258">
        <v>0</v>
      </c>
      <c r="X1745" s="257">
        <f>INT($L1745*W1745*100+0.5)/100</f>
        <v>0</v>
      </c>
      <c r="Y1745" s="258">
        <v>0</v>
      </c>
      <c r="Z1745" s="257">
        <f>INT($L1745*Y1745*100+0.5)/100</f>
        <v>0</v>
      </c>
    </row>
    <row r="1746" spans="1:26" ht="15" hidden="1" customHeight="1">
      <c r="A1746" s="250" t="s">
        <v>1906</v>
      </c>
      <c r="B1746" s="251"/>
      <c r="C1746" s="540" t="s">
        <v>1065</v>
      </c>
      <c r="D1746" s="335" t="s">
        <v>907</v>
      </c>
      <c r="E1746" s="251"/>
      <c r="F1746" s="252"/>
      <c r="G1746" s="253"/>
      <c r="H1746" s="254">
        <f>F1746*G1746</f>
        <v>0</v>
      </c>
      <c r="I1746" s="253"/>
      <c r="J1746" s="253"/>
      <c r="K1746" s="251"/>
      <c r="L1746" s="262">
        <v>120</v>
      </c>
      <c r="M1746" s="258">
        <v>0</v>
      </c>
      <c r="N1746" s="257">
        <f>INT($L1746*M1746*100+0.5)/100</f>
        <v>0</v>
      </c>
      <c r="O1746" s="258">
        <v>0</v>
      </c>
      <c r="P1746" s="257">
        <f>INT($L1746*O1746*100+0.5)/100</f>
        <v>0</v>
      </c>
      <c r="Q1746" s="258">
        <v>0</v>
      </c>
      <c r="R1746" s="257">
        <f>INT($L1746*Q1746*100+0.5)/100</f>
        <v>0</v>
      </c>
      <c r="S1746" s="258">
        <v>0</v>
      </c>
      <c r="T1746" s="257">
        <f>INT($L1746*S1746*100+0.5)/100</f>
        <v>0</v>
      </c>
      <c r="U1746" s="258">
        <v>0</v>
      </c>
      <c r="V1746" s="257">
        <f>INT($L1746*U1746*100+0.5)/100</f>
        <v>0</v>
      </c>
      <c r="W1746" s="258">
        <v>0</v>
      </c>
      <c r="X1746" s="257">
        <f>INT($L1746*W1746*100+0.5)/100</f>
        <v>0</v>
      </c>
      <c r="Y1746" s="258">
        <v>0</v>
      </c>
      <c r="Z1746" s="257">
        <f>INT($L1746*Y1746*100+0.5)/100</f>
        <v>0</v>
      </c>
    </row>
    <row r="1747" spans="1:26" ht="15" hidden="1" customHeight="1">
      <c r="A1747" s="250" t="s">
        <v>1907</v>
      </c>
      <c r="B1747" s="251" t="s">
        <v>1907</v>
      </c>
      <c r="C1747" s="540" t="s">
        <v>1066</v>
      </c>
      <c r="D1747" s="335" t="s">
        <v>2472</v>
      </c>
      <c r="E1747" s="251"/>
      <c r="F1747" s="252"/>
      <c r="G1747" s="253"/>
      <c r="H1747" s="254">
        <f>F1747*G1747</f>
        <v>0</v>
      </c>
      <c r="I1747" s="253"/>
      <c r="J1747" s="253"/>
      <c r="K1747" s="251"/>
      <c r="L1747" s="262">
        <v>140</v>
      </c>
      <c r="M1747" s="258">
        <v>0</v>
      </c>
      <c r="N1747" s="257">
        <f>INT($L1747*M1747*100+0.5)/100</f>
        <v>0</v>
      </c>
      <c r="O1747" s="258">
        <v>0</v>
      </c>
      <c r="P1747" s="257">
        <f>INT($L1747*O1747*100+0.5)/100</f>
        <v>0</v>
      </c>
      <c r="Q1747" s="258">
        <v>0</v>
      </c>
      <c r="R1747" s="257">
        <f>INT($L1747*Q1747*100+0.5)/100</f>
        <v>0</v>
      </c>
      <c r="S1747" s="258">
        <v>0</v>
      </c>
      <c r="T1747" s="257">
        <f>INT($L1747*S1747*100+0.5)/100</f>
        <v>0</v>
      </c>
      <c r="U1747" s="258">
        <v>0</v>
      </c>
      <c r="V1747" s="257">
        <f>INT($L1747*U1747*100+0.5)/100</f>
        <v>0</v>
      </c>
      <c r="W1747" s="258">
        <v>0</v>
      </c>
      <c r="X1747" s="257">
        <f>INT($L1747*W1747*100+0.5)/100</f>
        <v>0</v>
      </c>
      <c r="Y1747" s="258">
        <v>0</v>
      </c>
      <c r="Z1747" s="257">
        <f>INT($L1747*Y1747*100+0.5)/100</f>
        <v>0</v>
      </c>
    </row>
    <row r="1748" spans="1:26" ht="15" hidden="1" customHeight="1">
      <c r="A1748" s="250" t="s">
        <v>542</v>
      </c>
      <c r="B1748" s="251"/>
      <c r="C1748" s="540" t="s">
        <v>2392</v>
      </c>
      <c r="D1748" s="335" t="s">
        <v>2145</v>
      </c>
      <c r="E1748" s="251"/>
      <c r="F1748" s="252"/>
      <c r="G1748" s="253"/>
      <c r="H1748" s="254">
        <f>F1748*G1748</f>
        <v>0</v>
      </c>
      <c r="I1748" s="253"/>
      <c r="J1748" s="253"/>
      <c r="K1748" s="251"/>
      <c r="L1748" s="262">
        <v>160</v>
      </c>
      <c r="M1748" s="258">
        <v>0</v>
      </c>
      <c r="N1748" s="257">
        <f>INT($L1748*M1748*100+0.5)/100</f>
        <v>0</v>
      </c>
      <c r="O1748" s="258">
        <v>0</v>
      </c>
      <c r="P1748" s="257">
        <f>INT($L1748*O1748*100+0.5)/100</f>
        <v>0</v>
      </c>
      <c r="Q1748" s="258">
        <v>0</v>
      </c>
      <c r="R1748" s="257">
        <f>INT($L1748*Q1748*100+0.5)/100</f>
        <v>0</v>
      </c>
      <c r="S1748" s="258">
        <v>0</v>
      </c>
      <c r="T1748" s="257">
        <f>INT($L1748*S1748*100+0.5)/100</f>
        <v>0</v>
      </c>
      <c r="U1748" s="258">
        <v>0</v>
      </c>
      <c r="V1748" s="257">
        <f>INT($L1748*U1748*100+0.5)/100</f>
        <v>0</v>
      </c>
      <c r="W1748" s="258">
        <v>0</v>
      </c>
      <c r="X1748" s="257">
        <f>INT($L1748*W1748*100+0.5)/100</f>
        <v>0</v>
      </c>
      <c r="Y1748" s="258">
        <v>0</v>
      </c>
      <c r="Z1748" s="257">
        <f>INT($L1748*Y1748*100+0.5)/100</f>
        <v>0</v>
      </c>
    </row>
    <row r="1749" spans="1:26" ht="15" hidden="1" customHeight="1">
      <c r="A1749" s="331"/>
      <c r="B1749" s="341"/>
      <c r="C1749" s="540"/>
      <c r="D1749" s="335"/>
      <c r="E1749" s="251"/>
      <c r="F1749" s="252"/>
      <c r="G1749" s="253"/>
      <c r="H1749" s="254"/>
      <c r="I1749" s="253"/>
      <c r="J1749" s="253"/>
      <c r="K1749" s="251"/>
      <c r="L1749" s="262"/>
      <c r="M1749" s="258"/>
      <c r="N1749" s="257"/>
      <c r="O1749" s="258"/>
      <c r="P1749" s="257"/>
      <c r="Q1749" s="258"/>
      <c r="R1749" s="257"/>
      <c r="S1749" s="258"/>
      <c r="T1749" s="257"/>
      <c r="U1749" s="258"/>
      <c r="V1749" s="257"/>
      <c r="W1749" s="258"/>
      <c r="X1749" s="257"/>
      <c r="Y1749" s="258"/>
      <c r="Z1749" s="257"/>
    </row>
    <row r="1750" spans="1:26" ht="15" hidden="1" customHeight="1">
      <c r="A1750" s="250">
        <f>A1742+1</f>
        <v>312</v>
      </c>
      <c r="B1750" s="251">
        <v>66</v>
      </c>
      <c r="C1750" s="540" t="s">
        <v>1067</v>
      </c>
      <c r="D1750" s="527" t="s">
        <v>2183</v>
      </c>
      <c r="E1750" s="251" t="s">
        <v>1901</v>
      </c>
      <c r="F1750" s="252"/>
      <c r="G1750" s="253"/>
      <c r="H1750" s="254"/>
      <c r="I1750" s="253"/>
      <c r="J1750" s="253"/>
      <c r="K1750" s="251" t="s">
        <v>1901</v>
      </c>
      <c r="L1750" s="262"/>
      <c r="M1750" s="258"/>
      <c r="N1750" s="257"/>
      <c r="O1750" s="258"/>
      <c r="P1750" s="257"/>
      <c r="Q1750" s="258"/>
      <c r="R1750" s="257"/>
      <c r="S1750" s="258"/>
      <c r="T1750" s="257"/>
      <c r="U1750" s="258"/>
      <c r="V1750" s="257"/>
      <c r="W1750" s="258"/>
      <c r="X1750" s="257"/>
      <c r="Y1750" s="258"/>
      <c r="Z1750" s="257"/>
    </row>
    <row r="1751" spans="1:26" ht="15" hidden="1" customHeight="1">
      <c r="A1751" s="250"/>
      <c r="B1751" s="251"/>
      <c r="C1751" s="540"/>
      <c r="D1751" s="527" t="s">
        <v>2182</v>
      </c>
      <c r="E1751" s="251" t="s">
        <v>1902</v>
      </c>
      <c r="F1751" s="252"/>
      <c r="G1751" s="253"/>
      <c r="H1751" s="254"/>
      <c r="I1751" s="253"/>
      <c r="J1751" s="253"/>
      <c r="K1751" s="251" t="s">
        <v>1902</v>
      </c>
      <c r="L1751" s="262"/>
      <c r="M1751" s="258"/>
      <c r="N1751" s="257"/>
      <c r="O1751" s="258"/>
      <c r="P1751" s="257"/>
      <c r="Q1751" s="258"/>
      <c r="R1751" s="257"/>
      <c r="S1751" s="258"/>
      <c r="T1751" s="257"/>
      <c r="U1751" s="258"/>
      <c r="V1751" s="257"/>
      <c r="W1751" s="258"/>
      <c r="X1751" s="257"/>
      <c r="Y1751" s="258"/>
      <c r="Z1751" s="257"/>
    </row>
    <row r="1752" spans="1:26" ht="15" hidden="1" customHeight="1">
      <c r="A1752" s="250" t="s">
        <v>1903</v>
      </c>
      <c r="B1752" s="251" t="s">
        <v>1903</v>
      </c>
      <c r="C1752" s="540" t="s">
        <v>1069</v>
      </c>
      <c r="D1752" s="335" t="s">
        <v>2473</v>
      </c>
      <c r="E1752" s="251"/>
      <c r="F1752" s="252"/>
      <c r="G1752" s="253"/>
      <c r="H1752" s="254">
        <f>F1752*G1752</f>
        <v>0</v>
      </c>
      <c r="I1752" s="253"/>
      <c r="J1752" s="253"/>
      <c r="K1752" s="251"/>
      <c r="L1752" s="262">
        <v>100</v>
      </c>
      <c r="M1752" s="258">
        <v>0</v>
      </c>
      <c r="N1752" s="257">
        <f>INT($L1752*M1752*100+0.5)/100</f>
        <v>0</v>
      </c>
      <c r="O1752" s="258">
        <v>0</v>
      </c>
      <c r="P1752" s="257">
        <f>INT($L1752*O1752*100+0.5)/100</f>
        <v>0</v>
      </c>
      <c r="Q1752" s="258">
        <v>0</v>
      </c>
      <c r="R1752" s="257">
        <f>INT($L1752*Q1752*100+0.5)/100</f>
        <v>0</v>
      </c>
      <c r="S1752" s="258">
        <v>0</v>
      </c>
      <c r="T1752" s="257">
        <f>INT($L1752*S1752*100+0.5)/100</f>
        <v>0</v>
      </c>
      <c r="U1752" s="258">
        <v>0</v>
      </c>
      <c r="V1752" s="257">
        <f>INT($L1752*U1752*100+0.5)/100</f>
        <v>0</v>
      </c>
      <c r="W1752" s="258">
        <v>0</v>
      </c>
      <c r="X1752" s="257">
        <f>INT($L1752*W1752*100+0.5)/100</f>
        <v>0</v>
      </c>
      <c r="Y1752" s="258">
        <v>0</v>
      </c>
      <c r="Z1752" s="257">
        <f>INT($L1752*Y1752*100+0.5)/100</f>
        <v>0</v>
      </c>
    </row>
    <row r="1753" spans="1:26" ht="15" hidden="1" customHeight="1">
      <c r="A1753" s="250" t="s">
        <v>1905</v>
      </c>
      <c r="B1753" s="251" t="s">
        <v>1905</v>
      </c>
      <c r="C1753" s="540" t="s">
        <v>1070</v>
      </c>
      <c r="D1753" s="335" t="s">
        <v>2210</v>
      </c>
      <c r="E1753" s="251"/>
      <c r="F1753" s="252"/>
      <c r="G1753" s="253"/>
      <c r="H1753" s="254">
        <f>F1753*G1753</f>
        <v>0</v>
      </c>
      <c r="I1753" s="253"/>
      <c r="J1753" s="253"/>
      <c r="K1753" s="251"/>
      <c r="L1753" s="262">
        <v>120</v>
      </c>
      <c r="M1753" s="258">
        <v>0</v>
      </c>
      <c r="N1753" s="257">
        <f>INT($L1753*M1753*100+0.5)/100</f>
        <v>0</v>
      </c>
      <c r="O1753" s="258">
        <v>0</v>
      </c>
      <c r="P1753" s="257">
        <f>INT($L1753*O1753*100+0.5)/100</f>
        <v>0</v>
      </c>
      <c r="Q1753" s="258">
        <v>0</v>
      </c>
      <c r="R1753" s="257">
        <f>INT($L1753*Q1753*100+0.5)/100</f>
        <v>0</v>
      </c>
      <c r="S1753" s="258">
        <v>0</v>
      </c>
      <c r="T1753" s="257">
        <f>INT($L1753*S1753*100+0.5)/100</f>
        <v>0</v>
      </c>
      <c r="U1753" s="258">
        <v>0</v>
      </c>
      <c r="V1753" s="257">
        <f>INT($L1753*U1753*100+0.5)/100</f>
        <v>0</v>
      </c>
      <c r="W1753" s="258">
        <v>0</v>
      </c>
      <c r="X1753" s="257">
        <f>INT($L1753*W1753*100+0.5)/100</f>
        <v>0</v>
      </c>
      <c r="Y1753" s="258">
        <v>0</v>
      </c>
      <c r="Z1753" s="257">
        <f>INT($L1753*Y1753*100+0.5)/100</f>
        <v>0</v>
      </c>
    </row>
    <row r="1754" spans="1:26" ht="15" hidden="1" customHeight="1">
      <c r="A1754" s="250" t="s">
        <v>1906</v>
      </c>
      <c r="B1754" s="251"/>
      <c r="C1754" s="540" t="s">
        <v>1071</v>
      </c>
      <c r="D1754" s="335" t="s">
        <v>2184</v>
      </c>
      <c r="E1754" s="251"/>
      <c r="F1754" s="252"/>
      <c r="G1754" s="253"/>
      <c r="H1754" s="254">
        <f>F1754*G1754</f>
        <v>0</v>
      </c>
      <c r="I1754" s="253"/>
      <c r="J1754" s="253"/>
      <c r="K1754" s="251"/>
      <c r="L1754" s="262">
        <v>85</v>
      </c>
      <c r="M1754" s="258">
        <v>0</v>
      </c>
      <c r="N1754" s="257">
        <f>INT($L1754*M1754*100+0.5)/100</f>
        <v>0</v>
      </c>
      <c r="O1754" s="258">
        <v>0</v>
      </c>
      <c r="P1754" s="257">
        <f>INT($L1754*O1754*100+0.5)/100</f>
        <v>0</v>
      </c>
      <c r="Q1754" s="258">
        <v>0</v>
      </c>
      <c r="R1754" s="257">
        <f>INT($L1754*Q1754*100+0.5)/100</f>
        <v>0</v>
      </c>
      <c r="S1754" s="258">
        <v>0</v>
      </c>
      <c r="T1754" s="257">
        <f>INT($L1754*S1754*100+0.5)/100</f>
        <v>0</v>
      </c>
      <c r="U1754" s="258">
        <v>0</v>
      </c>
      <c r="V1754" s="257">
        <f>INT($L1754*U1754*100+0.5)/100</f>
        <v>0</v>
      </c>
      <c r="W1754" s="258">
        <v>0</v>
      </c>
      <c r="X1754" s="257">
        <f>INT($L1754*W1754*100+0.5)/100</f>
        <v>0</v>
      </c>
      <c r="Y1754" s="258">
        <v>0</v>
      </c>
      <c r="Z1754" s="257">
        <f>INT($L1754*Y1754*100+0.5)/100</f>
        <v>0</v>
      </c>
    </row>
    <row r="1755" spans="1:26" ht="15" hidden="1" customHeight="1">
      <c r="A1755" s="250" t="s">
        <v>1907</v>
      </c>
      <c r="B1755" s="251"/>
      <c r="C1755" s="540" t="s">
        <v>1072</v>
      </c>
      <c r="D1755" s="276" t="s">
        <v>578</v>
      </c>
      <c r="E1755" s="251"/>
      <c r="F1755" s="252"/>
      <c r="G1755" s="253"/>
      <c r="H1755" s="254">
        <f>F1755*G1755</f>
        <v>0</v>
      </c>
      <c r="I1755" s="253"/>
      <c r="J1755" s="253"/>
      <c r="K1755" s="251"/>
      <c r="L1755" s="262">
        <v>62</v>
      </c>
      <c r="M1755" s="258">
        <v>0</v>
      </c>
      <c r="N1755" s="257">
        <f>INT($L1755*M1755*100+0.5)/100</f>
        <v>0</v>
      </c>
      <c r="O1755" s="258">
        <v>0</v>
      </c>
      <c r="P1755" s="257">
        <f>INT($L1755*O1755*100+0.5)/100</f>
        <v>0</v>
      </c>
      <c r="Q1755" s="258">
        <v>0</v>
      </c>
      <c r="R1755" s="257">
        <f>INT($L1755*Q1755*100+0.5)/100</f>
        <v>0</v>
      </c>
      <c r="S1755" s="258">
        <v>0</v>
      </c>
      <c r="T1755" s="257">
        <f>INT($L1755*S1755*100+0.5)/100</f>
        <v>0</v>
      </c>
      <c r="U1755" s="258">
        <v>0</v>
      </c>
      <c r="V1755" s="257">
        <f>INT($L1755*U1755*100+0.5)/100</f>
        <v>0</v>
      </c>
      <c r="W1755" s="258">
        <v>0</v>
      </c>
      <c r="X1755" s="257">
        <f>INT($L1755*W1755*100+0.5)/100</f>
        <v>0</v>
      </c>
      <c r="Y1755" s="258">
        <v>0</v>
      </c>
      <c r="Z1755" s="257">
        <f>INT($L1755*Y1755*100+0.5)/100</f>
        <v>0</v>
      </c>
    </row>
    <row r="1756" spans="1:26" ht="15" hidden="1" customHeight="1">
      <c r="A1756" s="250"/>
      <c r="B1756" s="251"/>
      <c r="C1756" s="326"/>
      <c r="D1756" s="335"/>
      <c r="E1756" s="251"/>
      <c r="F1756" s="252"/>
      <c r="G1756" s="253"/>
      <c r="H1756" s="254"/>
      <c r="I1756" s="253"/>
      <c r="J1756" s="253"/>
      <c r="K1756" s="251"/>
      <c r="L1756" s="262"/>
      <c r="M1756" s="258"/>
      <c r="N1756" s="257"/>
      <c r="O1756" s="258"/>
      <c r="P1756" s="257"/>
      <c r="Q1756" s="258"/>
      <c r="R1756" s="257"/>
      <c r="S1756" s="258"/>
      <c r="T1756" s="257"/>
      <c r="U1756" s="258"/>
      <c r="V1756" s="257"/>
      <c r="W1756" s="258"/>
      <c r="X1756" s="257"/>
      <c r="Y1756" s="258"/>
      <c r="Z1756" s="257"/>
    </row>
    <row r="1757" spans="1:26" ht="15" hidden="1" customHeight="1">
      <c r="A1757" s="250">
        <f>A1750+1</f>
        <v>313</v>
      </c>
      <c r="B1757" s="251"/>
      <c r="C1757" s="540" t="s">
        <v>1073</v>
      </c>
      <c r="D1757" s="527" t="s">
        <v>457</v>
      </c>
      <c r="E1757" s="251" t="s">
        <v>1901</v>
      </c>
      <c r="F1757" s="252"/>
      <c r="G1757" s="253"/>
      <c r="H1757" s="254">
        <f>F1757*G1757</f>
        <v>0</v>
      </c>
      <c r="I1757" s="253"/>
      <c r="J1757" s="253"/>
      <c r="K1757" s="251" t="s">
        <v>1901</v>
      </c>
      <c r="L1757" s="262">
        <v>120</v>
      </c>
      <c r="M1757" s="258">
        <v>0</v>
      </c>
      <c r="N1757" s="257">
        <f>INT($L1757*M1757*100+0.5)/100</f>
        <v>0</v>
      </c>
      <c r="O1757" s="258">
        <v>0</v>
      </c>
      <c r="P1757" s="257">
        <f>INT($L1757*O1757*100+0.5)/100</f>
        <v>0</v>
      </c>
      <c r="Q1757" s="258">
        <v>0</v>
      </c>
      <c r="R1757" s="257">
        <f>INT($L1757*Q1757*100+0.5)/100</f>
        <v>0</v>
      </c>
      <c r="S1757" s="258">
        <v>0</v>
      </c>
      <c r="T1757" s="257">
        <f>INT($L1757*S1757*100+0.5)/100</f>
        <v>0</v>
      </c>
      <c r="U1757" s="258">
        <v>0</v>
      </c>
      <c r="V1757" s="257">
        <f>INT($L1757*U1757*100+0.5)/100</f>
        <v>0</v>
      </c>
      <c r="W1757" s="258">
        <v>0</v>
      </c>
      <c r="X1757" s="257">
        <f>INT($L1757*W1757*100+0.5)/100</f>
        <v>0</v>
      </c>
      <c r="Y1757" s="258">
        <v>0</v>
      </c>
      <c r="Z1757" s="257">
        <f>INT($L1757*Y1757*100+0.5)/100</f>
        <v>0</v>
      </c>
    </row>
    <row r="1758" spans="1:26" ht="15" hidden="1" customHeight="1">
      <c r="A1758" s="250"/>
      <c r="B1758" s="251"/>
      <c r="C1758" s="540"/>
      <c r="D1758" s="527" t="s">
        <v>458</v>
      </c>
      <c r="E1758" s="251" t="s">
        <v>1902</v>
      </c>
      <c r="F1758" s="252"/>
      <c r="G1758" s="253"/>
      <c r="H1758" s="254"/>
      <c r="I1758" s="253"/>
      <c r="J1758" s="253"/>
      <c r="K1758" s="251" t="s">
        <v>1902</v>
      </c>
      <c r="L1758" s="262"/>
      <c r="M1758" s="258"/>
      <c r="N1758" s="257"/>
      <c r="O1758" s="258"/>
      <c r="P1758" s="257"/>
      <c r="Q1758" s="258"/>
      <c r="R1758" s="257"/>
      <c r="S1758" s="258"/>
      <c r="T1758" s="257"/>
      <c r="U1758" s="258"/>
      <c r="V1758" s="257"/>
      <c r="W1758" s="258"/>
      <c r="X1758" s="257"/>
      <c r="Y1758" s="258"/>
      <c r="Z1758" s="257"/>
    </row>
    <row r="1759" spans="1:26" ht="15" hidden="1" customHeight="1">
      <c r="A1759" s="250"/>
      <c r="B1759" s="251"/>
      <c r="C1759" s="540"/>
      <c r="D1759" s="335"/>
      <c r="E1759" s="251"/>
      <c r="F1759" s="252"/>
      <c r="G1759" s="253"/>
      <c r="H1759" s="254"/>
      <c r="I1759" s="253"/>
      <c r="J1759" s="253"/>
      <c r="K1759" s="251"/>
      <c r="L1759" s="262"/>
      <c r="M1759" s="258"/>
      <c r="N1759" s="257"/>
      <c r="O1759" s="258"/>
      <c r="P1759" s="257"/>
      <c r="Q1759" s="258"/>
      <c r="R1759" s="257"/>
      <c r="S1759" s="258"/>
      <c r="T1759" s="257"/>
      <c r="U1759" s="258"/>
      <c r="V1759" s="257"/>
      <c r="W1759" s="258"/>
      <c r="X1759" s="257"/>
      <c r="Y1759" s="258"/>
      <c r="Z1759" s="257"/>
    </row>
    <row r="1760" spans="1:26" ht="15" hidden="1" customHeight="1">
      <c r="A1760" s="250">
        <f>A1757+1</f>
        <v>314</v>
      </c>
      <c r="B1760" s="251"/>
      <c r="C1760" s="540" t="s">
        <v>1068</v>
      </c>
      <c r="D1760" s="527" t="s">
        <v>580</v>
      </c>
      <c r="E1760" s="251" t="s">
        <v>2475</v>
      </c>
      <c r="F1760" s="252"/>
      <c r="G1760" s="253"/>
      <c r="H1760" s="254">
        <f>F1760*G1760</f>
        <v>0</v>
      </c>
      <c r="I1760" s="253"/>
      <c r="J1760" s="253"/>
      <c r="K1760" s="251" t="s">
        <v>2475</v>
      </c>
      <c r="L1760" s="262">
        <f>28.36+19.42+4*(22.28+38.06)/35</f>
        <v>54.676000000000002</v>
      </c>
      <c r="M1760" s="258">
        <v>0</v>
      </c>
      <c r="N1760" s="257">
        <f>INT($L1760*M1760*100+0.5)/100</f>
        <v>0</v>
      </c>
      <c r="O1760" s="258">
        <v>0</v>
      </c>
      <c r="P1760" s="257">
        <f>INT($L1760*O1760*100+0.5)/100</f>
        <v>0</v>
      </c>
      <c r="Q1760" s="258">
        <v>0</v>
      </c>
      <c r="R1760" s="257">
        <f>INT($L1760*Q1760*100+0.5)/100</f>
        <v>0</v>
      </c>
      <c r="S1760" s="258">
        <v>0</v>
      </c>
      <c r="T1760" s="257">
        <f>INT($L1760*S1760*100+0.5)/100</f>
        <v>0</v>
      </c>
      <c r="U1760" s="258">
        <v>0</v>
      </c>
      <c r="V1760" s="257">
        <f>INT($L1760*U1760*100+0.5)/100</f>
        <v>0</v>
      </c>
      <c r="W1760" s="258">
        <v>0</v>
      </c>
      <c r="X1760" s="257">
        <f>INT($L1760*W1760*100+0.5)/100</f>
        <v>0</v>
      </c>
      <c r="Y1760" s="258">
        <v>0</v>
      </c>
      <c r="Z1760" s="257">
        <f>INT($L1760*Y1760*100+0.5)/100</f>
        <v>0</v>
      </c>
    </row>
    <row r="1761" spans="1:26" ht="15" hidden="1" customHeight="1">
      <c r="A1761" s="250"/>
      <c r="B1761" s="251"/>
      <c r="C1761" s="540"/>
      <c r="D1761" s="527" t="s">
        <v>579</v>
      </c>
      <c r="E1761" s="251" t="s">
        <v>2475</v>
      </c>
      <c r="F1761" s="252"/>
      <c r="G1761" s="253"/>
      <c r="H1761" s="254"/>
      <c r="I1761" s="253"/>
      <c r="J1761" s="253"/>
      <c r="K1761" s="251" t="s">
        <v>2475</v>
      </c>
      <c r="L1761" s="262"/>
      <c r="M1761" s="258"/>
      <c r="N1761" s="257"/>
      <c r="O1761" s="258"/>
      <c r="P1761" s="257"/>
      <c r="Q1761" s="258"/>
      <c r="R1761" s="257"/>
      <c r="S1761" s="258"/>
      <c r="T1761" s="257"/>
      <c r="U1761" s="258"/>
      <c r="V1761" s="257"/>
      <c r="W1761" s="258"/>
      <c r="X1761" s="257"/>
      <c r="Y1761" s="258"/>
      <c r="Z1761" s="257"/>
    </row>
    <row r="1762" spans="1:26" ht="15" hidden="1" customHeight="1">
      <c r="A1762" s="250"/>
      <c r="B1762" s="251"/>
      <c r="C1762" s="540"/>
      <c r="D1762" s="335"/>
      <c r="E1762" s="251"/>
      <c r="F1762" s="252"/>
      <c r="G1762" s="253"/>
      <c r="H1762" s="254"/>
      <c r="I1762" s="253"/>
      <c r="J1762" s="253"/>
      <c r="K1762" s="251"/>
      <c r="L1762" s="262"/>
      <c r="M1762" s="258"/>
      <c r="N1762" s="257"/>
      <c r="O1762" s="258"/>
      <c r="P1762" s="257"/>
      <c r="Q1762" s="258"/>
      <c r="R1762" s="257"/>
      <c r="S1762" s="258"/>
      <c r="T1762" s="257"/>
      <c r="U1762" s="258"/>
      <c r="V1762" s="257"/>
      <c r="W1762" s="258"/>
      <c r="X1762" s="257"/>
      <c r="Y1762" s="258"/>
      <c r="Z1762" s="257"/>
    </row>
    <row r="1763" spans="1:26" ht="15" hidden="1" customHeight="1">
      <c r="A1763" s="561"/>
      <c r="B1763" s="251"/>
      <c r="C1763" s="540" t="s">
        <v>1074</v>
      </c>
      <c r="D1763" s="527" t="s">
        <v>1773</v>
      </c>
      <c r="E1763" s="251" t="s">
        <v>2475</v>
      </c>
      <c r="F1763" s="252"/>
      <c r="G1763" s="253"/>
      <c r="H1763" s="254"/>
      <c r="I1763" s="253"/>
      <c r="J1763" s="253"/>
      <c r="K1763" s="251" t="s">
        <v>2475</v>
      </c>
      <c r="L1763" s="262"/>
      <c r="M1763" s="258"/>
      <c r="N1763" s="257"/>
      <c r="O1763" s="258"/>
      <c r="P1763" s="257"/>
      <c r="Q1763" s="258"/>
      <c r="R1763" s="257"/>
      <c r="S1763" s="258"/>
      <c r="T1763" s="257"/>
      <c r="U1763" s="258"/>
      <c r="V1763" s="257"/>
      <c r="W1763" s="258"/>
      <c r="X1763" s="257"/>
      <c r="Y1763" s="258"/>
      <c r="Z1763" s="257"/>
    </row>
    <row r="1764" spans="1:26" ht="15" hidden="1" customHeight="1">
      <c r="A1764" s="250"/>
      <c r="B1764" s="251"/>
      <c r="C1764" s="540"/>
      <c r="D1764" s="527" t="s">
        <v>1376</v>
      </c>
      <c r="E1764" s="251" t="s">
        <v>2475</v>
      </c>
      <c r="F1764" s="252"/>
      <c r="G1764" s="253"/>
      <c r="H1764" s="254"/>
      <c r="I1764" s="253"/>
      <c r="J1764" s="253"/>
      <c r="K1764" s="251" t="s">
        <v>2475</v>
      </c>
      <c r="L1764" s="262"/>
      <c r="M1764" s="258"/>
      <c r="N1764" s="257"/>
      <c r="O1764" s="258"/>
      <c r="P1764" s="257"/>
      <c r="Q1764" s="258"/>
      <c r="R1764" s="257"/>
      <c r="S1764" s="258"/>
      <c r="T1764" s="257"/>
      <c r="U1764" s="258"/>
      <c r="V1764" s="257"/>
      <c r="W1764" s="258"/>
      <c r="X1764" s="257"/>
      <c r="Y1764" s="258"/>
      <c r="Z1764" s="257"/>
    </row>
    <row r="1765" spans="1:26" ht="15" hidden="1" customHeight="1">
      <c r="A1765" s="250">
        <f>A1760+1</f>
        <v>315</v>
      </c>
      <c r="B1765" s="251"/>
      <c r="C1765" s="540"/>
      <c r="D1765" s="335" t="s">
        <v>2114</v>
      </c>
      <c r="E1765" s="251"/>
      <c r="F1765" s="252"/>
      <c r="G1765" s="253"/>
      <c r="H1765" s="254">
        <f>F1765*G1765</f>
        <v>0</v>
      </c>
      <c r="I1765" s="253"/>
      <c r="J1765" s="253"/>
      <c r="K1765" s="251"/>
      <c r="L1765" s="262">
        <f>78+(96/6+60/6)</f>
        <v>104</v>
      </c>
      <c r="M1765" s="258">
        <v>0</v>
      </c>
      <c r="N1765" s="257">
        <f>INT($L1765*M1765*100+0.5)/100</f>
        <v>0</v>
      </c>
      <c r="O1765" s="258">
        <v>0</v>
      </c>
      <c r="P1765" s="257">
        <f>INT($L1765*O1765*100+0.5)/100</f>
        <v>0</v>
      </c>
      <c r="Q1765" s="258">
        <v>0</v>
      </c>
      <c r="R1765" s="257">
        <f>INT($L1765*Q1765*100+0.5)/100</f>
        <v>0</v>
      </c>
      <c r="S1765" s="258">
        <v>0</v>
      </c>
      <c r="T1765" s="257">
        <f>INT($L1765*S1765*100+0.5)/100</f>
        <v>0</v>
      </c>
      <c r="U1765" s="258">
        <v>0</v>
      </c>
      <c r="V1765" s="257">
        <f>INT($L1765*U1765*100+0.5)/100</f>
        <v>0</v>
      </c>
      <c r="W1765" s="258">
        <v>0</v>
      </c>
      <c r="X1765" s="257">
        <f>INT($L1765*W1765*100+0.5)/100</f>
        <v>0</v>
      </c>
      <c r="Y1765" s="258">
        <v>0</v>
      </c>
      <c r="Z1765" s="257">
        <f>INT($L1765*Y1765*100+0.5)/100</f>
        <v>0</v>
      </c>
    </row>
    <row r="1766" spans="1:26" ht="15" hidden="1" customHeight="1">
      <c r="A1766" s="250"/>
      <c r="B1766" s="251"/>
      <c r="C1766" s="540"/>
      <c r="D1766" s="335"/>
      <c r="E1766" s="251"/>
      <c r="F1766" s="252"/>
      <c r="G1766" s="253"/>
      <c r="H1766" s="254"/>
      <c r="I1766" s="253"/>
      <c r="J1766" s="253"/>
      <c r="K1766" s="251"/>
      <c r="L1766" s="262"/>
      <c r="M1766" s="258"/>
      <c r="N1766" s="257"/>
      <c r="O1766" s="258"/>
      <c r="P1766" s="257"/>
      <c r="Q1766" s="258"/>
      <c r="R1766" s="257"/>
      <c r="S1766" s="258"/>
      <c r="T1766" s="257"/>
      <c r="U1766" s="258"/>
      <c r="V1766" s="257"/>
      <c r="W1766" s="258"/>
      <c r="X1766" s="257"/>
      <c r="Y1766" s="258"/>
      <c r="Z1766" s="257"/>
    </row>
    <row r="1767" spans="1:26" ht="15" hidden="1" customHeight="1">
      <c r="A1767" s="561"/>
      <c r="B1767" s="251"/>
      <c r="C1767" s="540" t="s">
        <v>1075</v>
      </c>
      <c r="D1767" s="527" t="s">
        <v>1772</v>
      </c>
      <c r="E1767" s="251" t="s">
        <v>2475</v>
      </c>
      <c r="F1767" s="252"/>
      <c r="G1767" s="253"/>
      <c r="H1767" s="254"/>
      <c r="I1767" s="253"/>
      <c r="J1767" s="253"/>
      <c r="K1767" s="251" t="s">
        <v>2475</v>
      </c>
      <c r="L1767" s="262"/>
      <c r="M1767" s="258"/>
      <c r="N1767" s="257"/>
      <c r="O1767" s="258"/>
      <c r="P1767" s="257"/>
      <c r="Q1767" s="258"/>
      <c r="R1767" s="257"/>
      <c r="S1767" s="258"/>
      <c r="T1767" s="257"/>
      <c r="U1767" s="258"/>
      <c r="V1767" s="257"/>
      <c r="W1767" s="258"/>
      <c r="X1767" s="257"/>
      <c r="Y1767" s="258"/>
      <c r="Z1767" s="257"/>
    </row>
    <row r="1768" spans="1:26" ht="15" hidden="1" customHeight="1">
      <c r="A1768" s="250"/>
      <c r="B1768" s="251"/>
      <c r="C1768" s="540"/>
      <c r="D1768" s="527" t="s">
        <v>1377</v>
      </c>
      <c r="E1768" s="251" t="s">
        <v>2475</v>
      </c>
      <c r="F1768" s="252"/>
      <c r="G1768" s="253"/>
      <c r="H1768" s="254"/>
      <c r="I1768" s="253"/>
      <c r="J1768" s="253"/>
      <c r="K1768" s="251" t="s">
        <v>2475</v>
      </c>
      <c r="L1768" s="262"/>
      <c r="M1768" s="258"/>
      <c r="N1768" s="257"/>
      <c r="O1768" s="258"/>
      <c r="P1768" s="257"/>
      <c r="Q1768" s="258"/>
      <c r="R1768" s="257"/>
      <c r="S1768" s="258"/>
      <c r="T1768" s="257"/>
      <c r="U1768" s="258"/>
      <c r="V1768" s="257"/>
      <c r="W1768" s="258"/>
      <c r="X1768" s="257"/>
      <c r="Y1768" s="258"/>
      <c r="Z1768" s="257"/>
    </row>
    <row r="1769" spans="1:26" ht="15" hidden="1" customHeight="1">
      <c r="A1769" s="250">
        <f>A1765+1</f>
        <v>316</v>
      </c>
      <c r="B1769" s="251"/>
      <c r="C1769" s="540" t="s">
        <v>2397</v>
      </c>
      <c r="D1769" s="335" t="s">
        <v>2114</v>
      </c>
      <c r="E1769" s="251"/>
      <c r="F1769" s="252"/>
      <c r="G1769" s="253"/>
      <c r="H1769" s="254">
        <f>F1769*G1769</f>
        <v>0</v>
      </c>
      <c r="I1769" s="253"/>
      <c r="J1769" s="253"/>
      <c r="K1769" s="251"/>
      <c r="L1769" s="262">
        <f>2.5*96</f>
        <v>240</v>
      </c>
      <c r="M1769" s="258">
        <v>0</v>
      </c>
      <c r="N1769" s="257">
        <f>INT($L1769*M1769*100+0.5)/100</f>
        <v>0</v>
      </c>
      <c r="O1769" s="258">
        <v>0</v>
      </c>
      <c r="P1769" s="257">
        <f>INT($L1769*O1769*100+0.5)/100</f>
        <v>0</v>
      </c>
      <c r="Q1769" s="258">
        <v>0</v>
      </c>
      <c r="R1769" s="257">
        <f>INT($L1769*Q1769*100+0.5)/100</f>
        <v>0</v>
      </c>
      <c r="S1769" s="258">
        <v>0</v>
      </c>
      <c r="T1769" s="257">
        <f>INT($L1769*S1769*100+0.5)/100</f>
        <v>0</v>
      </c>
      <c r="U1769" s="258">
        <v>0</v>
      </c>
      <c r="V1769" s="257">
        <f>INT($L1769*U1769*100+0.5)/100</f>
        <v>0</v>
      </c>
      <c r="W1769" s="258">
        <v>0</v>
      </c>
      <c r="X1769" s="257">
        <f>INT($L1769*W1769*100+0.5)/100</f>
        <v>0</v>
      </c>
      <c r="Y1769" s="258">
        <v>0</v>
      </c>
      <c r="Z1769" s="257">
        <f>INT($L1769*Y1769*100+0.5)/100</f>
        <v>0</v>
      </c>
    </row>
    <row r="1770" spans="1:26" ht="15" hidden="1" customHeight="1">
      <c r="A1770" s="250"/>
      <c r="B1770" s="251"/>
      <c r="C1770" s="540"/>
      <c r="D1770" s="335"/>
      <c r="E1770" s="251"/>
      <c r="F1770" s="252"/>
      <c r="G1770" s="253"/>
      <c r="H1770" s="254"/>
      <c r="I1770" s="253"/>
      <c r="J1770" s="253"/>
      <c r="K1770" s="251"/>
      <c r="L1770" s="262"/>
      <c r="M1770" s="258"/>
      <c r="N1770" s="257"/>
      <c r="O1770" s="258"/>
      <c r="P1770" s="257"/>
      <c r="Q1770" s="258"/>
      <c r="R1770" s="257"/>
      <c r="S1770" s="258"/>
      <c r="T1770" s="257"/>
      <c r="U1770" s="258"/>
      <c r="V1770" s="257"/>
      <c r="W1770" s="258"/>
      <c r="X1770" s="257"/>
      <c r="Y1770" s="258"/>
      <c r="Z1770" s="257"/>
    </row>
    <row r="1771" spans="1:26" ht="15" hidden="1" customHeight="1">
      <c r="A1771" s="250">
        <f>A1769+1</f>
        <v>317</v>
      </c>
      <c r="B1771" s="251"/>
      <c r="C1771" s="540" t="s">
        <v>2391</v>
      </c>
      <c r="D1771" s="527" t="s">
        <v>1787</v>
      </c>
      <c r="E1771" s="251" t="s">
        <v>2475</v>
      </c>
      <c r="F1771" s="252"/>
      <c r="G1771" s="253"/>
      <c r="H1771" s="254"/>
      <c r="I1771" s="253"/>
      <c r="J1771" s="253"/>
      <c r="K1771" s="251" t="s">
        <v>2475</v>
      </c>
      <c r="L1771" s="262"/>
      <c r="M1771" s="258"/>
      <c r="N1771" s="257"/>
      <c r="O1771" s="258"/>
      <c r="P1771" s="257"/>
      <c r="Q1771" s="258"/>
      <c r="R1771" s="257"/>
      <c r="S1771" s="258"/>
      <c r="T1771" s="257"/>
      <c r="U1771" s="258"/>
      <c r="V1771" s="257"/>
      <c r="W1771" s="258"/>
      <c r="X1771" s="257"/>
      <c r="Y1771" s="258"/>
      <c r="Z1771" s="257"/>
    </row>
    <row r="1772" spans="1:26" ht="15" hidden="1" customHeight="1">
      <c r="A1772" s="250"/>
      <c r="B1772" s="251"/>
      <c r="C1772" s="540"/>
      <c r="D1772" s="527" t="s">
        <v>1786</v>
      </c>
      <c r="E1772" s="251" t="s">
        <v>2475</v>
      </c>
      <c r="F1772" s="252"/>
      <c r="G1772" s="253"/>
      <c r="H1772" s="254"/>
      <c r="I1772" s="253"/>
      <c r="J1772" s="253"/>
      <c r="K1772" s="251" t="s">
        <v>2475</v>
      </c>
      <c r="L1772" s="262"/>
      <c r="M1772" s="258"/>
      <c r="N1772" s="257"/>
      <c r="O1772" s="258"/>
      <c r="P1772" s="257"/>
      <c r="Q1772" s="258"/>
      <c r="R1772" s="257"/>
      <c r="S1772" s="258"/>
      <c r="T1772" s="257"/>
      <c r="U1772" s="258"/>
      <c r="V1772" s="257"/>
      <c r="W1772" s="258"/>
      <c r="X1772" s="257"/>
      <c r="Y1772" s="258"/>
      <c r="Z1772" s="257"/>
    </row>
    <row r="1773" spans="1:26" ht="15" hidden="1" customHeight="1">
      <c r="A1773" s="250" t="s">
        <v>1903</v>
      </c>
      <c r="B1773" s="251"/>
      <c r="C1773" s="540" t="s">
        <v>2393</v>
      </c>
      <c r="D1773" s="335" t="s">
        <v>1382</v>
      </c>
      <c r="E1773" s="251"/>
      <c r="F1773" s="252"/>
      <c r="G1773" s="253"/>
      <c r="H1773" s="254">
        <f>F1773*G1773</f>
        <v>0</v>
      </c>
      <c r="I1773" s="253"/>
      <c r="J1773" s="253"/>
      <c r="K1773" s="251"/>
      <c r="L1773" s="262">
        <v>12</v>
      </c>
      <c r="M1773" s="258">
        <v>0</v>
      </c>
      <c r="N1773" s="257">
        <f>INT($L1773*M1773*100+0.5)/100</f>
        <v>0</v>
      </c>
      <c r="O1773" s="258">
        <v>0</v>
      </c>
      <c r="P1773" s="257">
        <f>INT($L1773*O1773*100+0.5)/100</f>
        <v>0</v>
      </c>
      <c r="Q1773" s="258">
        <v>0</v>
      </c>
      <c r="R1773" s="257">
        <f>INT($L1773*Q1773*100+0.5)/100</f>
        <v>0</v>
      </c>
      <c r="S1773" s="258">
        <v>0</v>
      </c>
      <c r="T1773" s="257">
        <f>INT($L1773*S1773*100+0.5)/100</f>
        <v>0</v>
      </c>
      <c r="U1773" s="258">
        <v>0</v>
      </c>
      <c r="V1773" s="257">
        <f>INT($L1773*U1773*100+0.5)/100</f>
        <v>0</v>
      </c>
      <c r="W1773" s="258">
        <v>0</v>
      </c>
      <c r="X1773" s="257">
        <f>INT($L1773*W1773*100+0.5)/100</f>
        <v>0</v>
      </c>
      <c r="Y1773" s="258">
        <v>0</v>
      </c>
      <c r="Z1773" s="257">
        <f>INT($L1773*Y1773*100+0.5)/100</f>
        <v>0</v>
      </c>
    </row>
    <row r="1774" spans="1:26" ht="15" hidden="1" customHeight="1">
      <c r="A1774" s="250" t="s">
        <v>1905</v>
      </c>
      <c r="B1774" s="251"/>
      <c r="C1774" s="540" t="s">
        <v>2394</v>
      </c>
      <c r="D1774" s="335" t="s">
        <v>1384</v>
      </c>
      <c r="E1774" s="251"/>
      <c r="F1774" s="252"/>
      <c r="G1774" s="253"/>
      <c r="H1774" s="254">
        <f>F1774*G1774</f>
        <v>0</v>
      </c>
      <c r="I1774" s="225"/>
      <c r="J1774" s="225"/>
      <c r="K1774" s="251"/>
      <c r="L1774" s="262">
        <v>40</v>
      </c>
      <c r="M1774" s="258">
        <v>0</v>
      </c>
      <c r="N1774" s="257">
        <f>INT($L1774*M1774*100+0.5)/100</f>
        <v>0</v>
      </c>
      <c r="O1774" s="258">
        <v>0</v>
      </c>
      <c r="P1774" s="257">
        <f>INT($L1774*O1774*100+0.5)/100</f>
        <v>0</v>
      </c>
      <c r="Q1774" s="258">
        <v>0</v>
      </c>
      <c r="R1774" s="257">
        <f>INT($L1774*Q1774*100+0.5)/100</f>
        <v>0</v>
      </c>
      <c r="S1774" s="258">
        <v>0</v>
      </c>
      <c r="T1774" s="257">
        <f>INT($L1774*S1774*100+0.5)/100</f>
        <v>0</v>
      </c>
      <c r="U1774" s="258">
        <v>0</v>
      </c>
      <c r="V1774" s="257">
        <f>INT($L1774*U1774*100+0.5)/100</f>
        <v>0</v>
      </c>
      <c r="W1774" s="258">
        <v>0</v>
      </c>
      <c r="X1774" s="257">
        <f>INT($L1774*W1774*100+0.5)/100</f>
        <v>0</v>
      </c>
      <c r="Y1774" s="258">
        <v>0</v>
      </c>
      <c r="Z1774" s="257">
        <f>INT($L1774*Y1774*100+0.5)/100</f>
        <v>0</v>
      </c>
    </row>
    <row r="1775" spans="1:26" ht="15" hidden="1" customHeight="1">
      <c r="A1775" s="250" t="s">
        <v>1906</v>
      </c>
      <c r="B1775" s="251"/>
      <c r="C1775" s="540" t="s">
        <v>2395</v>
      </c>
      <c r="D1775" s="335" t="s">
        <v>510</v>
      </c>
      <c r="E1775" s="251"/>
      <c r="F1775" s="252"/>
      <c r="G1775" s="253"/>
      <c r="H1775" s="254">
        <f>F1775*G1775</f>
        <v>0</v>
      </c>
      <c r="I1775" s="225"/>
      <c r="J1775" s="225"/>
      <c r="K1775" s="251"/>
      <c r="L1775" s="262">
        <v>55</v>
      </c>
      <c r="M1775" s="258">
        <v>0</v>
      </c>
      <c r="N1775" s="257">
        <f>INT($L1775*M1775*100+0.5)/100</f>
        <v>0</v>
      </c>
      <c r="O1775" s="258">
        <v>0</v>
      </c>
      <c r="P1775" s="257">
        <f>INT($L1775*O1775*100+0.5)/100</f>
        <v>0</v>
      </c>
      <c r="Q1775" s="258">
        <v>0</v>
      </c>
      <c r="R1775" s="257">
        <f>INT($L1775*Q1775*100+0.5)/100</f>
        <v>0</v>
      </c>
      <c r="S1775" s="258">
        <v>0</v>
      </c>
      <c r="T1775" s="257">
        <f>INT($L1775*S1775*100+0.5)/100</f>
        <v>0</v>
      </c>
      <c r="U1775" s="258">
        <v>0</v>
      </c>
      <c r="V1775" s="257">
        <f>INT($L1775*U1775*100+0.5)/100</f>
        <v>0</v>
      </c>
      <c r="W1775" s="258">
        <v>0</v>
      </c>
      <c r="X1775" s="257">
        <f>INT($L1775*W1775*100+0.5)/100</f>
        <v>0</v>
      </c>
      <c r="Y1775" s="258">
        <v>0</v>
      </c>
      <c r="Z1775" s="257">
        <f>INT($L1775*Y1775*100+0.5)/100</f>
        <v>0</v>
      </c>
    </row>
    <row r="1776" spans="1:26" ht="15" hidden="1" customHeight="1">
      <c r="A1776" s="250" t="s">
        <v>1907</v>
      </c>
      <c r="B1776" s="251"/>
      <c r="C1776" s="540" t="s">
        <v>509</v>
      </c>
      <c r="D1776" s="335" t="s">
        <v>1383</v>
      </c>
      <c r="E1776" s="251"/>
      <c r="F1776" s="252"/>
      <c r="G1776" s="253"/>
      <c r="H1776" s="254">
        <f>F1776*G1776</f>
        <v>0</v>
      </c>
      <c r="I1776" s="253"/>
      <c r="J1776" s="253"/>
      <c r="K1776" s="251"/>
      <c r="L1776" s="262">
        <f>INT(150000/1936.27*100+0.5)/100</f>
        <v>77.47</v>
      </c>
      <c r="M1776" s="258">
        <v>0</v>
      </c>
      <c r="N1776" s="257">
        <f>INT($L1776*M1776*100+0.5)/100</f>
        <v>0</v>
      </c>
      <c r="O1776" s="258">
        <v>0</v>
      </c>
      <c r="P1776" s="257">
        <f>INT($L1776*O1776*100+0.5)/100</f>
        <v>0</v>
      </c>
      <c r="Q1776" s="258">
        <v>0</v>
      </c>
      <c r="R1776" s="257">
        <f>INT($L1776*Q1776*100+0.5)/100</f>
        <v>0</v>
      </c>
      <c r="S1776" s="258">
        <v>0</v>
      </c>
      <c r="T1776" s="257">
        <f>INT($L1776*S1776*100+0.5)/100</f>
        <v>0</v>
      </c>
      <c r="U1776" s="258">
        <v>0</v>
      </c>
      <c r="V1776" s="257">
        <f>INT($L1776*U1776*100+0.5)/100</f>
        <v>0</v>
      </c>
      <c r="W1776" s="258">
        <v>0</v>
      </c>
      <c r="X1776" s="257">
        <f>INT($L1776*W1776*100+0.5)/100</f>
        <v>0</v>
      </c>
      <c r="Y1776" s="258">
        <v>0</v>
      </c>
      <c r="Z1776" s="257">
        <f>INT($L1776*Y1776*100+0.5)/100</f>
        <v>0</v>
      </c>
    </row>
    <row r="1777" spans="1:26" ht="15" hidden="1" customHeight="1">
      <c r="A1777" s="250"/>
      <c r="B1777" s="251"/>
      <c r="C1777" s="540"/>
      <c r="D1777" s="335"/>
      <c r="E1777" s="251"/>
      <c r="F1777" s="252"/>
      <c r="G1777" s="253"/>
      <c r="H1777" s="254"/>
      <c r="I1777" s="253"/>
      <c r="J1777" s="253"/>
      <c r="K1777" s="251"/>
      <c r="L1777" s="262"/>
      <c r="M1777" s="258"/>
      <c r="N1777" s="257"/>
      <c r="O1777" s="258"/>
      <c r="P1777" s="257"/>
      <c r="Q1777" s="258"/>
      <c r="R1777" s="257"/>
      <c r="S1777" s="258"/>
      <c r="T1777" s="257"/>
      <c r="U1777" s="258"/>
      <c r="V1777" s="257"/>
      <c r="W1777" s="258"/>
      <c r="X1777" s="257"/>
      <c r="Y1777" s="258"/>
      <c r="Z1777" s="257"/>
    </row>
    <row r="1778" spans="1:26" ht="15" hidden="1" customHeight="1">
      <c r="A1778" s="250">
        <f>A1771+1</f>
        <v>318</v>
      </c>
      <c r="B1778" s="251">
        <v>69</v>
      </c>
      <c r="C1778" s="540" t="s">
        <v>2396</v>
      </c>
      <c r="D1778" s="527" t="s">
        <v>2186</v>
      </c>
      <c r="E1778" s="251" t="s">
        <v>1901</v>
      </c>
      <c r="F1778" s="252"/>
      <c r="G1778" s="253"/>
      <c r="H1778" s="254"/>
      <c r="I1778" s="253"/>
      <c r="J1778" s="253"/>
      <c r="K1778" s="251" t="s">
        <v>1901</v>
      </c>
      <c r="L1778" s="262"/>
      <c r="M1778" s="258"/>
      <c r="N1778" s="257"/>
      <c r="O1778" s="258"/>
      <c r="P1778" s="257"/>
      <c r="Q1778" s="258"/>
      <c r="R1778" s="257"/>
      <c r="S1778" s="258"/>
      <c r="T1778" s="257"/>
      <c r="U1778" s="258"/>
      <c r="V1778" s="257"/>
      <c r="W1778" s="258"/>
      <c r="X1778" s="257"/>
      <c r="Y1778" s="258"/>
      <c r="Z1778" s="257"/>
    </row>
    <row r="1779" spans="1:26" ht="15" hidden="1" customHeight="1">
      <c r="A1779" s="250"/>
      <c r="B1779" s="251"/>
      <c r="C1779" s="540"/>
      <c r="D1779" s="527" t="s">
        <v>2185</v>
      </c>
      <c r="E1779" s="251" t="s">
        <v>1902</v>
      </c>
      <c r="F1779" s="252"/>
      <c r="G1779" s="253"/>
      <c r="H1779" s="254"/>
      <c r="I1779" s="253"/>
      <c r="J1779" s="253"/>
      <c r="K1779" s="251" t="s">
        <v>1902</v>
      </c>
      <c r="L1779" s="262"/>
      <c r="M1779" s="258"/>
      <c r="N1779" s="257"/>
      <c r="O1779" s="258"/>
      <c r="P1779" s="257"/>
      <c r="Q1779" s="258"/>
      <c r="R1779" s="257"/>
      <c r="S1779" s="258"/>
      <c r="T1779" s="257"/>
      <c r="U1779" s="258"/>
      <c r="V1779" s="257"/>
      <c r="W1779" s="258"/>
      <c r="X1779" s="257"/>
      <c r="Y1779" s="258"/>
      <c r="Z1779" s="257"/>
    </row>
    <row r="1780" spans="1:26" ht="15" hidden="1" customHeight="1">
      <c r="A1780" s="331" t="s">
        <v>1903</v>
      </c>
      <c r="B1780" s="251" t="s">
        <v>1903</v>
      </c>
      <c r="C1780" s="540" t="s">
        <v>2398</v>
      </c>
      <c r="D1780" s="335" t="s">
        <v>2187</v>
      </c>
      <c r="E1780" s="251"/>
      <c r="F1780" s="252"/>
      <c r="G1780" s="253"/>
      <c r="H1780" s="254">
        <f>F1780*G1780</f>
        <v>0</v>
      </c>
      <c r="I1780" s="253"/>
      <c r="J1780" s="253"/>
      <c r="K1780" s="251"/>
      <c r="L1780" s="262">
        <v>115</v>
      </c>
      <c r="M1780" s="258">
        <v>0</v>
      </c>
      <c r="N1780" s="257">
        <f>INT($L1780*M1780*100+0.5)/100</f>
        <v>0</v>
      </c>
      <c r="O1780" s="258">
        <v>0</v>
      </c>
      <c r="P1780" s="257">
        <f>INT($L1780*O1780*100+0.5)/100</f>
        <v>0</v>
      </c>
      <c r="Q1780" s="258">
        <v>0</v>
      </c>
      <c r="R1780" s="257">
        <f>INT($L1780*Q1780*100+0.5)/100</f>
        <v>0</v>
      </c>
      <c r="S1780" s="258">
        <v>0</v>
      </c>
      <c r="T1780" s="257">
        <f>INT($L1780*S1780*100+0.5)/100</f>
        <v>0</v>
      </c>
      <c r="U1780" s="258">
        <v>0</v>
      </c>
      <c r="V1780" s="257">
        <f>INT($L1780*U1780*100+0.5)/100</f>
        <v>0</v>
      </c>
      <c r="W1780" s="258">
        <v>0</v>
      </c>
      <c r="X1780" s="257">
        <f>INT($L1780*W1780*100+0.5)/100</f>
        <v>0</v>
      </c>
      <c r="Y1780" s="258">
        <v>0</v>
      </c>
      <c r="Z1780" s="257">
        <f>INT($L1780*Y1780*100+0.5)/100</f>
        <v>0</v>
      </c>
    </row>
    <row r="1781" spans="1:26" ht="15" hidden="1" customHeight="1">
      <c r="A1781" s="331" t="s">
        <v>1905</v>
      </c>
      <c r="B1781" s="251" t="s">
        <v>1905</v>
      </c>
      <c r="C1781" s="540" t="s">
        <v>2399</v>
      </c>
      <c r="D1781" s="335" t="s">
        <v>2188</v>
      </c>
      <c r="E1781" s="251"/>
      <c r="F1781" s="252"/>
      <c r="G1781" s="253"/>
      <c r="H1781" s="254">
        <f>F1781*G1781</f>
        <v>0</v>
      </c>
      <c r="I1781" s="253"/>
      <c r="J1781" s="253"/>
      <c r="K1781" s="251"/>
      <c r="L1781" s="262">
        <v>155</v>
      </c>
      <c r="M1781" s="258">
        <v>0</v>
      </c>
      <c r="N1781" s="257">
        <f>INT($L1781*M1781*100+0.5)/100</f>
        <v>0</v>
      </c>
      <c r="O1781" s="258">
        <v>0</v>
      </c>
      <c r="P1781" s="257">
        <f>INT($L1781*O1781*100+0.5)/100</f>
        <v>0</v>
      </c>
      <c r="Q1781" s="258">
        <v>0</v>
      </c>
      <c r="R1781" s="257">
        <f>INT($L1781*Q1781*100+0.5)/100</f>
        <v>0</v>
      </c>
      <c r="S1781" s="258">
        <v>0</v>
      </c>
      <c r="T1781" s="257">
        <f>INT($L1781*S1781*100+0.5)/100</f>
        <v>0</v>
      </c>
      <c r="U1781" s="258">
        <v>0</v>
      </c>
      <c r="V1781" s="257">
        <f>INT($L1781*U1781*100+0.5)/100</f>
        <v>0</v>
      </c>
      <c r="W1781" s="258">
        <v>0</v>
      </c>
      <c r="X1781" s="257">
        <f>INT($L1781*W1781*100+0.5)/100</f>
        <v>0</v>
      </c>
      <c r="Y1781" s="258">
        <v>0</v>
      </c>
      <c r="Z1781" s="257">
        <f>INT($L1781*Y1781*100+0.5)/100</f>
        <v>0</v>
      </c>
    </row>
    <row r="1782" spans="1:26" ht="15" hidden="1" customHeight="1">
      <c r="A1782" s="331" t="s">
        <v>1906</v>
      </c>
      <c r="B1782" s="251"/>
      <c r="C1782" s="540" t="s">
        <v>2400</v>
      </c>
      <c r="D1782" s="335" t="s">
        <v>2189</v>
      </c>
      <c r="E1782" s="251"/>
      <c r="F1782" s="252"/>
      <c r="G1782" s="253"/>
      <c r="H1782" s="254">
        <f>F1782*G1782</f>
        <v>0</v>
      </c>
      <c r="I1782" s="253"/>
      <c r="J1782" s="253"/>
      <c r="K1782" s="251"/>
      <c r="L1782" s="262">
        <v>205</v>
      </c>
      <c r="M1782" s="258">
        <v>0</v>
      </c>
      <c r="N1782" s="257">
        <f>INT($L1782*M1782*100+0.5)/100</f>
        <v>0</v>
      </c>
      <c r="O1782" s="258">
        <v>0</v>
      </c>
      <c r="P1782" s="257">
        <f>INT($L1782*O1782*100+0.5)/100</f>
        <v>0</v>
      </c>
      <c r="Q1782" s="258">
        <v>0</v>
      </c>
      <c r="R1782" s="257">
        <f>INT($L1782*Q1782*100+0.5)/100</f>
        <v>0</v>
      </c>
      <c r="S1782" s="258">
        <v>0</v>
      </c>
      <c r="T1782" s="257">
        <f>INT($L1782*S1782*100+0.5)/100</f>
        <v>0</v>
      </c>
      <c r="U1782" s="258">
        <v>0</v>
      </c>
      <c r="V1782" s="257">
        <f>INT($L1782*U1782*100+0.5)/100</f>
        <v>0</v>
      </c>
      <c r="W1782" s="258">
        <v>0</v>
      </c>
      <c r="X1782" s="257">
        <f>INT($L1782*W1782*100+0.5)/100</f>
        <v>0</v>
      </c>
      <c r="Y1782" s="258">
        <v>0</v>
      </c>
      <c r="Z1782" s="257">
        <f>INT($L1782*Y1782*100+0.5)/100</f>
        <v>0</v>
      </c>
    </row>
    <row r="1783" spans="1:26" ht="15" hidden="1" customHeight="1">
      <c r="A1783" s="250"/>
      <c r="B1783" s="251"/>
      <c r="C1783" s="540"/>
      <c r="D1783" s="335"/>
      <c r="E1783" s="251"/>
      <c r="F1783" s="252"/>
      <c r="G1783" s="253"/>
      <c r="H1783" s="254"/>
      <c r="I1783" s="253"/>
      <c r="J1783" s="253"/>
      <c r="K1783" s="251"/>
      <c r="L1783" s="262"/>
      <c r="M1783" s="258"/>
      <c r="N1783" s="257"/>
      <c r="O1783" s="258"/>
      <c r="P1783" s="257"/>
      <c r="Q1783" s="258"/>
      <c r="R1783" s="257"/>
      <c r="S1783" s="258"/>
      <c r="T1783" s="257"/>
      <c r="U1783" s="258"/>
      <c r="V1783" s="257"/>
      <c r="W1783" s="258"/>
      <c r="X1783" s="257"/>
      <c r="Y1783" s="258"/>
      <c r="Z1783" s="257"/>
    </row>
    <row r="1784" spans="1:26" ht="15" hidden="1" customHeight="1">
      <c r="A1784" s="250">
        <f>A1778+1</f>
        <v>319</v>
      </c>
      <c r="B1784" s="251"/>
      <c r="C1784" s="540" t="s">
        <v>2401</v>
      </c>
      <c r="D1784" s="527" t="s">
        <v>1807</v>
      </c>
      <c r="E1784" s="251" t="s">
        <v>1901</v>
      </c>
      <c r="F1784" s="252"/>
      <c r="G1784" s="253"/>
      <c r="H1784" s="254">
        <f>F1784*G1784</f>
        <v>0</v>
      </c>
      <c r="I1784" s="253"/>
      <c r="J1784" s="253"/>
      <c r="K1784" s="251" t="s">
        <v>1901</v>
      </c>
      <c r="L1784" s="262">
        <f>160</f>
        <v>160</v>
      </c>
      <c r="M1784" s="258">
        <v>0</v>
      </c>
      <c r="N1784" s="257">
        <f>INT($L1784*M1784*100+0.5)/100</f>
        <v>0</v>
      </c>
      <c r="O1784" s="258">
        <v>0</v>
      </c>
      <c r="P1784" s="257">
        <f>INT($L1784*O1784*100+0.5)/100</f>
        <v>0</v>
      </c>
      <c r="Q1784" s="258">
        <v>0</v>
      </c>
      <c r="R1784" s="257">
        <f>INT($L1784*Q1784*100+0.5)/100</f>
        <v>0</v>
      </c>
      <c r="S1784" s="258">
        <v>0</v>
      </c>
      <c r="T1784" s="257">
        <f>INT($L1784*S1784*100+0.5)/100</f>
        <v>0</v>
      </c>
      <c r="U1784" s="258">
        <v>0</v>
      </c>
      <c r="V1784" s="257">
        <f>INT($L1784*U1784*100+0.5)/100</f>
        <v>0</v>
      </c>
      <c r="W1784" s="258">
        <v>0</v>
      </c>
      <c r="X1784" s="257">
        <f>INT($L1784*W1784*100+0.5)/100</f>
        <v>0</v>
      </c>
      <c r="Y1784" s="258">
        <v>0</v>
      </c>
      <c r="Z1784" s="257">
        <f>INT($L1784*Y1784*100+0.5)/100</f>
        <v>0</v>
      </c>
    </row>
    <row r="1785" spans="1:26" ht="15" hidden="1" customHeight="1">
      <c r="A1785" s="250"/>
      <c r="B1785" s="251"/>
      <c r="C1785" s="540"/>
      <c r="D1785" s="527" t="s">
        <v>2190</v>
      </c>
      <c r="E1785" s="251" t="s">
        <v>1902</v>
      </c>
      <c r="F1785" s="252"/>
      <c r="G1785" s="253"/>
      <c r="H1785" s="254"/>
      <c r="I1785" s="253"/>
      <c r="J1785" s="253"/>
      <c r="K1785" s="251" t="s">
        <v>1902</v>
      </c>
      <c r="L1785" s="262"/>
      <c r="M1785" s="258"/>
      <c r="N1785" s="257"/>
      <c r="O1785" s="258"/>
      <c r="P1785" s="257"/>
      <c r="Q1785" s="258"/>
      <c r="R1785" s="257"/>
      <c r="S1785" s="258"/>
      <c r="T1785" s="257"/>
      <c r="U1785" s="258"/>
      <c r="V1785" s="257"/>
      <c r="W1785" s="258"/>
      <c r="X1785" s="257"/>
      <c r="Y1785" s="258"/>
      <c r="Z1785" s="257"/>
    </row>
    <row r="1786" spans="1:26" ht="15" hidden="1" customHeight="1">
      <c r="A1786" s="250"/>
      <c r="B1786" s="251"/>
      <c r="C1786" s="540"/>
      <c r="D1786" s="335"/>
      <c r="E1786" s="251"/>
      <c r="F1786" s="252"/>
      <c r="G1786" s="253"/>
      <c r="H1786" s="254"/>
      <c r="I1786" s="253"/>
      <c r="J1786" s="253"/>
      <c r="K1786" s="251"/>
      <c r="L1786" s="262"/>
      <c r="M1786" s="258"/>
      <c r="N1786" s="257"/>
      <c r="O1786" s="258"/>
      <c r="P1786" s="257"/>
      <c r="Q1786" s="258"/>
      <c r="R1786" s="257"/>
      <c r="S1786" s="258"/>
      <c r="T1786" s="257"/>
      <c r="U1786" s="258"/>
      <c r="V1786" s="257"/>
      <c r="W1786" s="258"/>
      <c r="X1786" s="257"/>
      <c r="Y1786" s="258"/>
      <c r="Z1786" s="257"/>
    </row>
    <row r="1787" spans="1:26" ht="15" hidden="1" customHeight="1">
      <c r="A1787" s="264"/>
      <c r="B1787" s="265"/>
      <c r="C1787" s="342"/>
      <c r="D1787" s="343" t="s">
        <v>313</v>
      </c>
      <c r="E1787" s="265"/>
      <c r="F1787" s="268"/>
      <c r="G1787" s="253"/>
      <c r="H1787" s="263"/>
      <c r="I1787" s="391"/>
      <c r="J1787" s="391"/>
      <c r="K1787" s="265"/>
      <c r="L1787" s="344"/>
      <c r="M1787" s="273"/>
      <c r="N1787" s="345"/>
      <c r="O1787" s="273"/>
      <c r="P1787" s="345"/>
      <c r="Q1787" s="273"/>
      <c r="R1787" s="345"/>
      <c r="S1787" s="273"/>
      <c r="T1787" s="345"/>
      <c r="U1787" s="273"/>
      <c r="V1787" s="345"/>
      <c r="W1787" s="273"/>
      <c r="X1787" s="345"/>
      <c r="Y1787" s="273"/>
      <c r="Z1787" s="345"/>
    </row>
    <row r="1788" spans="1:26" ht="15" hidden="1" customHeight="1">
      <c r="A1788" s="250">
        <f>A1784+1</f>
        <v>320</v>
      </c>
      <c r="B1788" s="251"/>
      <c r="C1788" s="526" t="s">
        <v>2413</v>
      </c>
      <c r="D1788" s="527" t="s">
        <v>308</v>
      </c>
      <c r="E1788" s="251"/>
      <c r="F1788" s="252"/>
      <c r="G1788" s="253"/>
      <c r="H1788" s="254"/>
      <c r="I1788" s="225"/>
      <c r="J1788" s="225"/>
      <c r="K1788" s="251"/>
      <c r="L1788" s="262"/>
      <c r="M1788" s="316"/>
      <c r="N1788" s="257"/>
      <c r="O1788" s="316"/>
      <c r="P1788" s="257"/>
      <c r="Q1788" s="316"/>
      <c r="R1788" s="257"/>
      <c r="S1788" s="316"/>
      <c r="T1788" s="257"/>
      <c r="U1788" s="316"/>
      <c r="V1788" s="257"/>
      <c r="W1788" s="316"/>
      <c r="X1788" s="257"/>
      <c r="Y1788" s="316"/>
      <c r="Z1788" s="257"/>
    </row>
    <row r="1789" spans="1:26" ht="15" hidden="1" customHeight="1">
      <c r="A1789" s="250"/>
      <c r="B1789" s="251"/>
      <c r="C1789" s="326"/>
      <c r="D1789" s="527" t="s">
        <v>307</v>
      </c>
      <c r="E1789" s="251"/>
      <c r="F1789" s="252"/>
      <c r="G1789" s="253"/>
      <c r="H1789" s="254"/>
      <c r="I1789" s="225"/>
      <c r="J1789" s="225"/>
      <c r="K1789" s="251"/>
      <c r="L1789" s="262"/>
      <c r="M1789" s="316"/>
      <c r="N1789" s="257"/>
      <c r="O1789" s="316"/>
      <c r="P1789" s="257"/>
      <c r="Q1789" s="316"/>
      <c r="R1789" s="257"/>
      <c r="S1789" s="316"/>
      <c r="T1789" s="257"/>
      <c r="U1789" s="316"/>
      <c r="V1789" s="257"/>
      <c r="W1789" s="316"/>
      <c r="X1789" s="257"/>
      <c r="Y1789" s="316"/>
      <c r="Z1789" s="257"/>
    </row>
    <row r="1790" spans="1:26" ht="15" hidden="1" customHeight="1">
      <c r="A1790" s="250" t="s">
        <v>1903</v>
      </c>
      <c r="B1790" s="251"/>
      <c r="C1790" s="540" t="s">
        <v>2414</v>
      </c>
      <c r="D1790" s="335" t="s">
        <v>309</v>
      </c>
      <c r="E1790" s="251" t="s">
        <v>2475</v>
      </c>
      <c r="F1790" s="252"/>
      <c r="G1790" s="253"/>
      <c r="H1790" s="254">
        <f>F1790*G1790</f>
        <v>0</v>
      </c>
      <c r="I1790" s="225"/>
      <c r="J1790" s="225"/>
      <c r="K1790" s="251" t="s">
        <v>2475</v>
      </c>
      <c r="L1790" s="262">
        <f>INT((9.2+7.83/3)*1.1*100+0.5)/100</f>
        <v>12.99</v>
      </c>
      <c r="M1790" s="258">
        <v>0</v>
      </c>
      <c r="N1790" s="257">
        <f>INT($L1790*M1790*100+0.5)/100</f>
        <v>0</v>
      </c>
      <c r="O1790" s="258">
        <v>0</v>
      </c>
      <c r="P1790" s="257">
        <f>INT($L1790*O1790*100+0.5)/100</f>
        <v>0</v>
      </c>
      <c r="Q1790" s="258">
        <v>0</v>
      </c>
      <c r="R1790" s="257">
        <f>INT($L1790*Q1790*100+0.5)/100</f>
        <v>0</v>
      </c>
      <c r="S1790" s="258">
        <v>0</v>
      </c>
      <c r="T1790" s="257">
        <f>INT($L1790*S1790*100+0.5)/100</f>
        <v>0</v>
      </c>
      <c r="U1790" s="258">
        <v>0</v>
      </c>
      <c r="V1790" s="257">
        <f>INT($L1790*U1790*100+0.5)/100</f>
        <v>0</v>
      </c>
      <c r="W1790" s="258">
        <v>0</v>
      </c>
      <c r="X1790" s="257">
        <f>INT($L1790*W1790*100+0.5)/100</f>
        <v>0</v>
      </c>
      <c r="Y1790" s="258">
        <v>0</v>
      </c>
      <c r="Z1790" s="257">
        <f>INT($L1790*Y1790*100+0.5)/100</f>
        <v>0</v>
      </c>
    </row>
    <row r="1791" spans="1:26" ht="15" hidden="1" customHeight="1">
      <c r="A1791" s="250" t="s">
        <v>1905</v>
      </c>
      <c r="B1791" s="251"/>
      <c r="C1791" s="540" t="s">
        <v>2415</v>
      </c>
      <c r="D1791" s="335" t="s">
        <v>310</v>
      </c>
      <c r="E1791" s="251" t="s">
        <v>2475</v>
      </c>
      <c r="F1791" s="252"/>
      <c r="G1791" s="253"/>
      <c r="H1791" s="254">
        <f>F1791*G1791</f>
        <v>0</v>
      </c>
      <c r="I1791" s="225"/>
      <c r="J1791" s="225"/>
      <c r="K1791" s="251" t="s">
        <v>2475</v>
      </c>
      <c r="L1791" s="262">
        <f>INT((20.14+12.68/3)*1.1*100+0.5)/100</f>
        <v>26.8</v>
      </c>
      <c r="M1791" s="258">
        <v>0</v>
      </c>
      <c r="N1791" s="257">
        <f>INT($L1791*M1791*100+0.5)/100</f>
        <v>0</v>
      </c>
      <c r="O1791" s="258">
        <v>0</v>
      </c>
      <c r="P1791" s="257">
        <f>INT($L1791*O1791*100+0.5)/100</f>
        <v>0</v>
      </c>
      <c r="Q1791" s="258">
        <v>0</v>
      </c>
      <c r="R1791" s="257">
        <f>INT($L1791*Q1791*100+0.5)/100</f>
        <v>0</v>
      </c>
      <c r="S1791" s="258">
        <v>0</v>
      </c>
      <c r="T1791" s="257">
        <f>INT($L1791*S1791*100+0.5)/100</f>
        <v>0</v>
      </c>
      <c r="U1791" s="258">
        <v>0</v>
      </c>
      <c r="V1791" s="257">
        <f>INT($L1791*U1791*100+0.5)/100</f>
        <v>0</v>
      </c>
      <c r="W1791" s="258">
        <v>0</v>
      </c>
      <c r="X1791" s="257">
        <f>INT($L1791*W1791*100+0.5)/100</f>
        <v>0</v>
      </c>
      <c r="Y1791" s="258">
        <v>0</v>
      </c>
      <c r="Z1791" s="257">
        <f>INT($L1791*Y1791*100+0.5)/100</f>
        <v>0</v>
      </c>
    </row>
    <row r="1792" spans="1:26" ht="15" hidden="1" customHeight="1">
      <c r="A1792" s="250" t="s">
        <v>1906</v>
      </c>
      <c r="B1792" s="251"/>
      <c r="C1792" s="540" t="s">
        <v>2416</v>
      </c>
      <c r="D1792" s="335" t="s">
        <v>311</v>
      </c>
      <c r="E1792" s="251" t="s">
        <v>2475</v>
      </c>
      <c r="F1792" s="252"/>
      <c r="G1792" s="253"/>
      <c r="H1792" s="254">
        <f>F1792*G1792</f>
        <v>0</v>
      </c>
      <c r="I1792" s="225"/>
      <c r="J1792" s="225"/>
      <c r="K1792" s="251" t="s">
        <v>2475</v>
      </c>
      <c r="L1792" s="262">
        <f>INT((24.61+17.9/3)*1.1*100+0.5)/100</f>
        <v>33.630000000000003</v>
      </c>
      <c r="M1792" s="258">
        <v>0</v>
      </c>
      <c r="N1792" s="257">
        <f>INT($L1792*M1792*100+0.5)/100</f>
        <v>0</v>
      </c>
      <c r="O1792" s="258">
        <v>0</v>
      </c>
      <c r="P1792" s="257">
        <f>INT($L1792*O1792*100+0.5)/100</f>
        <v>0</v>
      </c>
      <c r="Q1792" s="258">
        <v>0</v>
      </c>
      <c r="R1792" s="257">
        <f>INT($L1792*Q1792*100+0.5)/100</f>
        <v>0</v>
      </c>
      <c r="S1792" s="258">
        <v>0</v>
      </c>
      <c r="T1792" s="257">
        <f>INT($L1792*S1792*100+0.5)/100</f>
        <v>0</v>
      </c>
      <c r="U1792" s="258">
        <v>0</v>
      </c>
      <c r="V1792" s="257">
        <f>INT($L1792*U1792*100+0.5)/100</f>
        <v>0</v>
      </c>
      <c r="W1792" s="258">
        <v>0</v>
      </c>
      <c r="X1792" s="257">
        <f>INT($L1792*W1792*100+0.5)/100</f>
        <v>0</v>
      </c>
      <c r="Y1792" s="258">
        <v>0</v>
      </c>
      <c r="Z1792" s="257">
        <f>INT($L1792*Y1792*100+0.5)/100</f>
        <v>0</v>
      </c>
    </row>
    <row r="1793" spans="1:26" ht="15" hidden="1" customHeight="1">
      <c r="A1793" s="250" t="s">
        <v>1907</v>
      </c>
      <c r="B1793" s="251"/>
      <c r="C1793" s="540" t="s">
        <v>2417</v>
      </c>
      <c r="D1793" s="335" t="s">
        <v>312</v>
      </c>
      <c r="E1793" s="251" t="s">
        <v>2475</v>
      </c>
      <c r="F1793" s="252"/>
      <c r="G1793" s="253"/>
      <c r="H1793" s="254">
        <f>F1793*G1793</f>
        <v>0</v>
      </c>
      <c r="I1793" s="225"/>
      <c r="J1793" s="225"/>
      <c r="K1793" s="251" t="s">
        <v>2475</v>
      </c>
      <c r="L1793" s="262">
        <f>INT((52.7+42.26/3)*1.1*100+0.5)/100</f>
        <v>73.47</v>
      </c>
      <c r="M1793" s="258">
        <v>0</v>
      </c>
      <c r="N1793" s="257">
        <f>INT($L1793*M1793*100+0.5)/100</f>
        <v>0</v>
      </c>
      <c r="O1793" s="258">
        <v>0</v>
      </c>
      <c r="P1793" s="257">
        <f>INT($L1793*O1793*100+0.5)/100</f>
        <v>0</v>
      </c>
      <c r="Q1793" s="258">
        <v>0</v>
      </c>
      <c r="R1793" s="257">
        <f>INT($L1793*Q1793*100+0.5)/100</f>
        <v>0</v>
      </c>
      <c r="S1793" s="258">
        <v>0</v>
      </c>
      <c r="T1793" s="257">
        <f>INT($L1793*S1793*100+0.5)/100</f>
        <v>0</v>
      </c>
      <c r="U1793" s="258">
        <v>0</v>
      </c>
      <c r="V1793" s="257">
        <f>INT($L1793*U1793*100+0.5)/100</f>
        <v>0</v>
      </c>
      <c r="W1793" s="258">
        <v>0</v>
      </c>
      <c r="X1793" s="257">
        <f>INT($L1793*W1793*100+0.5)/100</f>
        <v>0</v>
      </c>
      <c r="Y1793" s="258">
        <v>0</v>
      </c>
      <c r="Z1793" s="257">
        <f>INT($L1793*Y1793*100+0.5)/100</f>
        <v>0</v>
      </c>
    </row>
    <row r="1794" spans="1:26" ht="15" hidden="1" customHeight="1">
      <c r="A1794" s="250"/>
      <c r="B1794" s="251"/>
      <c r="C1794" s="540"/>
      <c r="D1794" s="335"/>
      <c r="E1794" s="251"/>
      <c r="F1794" s="252"/>
      <c r="G1794" s="253"/>
      <c r="H1794" s="254"/>
      <c r="I1794" s="225"/>
      <c r="J1794" s="225"/>
      <c r="K1794" s="251"/>
      <c r="L1794" s="262"/>
      <c r="M1794" s="316"/>
      <c r="N1794" s="257"/>
      <c r="O1794" s="316"/>
      <c r="P1794" s="257"/>
      <c r="Q1794" s="316"/>
      <c r="R1794" s="257"/>
      <c r="S1794" s="316"/>
      <c r="T1794" s="257"/>
      <c r="U1794" s="316"/>
      <c r="V1794" s="257"/>
      <c r="W1794" s="316"/>
      <c r="X1794" s="257"/>
      <c r="Y1794" s="316"/>
      <c r="Z1794" s="257"/>
    </row>
    <row r="1795" spans="1:26" ht="15" hidden="1" customHeight="1">
      <c r="A1795" s="250">
        <f>A1788+1</f>
        <v>321</v>
      </c>
      <c r="B1795" s="251">
        <v>64</v>
      </c>
      <c r="C1795" s="540" t="s">
        <v>1349</v>
      </c>
      <c r="D1795" s="527" t="s">
        <v>315</v>
      </c>
      <c r="E1795" s="251" t="s">
        <v>1901</v>
      </c>
      <c r="F1795" s="252"/>
      <c r="G1795" s="253"/>
      <c r="H1795" s="254"/>
      <c r="I1795" s="225"/>
      <c r="J1795" s="225"/>
      <c r="K1795" s="251" t="s">
        <v>1901</v>
      </c>
      <c r="L1795" s="262"/>
      <c r="M1795" s="258"/>
      <c r="N1795" s="257"/>
      <c r="O1795" s="258"/>
      <c r="P1795" s="257"/>
      <c r="Q1795" s="258"/>
      <c r="R1795" s="257"/>
      <c r="S1795" s="258"/>
      <c r="T1795" s="257"/>
      <c r="U1795" s="258"/>
      <c r="V1795" s="257"/>
      <c r="W1795" s="258"/>
      <c r="X1795" s="257"/>
      <c r="Y1795" s="258"/>
      <c r="Z1795" s="257"/>
    </row>
    <row r="1796" spans="1:26" ht="15" hidden="1" customHeight="1">
      <c r="A1796" s="250"/>
      <c r="B1796" s="251"/>
      <c r="C1796" s="540"/>
      <c r="D1796" s="527" t="s">
        <v>314</v>
      </c>
      <c r="E1796" s="251" t="s">
        <v>1902</v>
      </c>
      <c r="F1796" s="252"/>
      <c r="G1796" s="253"/>
      <c r="H1796" s="254"/>
      <c r="I1796" s="225"/>
      <c r="J1796" s="225"/>
      <c r="K1796" s="251" t="s">
        <v>1902</v>
      </c>
      <c r="L1796" s="262"/>
      <c r="M1796" s="258"/>
      <c r="N1796" s="257"/>
      <c r="O1796" s="258"/>
      <c r="P1796" s="257"/>
      <c r="Q1796" s="258"/>
      <c r="R1796" s="257"/>
      <c r="S1796" s="258"/>
      <c r="T1796" s="257"/>
      <c r="U1796" s="258"/>
      <c r="V1796" s="257"/>
      <c r="W1796" s="258"/>
      <c r="X1796" s="257"/>
      <c r="Y1796" s="258"/>
      <c r="Z1796" s="257"/>
    </row>
    <row r="1797" spans="1:26" ht="15" hidden="1" customHeight="1">
      <c r="A1797" s="250" t="s">
        <v>1903</v>
      </c>
      <c r="B1797" s="251"/>
      <c r="C1797" s="540" t="s">
        <v>1351</v>
      </c>
      <c r="D1797" s="335" t="s">
        <v>2151</v>
      </c>
      <c r="E1797" s="251"/>
      <c r="F1797" s="252"/>
      <c r="G1797" s="253"/>
      <c r="H1797" s="254">
        <f t="shared" ref="H1797:H1803" si="285">F1797*G1797</f>
        <v>0</v>
      </c>
      <c r="I1797" s="225"/>
      <c r="J1797" s="225"/>
      <c r="K1797" s="251"/>
      <c r="L1797" s="262">
        <v>800</v>
      </c>
      <c r="M1797" s="256">
        <v>0</v>
      </c>
      <c r="N1797" s="257">
        <f t="shared" ref="N1797:N1803" si="286">INT($L1797*M1797*100+0.5)/100</f>
        <v>0</v>
      </c>
      <c r="O1797" s="256">
        <v>0</v>
      </c>
      <c r="P1797" s="257">
        <f t="shared" ref="P1797:P1803" si="287">INT($L1797*O1797*100+0.5)/100</f>
        <v>0</v>
      </c>
      <c r="Q1797" s="256">
        <v>0</v>
      </c>
      <c r="R1797" s="257">
        <f t="shared" ref="R1797:R1803" si="288">INT($L1797*Q1797*100+0.5)/100</f>
        <v>0</v>
      </c>
      <c r="S1797" s="256">
        <v>0</v>
      </c>
      <c r="T1797" s="257">
        <f t="shared" ref="T1797:T1803" si="289">INT($L1797*S1797*100+0.5)/100</f>
        <v>0</v>
      </c>
      <c r="U1797" s="256">
        <v>0</v>
      </c>
      <c r="V1797" s="257">
        <f t="shared" ref="V1797:V1803" si="290">INT($L1797*U1797*100+0.5)/100</f>
        <v>0</v>
      </c>
      <c r="W1797" s="256">
        <v>0</v>
      </c>
      <c r="X1797" s="257">
        <f t="shared" ref="X1797:X1803" si="291">INT($L1797*W1797*100+0.5)/100</f>
        <v>0</v>
      </c>
      <c r="Y1797" s="256">
        <v>0</v>
      </c>
      <c r="Z1797" s="257">
        <f t="shared" ref="Z1797:Z1803" si="292">INT($L1797*Y1797*100+0.5)/100</f>
        <v>0</v>
      </c>
    </row>
    <row r="1798" spans="1:26" ht="15" hidden="1" customHeight="1">
      <c r="A1798" s="250" t="s">
        <v>316</v>
      </c>
      <c r="B1798" s="251"/>
      <c r="C1798" s="540" t="s">
        <v>1352</v>
      </c>
      <c r="D1798" s="335" t="s">
        <v>317</v>
      </c>
      <c r="E1798" s="251"/>
      <c r="F1798" s="252"/>
      <c r="G1798" s="253"/>
      <c r="H1798" s="254">
        <f>F1798*G1798</f>
        <v>0</v>
      </c>
      <c r="I1798" s="225"/>
      <c r="J1798" s="225"/>
      <c r="K1798" s="251"/>
      <c r="L1798" s="262">
        <v>815</v>
      </c>
      <c r="M1798" s="256">
        <v>0</v>
      </c>
      <c r="N1798" s="257">
        <f t="shared" si="286"/>
        <v>0</v>
      </c>
      <c r="O1798" s="256">
        <v>0</v>
      </c>
      <c r="P1798" s="257">
        <f t="shared" si="287"/>
        <v>0</v>
      </c>
      <c r="Q1798" s="256">
        <v>0</v>
      </c>
      <c r="R1798" s="257">
        <f t="shared" si="288"/>
        <v>0</v>
      </c>
      <c r="S1798" s="256">
        <v>0</v>
      </c>
      <c r="T1798" s="257">
        <f t="shared" si="289"/>
        <v>0</v>
      </c>
      <c r="U1798" s="256">
        <v>0</v>
      </c>
      <c r="V1798" s="257">
        <f t="shared" si="290"/>
        <v>0</v>
      </c>
      <c r="W1798" s="256">
        <v>0</v>
      </c>
      <c r="X1798" s="257">
        <f t="shared" si="291"/>
        <v>0</v>
      </c>
      <c r="Y1798" s="256">
        <v>0</v>
      </c>
      <c r="Z1798" s="257">
        <f t="shared" si="292"/>
        <v>0</v>
      </c>
    </row>
    <row r="1799" spans="1:26" ht="15" hidden="1" customHeight="1">
      <c r="A1799" s="250" t="s">
        <v>1905</v>
      </c>
      <c r="B1799" s="251" t="s">
        <v>1905</v>
      </c>
      <c r="C1799" s="540" t="s">
        <v>1353</v>
      </c>
      <c r="D1799" s="335" t="s">
        <v>293</v>
      </c>
      <c r="E1799" s="251"/>
      <c r="F1799" s="252"/>
      <c r="G1799" s="253"/>
      <c r="H1799" s="254">
        <f t="shared" si="285"/>
        <v>0</v>
      </c>
      <c r="I1799" s="225"/>
      <c r="J1799" s="225"/>
      <c r="K1799" s="251"/>
      <c r="L1799" s="262">
        <v>870</v>
      </c>
      <c r="M1799" s="256">
        <v>0</v>
      </c>
      <c r="N1799" s="257">
        <f t="shared" si="286"/>
        <v>0</v>
      </c>
      <c r="O1799" s="256">
        <v>0</v>
      </c>
      <c r="P1799" s="257">
        <f t="shared" si="287"/>
        <v>0</v>
      </c>
      <c r="Q1799" s="256">
        <v>0</v>
      </c>
      <c r="R1799" s="257">
        <f t="shared" si="288"/>
        <v>0</v>
      </c>
      <c r="S1799" s="256">
        <v>0</v>
      </c>
      <c r="T1799" s="257">
        <f t="shared" si="289"/>
        <v>0</v>
      </c>
      <c r="U1799" s="256">
        <v>0</v>
      </c>
      <c r="V1799" s="257">
        <f t="shared" si="290"/>
        <v>0</v>
      </c>
      <c r="W1799" s="256">
        <v>0</v>
      </c>
      <c r="X1799" s="257">
        <f t="shared" si="291"/>
        <v>0</v>
      </c>
      <c r="Y1799" s="256">
        <v>0</v>
      </c>
      <c r="Z1799" s="257">
        <f t="shared" si="292"/>
        <v>0</v>
      </c>
    </row>
    <row r="1800" spans="1:26" ht="15" hidden="1" customHeight="1">
      <c r="A1800" s="250" t="s">
        <v>1906</v>
      </c>
      <c r="B1800" s="251" t="s">
        <v>1906</v>
      </c>
      <c r="C1800" s="540" t="s">
        <v>1354</v>
      </c>
      <c r="D1800" s="335" t="s">
        <v>294</v>
      </c>
      <c r="E1800" s="251"/>
      <c r="F1800" s="252"/>
      <c r="G1800" s="253"/>
      <c r="H1800" s="254">
        <f t="shared" si="285"/>
        <v>0</v>
      </c>
      <c r="I1800" s="225"/>
      <c r="J1800" s="225"/>
      <c r="K1800" s="251"/>
      <c r="L1800" s="262">
        <v>1000</v>
      </c>
      <c r="M1800" s="256">
        <v>0</v>
      </c>
      <c r="N1800" s="257">
        <f t="shared" si="286"/>
        <v>0</v>
      </c>
      <c r="O1800" s="256">
        <v>0</v>
      </c>
      <c r="P1800" s="257">
        <f t="shared" si="287"/>
        <v>0</v>
      </c>
      <c r="Q1800" s="256">
        <v>0</v>
      </c>
      <c r="R1800" s="257">
        <f t="shared" si="288"/>
        <v>0</v>
      </c>
      <c r="S1800" s="256">
        <v>0</v>
      </c>
      <c r="T1800" s="257">
        <f t="shared" si="289"/>
        <v>0</v>
      </c>
      <c r="U1800" s="256">
        <v>0</v>
      </c>
      <c r="V1800" s="257">
        <f t="shared" si="290"/>
        <v>0</v>
      </c>
      <c r="W1800" s="256">
        <v>0</v>
      </c>
      <c r="X1800" s="257">
        <f t="shared" si="291"/>
        <v>0</v>
      </c>
      <c r="Y1800" s="256">
        <v>0</v>
      </c>
      <c r="Z1800" s="257">
        <f t="shared" si="292"/>
        <v>0</v>
      </c>
    </row>
    <row r="1801" spans="1:26" ht="15" hidden="1" customHeight="1">
      <c r="A1801" s="250" t="s">
        <v>1907</v>
      </c>
      <c r="B1801" s="251" t="s">
        <v>1907</v>
      </c>
      <c r="C1801" s="540" t="s">
        <v>1355</v>
      </c>
      <c r="D1801" s="335" t="s">
        <v>305</v>
      </c>
      <c r="E1801" s="251"/>
      <c r="F1801" s="252"/>
      <c r="G1801" s="253"/>
      <c r="H1801" s="254">
        <f t="shared" si="285"/>
        <v>0</v>
      </c>
      <c r="I1801" s="225"/>
      <c r="J1801" s="225"/>
      <c r="K1801" s="251"/>
      <c r="L1801" s="262">
        <v>1020</v>
      </c>
      <c r="M1801" s="256">
        <v>0</v>
      </c>
      <c r="N1801" s="257">
        <f t="shared" si="286"/>
        <v>0</v>
      </c>
      <c r="O1801" s="256">
        <v>0</v>
      </c>
      <c r="P1801" s="257">
        <f t="shared" si="287"/>
        <v>0</v>
      </c>
      <c r="Q1801" s="256">
        <v>0</v>
      </c>
      <c r="R1801" s="257">
        <f t="shared" si="288"/>
        <v>0</v>
      </c>
      <c r="S1801" s="256">
        <v>0</v>
      </c>
      <c r="T1801" s="257">
        <f t="shared" si="289"/>
        <v>0</v>
      </c>
      <c r="U1801" s="256">
        <v>0</v>
      </c>
      <c r="V1801" s="257">
        <f t="shared" si="290"/>
        <v>0</v>
      </c>
      <c r="W1801" s="256">
        <v>0</v>
      </c>
      <c r="X1801" s="257">
        <f t="shared" si="291"/>
        <v>0</v>
      </c>
      <c r="Y1801" s="256">
        <v>0</v>
      </c>
      <c r="Z1801" s="257">
        <f t="shared" si="292"/>
        <v>0</v>
      </c>
    </row>
    <row r="1802" spans="1:26" ht="15" hidden="1" customHeight="1">
      <c r="A1802" s="250" t="s">
        <v>542</v>
      </c>
      <c r="B1802" s="251"/>
      <c r="C1802" s="540" t="s">
        <v>1356</v>
      </c>
      <c r="D1802" s="335" t="s">
        <v>306</v>
      </c>
      <c r="E1802" s="251"/>
      <c r="F1802" s="252"/>
      <c r="G1802" s="253"/>
      <c r="H1802" s="254">
        <f t="shared" si="285"/>
        <v>0</v>
      </c>
      <c r="I1802" s="225"/>
      <c r="J1802" s="225"/>
      <c r="K1802" s="251"/>
      <c r="L1802" s="262">
        <v>1240</v>
      </c>
      <c r="M1802" s="256">
        <v>0</v>
      </c>
      <c r="N1802" s="257">
        <f t="shared" si="286"/>
        <v>0</v>
      </c>
      <c r="O1802" s="256">
        <v>0</v>
      </c>
      <c r="P1802" s="257">
        <f t="shared" si="287"/>
        <v>0</v>
      </c>
      <c r="Q1802" s="256">
        <v>0</v>
      </c>
      <c r="R1802" s="257">
        <f t="shared" si="288"/>
        <v>0</v>
      </c>
      <c r="S1802" s="256">
        <v>0</v>
      </c>
      <c r="T1802" s="257">
        <f t="shared" si="289"/>
        <v>0</v>
      </c>
      <c r="U1802" s="256">
        <v>0</v>
      </c>
      <c r="V1802" s="257">
        <f t="shared" si="290"/>
        <v>0</v>
      </c>
      <c r="W1802" s="256">
        <v>0</v>
      </c>
      <c r="X1802" s="257">
        <f t="shared" si="291"/>
        <v>0</v>
      </c>
      <c r="Y1802" s="256">
        <v>0</v>
      </c>
      <c r="Z1802" s="257">
        <f t="shared" si="292"/>
        <v>0</v>
      </c>
    </row>
    <row r="1803" spans="1:26" ht="15" hidden="1" customHeight="1">
      <c r="A1803" s="250" t="s">
        <v>543</v>
      </c>
      <c r="B1803" s="251"/>
      <c r="C1803" s="540" t="s">
        <v>1357</v>
      </c>
      <c r="D1803" s="335" t="s">
        <v>1393</v>
      </c>
      <c r="E1803" s="251"/>
      <c r="F1803" s="252"/>
      <c r="G1803" s="253"/>
      <c r="H1803" s="254">
        <f t="shared" si="285"/>
        <v>0</v>
      </c>
      <c r="I1803" s="225"/>
      <c r="J1803" s="225"/>
      <c r="K1803" s="251"/>
      <c r="L1803" s="262">
        <v>1630</v>
      </c>
      <c r="M1803" s="256">
        <v>0</v>
      </c>
      <c r="N1803" s="257">
        <f t="shared" si="286"/>
        <v>0</v>
      </c>
      <c r="O1803" s="256">
        <v>0</v>
      </c>
      <c r="P1803" s="257">
        <f t="shared" si="287"/>
        <v>0</v>
      </c>
      <c r="Q1803" s="256">
        <v>0</v>
      </c>
      <c r="R1803" s="257">
        <f t="shared" si="288"/>
        <v>0</v>
      </c>
      <c r="S1803" s="256">
        <v>0</v>
      </c>
      <c r="T1803" s="257">
        <f t="shared" si="289"/>
        <v>0</v>
      </c>
      <c r="U1803" s="256">
        <v>0</v>
      </c>
      <c r="V1803" s="257">
        <f t="shared" si="290"/>
        <v>0</v>
      </c>
      <c r="W1803" s="256">
        <v>0</v>
      </c>
      <c r="X1803" s="257">
        <f t="shared" si="291"/>
        <v>0</v>
      </c>
      <c r="Y1803" s="256">
        <v>0</v>
      </c>
      <c r="Z1803" s="257">
        <f t="shared" si="292"/>
        <v>0</v>
      </c>
    </row>
    <row r="1804" spans="1:26" ht="15" hidden="1" customHeight="1">
      <c r="A1804" s="250"/>
      <c r="B1804" s="251"/>
      <c r="C1804" s="540"/>
      <c r="D1804" s="335"/>
      <c r="E1804" s="251"/>
      <c r="F1804" s="252"/>
      <c r="G1804" s="253"/>
      <c r="H1804" s="254"/>
      <c r="I1804" s="225"/>
      <c r="J1804" s="225"/>
      <c r="K1804" s="251"/>
      <c r="L1804" s="262"/>
      <c r="M1804" s="258"/>
      <c r="N1804" s="257"/>
      <c r="O1804" s="258"/>
      <c r="P1804" s="257"/>
      <c r="Q1804" s="258"/>
      <c r="R1804" s="257"/>
      <c r="S1804" s="258"/>
      <c r="T1804" s="257"/>
      <c r="U1804" s="258"/>
      <c r="V1804" s="257"/>
      <c r="W1804" s="258"/>
      <c r="X1804" s="257"/>
      <c r="Y1804" s="258"/>
      <c r="Z1804" s="257"/>
    </row>
    <row r="1805" spans="1:26" ht="15" hidden="1">
      <c r="A1805" s="250">
        <f>A1795+1</f>
        <v>322</v>
      </c>
      <c r="B1805" s="251">
        <v>81</v>
      </c>
      <c r="C1805" s="526" t="s">
        <v>1350</v>
      </c>
      <c r="D1805" s="527" t="s">
        <v>449</v>
      </c>
      <c r="E1805" s="251" t="s">
        <v>1439</v>
      </c>
      <c r="F1805" s="252"/>
      <c r="G1805" s="253"/>
      <c r="H1805" s="254">
        <f>F1805*G1805</f>
        <v>0</v>
      </c>
      <c r="I1805" s="253"/>
      <c r="J1805" s="253"/>
      <c r="K1805" s="251" t="s">
        <v>1439</v>
      </c>
      <c r="L1805" s="262">
        <v>25.04</v>
      </c>
      <c r="M1805" s="258">
        <v>0</v>
      </c>
      <c r="N1805" s="257">
        <f>INT($L1805*M1805*100+0.5)/100</f>
        <v>0</v>
      </c>
      <c r="O1805" s="258">
        <v>0</v>
      </c>
      <c r="P1805" s="257">
        <f>INT($L1805*O1805*100+0.5)/100</f>
        <v>0</v>
      </c>
      <c r="Q1805" s="258">
        <v>0</v>
      </c>
      <c r="R1805" s="257">
        <f>INT($L1805*Q1805*100+0.5)/100</f>
        <v>0</v>
      </c>
      <c r="S1805" s="258">
        <v>0</v>
      </c>
      <c r="T1805" s="257">
        <f>INT($L1805*S1805*100+0.5)/100</f>
        <v>0</v>
      </c>
      <c r="U1805" s="258">
        <v>0</v>
      </c>
      <c r="V1805" s="257">
        <f>INT($L1805*U1805*100+0.5)/100</f>
        <v>0</v>
      </c>
      <c r="W1805" s="258">
        <v>0</v>
      </c>
      <c r="X1805" s="257">
        <f>INT($L1805*W1805*100+0.5)/100</f>
        <v>0</v>
      </c>
      <c r="Y1805" s="258">
        <v>0</v>
      </c>
      <c r="Z1805" s="257">
        <f>INT($L1805*Y1805*100+0.5)/100</f>
        <v>0</v>
      </c>
    </row>
    <row r="1806" spans="1:26" ht="15" hidden="1">
      <c r="A1806" s="250"/>
      <c r="B1806" s="251"/>
      <c r="C1806" s="540"/>
      <c r="D1806" s="527" t="s">
        <v>448</v>
      </c>
      <c r="E1806" s="251" t="s">
        <v>1439</v>
      </c>
      <c r="F1806" s="252"/>
      <c r="G1806" s="253"/>
      <c r="H1806" s="254"/>
      <c r="I1806" s="253"/>
      <c r="J1806" s="253"/>
      <c r="K1806" s="251" t="s">
        <v>1439</v>
      </c>
      <c r="L1806" s="262"/>
      <c r="M1806" s="258"/>
      <c r="N1806" s="257"/>
      <c r="O1806" s="258"/>
      <c r="P1806" s="257"/>
      <c r="Q1806" s="258"/>
      <c r="R1806" s="257"/>
      <c r="S1806" s="258"/>
      <c r="T1806" s="257"/>
      <c r="U1806" s="258"/>
      <c r="V1806" s="257"/>
      <c r="W1806" s="258"/>
      <c r="X1806" s="257"/>
      <c r="Y1806" s="258"/>
      <c r="Z1806" s="257"/>
    </row>
    <row r="1807" spans="1:26" ht="15" hidden="1">
      <c r="A1807" s="250"/>
      <c r="B1807" s="251"/>
      <c r="C1807" s="540"/>
      <c r="D1807" s="335"/>
      <c r="E1807" s="251"/>
      <c r="F1807" s="252"/>
      <c r="G1807" s="253"/>
      <c r="H1807" s="254"/>
      <c r="I1807" s="253"/>
      <c r="J1807" s="253"/>
      <c r="K1807" s="251"/>
      <c r="L1807" s="262"/>
      <c r="M1807" s="258"/>
      <c r="N1807" s="257"/>
      <c r="O1807" s="258"/>
      <c r="P1807" s="257"/>
      <c r="Q1807" s="258"/>
      <c r="R1807" s="257"/>
      <c r="S1807" s="258"/>
      <c r="T1807" s="257"/>
      <c r="U1807" s="258"/>
      <c r="V1807" s="257"/>
      <c r="W1807" s="258"/>
      <c r="X1807" s="257"/>
      <c r="Y1807" s="258"/>
      <c r="Z1807" s="257"/>
    </row>
    <row r="1808" spans="1:26" ht="15" hidden="1">
      <c r="A1808" s="250">
        <f>A1805+1</f>
        <v>323</v>
      </c>
      <c r="B1808" s="251">
        <v>83</v>
      </c>
      <c r="C1808" s="526" t="s">
        <v>1358</v>
      </c>
      <c r="D1808" s="527" t="s">
        <v>1326</v>
      </c>
      <c r="E1808" s="251" t="s">
        <v>539</v>
      </c>
      <c r="F1808" s="252"/>
      <c r="G1808" s="253"/>
      <c r="H1808" s="254">
        <f>F1808*G1808</f>
        <v>0</v>
      </c>
      <c r="I1808" s="253"/>
      <c r="J1808" s="253"/>
      <c r="K1808" s="251" t="s">
        <v>539</v>
      </c>
      <c r="L1808" s="262">
        <v>200</v>
      </c>
      <c r="M1808" s="258">
        <v>0</v>
      </c>
      <c r="N1808" s="257">
        <f>INT($L1808*M1808*100+0.5)/100</f>
        <v>0</v>
      </c>
      <c r="O1808" s="258">
        <v>0</v>
      </c>
      <c r="P1808" s="257">
        <f>INT($L1808*O1808*100+0.5)/100</f>
        <v>0</v>
      </c>
      <c r="Q1808" s="258">
        <v>0</v>
      </c>
      <c r="R1808" s="257">
        <f>INT($L1808*Q1808*100+0.5)/100</f>
        <v>0</v>
      </c>
      <c r="S1808" s="258">
        <v>0</v>
      </c>
      <c r="T1808" s="257">
        <f>INT($L1808*S1808*100+0.5)/100</f>
        <v>0</v>
      </c>
      <c r="U1808" s="258">
        <v>0</v>
      </c>
      <c r="V1808" s="257">
        <f>INT($L1808*U1808*100+0.5)/100</f>
        <v>0</v>
      </c>
      <c r="W1808" s="258">
        <v>0</v>
      </c>
      <c r="X1808" s="257">
        <f>INT($L1808*W1808*100+0.5)/100</f>
        <v>0</v>
      </c>
      <c r="Y1808" s="258">
        <v>0</v>
      </c>
      <c r="Z1808" s="257">
        <f>INT($L1808*Y1808*100+0.5)/100</f>
        <v>0</v>
      </c>
    </row>
    <row r="1809" spans="1:26" ht="15" hidden="1">
      <c r="A1809" s="250"/>
      <c r="B1809" s="251"/>
      <c r="C1809" s="540"/>
      <c r="D1809" s="558" t="s">
        <v>1782</v>
      </c>
      <c r="E1809" s="251" t="s">
        <v>1416</v>
      </c>
      <c r="F1809" s="252"/>
      <c r="G1809" s="253"/>
      <c r="H1809" s="254"/>
      <c r="I1809" s="253"/>
      <c r="J1809" s="253"/>
      <c r="K1809" s="251" t="s">
        <v>1416</v>
      </c>
      <c r="L1809" s="262"/>
      <c r="M1809" s="316"/>
      <c r="N1809" s="257"/>
      <c r="O1809" s="316"/>
      <c r="P1809" s="257"/>
      <c r="Q1809" s="316"/>
      <c r="R1809" s="257"/>
      <c r="S1809" s="316"/>
      <c r="T1809" s="257"/>
      <c r="U1809" s="316"/>
      <c r="V1809" s="257"/>
      <c r="W1809" s="316"/>
      <c r="X1809" s="257"/>
      <c r="Y1809" s="316"/>
      <c r="Z1809" s="257"/>
    </row>
    <row r="1810" spans="1:26" ht="15" hidden="1">
      <c r="A1810" s="250"/>
      <c r="B1810" s="251"/>
      <c r="C1810" s="540"/>
      <c r="D1810" s="335"/>
      <c r="E1810" s="251"/>
      <c r="F1810" s="252"/>
      <c r="G1810" s="253"/>
      <c r="H1810" s="254"/>
      <c r="I1810" s="253"/>
      <c r="J1810" s="253"/>
      <c r="K1810" s="251"/>
      <c r="L1810" s="262"/>
      <c r="M1810" s="316"/>
      <c r="N1810" s="257"/>
      <c r="O1810" s="316"/>
      <c r="P1810" s="257"/>
      <c r="Q1810" s="316"/>
      <c r="R1810" s="257"/>
      <c r="S1810" s="316"/>
      <c r="T1810" s="257"/>
      <c r="U1810" s="316"/>
      <c r="V1810" s="257"/>
      <c r="W1810" s="316"/>
      <c r="X1810" s="257"/>
      <c r="Y1810" s="316"/>
      <c r="Z1810" s="257"/>
    </row>
    <row r="1811" spans="1:26" ht="15" hidden="1">
      <c r="A1811" s="250">
        <f>A1808+1</f>
        <v>324</v>
      </c>
      <c r="B1811" s="251">
        <v>83</v>
      </c>
      <c r="C1811" s="526" t="s">
        <v>1359</v>
      </c>
      <c r="D1811" s="276" t="s">
        <v>1887</v>
      </c>
      <c r="E1811" s="251" t="s">
        <v>539</v>
      </c>
      <c r="F1811" s="252"/>
      <c r="G1811" s="253"/>
      <c r="H1811" s="254">
        <f>F1811*G1811</f>
        <v>0</v>
      </c>
      <c r="I1811" s="225"/>
      <c r="J1811" s="225"/>
      <c r="K1811" s="251" t="s">
        <v>539</v>
      </c>
      <c r="L1811" s="262">
        <v>300</v>
      </c>
      <c r="M1811" s="316">
        <v>0</v>
      </c>
      <c r="N1811" s="257">
        <f>INT($L1811*M1811*100+0.5)/100</f>
        <v>0</v>
      </c>
      <c r="O1811" s="316">
        <v>0</v>
      </c>
      <c r="P1811" s="257">
        <f>INT($L1811*O1811*100+0.5)/100</f>
        <v>0</v>
      </c>
      <c r="Q1811" s="316">
        <v>0</v>
      </c>
      <c r="R1811" s="257">
        <f>INT($L1811*Q1811*100+0.5)/100</f>
        <v>0</v>
      </c>
      <c r="S1811" s="316">
        <v>0</v>
      </c>
      <c r="T1811" s="257">
        <f>INT($L1811*S1811*100+0.5)/100</f>
        <v>0</v>
      </c>
      <c r="U1811" s="316">
        <v>0</v>
      </c>
      <c r="V1811" s="257">
        <f>INT($L1811*U1811*100+0.5)/100</f>
        <v>0</v>
      </c>
      <c r="W1811" s="316">
        <v>0</v>
      </c>
      <c r="X1811" s="257">
        <f>INT($L1811*W1811*100+0.5)/100</f>
        <v>0</v>
      </c>
      <c r="Y1811" s="316">
        <v>0</v>
      </c>
      <c r="Z1811" s="257">
        <f>INT($L1811*Y1811*100+0.5)/100</f>
        <v>0</v>
      </c>
    </row>
    <row r="1812" spans="1:26" ht="15" hidden="1">
      <c r="A1812" s="250"/>
      <c r="B1812" s="251"/>
      <c r="C1812" s="540"/>
      <c r="D1812" s="558" t="s">
        <v>1780</v>
      </c>
      <c r="E1812" s="251" t="s">
        <v>1416</v>
      </c>
      <c r="F1812" s="252"/>
      <c r="G1812" s="253"/>
      <c r="H1812" s="254"/>
      <c r="I1812" s="225"/>
      <c r="J1812" s="225"/>
      <c r="K1812" s="251" t="s">
        <v>1416</v>
      </c>
      <c r="L1812" s="262"/>
      <c r="M1812" s="316"/>
      <c r="N1812" s="257"/>
      <c r="O1812" s="316"/>
      <c r="P1812" s="257"/>
      <c r="Q1812" s="316"/>
      <c r="R1812" s="257"/>
      <c r="S1812" s="316"/>
      <c r="T1812" s="257"/>
      <c r="U1812" s="316"/>
      <c r="V1812" s="257"/>
      <c r="W1812" s="316"/>
      <c r="X1812" s="257"/>
      <c r="Y1812" s="316"/>
      <c r="Z1812" s="257"/>
    </row>
    <row r="1813" spans="1:26" ht="15" hidden="1">
      <c r="A1813" s="250"/>
      <c r="B1813" s="251"/>
      <c r="C1813" s="540"/>
      <c r="D1813" s="558"/>
      <c r="E1813" s="251"/>
      <c r="F1813" s="252"/>
      <c r="G1813" s="253"/>
      <c r="H1813" s="254"/>
      <c r="I1813" s="225"/>
      <c r="J1813" s="225"/>
      <c r="K1813" s="251"/>
      <c r="L1813" s="262"/>
      <c r="M1813" s="316"/>
      <c r="N1813" s="257"/>
      <c r="O1813" s="316"/>
      <c r="P1813" s="257"/>
      <c r="Q1813" s="316"/>
      <c r="R1813" s="257"/>
      <c r="S1813" s="316"/>
      <c r="T1813" s="257"/>
      <c r="U1813" s="316"/>
      <c r="V1813" s="257"/>
      <c r="W1813" s="316"/>
      <c r="X1813" s="257"/>
      <c r="Y1813" s="316"/>
      <c r="Z1813" s="257"/>
    </row>
    <row r="1814" spans="1:26" ht="15" hidden="1">
      <c r="A1814" s="250">
        <f>A1811+1</f>
        <v>325</v>
      </c>
      <c r="B1814" s="251">
        <v>83</v>
      </c>
      <c r="C1814" s="526" t="s">
        <v>1360</v>
      </c>
      <c r="D1814" s="276" t="s">
        <v>1888</v>
      </c>
      <c r="E1814" s="251" t="s">
        <v>539</v>
      </c>
      <c r="F1814" s="252"/>
      <c r="G1814" s="253"/>
      <c r="H1814" s="254">
        <f>F1814*G1814</f>
        <v>0</v>
      </c>
      <c r="I1814" s="225"/>
      <c r="J1814" s="225"/>
      <c r="K1814" s="251" t="s">
        <v>539</v>
      </c>
      <c r="L1814" s="262">
        <v>200</v>
      </c>
      <c r="M1814" s="316">
        <v>0</v>
      </c>
      <c r="N1814" s="257">
        <f>INT($L1814*M1814*100+0.5)/100</f>
        <v>0</v>
      </c>
      <c r="O1814" s="316">
        <v>0</v>
      </c>
      <c r="P1814" s="257">
        <f>INT($L1814*O1814*100+0.5)/100</f>
        <v>0</v>
      </c>
      <c r="Q1814" s="316">
        <v>0</v>
      </c>
      <c r="R1814" s="257">
        <f>INT($L1814*Q1814*100+0.5)/100</f>
        <v>0</v>
      </c>
      <c r="S1814" s="316">
        <v>0</v>
      </c>
      <c r="T1814" s="257">
        <f>INT($L1814*S1814*100+0.5)/100</f>
        <v>0</v>
      </c>
      <c r="U1814" s="316">
        <v>0</v>
      </c>
      <c r="V1814" s="257">
        <f>INT($L1814*U1814*100+0.5)/100</f>
        <v>0</v>
      </c>
      <c r="W1814" s="316">
        <v>0</v>
      </c>
      <c r="X1814" s="257">
        <f>INT($L1814*W1814*100+0.5)/100</f>
        <v>0</v>
      </c>
      <c r="Y1814" s="316">
        <v>0</v>
      </c>
      <c r="Z1814" s="257">
        <f>INT($L1814*Y1814*100+0.5)/100</f>
        <v>0</v>
      </c>
    </row>
    <row r="1815" spans="1:26" ht="15" hidden="1">
      <c r="A1815" s="250"/>
      <c r="B1815" s="251"/>
      <c r="C1815" s="540"/>
      <c r="D1815" s="558" t="s">
        <v>1781</v>
      </c>
      <c r="E1815" s="251" t="s">
        <v>1416</v>
      </c>
      <c r="F1815" s="252"/>
      <c r="G1815" s="253"/>
      <c r="H1815" s="254"/>
      <c r="I1815" s="225"/>
      <c r="J1815" s="225"/>
      <c r="K1815" s="251" t="s">
        <v>1416</v>
      </c>
      <c r="L1815" s="262"/>
      <c r="M1815" s="316"/>
      <c r="N1815" s="257"/>
      <c r="O1815" s="316"/>
      <c r="P1815" s="257"/>
      <c r="Q1815" s="316"/>
      <c r="R1815" s="257"/>
      <c r="S1815" s="316"/>
      <c r="T1815" s="257"/>
      <c r="U1815" s="316"/>
      <c r="V1815" s="257"/>
      <c r="W1815" s="316"/>
      <c r="X1815" s="257"/>
      <c r="Y1815" s="316"/>
      <c r="Z1815" s="257"/>
    </row>
    <row r="1816" spans="1:26" ht="15" hidden="1">
      <c r="A1816" s="250"/>
      <c r="B1816" s="251"/>
      <c r="C1816" s="540"/>
      <c r="D1816" s="335"/>
      <c r="E1816" s="251"/>
      <c r="F1816" s="252"/>
      <c r="G1816" s="253"/>
      <c r="H1816" s="254"/>
      <c r="I1816" s="225"/>
      <c r="J1816" s="225"/>
      <c r="K1816" s="251"/>
      <c r="L1816" s="262"/>
      <c r="M1816" s="316"/>
      <c r="N1816" s="257"/>
      <c r="O1816" s="316"/>
      <c r="P1816" s="257"/>
      <c r="Q1816" s="316"/>
      <c r="R1816" s="257"/>
      <c r="S1816" s="316"/>
      <c r="T1816" s="257"/>
      <c r="U1816" s="316"/>
      <c r="V1816" s="257"/>
      <c r="W1816" s="316"/>
      <c r="X1816" s="257"/>
      <c r="Y1816" s="316"/>
      <c r="Z1816" s="257"/>
    </row>
    <row r="1817" spans="1:26" ht="25.5" hidden="1">
      <c r="A1817" s="250">
        <f>A1814+1</f>
        <v>326</v>
      </c>
      <c r="B1817" s="251">
        <v>83</v>
      </c>
      <c r="C1817" s="526" t="s">
        <v>1361</v>
      </c>
      <c r="D1817" s="527" t="s">
        <v>1982</v>
      </c>
      <c r="E1817" s="251" t="s">
        <v>1901</v>
      </c>
      <c r="F1817" s="252"/>
      <c r="G1817" s="253"/>
      <c r="H1817" s="254">
        <f>F1817*G1817</f>
        <v>0</v>
      </c>
      <c r="I1817" s="225"/>
      <c r="J1817" s="225"/>
      <c r="K1817" s="251" t="s">
        <v>1901</v>
      </c>
      <c r="L1817" s="262">
        <f>(2764*0.9*1.23)+2*30</f>
        <v>3119.748</v>
      </c>
      <c r="M1817" s="316">
        <v>0</v>
      </c>
      <c r="N1817" s="257">
        <f>INT($L1817*M1817*100+0.5)/100</f>
        <v>0</v>
      </c>
      <c r="O1817" s="316">
        <v>0</v>
      </c>
      <c r="P1817" s="257">
        <f>INT($L1817*O1817*100+0.5)/100</f>
        <v>0</v>
      </c>
      <c r="Q1817" s="316">
        <v>0</v>
      </c>
      <c r="R1817" s="257">
        <f>INT($L1817*Q1817*100+0.5)/100</f>
        <v>0</v>
      </c>
      <c r="S1817" s="316">
        <v>0</v>
      </c>
      <c r="T1817" s="257">
        <f>INT($L1817*S1817*100+0.5)/100</f>
        <v>0</v>
      </c>
      <c r="U1817" s="316">
        <v>0</v>
      </c>
      <c r="V1817" s="257">
        <f>INT($L1817*U1817*100+0.5)/100</f>
        <v>0</v>
      </c>
      <c r="W1817" s="316">
        <v>0</v>
      </c>
      <c r="X1817" s="257">
        <f>INT($L1817*W1817*100+0.5)/100</f>
        <v>0</v>
      </c>
      <c r="Y1817" s="316">
        <v>0</v>
      </c>
      <c r="Z1817" s="257">
        <f>INT($L1817*Y1817*100+0.5)/100</f>
        <v>0</v>
      </c>
    </row>
    <row r="1818" spans="1:26" ht="25.5" hidden="1">
      <c r="A1818" s="250"/>
      <c r="B1818" s="251"/>
      <c r="C1818" s="540"/>
      <c r="D1818" s="558" t="s">
        <v>1983</v>
      </c>
      <c r="E1818" s="251" t="s">
        <v>1902</v>
      </c>
      <c r="F1818" s="252"/>
      <c r="G1818" s="253"/>
      <c r="H1818" s="254"/>
      <c r="I1818" s="225"/>
      <c r="J1818" s="225"/>
      <c r="K1818" s="251" t="s">
        <v>1902</v>
      </c>
      <c r="L1818" s="262"/>
      <c r="M1818" s="316"/>
      <c r="N1818" s="257"/>
      <c r="O1818" s="316"/>
      <c r="P1818" s="257"/>
      <c r="Q1818" s="316"/>
      <c r="R1818" s="257"/>
      <c r="S1818" s="316"/>
      <c r="T1818" s="257"/>
      <c r="U1818" s="316"/>
      <c r="V1818" s="257"/>
      <c r="W1818" s="316"/>
      <c r="X1818" s="257"/>
      <c r="Y1818" s="316"/>
      <c r="Z1818" s="257"/>
    </row>
    <row r="1819" spans="1:26" ht="15" hidden="1">
      <c r="A1819" s="250"/>
      <c r="B1819" s="251"/>
      <c r="C1819" s="540"/>
      <c r="D1819" s="335"/>
      <c r="E1819" s="251"/>
      <c r="F1819" s="252"/>
      <c r="G1819" s="253"/>
      <c r="H1819" s="254"/>
      <c r="I1819" s="225"/>
      <c r="J1819" s="225"/>
      <c r="K1819" s="251"/>
      <c r="L1819" s="262"/>
      <c r="M1819" s="316"/>
      <c r="N1819" s="257"/>
      <c r="O1819" s="316"/>
      <c r="P1819" s="257"/>
      <c r="Q1819" s="316"/>
      <c r="R1819" s="257"/>
      <c r="S1819" s="316"/>
      <c r="T1819" s="257"/>
      <c r="U1819" s="316"/>
      <c r="V1819" s="257"/>
      <c r="W1819" s="316"/>
      <c r="X1819" s="257"/>
      <c r="Y1819" s="316"/>
      <c r="Z1819" s="257"/>
    </row>
    <row r="1820" spans="1:26" ht="25.5" hidden="1">
      <c r="A1820" s="250">
        <f>A1817+1</f>
        <v>327</v>
      </c>
      <c r="B1820" s="251">
        <v>83</v>
      </c>
      <c r="C1820" s="526" t="s">
        <v>1362</v>
      </c>
      <c r="D1820" s="276" t="s">
        <v>1980</v>
      </c>
      <c r="E1820" s="251" t="s">
        <v>1901</v>
      </c>
      <c r="F1820" s="252"/>
      <c r="G1820" s="253"/>
      <c r="H1820" s="254">
        <f>F1820*G1820</f>
        <v>0</v>
      </c>
      <c r="I1820" s="225"/>
      <c r="J1820" s="225"/>
      <c r="K1820" s="251" t="s">
        <v>1901</v>
      </c>
      <c r="L1820" s="262">
        <f>(5530+448)*0.9*1.23+2*2*30+62.35</f>
        <v>6799.9960000000001</v>
      </c>
      <c r="M1820" s="316">
        <v>0</v>
      </c>
      <c r="N1820" s="257">
        <f>INT($L1820*M1820*100+0.5)/100</f>
        <v>0</v>
      </c>
      <c r="O1820" s="316">
        <v>0</v>
      </c>
      <c r="P1820" s="257">
        <f>INT($L1820*O1820*100+0.5)/100</f>
        <v>0</v>
      </c>
      <c r="Q1820" s="316">
        <v>0</v>
      </c>
      <c r="R1820" s="257">
        <f>INT($L1820*Q1820*100+0.5)/100</f>
        <v>0</v>
      </c>
      <c r="S1820" s="316">
        <v>0</v>
      </c>
      <c r="T1820" s="257">
        <f>INT($L1820*S1820*100+0.5)/100</f>
        <v>0</v>
      </c>
      <c r="U1820" s="316">
        <v>0</v>
      </c>
      <c r="V1820" s="257">
        <f>INT($L1820*U1820*100+0.5)/100</f>
        <v>0</v>
      </c>
      <c r="W1820" s="316">
        <v>0</v>
      </c>
      <c r="X1820" s="257">
        <f>INT($L1820*W1820*100+0.5)/100</f>
        <v>0</v>
      </c>
      <c r="Y1820" s="316">
        <v>0</v>
      </c>
      <c r="Z1820" s="257">
        <f>INT($L1820*Y1820*100+0.5)/100</f>
        <v>0</v>
      </c>
    </row>
    <row r="1821" spans="1:26" ht="25.5" hidden="1">
      <c r="A1821" s="250"/>
      <c r="B1821" s="251"/>
      <c r="C1821" s="540"/>
      <c r="D1821" s="276" t="s">
        <v>1886</v>
      </c>
      <c r="E1821" s="251" t="s">
        <v>1902</v>
      </c>
      <c r="F1821" s="252"/>
      <c r="G1821" s="253"/>
      <c r="H1821" s="254"/>
      <c r="I1821" s="225"/>
      <c r="J1821" s="225"/>
      <c r="K1821" s="251" t="s">
        <v>1902</v>
      </c>
      <c r="L1821" s="262"/>
      <c r="M1821" s="316"/>
      <c r="N1821" s="257"/>
      <c r="O1821" s="316"/>
      <c r="P1821" s="257"/>
      <c r="Q1821" s="316"/>
      <c r="R1821" s="257"/>
      <c r="S1821" s="316"/>
      <c r="T1821" s="257"/>
      <c r="U1821" s="316"/>
      <c r="V1821" s="257"/>
      <c r="W1821" s="316"/>
      <c r="X1821" s="257"/>
      <c r="Y1821" s="316"/>
      <c r="Z1821" s="257"/>
    </row>
    <row r="1822" spans="1:26" ht="15" hidden="1">
      <c r="A1822" s="250"/>
      <c r="B1822" s="251"/>
      <c r="C1822" s="540"/>
      <c r="D1822" s="335"/>
      <c r="E1822" s="251"/>
      <c r="F1822" s="252"/>
      <c r="G1822" s="253"/>
      <c r="H1822" s="254"/>
      <c r="I1822" s="225"/>
      <c r="J1822" s="225"/>
      <c r="K1822" s="251"/>
      <c r="L1822" s="262"/>
      <c r="M1822" s="316"/>
      <c r="N1822" s="257"/>
      <c r="O1822" s="316"/>
      <c r="P1822" s="257"/>
      <c r="Q1822" s="316"/>
      <c r="R1822" s="257"/>
      <c r="S1822" s="316"/>
      <c r="T1822" s="257"/>
      <c r="U1822" s="316"/>
      <c r="V1822" s="257"/>
      <c r="W1822" s="316"/>
      <c r="X1822" s="257"/>
      <c r="Y1822" s="316"/>
      <c r="Z1822" s="257"/>
    </row>
    <row r="1823" spans="1:26" ht="15" hidden="1">
      <c r="A1823" s="250">
        <f>A1820+1</f>
        <v>328</v>
      </c>
      <c r="B1823" s="251"/>
      <c r="C1823" s="526" t="s">
        <v>1363</v>
      </c>
      <c r="D1823" s="558" t="s">
        <v>536</v>
      </c>
      <c r="E1823" s="251" t="s">
        <v>1901</v>
      </c>
      <c r="F1823" s="252"/>
      <c r="G1823" s="253"/>
      <c r="H1823" s="254"/>
      <c r="I1823" s="253"/>
      <c r="J1823" s="253"/>
      <c r="K1823" s="251" t="s">
        <v>1901</v>
      </c>
      <c r="L1823" s="262"/>
      <c r="M1823" s="258"/>
      <c r="N1823" s="257"/>
      <c r="O1823" s="258"/>
      <c r="P1823" s="257"/>
      <c r="Q1823" s="258"/>
      <c r="R1823" s="257"/>
      <c r="S1823" s="258"/>
      <c r="T1823" s="257"/>
      <c r="U1823" s="258"/>
      <c r="V1823" s="257"/>
      <c r="W1823" s="258"/>
      <c r="X1823" s="257"/>
      <c r="Y1823" s="258"/>
      <c r="Z1823" s="257"/>
    </row>
    <row r="1824" spans="1:26" ht="15" hidden="1" customHeight="1">
      <c r="A1824" s="250"/>
      <c r="B1824" s="251"/>
      <c r="C1824" s="326"/>
      <c r="D1824" s="558" t="s">
        <v>537</v>
      </c>
      <c r="E1824" s="251" t="s">
        <v>1902</v>
      </c>
      <c r="F1824" s="252"/>
      <c r="G1824" s="253"/>
      <c r="H1824" s="254"/>
      <c r="I1824" s="253"/>
      <c r="J1824" s="253"/>
      <c r="K1824" s="251" t="s">
        <v>1902</v>
      </c>
      <c r="L1824" s="262"/>
      <c r="M1824" s="258"/>
      <c r="N1824" s="257"/>
      <c r="O1824" s="258"/>
      <c r="P1824" s="257"/>
      <c r="Q1824" s="258"/>
      <c r="R1824" s="257"/>
      <c r="S1824" s="258"/>
      <c r="T1824" s="257"/>
      <c r="U1824" s="258"/>
      <c r="V1824" s="257"/>
      <c r="W1824" s="258"/>
      <c r="X1824" s="257"/>
      <c r="Y1824" s="258"/>
      <c r="Z1824" s="257"/>
    </row>
    <row r="1825" spans="1:26" ht="15" hidden="1" customHeight="1">
      <c r="A1825" s="250" t="s">
        <v>1903</v>
      </c>
      <c r="B1825" s="251"/>
      <c r="C1825" s="532" t="s">
        <v>1364</v>
      </c>
      <c r="D1825" s="558" t="s">
        <v>282</v>
      </c>
      <c r="E1825" s="251"/>
      <c r="F1825" s="252"/>
      <c r="G1825" s="253"/>
      <c r="H1825" s="254">
        <f>F1825*G1825</f>
        <v>0</v>
      </c>
      <c r="I1825" s="253"/>
      <c r="J1825" s="253"/>
      <c r="K1825" s="251"/>
      <c r="L1825" s="262">
        <v>800</v>
      </c>
      <c r="M1825" s="258">
        <v>0</v>
      </c>
      <c r="N1825" s="257">
        <f>INT($L1825*M1825*100+0.5)/100</f>
        <v>0</v>
      </c>
      <c r="O1825" s="258">
        <v>0</v>
      </c>
      <c r="P1825" s="257">
        <f>INT($L1825*O1825*100+0.5)/100</f>
        <v>0</v>
      </c>
      <c r="Q1825" s="258">
        <v>0</v>
      </c>
      <c r="R1825" s="257">
        <f>INT($L1825*Q1825*100+0.5)/100</f>
        <v>0</v>
      </c>
      <c r="S1825" s="258">
        <v>0</v>
      </c>
      <c r="T1825" s="257">
        <f>INT($L1825*S1825*100+0.5)/100</f>
        <v>0</v>
      </c>
      <c r="U1825" s="258">
        <v>0</v>
      </c>
      <c r="V1825" s="257">
        <f>INT($L1825*U1825*100+0.5)/100</f>
        <v>0</v>
      </c>
      <c r="W1825" s="258">
        <v>0</v>
      </c>
      <c r="X1825" s="257">
        <f>INT($L1825*W1825*100+0.5)/100</f>
        <v>0</v>
      </c>
      <c r="Y1825" s="258">
        <v>0</v>
      </c>
      <c r="Z1825" s="257">
        <f>INT($L1825*Y1825*100+0.5)/100</f>
        <v>0</v>
      </c>
    </row>
    <row r="1826" spans="1:26" ht="15" hidden="1" customHeight="1">
      <c r="A1826" s="250" t="s">
        <v>1905</v>
      </c>
      <c r="B1826" s="251"/>
      <c r="C1826" s="532" t="s">
        <v>1365</v>
      </c>
      <c r="D1826" s="558" t="s">
        <v>283</v>
      </c>
      <c r="E1826" s="251"/>
      <c r="F1826" s="252"/>
      <c r="G1826" s="253"/>
      <c r="H1826" s="254">
        <f>F1826*G1826</f>
        <v>0</v>
      </c>
      <c r="I1826" s="253"/>
      <c r="J1826" s="253"/>
      <c r="K1826" s="251"/>
      <c r="L1826" s="262">
        <v>1000</v>
      </c>
      <c r="M1826" s="258">
        <v>0</v>
      </c>
      <c r="N1826" s="257">
        <f>INT($L1826*M1826*100+0.5)/100</f>
        <v>0</v>
      </c>
      <c r="O1826" s="258">
        <v>0</v>
      </c>
      <c r="P1826" s="257">
        <f>INT($L1826*O1826*100+0.5)/100</f>
        <v>0</v>
      </c>
      <c r="Q1826" s="258">
        <v>0</v>
      </c>
      <c r="R1826" s="257">
        <f>INT($L1826*Q1826*100+0.5)/100</f>
        <v>0</v>
      </c>
      <c r="S1826" s="258">
        <v>0</v>
      </c>
      <c r="T1826" s="257">
        <f>INT($L1826*S1826*100+0.5)/100</f>
        <v>0</v>
      </c>
      <c r="U1826" s="258">
        <v>0</v>
      </c>
      <c r="V1826" s="257">
        <f>INT($L1826*U1826*100+0.5)/100</f>
        <v>0</v>
      </c>
      <c r="W1826" s="258">
        <v>0</v>
      </c>
      <c r="X1826" s="257">
        <f>INT($L1826*W1826*100+0.5)/100</f>
        <v>0</v>
      </c>
      <c r="Y1826" s="258">
        <v>0</v>
      </c>
      <c r="Z1826" s="257">
        <f>INT($L1826*Y1826*100+0.5)/100</f>
        <v>0</v>
      </c>
    </row>
    <row r="1827" spans="1:26" ht="15" hidden="1" customHeight="1">
      <c r="A1827" s="250" t="s">
        <v>1906</v>
      </c>
      <c r="B1827" s="251"/>
      <c r="C1827" s="532" t="s">
        <v>1366</v>
      </c>
      <c r="D1827" s="558" t="s">
        <v>284</v>
      </c>
      <c r="E1827" s="251"/>
      <c r="F1827" s="252"/>
      <c r="G1827" s="253"/>
      <c r="H1827" s="254">
        <f>F1827*G1827</f>
        <v>0</v>
      </c>
      <c r="I1827" s="253"/>
      <c r="J1827" s="253"/>
      <c r="K1827" s="251"/>
      <c r="L1827" s="262">
        <v>1400</v>
      </c>
      <c r="M1827" s="258">
        <v>0</v>
      </c>
      <c r="N1827" s="257">
        <f>INT($L1827*M1827*100+0.5)/100</f>
        <v>0</v>
      </c>
      <c r="O1827" s="258">
        <v>0</v>
      </c>
      <c r="P1827" s="257">
        <f>INT($L1827*O1827*100+0.5)/100</f>
        <v>0</v>
      </c>
      <c r="Q1827" s="258">
        <v>0</v>
      </c>
      <c r="R1827" s="257">
        <f>INT($L1827*Q1827*100+0.5)/100</f>
        <v>0</v>
      </c>
      <c r="S1827" s="258">
        <v>0</v>
      </c>
      <c r="T1827" s="257">
        <f>INT($L1827*S1827*100+0.5)/100</f>
        <v>0</v>
      </c>
      <c r="U1827" s="258">
        <v>0</v>
      </c>
      <c r="V1827" s="257">
        <f>INT($L1827*U1827*100+0.5)/100</f>
        <v>0</v>
      </c>
      <c r="W1827" s="258">
        <v>0</v>
      </c>
      <c r="X1827" s="257">
        <f>INT($L1827*W1827*100+0.5)/100</f>
        <v>0</v>
      </c>
      <c r="Y1827" s="258">
        <v>0</v>
      </c>
      <c r="Z1827" s="257">
        <f>INT($L1827*Y1827*100+0.5)/100</f>
        <v>0</v>
      </c>
    </row>
    <row r="1828" spans="1:26" ht="15" hidden="1" customHeight="1">
      <c r="A1828" s="250" t="s">
        <v>1907</v>
      </c>
      <c r="B1828" s="251"/>
      <c r="C1828" s="532" t="s">
        <v>1367</v>
      </c>
      <c r="D1828" s="558" t="s">
        <v>285</v>
      </c>
      <c r="E1828" s="251"/>
      <c r="F1828" s="252"/>
      <c r="G1828" s="253"/>
      <c r="H1828" s="254">
        <f>F1828*G1828</f>
        <v>0</v>
      </c>
      <c r="I1828" s="253"/>
      <c r="J1828" s="253"/>
      <c r="K1828" s="251"/>
      <c r="L1828" s="262">
        <v>1800</v>
      </c>
      <c r="M1828" s="258">
        <v>0</v>
      </c>
      <c r="N1828" s="257">
        <f>INT($L1828*M1828*100+0.5)/100</f>
        <v>0</v>
      </c>
      <c r="O1828" s="258">
        <v>0</v>
      </c>
      <c r="P1828" s="257">
        <f>INT($L1828*O1828*100+0.5)/100</f>
        <v>0</v>
      </c>
      <c r="Q1828" s="258">
        <v>0</v>
      </c>
      <c r="R1828" s="257">
        <f>INT($L1828*Q1828*100+0.5)/100</f>
        <v>0</v>
      </c>
      <c r="S1828" s="258">
        <v>0</v>
      </c>
      <c r="T1828" s="257">
        <f>INT($L1828*S1828*100+0.5)/100</f>
        <v>0</v>
      </c>
      <c r="U1828" s="258">
        <v>0</v>
      </c>
      <c r="V1828" s="257">
        <f>INT($L1828*U1828*100+0.5)/100</f>
        <v>0</v>
      </c>
      <c r="W1828" s="258">
        <v>0</v>
      </c>
      <c r="X1828" s="257">
        <f>INT($L1828*W1828*100+0.5)/100</f>
        <v>0</v>
      </c>
      <c r="Y1828" s="258">
        <v>0</v>
      </c>
      <c r="Z1828" s="257">
        <f>INT($L1828*Y1828*100+0.5)/100</f>
        <v>0</v>
      </c>
    </row>
    <row r="1829" spans="1:26" ht="15" hidden="1" customHeight="1">
      <c r="A1829" s="250"/>
      <c r="B1829" s="251"/>
      <c r="C1829" s="326"/>
      <c r="D1829" s="335"/>
      <c r="E1829" s="251"/>
      <c r="F1829" s="252"/>
      <c r="G1829" s="253"/>
      <c r="H1829" s="254"/>
      <c r="I1829" s="253"/>
      <c r="J1829" s="253"/>
      <c r="K1829" s="251"/>
      <c r="L1829" s="262"/>
      <c r="M1829" s="258"/>
      <c r="N1829" s="257"/>
      <c r="O1829" s="258"/>
      <c r="P1829" s="257"/>
      <c r="Q1829" s="258"/>
      <c r="R1829" s="257"/>
      <c r="S1829" s="258"/>
      <c r="T1829" s="257"/>
      <c r="U1829" s="258"/>
      <c r="V1829" s="257"/>
      <c r="W1829" s="258"/>
      <c r="X1829" s="257"/>
      <c r="Y1829" s="258"/>
      <c r="Z1829" s="257"/>
    </row>
    <row r="1830" spans="1:26" ht="25.5" hidden="1">
      <c r="A1830" s="250">
        <f>A1823+1</f>
        <v>329</v>
      </c>
      <c r="B1830" s="251">
        <v>83</v>
      </c>
      <c r="C1830" s="526" t="s">
        <v>1978</v>
      </c>
      <c r="D1830" s="527" t="s">
        <v>1979</v>
      </c>
      <c r="E1830" s="251" t="s">
        <v>1901</v>
      </c>
      <c r="F1830" s="252"/>
      <c r="G1830" s="253"/>
      <c r="H1830" s="254">
        <f>F1830*G1830</f>
        <v>0</v>
      </c>
      <c r="I1830" s="225"/>
      <c r="J1830" s="225"/>
      <c r="K1830" s="251" t="s">
        <v>1901</v>
      </c>
      <c r="L1830" s="262">
        <f>264*1.23+2*30</f>
        <v>384.71999999999997</v>
      </c>
      <c r="M1830" s="316">
        <v>0</v>
      </c>
      <c r="N1830" s="257">
        <f>INT($L1830*M1830*100+0.5)/100</f>
        <v>0</v>
      </c>
      <c r="O1830" s="316">
        <v>0</v>
      </c>
      <c r="P1830" s="257">
        <f>INT($L1830*O1830*100+0.5)/100</f>
        <v>0</v>
      </c>
      <c r="Q1830" s="316">
        <v>0</v>
      </c>
      <c r="R1830" s="257">
        <f>INT($L1830*Q1830*100+0.5)/100</f>
        <v>0</v>
      </c>
      <c r="S1830" s="316">
        <v>0</v>
      </c>
      <c r="T1830" s="257">
        <f>INT($L1830*S1830*100+0.5)/100</f>
        <v>0</v>
      </c>
      <c r="U1830" s="316">
        <v>0</v>
      </c>
      <c r="V1830" s="257">
        <f>INT($L1830*U1830*100+0.5)/100</f>
        <v>0</v>
      </c>
      <c r="W1830" s="316">
        <v>0</v>
      </c>
      <c r="X1830" s="257">
        <f>INT($L1830*W1830*100+0.5)/100</f>
        <v>0</v>
      </c>
      <c r="Y1830" s="316">
        <v>0</v>
      </c>
      <c r="Z1830" s="257">
        <f>INT($L1830*Y1830*100+0.5)/100</f>
        <v>0</v>
      </c>
    </row>
    <row r="1831" spans="1:26" ht="25.5" hidden="1">
      <c r="A1831" s="250"/>
      <c r="B1831" s="251"/>
      <c r="C1831" s="540"/>
      <c r="D1831" s="558" t="s">
        <v>1981</v>
      </c>
      <c r="E1831" s="251" t="s">
        <v>1902</v>
      </c>
      <c r="F1831" s="252"/>
      <c r="G1831" s="253"/>
      <c r="H1831" s="254"/>
      <c r="I1831" s="225"/>
      <c r="J1831" s="225"/>
      <c r="K1831" s="251" t="s">
        <v>1902</v>
      </c>
      <c r="L1831" s="262"/>
      <c r="M1831" s="316"/>
      <c r="N1831" s="257"/>
      <c r="O1831" s="316"/>
      <c r="P1831" s="257"/>
      <c r="Q1831" s="316"/>
      <c r="R1831" s="257"/>
      <c r="S1831" s="316"/>
      <c r="T1831" s="257"/>
      <c r="U1831" s="316"/>
      <c r="V1831" s="257"/>
      <c r="W1831" s="316"/>
      <c r="X1831" s="257"/>
      <c r="Y1831" s="316"/>
      <c r="Z1831" s="257"/>
    </row>
    <row r="1832" spans="1:26" ht="15" hidden="1">
      <c r="A1832" s="250"/>
      <c r="B1832" s="251"/>
      <c r="C1832" s="540"/>
      <c r="D1832" s="335"/>
      <c r="E1832" s="251"/>
      <c r="F1832" s="252"/>
      <c r="G1832" s="253"/>
      <c r="H1832" s="254"/>
      <c r="I1832" s="225"/>
      <c r="J1832" s="225"/>
      <c r="K1832" s="251"/>
      <c r="L1832" s="262"/>
      <c r="M1832" s="316"/>
      <c r="N1832" s="257"/>
      <c r="O1832" s="316"/>
      <c r="P1832" s="257"/>
      <c r="Q1832" s="316"/>
      <c r="R1832" s="257"/>
      <c r="S1832" s="316"/>
      <c r="T1832" s="257"/>
      <c r="U1832" s="316"/>
      <c r="V1832" s="257"/>
      <c r="W1832" s="316"/>
      <c r="X1832" s="257"/>
      <c r="Y1832" s="316"/>
      <c r="Z1832" s="257"/>
    </row>
    <row r="1833" spans="1:26" ht="15" hidden="1">
      <c r="A1833" s="250">
        <f>A1830+1</f>
        <v>330</v>
      </c>
      <c r="B1833" s="251">
        <v>77</v>
      </c>
      <c r="C1833" s="540" t="s">
        <v>215</v>
      </c>
      <c r="D1833" s="527" t="s">
        <v>452</v>
      </c>
      <c r="E1833" s="251" t="s">
        <v>1901</v>
      </c>
      <c r="F1833" s="252"/>
      <c r="G1833" s="253"/>
      <c r="H1833" s="254"/>
      <c r="I1833" s="253"/>
      <c r="J1833" s="253"/>
      <c r="K1833" s="251" t="s">
        <v>1901</v>
      </c>
      <c r="L1833" s="262"/>
      <c r="M1833" s="258"/>
      <c r="N1833" s="257"/>
      <c r="O1833" s="258"/>
      <c r="P1833" s="257"/>
      <c r="Q1833" s="258"/>
      <c r="R1833" s="257"/>
      <c r="S1833" s="258"/>
      <c r="T1833" s="257"/>
      <c r="U1833" s="258"/>
      <c r="V1833" s="257"/>
      <c r="W1833" s="258"/>
      <c r="X1833" s="257"/>
      <c r="Y1833" s="258"/>
      <c r="Z1833" s="257"/>
    </row>
    <row r="1834" spans="1:26" ht="15" hidden="1">
      <c r="A1834" s="250"/>
      <c r="B1834" s="251"/>
      <c r="C1834" s="540"/>
      <c r="D1834" s="527" t="s">
        <v>453</v>
      </c>
      <c r="E1834" s="251" t="s">
        <v>1902</v>
      </c>
      <c r="F1834" s="252"/>
      <c r="G1834" s="253"/>
      <c r="H1834" s="254"/>
      <c r="I1834" s="253"/>
      <c r="J1834" s="253"/>
      <c r="K1834" s="251" t="s">
        <v>1902</v>
      </c>
      <c r="L1834" s="262"/>
      <c r="M1834" s="258"/>
      <c r="N1834" s="257"/>
      <c r="O1834" s="258"/>
      <c r="P1834" s="257"/>
      <c r="Q1834" s="258"/>
      <c r="R1834" s="257"/>
      <c r="S1834" s="258"/>
      <c r="T1834" s="257"/>
      <c r="U1834" s="258"/>
      <c r="V1834" s="257"/>
      <c r="W1834" s="258"/>
      <c r="X1834" s="257"/>
      <c r="Y1834" s="258"/>
      <c r="Z1834" s="257"/>
    </row>
    <row r="1835" spans="1:26" ht="15" hidden="1">
      <c r="A1835" s="250" t="s">
        <v>1903</v>
      </c>
      <c r="B1835" s="251"/>
      <c r="C1835" s="540" t="s">
        <v>210</v>
      </c>
      <c r="D1835" s="335" t="s">
        <v>1775</v>
      </c>
      <c r="E1835" s="251"/>
      <c r="F1835" s="252"/>
      <c r="G1835" s="253"/>
      <c r="H1835" s="254">
        <f>F1835*G1835</f>
        <v>0</v>
      </c>
      <c r="I1835" s="253"/>
      <c r="J1835" s="253"/>
      <c r="K1835" s="251"/>
      <c r="L1835" s="262">
        <v>116</v>
      </c>
      <c r="M1835" s="258">
        <v>0</v>
      </c>
      <c r="N1835" s="257">
        <f>INT($L1835*M1835*100+0.5)/100</f>
        <v>0</v>
      </c>
      <c r="O1835" s="258">
        <v>0</v>
      </c>
      <c r="P1835" s="257">
        <f>INT($L1835*O1835*100+0.5)/100</f>
        <v>0</v>
      </c>
      <c r="Q1835" s="258">
        <v>0</v>
      </c>
      <c r="R1835" s="257">
        <f>INT($L1835*Q1835*100+0.5)/100</f>
        <v>0</v>
      </c>
      <c r="S1835" s="258">
        <v>0</v>
      </c>
      <c r="T1835" s="257">
        <f>INT($L1835*S1835*100+0.5)/100</f>
        <v>0</v>
      </c>
      <c r="U1835" s="258">
        <v>0</v>
      </c>
      <c r="V1835" s="257">
        <f>INT($L1835*U1835*100+0.5)/100</f>
        <v>0</v>
      </c>
      <c r="W1835" s="258">
        <v>0</v>
      </c>
      <c r="X1835" s="257">
        <f>INT($L1835*W1835*100+0.5)/100</f>
        <v>0</v>
      </c>
      <c r="Y1835" s="258">
        <v>0</v>
      </c>
      <c r="Z1835" s="257">
        <f>INT($L1835*Y1835*100+0.5)/100</f>
        <v>0</v>
      </c>
    </row>
    <row r="1836" spans="1:26" ht="15" hidden="1">
      <c r="A1836" s="250" t="s">
        <v>1905</v>
      </c>
      <c r="B1836" s="251"/>
      <c r="C1836" s="540" t="s">
        <v>211</v>
      </c>
      <c r="D1836" s="335" t="s">
        <v>1776</v>
      </c>
      <c r="E1836" s="251"/>
      <c r="F1836" s="252"/>
      <c r="G1836" s="253"/>
      <c r="H1836" s="254">
        <f>F1836*G1836</f>
        <v>0</v>
      </c>
      <c r="I1836" s="253"/>
      <c r="J1836" s="253"/>
      <c r="K1836" s="251"/>
      <c r="L1836" s="262">
        <v>130.5</v>
      </c>
      <c r="M1836" s="258">
        <v>0</v>
      </c>
      <c r="N1836" s="257">
        <f>INT($L1836*M1836*100+0.5)/100</f>
        <v>0</v>
      </c>
      <c r="O1836" s="258">
        <v>0</v>
      </c>
      <c r="P1836" s="257">
        <f>INT($L1836*O1836*100+0.5)/100</f>
        <v>0</v>
      </c>
      <c r="Q1836" s="258">
        <v>0</v>
      </c>
      <c r="R1836" s="257">
        <f>INT($L1836*Q1836*100+0.5)/100</f>
        <v>0</v>
      </c>
      <c r="S1836" s="258">
        <v>0</v>
      </c>
      <c r="T1836" s="257">
        <f>INT($L1836*S1836*100+0.5)/100</f>
        <v>0</v>
      </c>
      <c r="U1836" s="258">
        <v>0</v>
      </c>
      <c r="V1836" s="257">
        <f>INT($L1836*U1836*100+0.5)/100</f>
        <v>0</v>
      </c>
      <c r="W1836" s="258">
        <v>0</v>
      </c>
      <c r="X1836" s="257">
        <f>INT($L1836*W1836*100+0.5)/100</f>
        <v>0</v>
      </c>
      <c r="Y1836" s="258">
        <v>0</v>
      </c>
      <c r="Z1836" s="257">
        <f>INT($L1836*Y1836*100+0.5)/100</f>
        <v>0</v>
      </c>
    </row>
    <row r="1837" spans="1:26" ht="15" hidden="1">
      <c r="A1837" s="250" t="s">
        <v>1906</v>
      </c>
      <c r="B1837" s="251" t="s">
        <v>1906</v>
      </c>
      <c r="C1837" s="540" t="s">
        <v>212</v>
      </c>
      <c r="D1837" s="335" t="s">
        <v>1777</v>
      </c>
      <c r="E1837" s="251"/>
      <c r="F1837" s="252"/>
      <c r="G1837" s="253"/>
      <c r="H1837" s="254">
        <f>F1837*G1837</f>
        <v>0</v>
      </c>
      <c r="I1837" s="253"/>
      <c r="J1837" s="253"/>
      <c r="K1837" s="251"/>
      <c r="L1837" s="262">
        <v>155</v>
      </c>
      <c r="M1837" s="258">
        <v>0</v>
      </c>
      <c r="N1837" s="257">
        <f>INT($L1837*M1837*100+0.5)/100</f>
        <v>0</v>
      </c>
      <c r="O1837" s="258">
        <v>0</v>
      </c>
      <c r="P1837" s="257">
        <f>INT($L1837*O1837*100+0.5)/100</f>
        <v>0</v>
      </c>
      <c r="Q1837" s="258">
        <v>0</v>
      </c>
      <c r="R1837" s="257">
        <f>INT($L1837*Q1837*100+0.5)/100</f>
        <v>0</v>
      </c>
      <c r="S1837" s="258">
        <v>0</v>
      </c>
      <c r="T1837" s="257">
        <f>INT($L1837*S1837*100+0.5)/100</f>
        <v>0</v>
      </c>
      <c r="U1837" s="258">
        <v>0</v>
      </c>
      <c r="V1837" s="257">
        <f>INT($L1837*U1837*100+0.5)/100</f>
        <v>0</v>
      </c>
      <c r="W1837" s="258">
        <v>0</v>
      </c>
      <c r="X1837" s="257">
        <f>INT($L1837*W1837*100+0.5)/100</f>
        <v>0</v>
      </c>
      <c r="Y1837" s="258">
        <v>0</v>
      </c>
      <c r="Z1837" s="257">
        <f>INT($L1837*Y1837*100+0.5)/100</f>
        <v>0</v>
      </c>
    </row>
    <row r="1838" spans="1:26" ht="15" hidden="1">
      <c r="A1838" s="250" t="s">
        <v>1907</v>
      </c>
      <c r="B1838" s="251"/>
      <c r="C1838" s="540" t="s">
        <v>213</v>
      </c>
      <c r="D1838" s="335" t="s">
        <v>1778</v>
      </c>
      <c r="E1838" s="251"/>
      <c r="F1838" s="252"/>
      <c r="G1838" s="253"/>
      <c r="H1838" s="254">
        <f>F1838*G1838</f>
        <v>0</v>
      </c>
      <c r="I1838" s="253"/>
      <c r="J1838" s="253"/>
      <c r="K1838" s="251"/>
      <c r="L1838" s="262">
        <v>200</v>
      </c>
      <c r="M1838" s="258">
        <v>0</v>
      </c>
      <c r="N1838" s="257">
        <f>INT($L1838*M1838*100+0.5)/100</f>
        <v>0</v>
      </c>
      <c r="O1838" s="258">
        <v>0</v>
      </c>
      <c r="P1838" s="257">
        <f>INT($L1838*O1838*100+0.5)/100</f>
        <v>0</v>
      </c>
      <c r="Q1838" s="258">
        <v>0</v>
      </c>
      <c r="R1838" s="257">
        <f>INT($L1838*Q1838*100+0.5)/100</f>
        <v>0</v>
      </c>
      <c r="S1838" s="258">
        <v>0</v>
      </c>
      <c r="T1838" s="257">
        <f>INT($L1838*S1838*100+0.5)/100</f>
        <v>0</v>
      </c>
      <c r="U1838" s="258">
        <v>0</v>
      </c>
      <c r="V1838" s="257">
        <f>INT($L1838*U1838*100+0.5)/100</f>
        <v>0</v>
      </c>
      <c r="W1838" s="258">
        <v>0</v>
      </c>
      <c r="X1838" s="257">
        <f>INT($L1838*W1838*100+0.5)/100</f>
        <v>0</v>
      </c>
      <c r="Y1838" s="258">
        <v>0</v>
      </c>
      <c r="Z1838" s="257">
        <f>INT($L1838*Y1838*100+0.5)/100</f>
        <v>0</v>
      </c>
    </row>
    <row r="1839" spans="1:26" ht="15" hidden="1">
      <c r="A1839" s="250" t="s">
        <v>542</v>
      </c>
      <c r="B1839" s="251"/>
      <c r="C1839" s="540" t="s">
        <v>214</v>
      </c>
      <c r="D1839" s="335" t="s">
        <v>1323</v>
      </c>
      <c r="E1839" s="251"/>
      <c r="F1839" s="252"/>
      <c r="G1839" s="253"/>
      <c r="H1839" s="254">
        <f>F1839*G1839</f>
        <v>0</v>
      </c>
      <c r="I1839" s="253"/>
      <c r="J1839" s="253"/>
      <c r="K1839" s="251"/>
      <c r="L1839" s="262">
        <v>250</v>
      </c>
      <c r="M1839" s="258">
        <v>0</v>
      </c>
      <c r="N1839" s="257">
        <f>INT($L1839*M1839*100+0.5)/100</f>
        <v>0</v>
      </c>
      <c r="O1839" s="258">
        <v>0</v>
      </c>
      <c r="P1839" s="257">
        <f>INT($L1839*O1839*100+0.5)/100</f>
        <v>0</v>
      </c>
      <c r="Q1839" s="258">
        <v>0</v>
      </c>
      <c r="R1839" s="257">
        <f>INT($L1839*Q1839*100+0.5)/100</f>
        <v>0</v>
      </c>
      <c r="S1839" s="258">
        <v>0</v>
      </c>
      <c r="T1839" s="257">
        <f>INT($L1839*S1839*100+0.5)/100</f>
        <v>0</v>
      </c>
      <c r="U1839" s="258">
        <v>0</v>
      </c>
      <c r="V1839" s="257">
        <f>INT($L1839*U1839*100+0.5)/100</f>
        <v>0</v>
      </c>
      <c r="W1839" s="258">
        <v>0</v>
      </c>
      <c r="X1839" s="257">
        <f>INT($L1839*W1839*100+0.5)/100</f>
        <v>0</v>
      </c>
      <c r="Y1839" s="258">
        <v>0</v>
      </c>
      <c r="Z1839" s="257">
        <f>INT($L1839*Y1839*100+0.5)/100</f>
        <v>0</v>
      </c>
    </row>
    <row r="1840" spans="1:26" ht="15" hidden="1">
      <c r="A1840" s="250"/>
      <c r="B1840" s="251"/>
      <c r="C1840" s="540"/>
      <c r="D1840" s="335"/>
      <c r="E1840" s="251"/>
      <c r="F1840" s="252"/>
      <c r="G1840" s="253"/>
      <c r="H1840" s="254"/>
      <c r="I1840" s="253"/>
      <c r="J1840" s="253"/>
      <c r="K1840" s="251"/>
      <c r="L1840" s="262"/>
      <c r="M1840" s="258"/>
      <c r="N1840" s="257"/>
      <c r="O1840" s="258"/>
      <c r="P1840" s="257"/>
      <c r="Q1840" s="258"/>
      <c r="R1840" s="257"/>
      <c r="S1840" s="258"/>
      <c r="T1840" s="257"/>
      <c r="U1840" s="258"/>
      <c r="V1840" s="257"/>
      <c r="W1840" s="258"/>
      <c r="X1840" s="257"/>
      <c r="Y1840" s="258"/>
      <c r="Z1840" s="257"/>
    </row>
    <row r="1841" spans="1:26" ht="15.75" hidden="1" customHeight="1">
      <c r="A1841" s="284"/>
      <c r="B1841" s="237"/>
      <c r="C1841" s="285"/>
      <c r="D1841" s="335" t="s">
        <v>1028</v>
      </c>
      <c r="E1841" s="251"/>
      <c r="F1841" s="239"/>
      <c r="G1841" s="253"/>
      <c r="H1841" s="239"/>
      <c r="I1841" s="225"/>
      <c r="J1841" s="225"/>
      <c r="K1841" s="251"/>
      <c r="L1841" s="262"/>
      <c r="M1841" s="260"/>
      <c r="N1841" s="257"/>
      <c r="O1841" s="260"/>
      <c r="P1841" s="257"/>
      <c r="Q1841" s="260"/>
      <c r="R1841" s="257"/>
      <c r="S1841" s="260"/>
      <c r="T1841" s="257"/>
      <c r="U1841" s="260"/>
      <c r="V1841" s="257"/>
      <c r="W1841" s="260"/>
      <c r="X1841" s="257"/>
      <c r="Y1841" s="260"/>
      <c r="Z1841" s="257"/>
    </row>
    <row r="1842" spans="1:26" ht="15.75" hidden="1" customHeight="1">
      <c r="A1842" s="284"/>
      <c r="B1842" s="237"/>
      <c r="C1842" s="285"/>
      <c r="D1842" s="335" t="s">
        <v>327</v>
      </c>
      <c r="E1842" s="251"/>
      <c r="F1842" s="239"/>
      <c r="G1842" s="253"/>
      <c r="H1842" s="239"/>
      <c r="I1842" s="225"/>
      <c r="J1842" s="225"/>
      <c r="K1842" s="251"/>
      <c r="L1842" s="262"/>
      <c r="M1842" s="260"/>
      <c r="N1842" s="257"/>
      <c r="O1842" s="260"/>
      <c r="P1842" s="257"/>
      <c r="Q1842" s="260"/>
      <c r="R1842" s="257"/>
      <c r="S1842" s="260"/>
      <c r="T1842" s="257"/>
      <c r="U1842" s="260"/>
      <c r="V1842" s="257"/>
      <c r="W1842" s="260"/>
      <c r="X1842" s="257"/>
      <c r="Y1842" s="260"/>
      <c r="Z1842" s="257"/>
    </row>
    <row r="1843" spans="1:26" ht="15.75" hidden="1" customHeight="1">
      <c r="A1843" s="284">
        <f>A1833+1</f>
        <v>331</v>
      </c>
      <c r="B1843" s="237"/>
      <c r="C1843" s="285"/>
      <c r="D1843" s="422" t="s">
        <v>2037</v>
      </c>
      <c r="E1843" s="251"/>
      <c r="F1843" s="239"/>
      <c r="G1843" s="253"/>
      <c r="H1843" s="239"/>
      <c r="I1843" s="225"/>
      <c r="J1843" s="225"/>
      <c r="K1843" s="251"/>
      <c r="L1843" s="262">
        <v>5.22</v>
      </c>
      <c r="M1843" s="258">
        <v>0</v>
      </c>
      <c r="N1843" s="257">
        <f>INT($L1843*M1843*100+0.5)/100</f>
        <v>0</v>
      </c>
      <c r="O1843" s="258">
        <v>0</v>
      </c>
      <c r="P1843" s="257">
        <f>INT($L1843*O1843*100+0.5)/100</f>
        <v>0</v>
      </c>
      <c r="Q1843" s="258">
        <v>0</v>
      </c>
      <c r="R1843" s="257">
        <f>INT($L1843*Q1843*100+0.5)/100</f>
        <v>0</v>
      </c>
      <c r="S1843" s="258">
        <v>0</v>
      </c>
      <c r="T1843" s="257">
        <f>INT($L1843*S1843*100+0.5)/100</f>
        <v>0</v>
      </c>
      <c r="U1843" s="258">
        <v>0</v>
      </c>
      <c r="V1843" s="257">
        <f>INT($L1843*U1843*100+0.5)/100</f>
        <v>0</v>
      </c>
      <c r="W1843" s="258">
        <v>0</v>
      </c>
      <c r="X1843" s="257">
        <f>INT($L1843*W1843*100+0.5)/100</f>
        <v>0</v>
      </c>
      <c r="Y1843" s="258">
        <v>0</v>
      </c>
      <c r="Z1843" s="257">
        <f>INT($L1843*Y1843*100+0.5)/100</f>
        <v>0</v>
      </c>
    </row>
    <row r="1844" spans="1:26" ht="15.75" hidden="1" customHeight="1">
      <c r="A1844" s="284"/>
      <c r="B1844" s="237"/>
      <c r="C1844" s="285"/>
      <c r="D1844" s="422" t="s">
        <v>682</v>
      </c>
      <c r="E1844" s="251"/>
      <c r="F1844" s="239"/>
      <c r="G1844" s="253"/>
      <c r="H1844" s="239"/>
      <c r="I1844" s="225"/>
      <c r="J1844" s="225"/>
      <c r="K1844" s="251"/>
      <c r="L1844" s="346"/>
      <c r="M1844" s="260"/>
      <c r="N1844" s="257"/>
      <c r="O1844" s="260"/>
      <c r="P1844" s="257"/>
      <c r="Q1844" s="260"/>
      <c r="R1844" s="257"/>
      <c r="S1844" s="260"/>
      <c r="T1844" s="257"/>
      <c r="U1844" s="260"/>
      <c r="V1844" s="257"/>
      <c r="W1844" s="260"/>
      <c r="X1844" s="257"/>
      <c r="Y1844" s="260"/>
      <c r="Z1844" s="257"/>
    </row>
    <row r="1845" spans="1:26" ht="15.75" hidden="1" customHeight="1">
      <c r="A1845" s="284"/>
      <c r="B1845" s="237"/>
      <c r="C1845" s="285"/>
      <c r="D1845" s="422"/>
      <c r="E1845" s="251"/>
      <c r="F1845" s="239"/>
      <c r="G1845" s="253"/>
      <c r="H1845" s="239"/>
      <c r="I1845" s="225"/>
      <c r="J1845" s="225"/>
      <c r="K1845" s="251"/>
      <c r="L1845" s="346"/>
      <c r="M1845" s="260"/>
      <c r="N1845" s="257"/>
      <c r="O1845" s="260"/>
      <c r="P1845" s="257"/>
      <c r="Q1845" s="260"/>
      <c r="R1845" s="257"/>
      <c r="S1845" s="260"/>
      <c r="T1845" s="257"/>
      <c r="U1845" s="260"/>
      <c r="V1845" s="257"/>
      <c r="W1845" s="260"/>
      <c r="X1845" s="257"/>
      <c r="Y1845" s="260"/>
      <c r="Z1845" s="257"/>
    </row>
    <row r="1846" spans="1:26" ht="15.75" hidden="1" customHeight="1">
      <c r="A1846" s="284">
        <f>A1843+1</f>
        <v>332</v>
      </c>
      <c r="B1846" s="237"/>
      <c r="C1846" s="285"/>
      <c r="D1846" s="422" t="s">
        <v>2038</v>
      </c>
      <c r="E1846" s="251"/>
      <c r="F1846" s="239"/>
      <c r="G1846" s="253"/>
      <c r="H1846" s="239"/>
      <c r="I1846" s="225"/>
      <c r="J1846" s="225"/>
      <c r="K1846" s="251"/>
      <c r="L1846" s="262">
        <v>5.94</v>
      </c>
      <c r="M1846" s="258">
        <v>0</v>
      </c>
      <c r="N1846" s="257">
        <f>INT($L1846*M1846*100+0.5)/100</f>
        <v>0</v>
      </c>
      <c r="O1846" s="258">
        <v>0</v>
      </c>
      <c r="P1846" s="257">
        <f>INT($L1846*O1846*100+0.5)/100</f>
        <v>0</v>
      </c>
      <c r="Q1846" s="258">
        <v>0</v>
      </c>
      <c r="R1846" s="257">
        <f>INT($L1846*Q1846*100+0.5)/100</f>
        <v>0</v>
      </c>
      <c r="S1846" s="258">
        <v>0</v>
      </c>
      <c r="T1846" s="257">
        <f>INT($L1846*S1846*100+0.5)/100</f>
        <v>0</v>
      </c>
      <c r="U1846" s="258">
        <v>0</v>
      </c>
      <c r="V1846" s="257">
        <f>INT($L1846*U1846*100+0.5)/100</f>
        <v>0</v>
      </c>
      <c r="W1846" s="258">
        <v>0</v>
      </c>
      <c r="X1846" s="257">
        <f>INT($L1846*W1846*100+0.5)/100</f>
        <v>0</v>
      </c>
      <c r="Y1846" s="258">
        <v>0</v>
      </c>
      <c r="Z1846" s="257">
        <f>INT($L1846*Y1846*100+0.5)/100</f>
        <v>0</v>
      </c>
    </row>
    <row r="1847" spans="1:26" ht="15.75" hidden="1" customHeight="1">
      <c r="A1847" s="284"/>
      <c r="B1847" s="237"/>
      <c r="C1847" s="285"/>
      <c r="D1847" s="422" t="s">
        <v>1033</v>
      </c>
      <c r="E1847" s="251"/>
      <c r="F1847" s="239"/>
      <c r="G1847" s="253"/>
      <c r="H1847" s="239"/>
      <c r="I1847" s="225"/>
      <c r="J1847" s="225"/>
      <c r="K1847" s="251"/>
      <c r="L1847" s="346"/>
      <c r="M1847" s="260"/>
      <c r="N1847" s="257"/>
      <c r="O1847" s="260"/>
      <c r="P1847" s="257"/>
      <c r="Q1847" s="260"/>
      <c r="R1847" s="257"/>
      <c r="S1847" s="260"/>
      <c r="T1847" s="257"/>
      <c r="U1847" s="260"/>
      <c r="V1847" s="257"/>
      <c r="W1847" s="260"/>
      <c r="X1847" s="257"/>
      <c r="Y1847" s="260"/>
      <c r="Z1847" s="257"/>
    </row>
    <row r="1848" spans="1:26" ht="15.75" hidden="1" customHeight="1">
      <c r="A1848" s="284"/>
      <c r="B1848" s="237"/>
      <c r="C1848" s="285"/>
      <c r="D1848" s="422"/>
      <c r="E1848" s="251"/>
      <c r="F1848" s="239"/>
      <c r="G1848" s="253"/>
      <c r="H1848" s="239"/>
      <c r="I1848" s="225"/>
      <c r="J1848" s="225"/>
      <c r="K1848" s="251"/>
      <c r="L1848" s="346"/>
      <c r="M1848" s="260"/>
      <c r="N1848" s="257"/>
      <c r="O1848" s="260"/>
      <c r="P1848" s="257"/>
      <c r="Q1848" s="260"/>
      <c r="R1848" s="257"/>
      <c r="S1848" s="260"/>
      <c r="T1848" s="257"/>
      <c r="U1848" s="260"/>
      <c r="V1848" s="257"/>
      <c r="W1848" s="260"/>
      <c r="X1848" s="257"/>
      <c r="Y1848" s="260"/>
      <c r="Z1848" s="257"/>
    </row>
    <row r="1849" spans="1:26" ht="15.75" hidden="1" customHeight="1">
      <c r="A1849" s="284">
        <f>A1846+1</f>
        <v>333</v>
      </c>
      <c r="B1849" s="237"/>
      <c r="C1849" s="285"/>
      <c r="D1849" s="422" t="s">
        <v>2039</v>
      </c>
      <c r="E1849" s="251"/>
      <c r="F1849" s="239"/>
      <c r="G1849" s="253"/>
      <c r="H1849" s="239"/>
      <c r="I1849" s="225"/>
      <c r="J1849" s="225"/>
      <c r="K1849" s="251"/>
      <c r="L1849" s="262">
        <v>5.68</v>
      </c>
      <c r="M1849" s="258">
        <v>0</v>
      </c>
      <c r="N1849" s="257">
        <f>INT($L1849*M1849*100+0.5)/100</f>
        <v>0</v>
      </c>
      <c r="O1849" s="258">
        <v>0</v>
      </c>
      <c r="P1849" s="257">
        <f>INT($L1849*O1849*100+0.5)/100</f>
        <v>0</v>
      </c>
      <c r="Q1849" s="258">
        <v>0</v>
      </c>
      <c r="R1849" s="257">
        <f>INT($L1849*Q1849*100+0.5)/100</f>
        <v>0</v>
      </c>
      <c r="S1849" s="258">
        <v>0</v>
      </c>
      <c r="T1849" s="257">
        <f>INT($L1849*S1849*100+0.5)/100</f>
        <v>0</v>
      </c>
      <c r="U1849" s="258">
        <v>0</v>
      </c>
      <c r="V1849" s="257">
        <f>INT($L1849*U1849*100+0.5)/100</f>
        <v>0</v>
      </c>
      <c r="W1849" s="258">
        <v>0</v>
      </c>
      <c r="X1849" s="257">
        <f>INT($L1849*W1849*100+0.5)/100</f>
        <v>0</v>
      </c>
      <c r="Y1849" s="258">
        <v>0</v>
      </c>
      <c r="Z1849" s="257">
        <f>INT($L1849*Y1849*100+0.5)/100</f>
        <v>0</v>
      </c>
    </row>
    <row r="1850" spans="1:26" ht="15.75" hidden="1" customHeight="1">
      <c r="A1850" s="284"/>
      <c r="B1850" s="237"/>
      <c r="C1850" s="285"/>
      <c r="D1850" s="422" t="s">
        <v>1034</v>
      </c>
      <c r="E1850" s="251"/>
      <c r="F1850" s="239"/>
      <c r="G1850" s="253"/>
      <c r="H1850" s="239"/>
      <c r="I1850" s="225"/>
      <c r="J1850" s="225"/>
      <c r="K1850" s="251"/>
      <c r="L1850" s="346"/>
      <c r="M1850" s="260"/>
      <c r="N1850" s="257"/>
      <c r="O1850" s="260"/>
      <c r="P1850" s="257"/>
      <c r="Q1850" s="260"/>
      <c r="R1850" s="257"/>
      <c r="S1850" s="260"/>
      <c r="T1850" s="257"/>
      <c r="U1850" s="260"/>
      <c r="V1850" s="257"/>
      <c r="W1850" s="260"/>
      <c r="X1850" s="257"/>
      <c r="Y1850" s="260"/>
      <c r="Z1850" s="257"/>
    </row>
    <row r="1851" spans="1:26" ht="15.75" hidden="1" customHeight="1">
      <c r="A1851" s="284"/>
      <c r="B1851" s="237"/>
      <c r="C1851" s="285"/>
      <c r="D1851" s="422"/>
      <c r="E1851" s="251"/>
      <c r="F1851" s="239"/>
      <c r="G1851" s="253"/>
      <c r="H1851" s="239"/>
      <c r="I1851" s="225"/>
      <c r="J1851" s="225"/>
      <c r="K1851" s="251"/>
      <c r="L1851" s="346"/>
      <c r="M1851" s="260"/>
      <c r="N1851" s="257"/>
      <c r="O1851" s="260"/>
      <c r="P1851" s="257"/>
      <c r="Q1851" s="260"/>
      <c r="R1851" s="257"/>
      <c r="S1851" s="260"/>
      <c r="T1851" s="257"/>
      <c r="U1851" s="260"/>
      <c r="V1851" s="257"/>
      <c r="W1851" s="260"/>
      <c r="X1851" s="257"/>
      <c r="Y1851" s="260"/>
      <c r="Z1851" s="257"/>
    </row>
    <row r="1852" spans="1:26" ht="15.75" hidden="1" customHeight="1">
      <c r="A1852" s="284">
        <f>A1849+1</f>
        <v>334</v>
      </c>
      <c r="B1852" s="237"/>
      <c r="C1852" s="285"/>
      <c r="D1852" s="422" t="s">
        <v>2297</v>
      </c>
      <c r="E1852" s="251"/>
      <c r="F1852" s="239"/>
      <c r="G1852" s="253"/>
      <c r="H1852" s="239"/>
      <c r="I1852" s="225"/>
      <c r="J1852" s="225"/>
      <c r="K1852" s="251"/>
      <c r="L1852" s="262">
        <v>3.1</v>
      </c>
      <c r="M1852" s="258">
        <v>0</v>
      </c>
      <c r="N1852" s="257">
        <f>INT($L1852*M1852*100+0.5)/100</f>
        <v>0</v>
      </c>
      <c r="O1852" s="258">
        <v>0</v>
      </c>
      <c r="P1852" s="257">
        <f>INT($L1852*O1852*100+0.5)/100</f>
        <v>0</v>
      </c>
      <c r="Q1852" s="258">
        <v>0</v>
      </c>
      <c r="R1852" s="257">
        <f>INT($L1852*Q1852*100+0.5)/100</f>
        <v>0</v>
      </c>
      <c r="S1852" s="258">
        <v>0</v>
      </c>
      <c r="T1852" s="257">
        <f>INT($L1852*S1852*100+0.5)/100</f>
        <v>0</v>
      </c>
      <c r="U1852" s="258">
        <v>0</v>
      </c>
      <c r="V1852" s="257">
        <f>INT($L1852*U1852*100+0.5)/100</f>
        <v>0</v>
      </c>
      <c r="W1852" s="258">
        <v>0</v>
      </c>
      <c r="X1852" s="257">
        <f>INT($L1852*W1852*100+0.5)/100</f>
        <v>0</v>
      </c>
      <c r="Y1852" s="258">
        <v>0</v>
      </c>
      <c r="Z1852" s="257">
        <f>INT($L1852*Y1852*100+0.5)/100</f>
        <v>0</v>
      </c>
    </row>
    <row r="1853" spans="1:26" ht="15.75" hidden="1" customHeight="1">
      <c r="A1853" s="284"/>
      <c r="B1853" s="237"/>
      <c r="C1853" s="285"/>
      <c r="D1853" s="422" t="s">
        <v>2298</v>
      </c>
      <c r="E1853" s="251"/>
      <c r="F1853" s="239"/>
      <c r="G1853" s="253"/>
      <c r="H1853" s="239"/>
      <c r="I1853" s="225"/>
      <c r="J1853" s="225"/>
      <c r="K1853" s="251"/>
      <c r="L1853" s="346"/>
      <c r="M1853" s="260"/>
      <c r="N1853" s="257"/>
      <c r="O1853" s="260"/>
      <c r="P1853" s="257"/>
      <c r="Q1853" s="260"/>
      <c r="R1853" s="257"/>
      <c r="S1853" s="260"/>
      <c r="T1853" s="257"/>
      <c r="U1853" s="260"/>
      <c r="V1853" s="257"/>
      <c r="W1853" s="260"/>
      <c r="X1853" s="257"/>
      <c r="Y1853" s="260"/>
      <c r="Z1853" s="257"/>
    </row>
    <row r="1854" spans="1:26" ht="15.75" hidden="1" customHeight="1">
      <c r="A1854" s="284"/>
      <c r="B1854" s="237"/>
      <c r="C1854" s="285"/>
      <c r="D1854" s="422"/>
      <c r="E1854" s="251"/>
      <c r="F1854" s="239"/>
      <c r="G1854" s="253"/>
      <c r="H1854" s="239"/>
      <c r="I1854" s="225"/>
      <c r="J1854" s="225"/>
      <c r="K1854" s="251"/>
      <c r="L1854" s="346"/>
      <c r="M1854" s="260"/>
      <c r="N1854" s="257"/>
      <c r="O1854" s="260"/>
      <c r="P1854" s="257"/>
      <c r="Q1854" s="260"/>
      <c r="R1854" s="257"/>
      <c r="S1854" s="260"/>
      <c r="T1854" s="257"/>
      <c r="U1854" s="260"/>
      <c r="V1854" s="257"/>
      <c r="W1854" s="260"/>
      <c r="X1854" s="257"/>
      <c r="Y1854" s="260"/>
      <c r="Z1854" s="257"/>
    </row>
    <row r="1855" spans="1:26" ht="15.75" hidden="1" customHeight="1">
      <c r="A1855" s="284">
        <f>A1852+1</f>
        <v>335</v>
      </c>
      <c r="B1855" s="237"/>
      <c r="C1855" s="285"/>
      <c r="D1855" s="422" t="s">
        <v>2299</v>
      </c>
      <c r="E1855" s="251"/>
      <c r="F1855" s="239"/>
      <c r="G1855" s="253"/>
      <c r="H1855" s="239"/>
      <c r="I1855" s="225"/>
      <c r="J1855" s="225"/>
      <c r="K1855" s="251"/>
      <c r="L1855" s="262">
        <v>3.36</v>
      </c>
      <c r="M1855" s="258">
        <v>0</v>
      </c>
      <c r="N1855" s="257">
        <f>INT($L1855*M1855*100+0.5)/100</f>
        <v>0</v>
      </c>
      <c r="O1855" s="258">
        <v>0</v>
      </c>
      <c r="P1855" s="257">
        <f>INT($L1855*O1855*100+0.5)/100</f>
        <v>0</v>
      </c>
      <c r="Q1855" s="258">
        <v>0</v>
      </c>
      <c r="R1855" s="257">
        <f>INT($L1855*Q1855*100+0.5)/100</f>
        <v>0</v>
      </c>
      <c r="S1855" s="258">
        <v>0</v>
      </c>
      <c r="T1855" s="257">
        <f>INT($L1855*S1855*100+0.5)/100</f>
        <v>0</v>
      </c>
      <c r="U1855" s="258">
        <v>0</v>
      </c>
      <c r="V1855" s="257">
        <f>INT($L1855*U1855*100+0.5)/100</f>
        <v>0</v>
      </c>
      <c r="W1855" s="258">
        <v>0</v>
      </c>
      <c r="X1855" s="257">
        <f>INT($L1855*W1855*100+0.5)/100</f>
        <v>0</v>
      </c>
      <c r="Y1855" s="258">
        <v>0</v>
      </c>
      <c r="Z1855" s="257">
        <f>INT($L1855*Y1855*100+0.5)/100</f>
        <v>0</v>
      </c>
    </row>
    <row r="1856" spans="1:26" ht="15.75" hidden="1" customHeight="1">
      <c r="A1856" s="284"/>
      <c r="B1856" s="237"/>
      <c r="C1856" s="285"/>
      <c r="D1856" s="422" t="s">
        <v>2300</v>
      </c>
      <c r="E1856" s="251"/>
      <c r="F1856" s="239"/>
      <c r="G1856" s="253"/>
      <c r="H1856" s="239"/>
      <c r="I1856" s="225"/>
      <c r="J1856" s="225"/>
      <c r="K1856" s="251"/>
      <c r="L1856" s="346"/>
      <c r="M1856" s="260"/>
      <c r="N1856" s="257"/>
      <c r="O1856" s="260"/>
      <c r="P1856" s="257"/>
      <c r="Q1856" s="260"/>
      <c r="R1856" s="257"/>
      <c r="S1856" s="260"/>
      <c r="T1856" s="257"/>
      <c r="U1856" s="260"/>
      <c r="V1856" s="257"/>
      <c r="W1856" s="260"/>
      <c r="X1856" s="257"/>
      <c r="Y1856" s="260"/>
      <c r="Z1856" s="257"/>
    </row>
    <row r="1857" spans="1:26" ht="15.75" hidden="1" customHeight="1">
      <c r="A1857" s="284"/>
      <c r="B1857" s="237"/>
      <c r="C1857" s="285"/>
      <c r="D1857" s="422"/>
      <c r="E1857" s="251"/>
      <c r="F1857" s="239"/>
      <c r="G1857" s="253"/>
      <c r="H1857" s="239"/>
      <c r="I1857" s="225"/>
      <c r="J1857" s="225"/>
      <c r="K1857" s="251"/>
      <c r="L1857" s="346"/>
      <c r="M1857" s="260"/>
      <c r="N1857" s="257"/>
      <c r="O1857" s="260"/>
      <c r="P1857" s="257"/>
      <c r="Q1857" s="260"/>
      <c r="R1857" s="257"/>
      <c r="S1857" s="260"/>
      <c r="T1857" s="257"/>
      <c r="U1857" s="260"/>
      <c r="V1857" s="257"/>
      <c r="W1857" s="260"/>
      <c r="X1857" s="257"/>
      <c r="Y1857" s="260"/>
      <c r="Z1857" s="257"/>
    </row>
    <row r="1858" spans="1:26" ht="16.5" hidden="1" customHeight="1">
      <c r="A1858" s="284">
        <f>A1855+1</f>
        <v>336</v>
      </c>
      <c r="B1858" s="237"/>
      <c r="C1858" s="285"/>
      <c r="D1858" s="422" t="s">
        <v>2301</v>
      </c>
      <c r="E1858" s="251"/>
      <c r="F1858" s="239"/>
      <c r="G1858" s="253"/>
      <c r="H1858" s="239"/>
      <c r="I1858" s="225"/>
      <c r="J1858" s="225"/>
      <c r="K1858" s="251"/>
      <c r="L1858" s="262">
        <v>2.89</v>
      </c>
      <c r="M1858" s="258">
        <v>0</v>
      </c>
      <c r="N1858" s="257">
        <f>INT($L1858*M1858*100+0.5)/100</f>
        <v>0</v>
      </c>
      <c r="O1858" s="258">
        <v>0</v>
      </c>
      <c r="P1858" s="257">
        <f>INT($L1858*O1858*100+0.5)/100</f>
        <v>0</v>
      </c>
      <c r="Q1858" s="258">
        <v>0</v>
      </c>
      <c r="R1858" s="257">
        <f>INT($L1858*Q1858*100+0.5)/100</f>
        <v>0</v>
      </c>
      <c r="S1858" s="258">
        <v>0</v>
      </c>
      <c r="T1858" s="257">
        <f>INT($L1858*S1858*100+0.5)/100</f>
        <v>0</v>
      </c>
      <c r="U1858" s="258">
        <v>0</v>
      </c>
      <c r="V1858" s="257">
        <f>INT($L1858*U1858*100+0.5)/100</f>
        <v>0</v>
      </c>
      <c r="W1858" s="258">
        <v>0</v>
      </c>
      <c r="X1858" s="257">
        <f>INT($L1858*W1858*100+0.5)/100</f>
        <v>0</v>
      </c>
      <c r="Y1858" s="258">
        <v>0</v>
      </c>
      <c r="Z1858" s="257">
        <f>INT($L1858*Y1858*100+0.5)/100</f>
        <v>0</v>
      </c>
    </row>
    <row r="1859" spans="1:26" ht="15.75" hidden="1" customHeight="1">
      <c r="A1859" s="284"/>
      <c r="B1859" s="237"/>
      <c r="C1859" s="285"/>
      <c r="D1859" s="422" t="s">
        <v>2302</v>
      </c>
      <c r="E1859" s="251"/>
      <c r="F1859" s="239"/>
      <c r="G1859" s="253"/>
      <c r="H1859" s="239"/>
      <c r="I1859" s="225"/>
      <c r="J1859" s="225"/>
      <c r="K1859" s="251"/>
      <c r="L1859" s="346"/>
      <c r="M1859" s="260"/>
      <c r="N1859" s="257"/>
      <c r="O1859" s="260"/>
      <c r="P1859" s="257"/>
      <c r="Q1859" s="260"/>
      <c r="R1859" s="257"/>
      <c r="S1859" s="260"/>
      <c r="T1859" s="257"/>
      <c r="U1859" s="260"/>
      <c r="V1859" s="257"/>
      <c r="W1859" s="260"/>
      <c r="X1859" s="257"/>
      <c r="Y1859" s="260"/>
      <c r="Z1859" s="257"/>
    </row>
    <row r="1860" spans="1:26" ht="15.75" hidden="1" customHeight="1">
      <c r="A1860" s="284"/>
      <c r="B1860" s="237"/>
      <c r="C1860" s="285"/>
      <c r="D1860" s="422"/>
      <c r="E1860" s="251"/>
      <c r="F1860" s="239"/>
      <c r="G1860" s="253"/>
      <c r="H1860" s="239"/>
      <c r="I1860" s="225"/>
      <c r="J1860" s="225"/>
      <c r="K1860" s="251"/>
      <c r="L1860" s="346"/>
      <c r="M1860" s="260"/>
      <c r="N1860" s="257"/>
      <c r="O1860" s="260"/>
      <c r="P1860" s="257"/>
      <c r="Q1860" s="260"/>
      <c r="R1860" s="257"/>
      <c r="S1860" s="260"/>
      <c r="T1860" s="257"/>
      <c r="U1860" s="260"/>
      <c r="V1860" s="257"/>
      <c r="W1860" s="260"/>
      <c r="X1860" s="257"/>
      <c r="Y1860" s="260"/>
      <c r="Z1860" s="257"/>
    </row>
    <row r="1861" spans="1:26" ht="15.75" hidden="1" customHeight="1">
      <c r="A1861" s="284">
        <f>A1858+1</f>
        <v>337</v>
      </c>
      <c r="B1861" s="237"/>
      <c r="C1861" s="285"/>
      <c r="D1861" s="422" t="s">
        <v>2303</v>
      </c>
      <c r="E1861" s="251"/>
      <c r="F1861" s="239"/>
      <c r="G1861" s="253"/>
      <c r="H1861" s="239"/>
      <c r="I1861" s="225"/>
      <c r="J1861" s="225"/>
      <c r="K1861" s="251"/>
      <c r="L1861" s="262">
        <v>4.91</v>
      </c>
      <c r="M1861" s="258">
        <v>0</v>
      </c>
      <c r="N1861" s="257">
        <f>INT($L1861*M1861*100+0.5)/100</f>
        <v>0</v>
      </c>
      <c r="O1861" s="258">
        <v>0</v>
      </c>
      <c r="P1861" s="257">
        <f>INT($L1861*O1861*100+0.5)/100</f>
        <v>0</v>
      </c>
      <c r="Q1861" s="258">
        <v>0</v>
      </c>
      <c r="R1861" s="257">
        <f>INT($L1861*Q1861*100+0.5)/100</f>
        <v>0</v>
      </c>
      <c r="S1861" s="258">
        <v>0</v>
      </c>
      <c r="T1861" s="257">
        <f>INT($L1861*S1861*100+0.5)/100</f>
        <v>0</v>
      </c>
      <c r="U1861" s="258">
        <v>0</v>
      </c>
      <c r="V1861" s="257">
        <f>INT($L1861*U1861*100+0.5)/100</f>
        <v>0</v>
      </c>
      <c r="W1861" s="258">
        <v>0</v>
      </c>
      <c r="X1861" s="257">
        <f>INT($L1861*W1861*100+0.5)/100</f>
        <v>0</v>
      </c>
      <c r="Y1861" s="258">
        <v>0</v>
      </c>
      <c r="Z1861" s="257">
        <f>INT($L1861*Y1861*100+0.5)/100</f>
        <v>0</v>
      </c>
    </row>
    <row r="1862" spans="1:26" ht="15.75" hidden="1" customHeight="1">
      <c r="A1862" s="284"/>
      <c r="B1862" s="237"/>
      <c r="C1862" s="285"/>
      <c r="D1862" s="422" t="s">
        <v>2304</v>
      </c>
      <c r="E1862" s="251"/>
      <c r="F1862" s="239"/>
      <c r="G1862" s="253"/>
      <c r="H1862" s="239"/>
      <c r="I1862" s="225"/>
      <c r="J1862" s="225"/>
      <c r="K1862" s="251"/>
      <c r="L1862" s="346"/>
      <c r="M1862" s="260"/>
      <c r="N1862" s="257"/>
      <c r="O1862" s="260"/>
      <c r="P1862" s="257"/>
      <c r="Q1862" s="260"/>
      <c r="R1862" s="257"/>
      <c r="S1862" s="260"/>
      <c r="T1862" s="257"/>
      <c r="U1862" s="260"/>
      <c r="V1862" s="257"/>
      <c r="W1862" s="260"/>
      <c r="X1862" s="257"/>
      <c r="Y1862" s="260"/>
      <c r="Z1862" s="257"/>
    </row>
    <row r="1863" spans="1:26" ht="15.75" hidden="1" customHeight="1">
      <c r="A1863" s="284"/>
      <c r="B1863" s="237"/>
      <c r="C1863" s="285"/>
      <c r="D1863" s="422"/>
      <c r="E1863" s="251"/>
      <c r="F1863" s="239"/>
      <c r="G1863" s="253"/>
      <c r="H1863" s="239"/>
      <c r="I1863" s="225"/>
      <c r="J1863" s="225"/>
      <c r="K1863" s="251"/>
      <c r="L1863" s="346"/>
      <c r="M1863" s="260"/>
      <c r="N1863" s="257"/>
      <c r="O1863" s="260"/>
      <c r="P1863" s="257"/>
      <c r="Q1863" s="260"/>
      <c r="R1863" s="257"/>
      <c r="S1863" s="260"/>
      <c r="T1863" s="257"/>
      <c r="U1863" s="260"/>
      <c r="V1863" s="257"/>
      <c r="W1863" s="260"/>
      <c r="X1863" s="257"/>
      <c r="Y1863" s="260"/>
      <c r="Z1863" s="257"/>
    </row>
    <row r="1864" spans="1:26" ht="15.75" hidden="1" customHeight="1">
      <c r="A1864" s="284">
        <f>A1861+1</f>
        <v>338</v>
      </c>
      <c r="B1864" s="237"/>
      <c r="C1864" s="285"/>
      <c r="D1864" s="422" t="s">
        <v>2305</v>
      </c>
      <c r="E1864" s="251"/>
      <c r="F1864" s="239"/>
      <c r="G1864" s="253"/>
      <c r="H1864" s="239"/>
      <c r="I1864" s="225"/>
      <c r="J1864" s="225"/>
      <c r="K1864" s="251"/>
      <c r="L1864" s="262">
        <v>7.95</v>
      </c>
      <c r="M1864" s="258">
        <v>0</v>
      </c>
      <c r="N1864" s="257">
        <f>INT($L1864*M1864*100+0.5)/100</f>
        <v>0</v>
      </c>
      <c r="O1864" s="258">
        <v>0</v>
      </c>
      <c r="P1864" s="257">
        <f>INT($L1864*O1864*100+0.5)/100</f>
        <v>0</v>
      </c>
      <c r="Q1864" s="258">
        <v>0</v>
      </c>
      <c r="R1864" s="257">
        <f>INT($L1864*Q1864*100+0.5)/100</f>
        <v>0</v>
      </c>
      <c r="S1864" s="258">
        <v>0</v>
      </c>
      <c r="T1864" s="257">
        <f>INT($L1864*S1864*100+0.5)/100</f>
        <v>0</v>
      </c>
      <c r="U1864" s="258">
        <v>0</v>
      </c>
      <c r="V1864" s="257">
        <f>INT($L1864*U1864*100+0.5)/100</f>
        <v>0</v>
      </c>
      <c r="W1864" s="258">
        <v>0</v>
      </c>
      <c r="X1864" s="257">
        <f>INT($L1864*W1864*100+0.5)/100</f>
        <v>0</v>
      </c>
      <c r="Y1864" s="258">
        <v>0</v>
      </c>
      <c r="Z1864" s="257">
        <f>INT($L1864*Y1864*100+0.5)/100</f>
        <v>0</v>
      </c>
    </row>
    <row r="1865" spans="1:26" ht="15.75" hidden="1" customHeight="1">
      <c r="A1865" s="284"/>
      <c r="B1865" s="237"/>
      <c r="C1865" s="285"/>
      <c r="D1865" s="422" t="s">
        <v>2306</v>
      </c>
      <c r="E1865" s="251"/>
      <c r="F1865" s="239"/>
      <c r="G1865" s="253"/>
      <c r="H1865" s="239"/>
      <c r="I1865" s="225"/>
      <c r="J1865" s="225"/>
      <c r="K1865" s="251"/>
      <c r="L1865" s="346"/>
      <c r="M1865" s="260"/>
      <c r="N1865" s="257"/>
      <c r="O1865" s="260"/>
      <c r="P1865" s="257"/>
      <c r="Q1865" s="260"/>
      <c r="R1865" s="257"/>
      <c r="S1865" s="260"/>
      <c r="T1865" s="257"/>
      <c r="U1865" s="260"/>
      <c r="V1865" s="257"/>
      <c r="W1865" s="260"/>
      <c r="X1865" s="257"/>
      <c r="Y1865" s="260"/>
      <c r="Z1865" s="257"/>
    </row>
    <row r="1866" spans="1:26" ht="15.75" hidden="1" customHeight="1">
      <c r="A1866" s="284"/>
      <c r="B1866" s="237"/>
      <c r="C1866" s="285"/>
      <c r="D1866" s="422"/>
      <c r="E1866" s="251"/>
      <c r="F1866" s="239"/>
      <c r="G1866" s="253"/>
      <c r="H1866" s="239"/>
      <c r="I1866" s="225"/>
      <c r="J1866" s="225"/>
      <c r="K1866" s="251"/>
      <c r="L1866" s="346"/>
      <c r="M1866" s="279"/>
      <c r="N1866" s="280"/>
      <c r="O1866" s="279"/>
      <c r="P1866" s="280"/>
      <c r="Q1866" s="279"/>
      <c r="R1866" s="280"/>
      <c r="S1866" s="279"/>
      <c r="T1866" s="280"/>
      <c r="U1866" s="279"/>
      <c r="V1866" s="280"/>
      <c r="W1866" s="279"/>
      <c r="X1866" s="280"/>
      <c r="Y1866" s="279"/>
      <c r="Z1866" s="280"/>
    </row>
    <row r="1867" spans="1:26" ht="15.75" hidden="1" customHeight="1">
      <c r="A1867" s="284">
        <f>A1864+1</f>
        <v>339</v>
      </c>
      <c r="B1867" s="237"/>
      <c r="C1867" s="285"/>
      <c r="D1867" s="422" t="s">
        <v>2040</v>
      </c>
      <c r="E1867" s="251"/>
      <c r="F1867" s="239"/>
      <c r="G1867" s="253"/>
      <c r="H1867" s="239"/>
      <c r="I1867" s="225"/>
      <c r="J1867" s="225"/>
      <c r="K1867" s="251"/>
      <c r="L1867" s="262">
        <v>7.56</v>
      </c>
      <c r="M1867" s="258">
        <v>0</v>
      </c>
      <c r="N1867" s="257">
        <f>INT($L1867*M1867*100+0.5)/100</f>
        <v>0</v>
      </c>
      <c r="O1867" s="258">
        <v>0</v>
      </c>
      <c r="P1867" s="257">
        <f>INT($L1867*O1867*100+0.5)/100</f>
        <v>0</v>
      </c>
      <c r="Q1867" s="258">
        <v>0</v>
      </c>
      <c r="R1867" s="257">
        <f>INT($L1867*Q1867*100+0.5)/100</f>
        <v>0</v>
      </c>
      <c r="S1867" s="258">
        <v>0</v>
      </c>
      <c r="T1867" s="257">
        <f>INT($L1867*S1867*100+0.5)/100</f>
        <v>0</v>
      </c>
      <c r="U1867" s="258">
        <v>0</v>
      </c>
      <c r="V1867" s="257">
        <f>INT($L1867*U1867*100+0.5)/100</f>
        <v>0</v>
      </c>
      <c r="W1867" s="258">
        <v>0</v>
      </c>
      <c r="X1867" s="257">
        <f>INT($L1867*W1867*100+0.5)/100</f>
        <v>0</v>
      </c>
      <c r="Y1867" s="258">
        <v>0</v>
      </c>
      <c r="Z1867" s="257">
        <f>INT($L1867*Y1867*100+0.5)/100</f>
        <v>0</v>
      </c>
    </row>
    <row r="1868" spans="1:26" ht="15.75" hidden="1" customHeight="1">
      <c r="A1868" s="284"/>
      <c r="B1868" s="237"/>
      <c r="C1868" s="285"/>
      <c r="D1868" s="422" t="s">
        <v>2307</v>
      </c>
      <c r="E1868" s="251"/>
      <c r="F1868" s="239"/>
      <c r="G1868" s="253"/>
      <c r="H1868" s="239"/>
      <c r="I1868" s="225"/>
      <c r="J1868" s="225"/>
      <c r="K1868" s="251"/>
      <c r="L1868" s="346"/>
      <c r="M1868" s="260"/>
      <c r="N1868" s="257"/>
      <c r="O1868" s="260"/>
      <c r="P1868" s="257"/>
      <c r="Q1868" s="260"/>
      <c r="R1868" s="257"/>
      <c r="S1868" s="260"/>
      <c r="T1868" s="257"/>
      <c r="U1868" s="260"/>
      <c r="V1868" s="257"/>
      <c r="W1868" s="260"/>
      <c r="X1868" s="257"/>
      <c r="Y1868" s="260"/>
      <c r="Z1868" s="257"/>
    </row>
    <row r="1869" spans="1:26" ht="15.75" hidden="1" customHeight="1">
      <c r="A1869" s="284"/>
      <c r="B1869" s="237"/>
      <c r="C1869" s="285"/>
      <c r="D1869" s="422"/>
      <c r="E1869" s="251"/>
      <c r="F1869" s="239"/>
      <c r="G1869" s="253"/>
      <c r="H1869" s="239"/>
      <c r="I1869" s="225"/>
      <c r="J1869" s="225"/>
      <c r="K1869" s="251"/>
      <c r="L1869" s="346"/>
      <c r="M1869" s="260"/>
      <c r="N1869" s="257"/>
      <c r="O1869" s="260"/>
      <c r="P1869" s="257"/>
      <c r="Q1869" s="260"/>
      <c r="R1869" s="257"/>
      <c r="S1869" s="260"/>
      <c r="T1869" s="257"/>
      <c r="U1869" s="260"/>
      <c r="V1869" s="257"/>
      <c r="W1869" s="260"/>
      <c r="X1869" s="257"/>
      <c r="Y1869" s="260"/>
      <c r="Z1869" s="257"/>
    </row>
    <row r="1870" spans="1:26" ht="15.75" hidden="1" customHeight="1">
      <c r="A1870" s="284">
        <f>A1867+1</f>
        <v>340</v>
      </c>
      <c r="B1870" s="237"/>
      <c r="C1870" s="285"/>
      <c r="D1870" s="422" t="s">
        <v>2308</v>
      </c>
      <c r="E1870" s="251"/>
      <c r="F1870" s="239"/>
      <c r="G1870" s="253"/>
      <c r="H1870" s="239"/>
      <c r="I1870" s="225"/>
      <c r="J1870" s="225"/>
      <c r="K1870" s="251"/>
      <c r="L1870" s="262">
        <v>11.21</v>
      </c>
      <c r="M1870" s="258">
        <v>0</v>
      </c>
      <c r="N1870" s="257">
        <f>INT($L1870*M1870*100+0.5)/100</f>
        <v>0</v>
      </c>
      <c r="O1870" s="258">
        <v>0</v>
      </c>
      <c r="P1870" s="257">
        <f>INT($L1870*O1870*100+0.5)/100</f>
        <v>0</v>
      </c>
      <c r="Q1870" s="258">
        <v>0</v>
      </c>
      <c r="R1870" s="257">
        <f>INT($L1870*Q1870*100+0.5)/100</f>
        <v>0</v>
      </c>
      <c r="S1870" s="258">
        <v>0</v>
      </c>
      <c r="T1870" s="257">
        <f>INT($L1870*S1870*100+0.5)/100</f>
        <v>0</v>
      </c>
      <c r="U1870" s="258">
        <v>0</v>
      </c>
      <c r="V1870" s="257">
        <f>INT($L1870*U1870*100+0.5)/100</f>
        <v>0</v>
      </c>
      <c r="W1870" s="258">
        <v>0</v>
      </c>
      <c r="X1870" s="257">
        <f>INT($L1870*W1870*100+0.5)/100</f>
        <v>0</v>
      </c>
      <c r="Y1870" s="258">
        <v>0</v>
      </c>
      <c r="Z1870" s="257">
        <f>INT($L1870*Y1870*100+0.5)/100</f>
        <v>0</v>
      </c>
    </row>
    <row r="1871" spans="1:26" ht="15.75" hidden="1" customHeight="1">
      <c r="A1871" s="284"/>
      <c r="B1871" s="237"/>
      <c r="C1871" s="285"/>
      <c r="D1871" s="422" t="s">
        <v>2309</v>
      </c>
      <c r="E1871" s="251"/>
      <c r="F1871" s="239"/>
      <c r="G1871" s="253"/>
      <c r="H1871" s="239"/>
      <c r="I1871" s="225"/>
      <c r="J1871" s="225"/>
      <c r="K1871" s="251"/>
      <c r="L1871" s="346"/>
      <c r="M1871" s="260"/>
      <c r="N1871" s="257"/>
      <c r="O1871" s="260"/>
      <c r="P1871" s="257"/>
      <c r="Q1871" s="260"/>
      <c r="R1871" s="257"/>
      <c r="S1871" s="260"/>
      <c r="T1871" s="257"/>
      <c r="U1871" s="260"/>
      <c r="V1871" s="257"/>
      <c r="W1871" s="260"/>
      <c r="X1871" s="257"/>
      <c r="Y1871" s="260"/>
      <c r="Z1871" s="257"/>
    </row>
    <row r="1872" spans="1:26" ht="15.75" hidden="1" customHeight="1">
      <c r="A1872" s="284"/>
      <c r="B1872" s="237"/>
      <c r="C1872" s="285"/>
      <c r="D1872" s="422"/>
      <c r="E1872" s="251"/>
      <c r="F1872" s="239"/>
      <c r="G1872" s="253"/>
      <c r="H1872" s="239"/>
      <c r="I1872" s="225"/>
      <c r="J1872" s="225"/>
      <c r="K1872" s="251"/>
      <c r="L1872" s="346"/>
      <c r="M1872" s="260"/>
      <c r="N1872" s="257"/>
      <c r="O1872" s="260"/>
      <c r="P1872" s="257"/>
      <c r="Q1872" s="260"/>
      <c r="R1872" s="257"/>
      <c r="S1872" s="260"/>
      <c r="T1872" s="257"/>
      <c r="U1872" s="260"/>
      <c r="V1872" s="257"/>
      <c r="W1872" s="260"/>
      <c r="X1872" s="257"/>
      <c r="Y1872" s="260"/>
      <c r="Z1872" s="257"/>
    </row>
    <row r="1873" spans="1:26" ht="15.75" hidden="1" customHeight="1">
      <c r="A1873" s="284">
        <f>A1870+1</f>
        <v>341</v>
      </c>
      <c r="B1873" s="237"/>
      <c r="C1873" s="285"/>
      <c r="D1873" s="422" t="s">
        <v>2310</v>
      </c>
      <c r="E1873" s="251"/>
      <c r="F1873" s="239"/>
      <c r="G1873" s="253"/>
      <c r="H1873" s="239"/>
      <c r="I1873" s="225"/>
      <c r="J1873" s="225"/>
      <c r="K1873" s="251"/>
      <c r="L1873" s="262">
        <v>7.13</v>
      </c>
      <c r="M1873" s="258">
        <v>0</v>
      </c>
      <c r="N1873" s="257">
        <f>INT($L1873*M1873*100+0.5)/100</f>
        <v>0</v>
      </c>
      <c r="O1873" s="258">
        <v>0</v>
      </c>
      <c r="P1873" s="257">
        <f>INT($L1873*O1873*100+0.5)/100</f>
        <v>0</v>
      </c>
      <c r="Q1873" s="258">
        <v>0</v>
      </c>
      <c r="R1873" s="257">
        <f>INT($L1873*Q1873*100+0.5)/100</f>
        <v>0</v>
      </c>
      <c r="S1873" s="258">
        <v>0</v>
      </c>
      <c r="T1873" s="257">
        <f>INT($L1873*S1873*100+0.5)/100</f>
        <v>0</v>
      </c>
      <c r="U1873" s="258">
        <v>0</v>
      </c>
      <c r="V1873" s="257">
        <f>INT($L1873*U1873*100+0.5)/100</f>
        <v>0</v>
      </c>
      <c r="W1873" s="258">
        <v>0</v>
      </c>
      <c r="X1873" s="257">
        <f>INT($L1873*W1873*100+0.5)/100</f>
        <v>0</v>
      </c>
      <c r="Y1873" s="258">
        <v>0</v>
      </c>
      <c r="Z1873" s="257">
        <f>INT($L1873*Y1873*100+0.5)/100</f>
        <v>0</v>
      </c>
    </row>
    <row r="1874" spans="1:26" ht="15.75" hidden="1" customHeight="1">
      <c r="A1874" s="284"/>
      <c r="B1874" s="237"/>
      <c r="C1874" s="285"/>
      <c r="D1874" s="422" t="s">
        <v>2311</v>
      </c>
      <c r="E1874" s="251"/>
      <c r="F1874" s="239"/>
      <c r="G1874" s="253"/>
      <c r="H1874" s="239"/>
      <c r="I1874" s="225"/>
      <c r="J1874" s="225"/>
      <c r="K1874" s="251"/>
      <c r="L1874" s="346"/>
      <c r="M1874" s="260"/>
      <c r="N1874" s="257"/>
      <c r="O1874" s="260"/>
      <c r="P1874" s="257"/>
      <c r="Q1874" s="260"/>
      <c r="R1874" s="257"/>
      <c r="S1874" s="260"/>
      <c r="T1874" s="257"/>
      <c r="U1874" s="260"/>
      <c r="V1874" s="257"/>
      <c r="W1874" s="260"/>
      <c r="X1874" s="257"/>
      <c r="Y1874" s="260"/>
      <c r="Z1874" s="257"/>
    </row>
    <row r="1875" spans="1:26" ht="15.75" hidden="1" customHeight="1">
      <c r="A1875" s="284"/>
      <c r="B1875" s="237"/>
      <c r="C1875" s="285"/>
      <c r="D1875" s="422"/>
      <c r="E1875" s="251"/>
      <c r="F1875" s="239"/>
      <c r="G1875" s="253"/>
      <c r="H1875" s="239"/>
      <c r="I1875" s="225"/>
      <c r="J1875" s="225"/>
      <c r="K1875" s="251"/>
      <c r="L1875" s="346"/>
      <c r="M1875" s="260"/>
      <c r="N1875" s="257"/>
      <c r="O1875" s="260"/>
      <c r="P1875" s="257"/>
      <c r="Q1875" s="260"/>
      <c r="R1875" s="257"/>
      <c r="S1875" s="260"/>
      <c r="T1875" s="257"/>
      <c r="U1875" s="260"/>
      <c r="V1875" s="257"/>
      <c r="W1875" s="260"/>
      <c r="X1875" s="257"/>
      <c r="Y1875" s="260"/>
      <c r="Z1875" s="257"/>
    </row>
    <row r="1876" spans="1:26" ht="15.75" hidden="1" customHeight="1">
      <c r="A1876" s="284">
        <f>A1873+1</f>
        <v>342</v>
      </c>
      <c r="B1876" s="237"/>
      <c r="C1876" s="285"/>
      <c r="D1876" s="422" t="s">
        <v>2312</v>
      </c>
      <c r="E1876" s="251"/>
      <c r="F1876" s="239"/>
      <c r="G1876" s="253"/>
      <c r="H1876" s="239"/>
      <c r="I1876" s="225"/>
      <c r="J1876" s="225"/>
      <c r="K1876" s="251"/>
      <c r="L1876" s="262">
        <v>20.14</v>
      </c>
      <c r="M1876" s="258">
        <v>0</v>
      </c>
      <c r="N1876" s="257">
        <f>INT($L1876*M1876*100+0.5)/100</f>
        <v>0</v>
      </c>
      <c r="O1876" s="258">
        <v>0</v>
      </c>
      <c r="P1876" s="257">
        <f>INT($L1876*O1876*100+0.5)/100</f>
        <v>0</v>
      </c>
      <c r="Q1876" s="258">
        <v>0</v>
      </c>
      <c r="R1876" s="257">
        <f>INT($L1876*Q1876*100+0.5)/100</f>
        <v>0</v>
      </c>
      <c r="S1876" s="258">
        <v>0</v>
      </c>
      <c r="T1876" s="257">
        <f>INT($L1876*S1876*100+0.5)/100</f>
        <v>0</v>
      </c>
      <c r="U1876" s="258">
        <v>0</v>
      </c>
      <c r="V1876" s="257">
        <f>INT($L1876*U1876*100+0.5)/100</f>
        <v>0</v>
      </c>
      <c r="W1876" s="258">
        <v>0</v>
      </c>
      <c r="X1876" s="257">
        <f>INT($L1876*W1876*100+0.5)/100</f>
        <v>0</v>
      </c>
      <c r="Y1876" s="258">
        <v>0</v>
      </c>
      <c r="Z1876" s="257">
        <f>INT($L1876*Y1876*100+0.5)/100</f>
        <v>0</v>
      </c>
    </row>
    <row r="1877" spans="1:26" ht="15.75" hidden="1" customHeight="1">
      <c r="A1877" s="284"/>
      <c r="B1877" s="237"/>
      <c r="C1877" s="285"/>
      <c r="D1877" s="422" t="s">
        <v>2313</v>
      </c>
      <c r="E1877" s="251"/>
      <c r="F1877" s="239"/>
      <c r="G1877" s="253"/>
      <c r="H1877" s="239"/>
      <c r="I1877" s="225"/>
      <c r="J1877" s="225"/>
      <c r="K1877" s="251"/>
      <c r="L1877" s="346"/>
      <c r="M1877" s="260"/>
      <c r="N1877" s="257"/>
      <c r="O1877" s="260"/>
      <c r="P1877" s="257"/>
      <c r="Q1877" s="260"/>
      <c r="R1877" s="257"/>
      <c r="S1877" s="260"/>
      <c r="T1877" s="257"/>
      <c r="U1877" s="260"/>
      <c r="V1877" s="257"/>
      <c r="W1877" s="260"/>
      <c r="X1877" s="257"/>
      <c r="Y1877" s="260"/>
      <c r="Z1877" s="257"/>
    </row>
    <row r="1878" spans="1:26" ht="15.75" hidden="1" customHeight="1">
      <c r="A1878" s="284"/>
      <c r="B1878" s="237"/>
      <c r="C1878" s="285"/>
      <c r="D1878" s="422"/>
      <c r="E1878" s="251"/>
      <c r="F1878" s="239"/>
      <c r="G1878" s="253"/>
      <c r="H1878" s="239"/>
      <c r="I1878" s="225"/>
      <c r="J1878" s="225"/>
      <c r="K1878" s="251"/>
      <c r="L1878" s="346"/>
      <c r="M1878" s="260"/>
      <c r="N1878" s="257"/>
      <c r="O1878" s="260"/>
      <c r="P1878" s="257"/>
      <c r="Q1878" s="260"/>
      <c r="R1878" s="257"/>
      <c r="S1878" s="260"/>
      <c r="T1878" s="257"/>
      <c r="U1878" s="260"/>
      <c r="V1878" s="257"/>
      <c r="W1878" s="260"/>
      <c r="X1878" s="257"/>
      <c r="Y1878" s="260"/>
      <c r="Z1878" s="257"/>
    </row>
    <row r="1879" spans="1:26" ht="15.75" hidden="1" customHeight="1">
      <c r="A1879" s="284"/>
      <c r="B1879" s="237"/>
      <c r="C1879" s="285"/>
      <c r="D1879" s="335" t="s">
        <v>217</v>
      </c>
      <c r="E1879" s="251"/>
      <c r="F1879" s="239"/>
      <c r="G1879" s="253"/>
      <c r="H1879" s="239"/>
      <c r="I1879" s="225"/>
      <c r="J1879" s="225"/>
      <c r="K1879" s="251"/>
      <c r="L1879" s="346"/>
      <c r="M1879" s="260"/>
      <c r="N1879" s="257"/>
      <c r="O1879" s="260"/>
      <c r="P1879" s="257"/>
      <c r="Q1879" s="260"/>
      <c r="R1879" s="257"/>
      <c r="S1879" s="260"/>
      <c r="T1879" s="257"/>
      <c r="U1879" s="260"/>
      <c r="V1879" s="257"/>
      <c r="W1879" s="260"/>
      <c r="X1879" s="257"/>
      <c r="Y1879" s="260"/>
      <c r="Z1879" s="257"/>
    </row>
    <row r="1880" spans="1:26" ht="15.75" hidden="1" customHeight="1">
      <c r="A1880" s="284"/>
      <c r="B1880" s="237"/>
      <c r="C1880" s="285"/>
      <c r="D1880" s="335" t="s">
        <v>1765</v>
      </c>
      <c r="E1880" s="251"/>
      <c r="F1880" s="239"/>
      <c r="G1880" s="253"/>
      <c r="H1880" s="239"/>
      <c r="I1880" s="225"/>
      <c r="J1880" s="225"/>
      <c r="K1880" s="251"/>
      <c r="L1880" s="346"/>
      <c r="M1880" s="260"/>
      <c r="N1880" s="257"/>
      <c r="O1880" s="260"/>
      <c r="P1880" s="257"/>
      <c r="Q1880" s="260"/>
      <c r="R1880" s="257"/>
      <c r="S1880" s="260"/>
      <c r="T1880" s="257"/>
      <c r="U1880" s="260"/>
      <c r="V1880" s="257"/>
      <c r="W1880" s="260"/>
      <c r="X1880" s="257"/>
      <c r="Y1880" s="260"/>
      <c r="Z1880" s="257"/>
    </row>
    <row r="1881" spans="1:26" ht="15.75" hidden="1" customHeight="1">
      <c r="A1881" s="284">
        <f>A1876+1</f>
        <v>343</v>
      </c>
      <c r="B1881" s="237"/>
      <c r="C1881" s="285"/>
      <c r="D1881" s="422" t="s">
        <v>2041</v>
      </c>
      <c r="E1881" s="251"/>
      <c r="F1881" s="239"/>
      <c r="G1881" s="253"/>
      <c r="H1881" s="239"/>
      <c r="I1881" s="225"/>
      <c r="J1881" s="225"/>
      <c r="K1881" s="251"/>
      <c r="L1881" s="262">
        <v>129.11000000000001</v>
      </c>
      <c r="M1881" s="258">
        <v>0</v>
      </c>
      <c r="N1881" s="257">
        <f>INT($L1881*M1881*100+0.5)/100</f>
        <v>0</v>
      </c>
      <c r="O1881" s="258">
        <v>0</v>
      </c>
      <c r="P1881" s="257">
        <f>INT($L1881*O1881*100+0.5)/100</f>
        <v>0</v>
      </c>
      <c r="Q1881" s="258">
        <v>0</v>
      </c>
      <c r="R1881" s="257">
        <f>INT($L1881*Q1881*100+0.5)/100</f>
        <v>0</v>
      </c>
      <c r="S1881" s="258">
        <v>0</v>
      </c>
      <c r="T1881" s="257">
        <f>INT($L1881*S1881*100+0.5)/100</f>
        <v>0</v>
      </c>
      <c r="U1881" s="258">
        <v>0</v>
      </c>
      <c r="V1881" s="257">
        <f>INT($L1881*U1881*100+0.5)/100</f>
        <v>0</v>
      </c>
      <c r="W1881" s="258">
        <v>0</v>
      </c>
      <c r="X1881" s="257">
        <f>INT($L1881*W1881*100+0.5)/100</f>
        <v>0</v>
      </c>
      <c r="Y1881" s="258">
        <v>0</v>
      </c>
      <c r="Z1881" s="257">
        <f>INT($L1881*Y1881*100+0.5)/100</f>
        <v>0</v>
      </c>
    </row>
    <row r="1882" spans="1:26" ht="15.75" hidden="1" customHeight="1">
      <c r="A1882" s="284"/>
      <c r="B1882" s="237"/>
      <c r="C1882" s="285"/>
      <c r="D1882" s="422" t="s">
        <v>357</v>
      </c>
      <c r="E1882" s="251"/>
      <c r="F1882" s="239"/>
      <c r="G1882" s="253"/>
      <c r="H1882" s="239"/>
      <c r="I1882" s="225"/>
      <c r="J1882" s="225"/>
      <c r="K1882" s="251"/>
      <c r="L1882" s="346"/>
      <c r="M1882" s="260"/>
      <c r="N1882" s="257"/>
      <c r="O1882" s="260"/>
      <c r="P1882" s="257"/>
      <c r="Q1882" s="260"/>
      <c r="R1882" s="257"/>
      <c r="S1882" s="260"/>
      <c r="T1882" s="257"/>
      <c r="U1882" s="260"/>
      <c r="V1882" s="257"/>
      <c r="W1882" s="260"/>
      <c r="X1882" s="257"/>
      <c r="Y1882" s="260"/>
      <c r="Z1882" s="257"/>
    </row>
    <row r="1883" spans="1:26" ht="15.75" hidden="1" customHeight="1">
      <c r="A1883" s="284"/>
      <c r="B1883" s="237"/>
      <c r="C1883" s="285"/>
      <c r="D1883" s="422"/>
      <c r="E1883" s="251"/>
      <c r="F1883" s="239"/>
      <c r="G1883" s="253"/>
      <c r="H1883" s="239"/>
      <c r="I1883" s="225"/>
      <c r="J1883" s="225"/>
      <c r="K1883" s="251"/>
      <c r="L1883" s="346"/>
      <c r="M1883" s="260"/>
      <c r="N1883" s="257"/>
      <c r="O1883" s="260"/>
      <c r="P1883" s="257"/>
      <c r="Q1883" s="260"/>
      <c r="R1883" s="257"/>
      <c r="S1883" s="260"/>
      <c r="T1883" s="257"/>
      <c r="U1883" s="260"/>
      <c r="V1883" s="257"/>
      <c r="W1883" s="260"/>
      <c r="X1883" s="257"/>
      <c r="Y1883" s="260"/>
      <c r="Z1883" s="257"/>
    </row>
    <row r="1884" spans="1:26" ht="15.75" hidden="1" customHeight="1">
      <c r="A1884" s="284">
        <f>A1881+1</f>
        <v>344</v>
      </c>
      <c r="B1884" s="237"/>
      <c r="C1884" s="285"/>
      <c r="D1884" s="422" t="s">
        <v>2042</v>
      </c>
      <c r="E1884" s="251"/>
      <c r="F1884" s="239"/>
      <c r="G1884" s="253"/>
      <c r="H1884" s="239"/>
      <c r="I1884" s="225"/>
      <c r="J1884" s="225"/>
      <c r="K1884" s="251"/>
      <c r="L1884" s="262">
        <v>206.58</v>
      </c>
      <c r="M1884" s="258">
        <v>0</v>
      </c>
      <c r="N1884" s="257">
        <f>INT($L1884*M1884*100+0.5)/100</f>
        <v>0</v>
      </c>
      <c r="O1884" s="258">
        <v>0</v>
      </c>
      <c r="P1884" s="257">
        <f>INT($L1884*O1884*100+0.5)/100</f>
        <v>0</v>
      </c>
      <c r="Q1884" s="258">
        <v>0</v>
      </c>
      <c r="R1884" s="257">
        <f>INT($L1884*Q1884*100+0.5)/100</f>
        <v>0</v>
      </c>
      <c r="S1884" s="258">
        <v>0</v>
      </c>
      <c r="T1884" s="257">
        <f>INT($L1884*S1884*100+0.5)/100</f>
        <v>0</v>
      </c>
      <c r="U1884" s="258">
        <v>0</v>
      </c>
      <c r="V1884" s="257">
        <f>INT($L1884*U1884*100+0.5)/100</f>
        <v>0</v>
      </c>
      <c r="W1884" s="258">
        <v>0</v>
      </c>
      <c r="X1884" s="257">
        <f>INT($L1884*W1884*100+0.5)/100</f>
        <v>0</v>
      </c>
      <c r="Y1884" s="258">
        <v>0</v>
      </c>
      <c r="Z1884" s="257">
        <f>INT($L1884*Y1884*100+0.5)/100</f>
        <v>0</v>
      </c>
    </row>
    <row r="1885" spans="1:26" ht="15.75" hidden="1" customHeight="1">
      <c r="A1885" s="284"/>
      <c r="B1885" s="237"/>
      <c r="C1885" s="285"/>
      <c r="D1885" s="422" t="s">
        <v>358</v>
      </c>
      <c r="E1885" s="251"/>
      <c r="F1885" s="239"/>
      <c r="G1885" s="253"/>
      <c r="H1885" s="239"/>
      <c r="I1885" s="225"/>
      <c r="J1885" s="225"/>
      <c r="K1885" s="251"/>
      <c r="L1885" s="346"/>
      <c r="M1885" s="260"/>
      <c r="N1885" s="257"/>
      <c r="O1885" s="260"/>
      <c r="P1885" s="257"/>
      <c r="Q1885" s="260"/>
      <c r="R1885" s="257"/>
      <c r="S1885" s="260"/>
      <c r="T1885" s="257"/>
      <c r="U1885" s="260"/>
      <c r="V1885" s="257"/>
      <c r="W1885" s="260"/>
      <c r="X1885" s="257"/>
      <c r="Y1885" s="260"/>
      <c r="Z1885" s="257"/>
    </row>
    <row r="1886" spans="1:26" ht="15.75" hidden="1" customHeight="1">
      <c r="A1886" s="284"/>
      <c r="B1886" s="237"/>
      <c r="C1886" s="285"/>
      <c r="D1886" s="422"/>
      <c r="E1886" s="251"/>
      <c r="F1886" s="239"/>
      <c r="G1886" s="253"/>
      <c r="H1886" s="239"/>
      <c r="I1886" s="225"/>
      <c r="J1886" s="225"/>
      <c r="K1886" s="251"/>
      <c r="L1886" s="346"/>
      <c r="M1886" s="260"/>
      <c r="N1886" s="257"/>
      <c r="O1886" s="260"/>
      <c r="P1886" s="257"/>
      <c r="Q1886" s="260"/>
      <c r="R1886" s="257"/>
      <c r="S1886" s="260"/>
      <c r="T1886" s="257"/>
      <c r="U1886" s="260"/>
      <c r="V1886" s="257"/>
      <c r="W1886" s="260"/>
      <c r="X1886" s="257"/>
      <c r="Y1886" s="260"/>
      <c r="Z1886" s="257"/>
    </row>
    <row r="1887" spans="1:26" ht="15.75" hidden="1" customHeight="1">
      <c r="A1887" s="284">
        <f>A1884+1</f>
        <v>345</v>
      </c>
      <c r="B1887" s="237"/>
      <c r="C1887" s="285"/>
      <c r="D1887" s="422" t="s">
        <v>2043</v>
      </c>
      <c r="E1887" s="251"/>
      <c r="F1887" s="239"/>
      <c r="G1887" s="253"/>
      <c r="H1887" s="239"/>
      <c r="I1887" s="225"/>
      <c r="J1887" s="225"/>
      <c r="K1887" s="251"/>
      <c r="L1887" s="262">
        <v>98.13</v>
      </c>
      <c r="M1887" s="258">
        <v>0</v>
      </c>
      <c r="N1887" s="257">
        <f>INT($L1887*M1887*100+0.5)/100</f>
        <v>0</v>
      </c>
      <c r="O1887" s="258">
        <v>0</v>
      </c>
      <c r="P1887" s="257">
        <f>INT($L1887*O1887*100+0.5)/100</f>
        <v>0</v>
      </c>
      <c r="Q1887" s="258">
        <v>0</v>
      </c>
      <c r="R1887" s="257">
        <f>INT($L1887*Q1887*100+0.5)/100</f>
        <v>0</v>
      </c>
      <c r="S1887" s="258">
        <v>0</v>
      </c>
      <c r="T1887" s="257">
        <f>INT($L1887*S1887*100+0.5)/100</f>
        <v>0</v>
      </c>
      <c r="U1887" s="258">
        <v>0</v>
      </c>
      <c r="V1887" s="257">
        <f>INT($L1887*U1887*100+0.5)/100</f>
        <v>0</v>
      </c>
      <c r="W1887" s="258">
        <v>0</v>
      </c>
      <c r="X1887" s="257">
        <f>INT($L1887*W1887*100+0.5)/100</f>
        <v>0</v>
      </c>
      <c r="Y1887" s="258">
        <v>0</v>
      </c>
      <c r="Z1887" s="257">
        <f>INT($L1887*Y1887*100+0.5)/100</f>
        <v>0</v>
      </c>
    </row>
    <row r="1888" spans="1:26" ht="15.75" hidden="1" customHeight="1">
      <c r="A1888" s="284"/>
      <c r="B1888" s="237"/>
      <c r="C1888" s="285"/>
      <c r="D1888" s="422" t="s">
        <v>359</v>
      </c>
      <c r="E1888" s="251"/>
      <c r="F1888" s="239"/>
      <c r="G1888" s="253"/>
      <c r="H1888" s="239"/>
      <c r="I1888" s="225"/>
      <c r="J1888" s="225"/>
      <c r="K1888" s="251"/>
      <c r="L1888" s="346"/>
      <c r="M1888" s="279"/>
      <c r="N1888" s="280"/>
      <c r="O1888" s="279"/>
      <c r="P1888" s="280"/>
      <c r="Q1888" s="279"/>
      <c r="R1888" s="280"/>
      <c r="S1888" s="279"/>
      <c r="T1888" s="280"/>
      <c r="U1888" s="279"/>
      <c r="V1888" s="280"/>
      <c r="W1888" s="279"/>
      <c r="X1888" s="280"/>
      <c r="Y1888" s="279"/>
      <c r="Z1888" s="280"/>
    </row>
    <row r="1889" spans="1:26" ht="15.75" hidden="1" customHeight="1">
      <c r="A1889" s="284"/>
      <c r="B1889" s="237"/>
      <c r="C1889" s="285"/>
      <c r="D1889" s="422"/>
      <c r="E1889" s="251"/>
      <c r="F1889" s="239"/>
      <c r="G1889" s="253"/>
      <c r="H1889" s="239"/>
      <c r="I1889" s="225"/>
      <c r="J1889" s="225"/>
      <c r="K1889" s="251"/>
      <c r="L1889" s="346"/>
      <c r="M1889" s="279"/>
      <c r="N1889" s="280"/>
      <c r="O1889" s="279"/>
      <c r="P1889" s="280"/>
      <c r="Q1889" s="279"/>
      <c r="R1889" s="280"/>
      <c r="S1889" s="279"/>
      <c r="T1889" s="280"/>
      <c r="U1889" s="279"/>
      <c r="V1889" s="280"/>
      <c r="W1889" s="279"/>
      <c r="X1889" s="280"/>
      <c r="Y1889" s="279"/>
      <c r="Z1889" s="280"/>
    </row>
    <row r="1890" spans="1:26" ht="15.75" hidden="1" customHeight="1">
      <c r="A1890" s="284">
        <f>A1887+1</f>
        <v>346</v>
      </c>
      <c r="B1890" s="237"/>
      <c r="C1890" s="285"/>
      <c r="D1890" s="422" t="s">
        <v>2044</v>
      </c>
      <c r="E1890" s="251"/>
      <c r="F1890" s="239"/>
      <c r="G1890" s="253"/>
      <c r="H1890" s="239"/>
      <c r="I1890" s="225"/>
      <c r="J1890" s="225"/>
      <c r="K1890" s="251"/>
      <c r="L1890" s="262">
        <v>103.81</v>
      </c>
      <c r="M1890" s="258">
        <v>0</v>
      </c>
      <c r="N1890" s="257">
        <f>INT($L1890*M1890*100+0.5)/100</f>
        <v>0</v>
      </c>
      <c r="O1890" s="258">
        <v>0</v>
      </c>
      <c r="P1890" s="257">
        <f>INT($L1890*O1890*100+0.5)/100</f>
        <v>0</v>
      </c>
      <c r="Q1890" s="258">
        <v>0</v>
      </c>
      <c r="R1890" s="257">
        <f>INT($L1890*Q1890*100+0.5)/100</f>
        <v>0</v>
      </c>
      <c r="S1890" s="258">
        <v>0</v>
      </c>
      <c r="T1890" s="257">
        <f>INT($L1890*S1890*100+0.5)/100</f>
        <v>0</v>
      </c>
      <c r="U1890" s="258">
        <v>0</v>
      </c>
      <c r="V1890" s="257">
        <f>INT($L1890*U1890*100+0.5)/100</f>
        <v>0</v>
      </c>
      <c r="W1890" s="258">
        <v>0</v>
      </c>
      <c r="X1890" s="257">
        <f>INT($L1890*W1890*100+0.5)/100</f>
        <v>0</v>
      </c>
      <c r="Y1890" s="258">
        <v>0</v>
      </c>
      <c r="Z1890" s="257">
        <f>INT($L1890*Y1890*100+0.5)/100</f>
        <v>0</v>
      </c>
    </row>
    <row r="1891" spans="1:26" ht="15.75" hidden="1" customHeight="1">
      <c r="A1891" s="284"/>
      <c r="B1891" s="237"/>
      <c r="C1891" s="285"/>
      <c r="D1891" s="422" t="s">
        <v>360</v>
      </c>
      <c r="E1891" s="251"/>
      <c r="F1891" s="239"/>
      <c r="G1891" s="253"/>
      <c r="H1891" s="239"/>
      <c r="I1891" s="225"/>
      <c r="J1891" s="225"/>
      <c r="K1891" s="251"/>
      <c r="L1891" s="346"/>
      <c r="M1891" s="260"/>
      <c r="N1891" s="257"/>
      <c r="O1891" s="260"/>
      <c r="P1891" s="257"/>
      <c r="Q1891" s="260"/>
      <c r="R1891" s="257"/>
      <c r="S1891" s="260"/>
      <c r="T1891" s="257"/>
      <c r="U1891" s="260"/>
      <c r="V1891" s="257"/>
      <c r="W1891" s="260"/>
      <c r="X1891" s="257"/>
      <c r="Y1891" s="260"/>
      <c r="Z1891" s="257"/>
    </row>
    <row r="1892" spans="1:26" ht="15.75" hidden="1" customHeight="1">
      <c r="A1892" s="284"/>
      <c r="B1892" s="237"/>
      <c r="C1892" s="285"/>
      <c r="D1892" s="422"/>
      <c r="E1892" s="251"/>
      <c r="F1892" s="239"/>
      <c r="G1892" s="253"/>
      <c r="H1892" s="239"/>
      <c r="I1892" s="225"/>
      <c r="J1892" s="225"/>
      <c r="K1892" s="251"/>
      <c r="L1892" s="346"/>
      <c r="M1892" s="260"/>
      <c r="N1892" s="257"/>
      <c r="O1892" s="260"/>
      <c r="P1892" s="257"/>
      <c r="Q1892" s="260"/>
      <c r="R1892" s="257"/>
      <c r="S1892" s="260"/>
      <c r="T1892" s="257"/>
      <c r="U1892" s="260"/>
      <c r="V1892" s="257"/>
      <c r="W1892" s="260"/>
      <c r="X1892" s="257"/>
      <c r="Y1892" s="260"/>
      <c r="Z1892" s="257"/>
    </row>
    <row r="1893" spans="1:26" ht="15.75" hidden="1" customHeight="1">
      <c r="A1893" s="284">
        <f>A1890+1</f>
        <v>347</v>
      </c>
      <c r="B1893" s="237"/>
      <c r="C1893" s="285"/>
      <c r="D1893" s="422" t="s">
        <v>2045</v>
      </c>
      <c r="E1893" s="251"/>
      <c r="F1893" s="239"/>
      <c r="G1893" s="253"/>
      <c r="H1893" s="239"/>
      <c r="I1893" s="225"/>
      <c r="J1893" s="225"/>
      <c r="K1893" s="251"/>
      <c r="L1893" s="262">
        <v>76.44</v>
      </c>
      <c r="M1893" s="258">
        <v>0</v>
      </c>
      <c r="N1893" s="257">
        <f>INT($L1893*M1893*100+0.5)/100</f>
        <v>0</v>
      </c>
      <c r="O1893" s="258">
        <v>0</v>
      </c>
      <c r="P1893" s="257">
        <f>INT($L1893*O1893*100+0.5)/100</f>
        <v>0</v>
      </c>
      <c r="Q1893" s="258">
        <v>0</v>
      </c>
      <c r="R1893" s="257">
        <f>INT($L1893*Q1893*100+0.5)/100</f>
        <v>0</v>
      </c>
      <c r="S1893" s="258">
        <v>0</v>
      </c>
      <c r="T1893" s="257">
        <f>INT($L1893*S1893*100+0.5)/100</f>
        <v>0</v>
      </c>
      <c r="U1893" s="258">
        <v>0</v>
      </c>
      <c r="V1893" s="257">
        <f>INT($L1893*U1893*100+0.5)/100</f>
        <v>0</v>
      </c>
      <c r="W1893" s="258">
        <v>0</v>
      </c>
      <c r="X1893" s="257">
        <f>INT($L1893*W1893*100+0.5)/100</f>
        <v>0</v>
      </c>
      <c r="Y1893" s="258">
        <v>0</v>
      </c>
      <c r="Z1893" s="257">
        <f>INT($L1893*Y1893*100+0.5)/100</f>
        <v>0</v>
      </c>
    </row>
    <row r="1894" spans="1:26" ht="15.75" hidden="1" customHeight="1">
      <c r="A1894" s="284"/>
      <c r="B1894" s="237"/>
      <c r="C1894" s="285"/>
      <c r="D1894" s="422" t="s">
        <v>361</v>
      </c>
      <c r="E1894" s="251"/>
      <c r="F1894" s="239"/>
      <c r="G1894" s="253"/>
      <c r="H1894" s="239"/>
      <c r="I1894" s="225"/>
      <c r="J1894" s="225"/>
      <c r="K1894" s="251"/>
      <c r="L1894" s="346"/>
      <c r="M1894" s="260"/>
      <c r="N1894" s="257"/>
      <c r="O1894" s="260"/>
      <c r="P1894" s="257"/>
      <c r="Q1894" s="260"/>
      <c r="R1894" s="257"/>
      <c r="S1894" s="260"/>
      <c r="T1894" s="257"/>
      <c r="U1894" s="260"/>
      <c r="V1894" s="257"/>
      <c r="W1894" s="260"/>
      <c r="X1894" s="257"/>
      <c r="Y1894" s="260"/>
      <c r="Z1894" s="257"/>
    </row>
    <row r="1895" spans="1:26" ht="15.75" hidden="1" customHeight="1">
      <c r="A1895" s="284"/>
      <c r="B1895" s="237"/>
      <c r="C1895" s="285"/>
      <c r="D1895" s="422"/>
      <c r="E1895" s="251"/>
      <c r="F1895" s="239"/>
      <c r="G1895" s="253"/>
      <c r="H1895" s="239"/>
      <c r="I1895" s="225"/>
      <c r="J1895" s="225"/>
      <c r="K1895" s="251"/>
      <c r="L1895" s="346"/>
      <c r="M1895" s="260"/>
      <c r="N1895" s="257"/>
      <c r="O1895" s="260"/>
      <c r="P1895" s="257"/>
      <c r="Q1895" s="260"/>
      <c r="R1895" s="257"/>
      <c r="S1895" s="260"/>
      <c r="T1895" s="257"/>
      <c r="U1895" s="260"/>
      <c r="V1895" s="257"/>
      <c r="W1895" s="260"/>
      <c r="X1895" s="257"/>
      <c r="Y1895" s="260"/>
      <c r="Z1895" s="257"/>
    </row>
    <row r="1896" spans="1:26" ht="15.75" hidden="1" customHeight="1">
      <c r="A1896" s="284">
        <f>A1893+1</f>
        <v>348</v>
      </c>
      <c r="B1896" s="237"/>
      <c r="C1896" s="285"/>
      <c r="D1896" s="422" t="s">
        <v>2046</v>
      </c>
      <c r="E1896" s="251"/>
      <c r="F1896" s="239"/>
      <c r="G1896" s="253"/>
      <c r="H1896" s="239"/>
      <c r="I1896" s="225"/>
      <c r="J1896" s="225"/>
      <c r="K1896" s="251"/>
      <c r="L1896" s="262">
        <v>115.17</v>
      </c>
      <c r="M1896" s="258">
        <v>0</v>
      </c>
      <c r="N1896" s="257">
        <f>INT($L1896*M1896*100+0.5)/100</f>
        <v>0</v>
      </c>
      <c r="O1896" s="258">
        <v>0</v>
      </c>
      <c r="P1896" s="257">
        <f>INT($L1896*O1896*100+0.5)/100</f>
        <v>0</v>
      </c>
      <c r="Q1896" s="258">
        <v>0</v>
      </c>
      <c r="R1896" s="257">
        <f>INT($L1896*Q1896*100+0.5)/100</f>
        <v>0</v>
      </c>
      <c r="S1896" s="258">
        <v>0</v>
      </c>
      <c r="T1896" s="257">
        <f>INT($L1896*S1896*100+0.5)/100</f>
        <v>0</v>
      </c>
      <c r="U1896" s="258">
        <v>0</v>
      </c>
      <c r="V1896" s="257">
        <f>INT($L1896*U1896*100+0.5)/100</f>
        <v>0</v>
      </c>
      <c r="W1896" s="258">
        <v>0</v>
      </c>
      <c r="X1896" s="257">
        <f>INT($L1896*W1896*100+0.5)/100</f>
        <v>0</v>
      </c>
      <c r="Y1896" s="258">
        <v>0</v>
      </c>
      <c r="Z1896" s="257">
        <f>INT($L1896*Y1896*100+0.5)/100</f>
        <v>0</v>
      </c>
    </row>
    <row r="1897" spans="1:26" ht="15.75" hidden="1" customHeight="1">
      <c r="A1897" s="284"/>
      <c r="B1897" s="237"/>
      <c r="C1897" s="285"/>
      <c r="D1897" s="422" t="s">
        <v>362</v>
      </c>
      <c r="E1897" s="251"/>
      <c r="F1897" s="239"/>
      <c r="G1897" s="253"/>
      <c r="H1897" s="239"/>
      <c r="I1897" s="225"/>
      <c r="J1897" s="225"/>
      <c r="K1897" s="251"/>
      <c r="L1897" s="346"/>
      <c r="M1897" s="260"/>
      <c r="N1897" s="257"/>
      <c r="O1897" s="260"/>
      <c r="P1897" s="257"/>
      <c r="Q1897" s="260"/>
      <c r="R1897" s="257"/>
      <c r="S1897" s="260"/>
      <c r="T1897" s="257"/>
      <c r="U1897" s="260"/>
      <c r="V1897" s="257"/>
      <c r="W1897" s="260"/>
      <c r="X1897" s="257"/>
      <c r="Y1897" s="260"/>
      <c r="Z1897" s="257"/>
    </row>
    <row r="1898" spans="1:26" ht="15.75" hidden="1" customHeight="1">
      <c r="A1898" s="284"/>
      <c r="B1898" s="237"/>
      <c r="C1898" s="285"/>
      <c r="D1898" s="422"/>
      <c r="E1898" s="251"/>
      <c r="F1898" s="239"/>
      <c r="G1898" s="253"/>
      <c r="H1898" s="239"/>
      <c r="I1898" s="225"/>
      <c r="J1898" s="225"/>
      <c r="K1898" s="251"/>
      <c r="L1898" s="346"/>
      <c r="M1898" s="260"/>
      <c r="N1898" s="257"/>
      <c r="O1898" s="260"/>
      <c r="P1898" s="257"/>
      <c r="Q1898" s="260"/>
      <c r="R1898" s="257"/>
      <c r="S1898" s="260"/>
      <c r="T1898" s="257"/>
      <c r="U1898" s="260"/>
      <c r="V1898" s="257"/>
      <c r="W1898" s="260"/>
      <c r="X1898" s="257"/>
      <c r="Y1898" s="260"/>
      <c r="Z1898" s="257"/>
    </row>
    <row r="1899" spans="1:26" ht="15.75" hidden="1" customHeight="1">
      <c r="A1899" s="284">
        <f>A1896+1</f>
        <v>349</v>
      </c>
      <c r="B1899" s="237"/>
      <c r="C1899" s="285"/>
      <c r="D1899" s="422" t="s">
        <v>2047</v>
      </c>
      <c r="E1899" s="251"/>
      <c r="F1899" s="239"/>
      <c r="G1899" s="253"/>
      <c r="H1899" s="239"/>
      <c r="I1899" s="225"/>
      <c r="J1899" s="225"/>
      <c r="K1899" s="251"/>
      <c r="L1899" s="262">
        <v>46.48</v>
      </c>
      <c r="M1899" s="258">
        <v>0</v>
      </c>
      <c r="N1899" s="257">
        <f>INT($L1899*M1899*100+0.5)/100</f>
        <v>0</v>
      </c>
      <c r="O1899" s="258">
        <v>0</v>
      </c>
      <c r="P1899" s="257">
        <f>INT($L1899*O1899*100+0.5)/100</f>
        <v>0</v>
      </c>
      <c r="Q1899" s="258">
        <v>0</v>
      </c>
      <c r="R1899" s="257">
        <f>INT($L1899*Q1899*100+0.5)/100</f>
        <v>0</v>
      </c>
      <c r="S1899" s="258">
        <v>0</v>
      </c>
      <c r="T1899" s="257">
        <f>INT($L1899*S1899*100+0.5)/100</f>
        <v>0</v>
      </c>
      <c r="U1899" s="258">
        <v>0</v>
      </c>
      <c r="V1899" s="257">
        <f>INT($L1899*U1899*100+0.5)/100</f>
        <v>0</v>
      </c>
      <c r="W1899" s="258">
        <v>0</v>
      </c>
      <c r="X1899" s="257">
        <f>INT($L1899*W1899*100+0.5)/100</f>
        <v>0</v>
      </c>
      <c r="Y1899" s="258">
        <v>0</v>
      </c>
      <c r="Z1899" s="257">
        <f>INT($L1899*Y1899*100+0.5)/100</f>
        <v>0</v>
      </c>
    </row>
    <row r="1900" spans="1:26" ht="15.75" hidden="1" customHeight="1">
      <c r="A1900" s="284"/>
      <c r="B1900" s="237"/>
      <c r="C1900" s="285"/>
      <c r="D1900" s="422" t="s">
        <v>363</v>
      </c>
      <c r="E1900" s="251"/>
      <c r="F1900" s="239"/>
      <c r="G1900" s="253"/>
      <c r="H1900" s="239"/>
      <c r="I1900" s="225"/>
      <c r="J1900" s="225"/>
      <c r="K1900" s="251"/>
      <c r="L1900" s="346"/>
      <c r="M1900" s="260"/>
      <c r="N1900" s="257"/>
      <c r="O1900" s="260"/>
      <c r="P1900" s="257"/>
      <c r="Q1900" s="260"/>
      <c r="R1900" s="257"/>
      <c r="S1900" s="260"/>
      <c r="T1900" s="257"/>
      <c r="U1900" s="260"/>
      <c r="V1900" s="257"/>
      <c r="W1900" s="260"/>
      <c r="X1900" s="257"/>
      <c r="Y1900" s="260"/>
      <c r="Z1900" s="257"/>
    </row>
    <row r="1901" spans="1:26" ht="15.75" hidden="1" customHeight="1">
      <c r="A1901" s="284"/>
      <c r="B1901" s="237"/>
      <c r="C1901" s="285"/>
      <c r="D1901" s="422"/>
      <c r="E1901" s="251"/>
      <c r="F1901" s="239"/>
      <c r="G1901" s="253"/>
      <c r="H1901" s="239"/>
      <c r="I1901" s="225"/>
      <c r="J1901" s="225"/>
      <c r="K1901" s="251"/>
      <c r="L1901" s="346"/>
      <c r="M1901" s="260"/>
      <c r="N1901" s="257"/>
      <c r="O1901" s="260"/>
      <c r="P1901" s="257"/>
      <c r="Q1901" s="260"/>
      <c r="R1901" s="257"/>
      <c r="S1901" s="260"/>
      <c r="T1901" s="257"/>
      <c r="U1901" s="260"/>
      <c r="V1901" s="257"/>
      <c r="W1901" s="260"/>
      <c r="X1901" s="257"/>
      <c r="Y1901" s="260"/>
      <c r="Z1901" s="257"/>
    </row>
    <row r="1902" spans="1:26" ht="15.75" hidden="1" customHeight="1">
      <c r="A1902" s="284"/>
      <c r="B1902" s="237"/>
      <c r="C1902" s="285"/>
      <c r="D1902" s="335" t="s">
        <v>383</v>
      </c>
      <c r="E1902" s="251"/>
      <c r="F1902" s="239"/>
      <c r="G1902" s="253"/>
      <c r="H1902" s="239"/>
      <c r="I1902" s="225"/>
      <c r="J1902" s="225"/>
      <c r="K1902" s="251"/>
      <c r="L1902" s="346"/>
      <c r="M1902" s="260"/>
      <c r="N1902" s="257"/>
      <c r="O1902" s="260"/>
      <c r="P1902" s="257"/>
      <c r="Q1902" s="260"/>
      <c r="R1902" s="257"/>
      <c r="S1902" s="260"/>
      <c r="T1902" s="257"/>
      <c r="U1902" s="260"/>
      <c r="V1902" s="257"/>
      <c r="W1902" s="260"/>
      <c r="X1902" s="257"/>
      <c r="Y1902" s="260"/>
      <c r="Z1902" s="257"/>
    </row>
    <row r="1903" spans="1:26" ht="15.75" hidden="1" customHeight="1">
      <c r="A1903" s="284"/>
      <c r="B1903" s="237"/>
      <c r="C1903" s="285"/>
      <c r="D1903" s="335" t="s">
        <v>384</v>
      </c>
      <c r="E1903" s="251"/>
      <c r="F1903" s="239"/>
      <c r="G1903" s="253"/>
      <c r="H1903" s="239"/>
      <c r="I1903" s="225"/>
      <c r="J1903" s="225"/>
      <c r="K1903" s="251"/>
      <c r="L1903" s="346"/>
      <c r="M1903" s="260"/>
      <c r="N1903" s="257"/>
      <c r="O1903" s="260"/>
      <c r="P1903" s="257"/>
      <c r="Q1903" s="260"/>
      <c r="R1903" s="257"/>
      <c r="S1903" s="260"/>
      <c r="T1903" s="257"/>
      <c r="U1903" s="260"/>
      <c r="V1903" s="257"/>
      <c r="W1903" s="260"/>
      <c r="X1903" s="257"/>
      <c r="Y1903" s="260"/>
      <c r="Z1903" s="257"/>
    </row>
    <row r="1904" spans="1:26" ht="15.75" hidden="1" customHeight="1">
      <c r="A1904" s="284">
        <f>A1899+1</f>
        <v>350</v>
      </c>
      <c r="B1904" s="237"/>
      <c r="C1904" s="285"/>
      <c r="D1904" s="422" t="s">
        <v>2048</v>
      </c>
      <c r="E1904" s="251"/>
      <c r="F1904" s="239"/>
      <c r="G1904" s="253"/>
      <c r="H1904" s="239"/>
      <c r="I1904" s="225"/>
      <c r="J1904" s="225"/>
      <c r="K1904" s="251"/>
      <c r="L1904" s="262">
        <v>35.79</v>
      </c>
      <c r="M1904" s="258">
        <v>0</v>
      </c>
      <c r="N1904" s="257">
        <f>INT($L1904*M1904*100+0.5)/100</f>
        <v>0</v>
      </c>
      <c r="O1904" s="258">
        <v>0</v>
      </c>
      <c r="P1904" s="257">
        <f>INT($L1904*O1904*100+0.5)/100</f>
        <v>0</v>
      </c>
      <c r="Q1904" s="258">
        <v>0</v>
      </c>
      <c r="R1904" s="257">
        <f>INT($L1904*Q1904*100+0.5)/100</f>
        <v>0</v>
      </c>
      <c r="S1904" s="258">
        <v>0</v>
      </c>
      <c r="T1904" s="257">
        <f>INT($L1904*S1904*100+0.5)/100</f>
        <v>0</v>
      </c>
      <c r="U1904" s="258">
        <v>0</v>
      </c>
      <c r="V1904" s="257">
        <f>INT($L1904*U1904*100+0.5)/100</f>
        <v>0</v>
      </c>
      <c r="W1904" s="258">
        <v>0</v>
      </c>
      <c r="X1904" s="257">
        <f>INT($L1904*W1904*100+0.5)/100</f>
        <v>0</v>
      </c>
      <c r="Y1904" s="258">
        <v>0</v>
      </c>
      <c r="Z1904" s="257">
        <f>INT($L1904*Y1904*100+0.5)/100</f>
        <v>0</v>
      </c>
    </row>
    <row r="1905" spans="1:26" ht="15.75" hidden="1" customHeight="1">
      <c r="A1905" s="284"/>
      <c r="B1905" s="237"/>
      <c r="C1905" s="285"/>
      <c r="D1905" s="422" t="s">
        <v>364</v>
      </c>
      <c r="E1905" s="251"/>
      <c r="F1905" s="239"/>
      <c r="G1905" s="253"/>
      <c r="H1905" s="239"/>
      <c r="I1905" s="225"/>
      <c r="J1905" s="225"/>
      <c r="K1905" s="251"/>
      <c r="L1905" s="346"/>
      <c r="M1905" s="260"/>
      <c r="N1905" s="257"/>
      <c r="O1905" s="260"/>
      <c r="P1905" s="257"/>
      <c r="Q1905" s="260"/>
      <c r="R1905" s="257"/>
      <c r="S1905" s="260"/>
      <c r="T1905" s="257"/>
      <c r="U1905" s="260"/>
      <c r="V1905" s="257"/>
      <c r="W1905" s="260"/>
      <c r="X1905" s="257"/>
      <c r="Y1905" s="260"/>
      <c r="Z1905" s="257"/>
    </row>
    <row r="1906" spans="1:26" ht="15.75" hidden="1" customHeight="1">
      <c r="A1906" s="284"/>
      <c r="B1906" s="237"/>
      <c r="C1906" s="285"/>
      <c r="D1906" s="422"/>
      <c r="E1906" s="251"/>
      <c r="F1906" s="239"/>
      <c r="G1906" s="253"/>
      <c r="H1906" s="239"/>
      <c r="I1906" s="225"/>
      <c r="J1906" s="225"/>
      <c r="K1906" s="251"/>
      <c r="L1906" s="346"/>
      <c r="M1906" s="260"/>
      <c r="N1906" s="257"/>
      <c r="O1906" s="260"/>
      <c r="P1906" s="257"/>
      <c r="Q1906" s="260"/>
      <c r="R1906" s="257"/>
      <c r="S1906" s="260"/>
      <c r="T1906" s="257"/>
      <c r="U1906" s="260"/>
      <c r="V1906" s="257"/>
      <c r="W1906" s="260"/>
      <c r="X1906" s="257"/>
      <c r="Y1906" s="260"/>
      <c r="Z1906" s="257"/>
    </row>
    <row r="1907" spans="1:26" ht="15.75" hidden="1" customHeight="1">
      <c r="A1907" s="284">
        <f>A1904+1</f>
        <v>351</v>
      </c>
      <c r="B1907" s="237"/>
      <c r="C1907" s="285"/>
      <c r="D1907" s="422" t="s">
        <v>2049</v>
      </c>
      <c r="E1907" s="251"/>
      <c r="F1907" s="239"/>
      <c r="G1907" s="253"/>
      <c r="H1907" s="239"/>
      <c r="I1907" s="225"/>
      <c r="J1907" s="225"/>
      <c r="K1907" s="251"/>
      <c r="L1907" s="262">
        <v>50.1</v>
      </c>
      <c r="M1907" s="258">
        <v>0</v>
      </c>
      <c r="N1907" s="257">
        <f>INT($L1907*M1907*100+0.5)/100</f>
        <v>0</v>
      </c>
      <c r="O1907" s="258">
        <v>0</v>
      </c>
      <c r="P1907" s="257">
        <f>INT($L1907*O1907*100+0.5)/100</f>
        <v>0</v>
      </c>
      <c r="Q1907" s="258">
        <v>0</v>
      </c>
      <c r="R1907" s="257">
        <f>INT($L1907*Q1907*100+0.5)/100</f>
        <v>0</v>
      </c>
      <c r="S1907" s="258">
        <v>0</v>
      </c>
      <c r="T1907" s="257">
        <f>INT($L1907*S1907*100+0.5)/100</f>
        <v>0</v>
      </c>
      <c r="U1907" s="258">
        <v>0</v>
      </c>
      <c r="V1907" s="257">
        <f>INT($L1907*U1907*100+0.5)/100</f>
        <v>0</v>
      </c>
      <c r="W1907" s="258">
        <v>0</v>
      </c>
      <c r="X1907" s="257">
        <f>INT($L1907*W1907*100+0.5)/100</f>
        <v>0</v>
      </c>
      <c r="Y1907" s="258">
        <v>0</v>
      </c>
      <c r="Z1907" s="257">
        <f>INT($L1907*Y1907*100+0.5)/100</f>
        <v>0</v>
      </c>
    </row>
    <row r="1908" spans="1:26" ht="15.75" hidden="1" customHeight="1">
      <c r="A1908" s="284"/>
      <c r="B1908" s="237"/>
      <c r="C1908" s="285"/>
      <c r="D1908" s="422" t="s">
        <v>365</v>
      </c>
      <c r="E1908" s="251"/>
      <c r="F1908" s="239"/>
      <c r="G1908" s="253"/>
      <c r="H1908" s="239"/>
      <c r="I1908" s="225"/>
      <c r="J1908" s="225"/>
      <c r="K1908" s="251"/>
      <c r="L1908" s="346"/>
      <c r="M1908" s="260"/>
      <c r="N1908" s="257"/>
      <c r="O1908" s="260"/>
      <c r="P1908" s="257"/>
      <c r="Q1908" s="260"/>
      <c r="R1908" s="257"/>
      <c r="S1908" s="260"/>
      <c r="T1908" s="257"/>
      <c r="U1908" s="260"/>
      <c r="V1908" s="257"/>
      <c r="W1908" s="260"/>
      <c r="X1908" s="257"/>
      <c r="Y1908" s="260"/>
      <c r="Z1908" s="257"/>
    </row>
    <row r="1909" spans="1:26" ht="15.75" hidden="1" customHeight="1">
      <c r="A1909" s="284"/>
      <c r="B1909" s="237"/>
      <c r="C1909" s="285"/>
      <c r="D1909" s="422"/>
      <c r="E1909" s="251"/>
      <c r="F1909" s="239"/>
      <c r="G1909" s="253"/>
      <c r="H1909" s="239"/>
      <c r="I1909" s="225"/>
      <c r="J1909" s="225"/>
      <c r="K1909" s="251"/>
      <c r="L1909" s="346"/>
      <c r="M1909" s="260"/>
      <c r="N1909" s="257"/>
      <c r="O1909" s="260"/>
      <c r="P1909" s="257"/>
      <c r="Q1909" s="260"/>
      <c r="R1909" s="257"/>
      <c r="S1909" s="260"/>
      <c r="T1909" s="257"/>
      <c r="U1909" s="260"/>
      <c r="V1909" s="257"/>
      <c r="W1909" s="260"/>
      <c r="X1909" s="257"/>
      <c r="Y1909" s="260"/>
      <c r="Z1909" s="257"/>
    </row>
    <row r="1910" spans="1:26" ht="15.75" hidden="1" customHeight="1">
      <c r="A1910" s="284">
        <f>A1907+1</f>
        <v>352</v>
      </c>
      <c r="B1910" s="237"/>
      <c r="C1910" s="285"/>
      <c r="D1910" s="422" t="s">
        <v>2050</v>
      </c>
      <c r="E1910" s="251"/>
      <c r="F1910" s="239"/>
      <c r="G1910" s="253"/>
      <c r="H1910" s="239"/>
      <c r="I1910" s="225"/>
      <c r="J1910" s="225"/>
      <c r="K1910" s="251"/>
      <c r="L1910" s="262">
        <v>55.26</v>
      </c>
      <c r="M1910" s="258">
        <v>0</v>
      </c>
      <c r="N1910" s="257">
        <f>INT($L1910*M1910*100+0.5)/100</f>
        <v>0</v>
      </c>
      <c r="O1910" s="258">
        <v>0</v>
      </c>
      <c r="P1910" s="257">
        <f>INT($L1910*O1910*100+0.5)/100</f>
        <v>0</v>
      </c>
      <c r="Q1910" s="258">
        <v>0</v>
      </c>
      <c r="R1910" s="257">
        <f>INT($L1910*Q1910*100+0.5)/100</f>
        <v>0</v>
      </c>
      <c r="S1910" s="258">
        <v>0</v>
      </c>
      <c r="T1910" s="257">
        <f>INT($L1910*S1910*100+0.5)/100</f>
        <v>0</v>
      </c>
      <c r="U1910" s="258">
        <v>0</v>
      </c>
      <c r="V1910" s="257">
        <f>INT($L1910*U1910*100+0.5)/100</f>
        <v>0</v>
      </c>
      <c r="W1910" s="258">
        <v>0</v>
      </c>
      <c r="X1910" s="257">
        <f>INT($L1910*W1910*100+0.5)/100</f>
        <v>0</v>
      </c>
      <c r="Y1910" s="258">
        <v>0</v>
      </c>
      <c r="Z1910" s="257">
        <f>INT($L1910*Y1910*100+0.5)/100</f>
        <v>0</v>
      </c>
    </row>
    <row r="1911" spans="1:26" ht="15.75" hidden="1" customHeight="1">
      <c r="A1911" s="284"/>
      <c r="B1911" s="237"/>
      <c r="C1911" s="285"/>
      <c r="D1911" s="422" t="s">
        <v>366</v>
      </c>
      <c r="E1911" s="251"/>
      <c r="F1911" s="239"/>
      <c r="G1911" s="253"/>
      <c r="H1911" s="239"/>
      <c r="I1911" s="225"/>
      <c r="J1911" s="225"/>
      <c r="K1911" s="251"/>
      <c r="L1911" s="346"/>
      <c r="M1911" s="260"/>
      <c r="N1911" s="257"/>
      <c r="O1911" s="260"/>
      <c r="P1911" s="257"/>
      <c r="Q1911" s="260"/>
      <c r="R1911" s="257"/>
      <c r="S1911" s="260"/>
      <c r="T1911" s="257"/>
      <c r="U1911" s="260"/>
      <c r="V1911" s="257"/>
      <c r="W1911" s="260"/>
      <c r="X1911" s="257"/>
      <c r="Y1911" s="260"/>
      <c r="Z1911" s="257"/>
    </row>
    <row r="1912" spans="1:26" ht="15.75" hidden="1" customHeight="1">
      <c r="A1912" s="284"/>
      <c r="B1912" s="237"/>
      <c r="C1912" s="285"/>
      <c r="D1912" s="422"/>
      <c r="E1912" s="251"/>
      <c r="F1912" s="239"/>
      <c r="G1912" s="253"/>
      <c r="H1912" s="239"/>
      <c r="I1912" s="225"/>
      <c r="J1912" s="225"/>
      <c r="K1912" s="251"/>
      <c r="L1912" s="346"/>
      <c r="M1912" s="260"/>
      <c r="N1912" s="257"/>
      <c r="O1912" s="260"/>
      <c r="P1912" s="257"/>
      <c r="Q1912" s="260"/>
      <c r="R1912" s="257"/>
      <c r="S1912" s="260"/>
      <c r="T1912" s="257"/>
      <c r="U1912" s="260"/>
      <c r="V1912" s="257"/>
      <c r="W1912" s="260"/>
      <c r="X1912" s="257"/>
      <c r="Y1912" s="260"/>
      <c r="Z1912" s="257"/>
    </row>
    <row r="1913" spans="1:26" ht="15.75" hidden="1" customHeight="1">
      <c r="A1913" s="284">
        <f>A1910+1</f>
        <v>353</v>
      </c>
      <c r="B1913" s="237"/>
      <c r="C1913" s="285"/>
      <c r="D1913" s="422" t="s">
        <v>2051</v>
      </c>
      <c r="E1913" s="251"/>
      <c r="F1913" s="239"/>
      <c r="G1913" s="253"/>
      <c r="H1913" s="239"/>
      <c r="I1913" s="225"/>
      <c r="J1913" s="225"/>
      <c r="K1913" s="251"/>
      <c r="L1913" s="262">
        <v>49.3</v>
      </c>
      <c r="M1913" s="258">
        <v>0</v>
      </c>
      <c r="N1913" s="257">
        <f>INT($L1913*M1913*100+0.5)/100</f>
        <v>0</v>
      </c>
      <c r="O1913" s="258">
        <v>0</v>
      </c>
      <c r="P1913" s="257">
        <f>INT($L1913*O1913*100+0.5)/100</f>
        <v>0</v>
      </c>
      <c r="Q1913" s="258">
        <v>0</v>
      </c>
      <c r="R1913" s="257">
        <f>INT($L1913*Q1913*100+0.5)/100</f>
        <v>0</v>
      </c>
      <c r="S1913" s="258">
        <v>0</v>
      </c>
      <c r="T1913" s="257">
        <f>INT($L1913*S1913*100+0.5)/100</f>
        <v>0</v>
      </c>
      <c r="U1913" s="258">
        <v>0</v>
      </c>
      <c r="V1913" s="257">
        <f>INT($L1913*U1913*100+0.5)/100</f>
        <v>0</v>
      </c>
      <c r="W1913" s="258">
        <v>0</v>
      </c>
      <c r="X1913" s="257">
        <f>INT($L1913*W1913*100+0.5)/100</f>
        <v>0</v>
      </c>
      <c r="Y1913" s="258">
        <v>0</v>
      </c>
      <c r="Z1913" s="257">
        <f>INT($L1913*Y1913*100+0.5)/100</f>
        <v>0</v>
      </c>
    </row>
    <row r="1914" spans="1:26" ht="15.75" hidden="1" customHeight="1">
      <c r="A1914" s="284"/>
      <c r="B1914" s="237"/>
      <c r="C1914" s="285"/>
      <c r="D1914" s="422" t="s">
        <v>367</v>
      </c>
      <c r="E1914" s="251"/>
      <c r="F1914" s="239"/>
      <c r="G1914" s="253"/>
      <c r="H1914" s="239"/>
      <c r="I1914" s="225"/>
      <c r="J1914" s="225"/>
      <c r="K1914" s="251"/>
      <c r="L1914" s="346"/>
      <c r="M1914" s="260"/>
      <c r="N1914" s="257"/>
      <c r="O1914" s="260"/>
      <c r="P1914" s="257"/>
      <c r="Q1914" s="260"/>
      <c r="R1914" s="257"/>
      <c r="S1914" s="260"/>
      <c r="T1914" s="257"/>
      <c r="U1914" s="260"/>
      <c r="V1914" s="257"/>
      <c r="W1914" s="260"/>
      <c r="X1914" s="257"/>
      <c r="Y1914" s="260"/>
      <c r="Z1914" s="257"/>
    </row>
    <row r="1915" spans="1:26" ht="15.75" hidden="1" customHeight="1">
      <c r="A1915" s="284"/>
      <c r="B1915" s="237"/>
      <c r="C1915" s="285"/>
      <c r="D1915" s="422"/>
      <c r="E1915" s="251"/>
      <c r="F1915" s="239"/>
      <c r="G1915" s="253"/>
      <c r="H1915" s="239"/>
      <c r="I1915" s="225"/>
      <c r="J1915" s="225"/>
      <c r="K1915" s="251"/>
      <c r="L1915" s="346"/>
      <c r="M1915" s="260"/>
      <c r="N1915" s="257"/>
      <c r="O1915" s="260"/>
      <c r="P1915" s="257"/>
      <c r="Q1915" s="260"/>
      <c r="R1915" s="257"/>
      <c r="S1915" s="260"/>
      <c r="T1915" s="257"/>
      <c r="U1915" s="260"/>
      <c r="V1915" s="257"/>
      <c r="W1915" s="260"/>
      <c r="X1915" s="257"/>
      <c r="Y1915" s="260"/>
      <c r="Z1915" s="257"/>
    </row>
    <row r="1916" spans="1:26" ht="15.75" hidden="1" customHeight="1">
      <c r="A1916" s="284">
        <f>A1913+1</f>
        <v>354</v>
      </c>
      <c r="B1916" s="237"/>
      <c r="C1916" s="285"/>
      <c r="D1916" s="422" t="s">
        <v>2052</v>
      </c>
      <c r="E1916" s="251"/>
      <c r="F1916" s="239"/>
      <c r="G1916" s="253"/>
      <c r="H1916" s="239"/>
      <c r="I1916" s="225"/>
      <c r="J1916" s="225"/>
      <c r="K1916" s="251"/>
      <c r="L1916" s="262">
        <v>60.94</v>
      </c>
      <c r="M1916" s="258">
        <v>0</v>
      </c>
      <c r="N1916" s="257">
        <f>INT($L1916*M1916*100+0.5)/100</f>
        <v>0</v>
      </c>
      <c r="O1916" s="258">
        <v>0</v>
      </c>
      <c r="P1916" s="257">
        <f>INT($L1916*O1916*100+0.5)/100</f>
        <v>0</v>
      </c>
      <c r="Q1916" s="258">
        <v>0</v>
      </c>
      <c r="R1916" s="257">
        <f>INT($L1916*Q1916*100+0.5)/100</f>
        <v>0</v>
      </c>
      <c r="S1916" s="258">
        <v>0</v>
      </c>
      <c r="T1916" s="257">
        <f>INT($L1916*S1916*100+0.5)/100</f>
        <v>0</v>
      </c>
      <c r="U1916" s="258">
        <v>0</v>
      </c>
      <c r="V1916" s="257">
        <f>INT($L1916*U1916*100+0.5)/100</f>
        <v>0</v>
      </c>
      <c r="W1916" s="258">
        <v>0</v>
      </c>
      <c r="X1916" s="257">
        <f>INT($L1916*W1916*100+0.5)/100</f>
        <v>0</v>
      </c>
      <c r="Y1916" s="258">
        <v>0</v>
      </c>
      <c r="Z1916" s="257">
        <f>INT($L1916*Y1916*100+0.5)/100</f>
        <v>0</v>
      </c>
    </row>
    <row r="1917" spans="1:26" ht="15.75" hidden="1" customHeight="1">
      <c r="A1917" s="284"/>
      <c r="B1917" s="237"/>
      <c r="C1917" s="285"/>
      <c r="D1917" s="422" t="s">
        <v>368</v>
      </c>
      <c r="E1917" s="251"/>
      <c r="F1917" s="239"/>
      <c r="G1917" s="253"/>
      <c r="H1917" s="239"/>
      <c r="I1917" s="225"/>
      <c r="J1917" s="225"/>
      <c r="K1917" s="251"/>
      <c r="L1917" s="346"/>
      <c r="M1917" s="260"/>
      <c r="N1917" s="257"/>
      <c r="O1917" s="260"/>
      <c r="P1917" s="257"/>
      <c r="Q1917" s="260"/>
      <c r="R1917" s="257"/>
      <c r="S1917" s="260"/>
      <c r="T1917" s="257"/>
      <c r="U1917" s="260"/>
      <c r="V1917" s="257"/>
      <c r="W1917" s="260"/>
      <c r="X1917" s="257"/>
      <c r="Y1917" s="260"/>
      <c r="Z1917" s="257"/>
    </row>
    <row r="1918" spans="1:26" ht="15.75" hidden="1" customHeight="1">
      <c r="A1918" s="284"/>
      <c r="B1918" s="237"/>
      <c r="C1918" s="285"/>
      <c r="D1918" s="422"/>
      <c r="E1918" s="251"/>
      <c r="F1918" s="239"/>
      <c r="G1918" s="253"/>
      <c r="H1918" s="239"/>
      <c r="I1918" s="225"/>
      <c r="J1918" s="225"/>
      <c r="K1918" s="251"/>
      <c r="L1918" s="346"/>
      <c r="M1918" s="260"/>
      <c r="N1918" s="257"/>
      <c r="O1918" s="260"/>
      <c r="P1918" s="257"/>
      <c r="Q1918" s="260"/>
      <c r="R1918" s="257"/>
      <c r="S1918" s="260"/>
      <c r="T1918" s="257"/>
      <c r="U1918" s="260"/>
      <c r="V1918" s="257"/>
      <c r="W1918" s="260"/>
      <c r="X1918" s="257"/>
      <c r="Y1918" s="260"/>
      <c r="Z1918" s="257"/>
    </row>
    <row r="1919" spans="1:26" ht="15.75" hidden="1" customHeight="1">
      <c r="A1919" s="284">
        <f>A1916+1</f>
        <v>355</v>
      </c>
      <c r="B1919" s="237"/>
      <c r="C1919" s="285"/>
      <c r="D1919" s="422" t="s">
        <v>380</v>
      </c>
      <c r="E1919" s="251"/>
      <c r="F1919" s="239"/>
      <c r="G1919" s="253"/>
      <c r="H1919" s="239"/>
      <c r="I1919" s="225"/>
      <c r="J1919" s="225"/>
      <c r="K1919" s="251"/>
      <c r="L1919" s="262">
        <v>82.63</v>
      </c>
      <c r="M1919" s="258">
        <v>0</v>
      </c>
      <c r="N1919" s="257">
        <f>INT($L1919*M1919*100+0.5)/100</f>
        <v>0</v>
      </c>
      <c r="O1919" s="258">
        <v>0</v>
      </c>
      <c r="P1919" s="257">
        <f>INT($L1919*O1919*100+0.5)/100</f>
        <v>0</v>
      </c>
      <c r="Q1919" s="258">
        <v>0</v>
      </c>
      <c r="R1919" s="257">
        <f>INT($L1919*Q1919*100+0.5)/100</f>
        <v>0</v>
      </c>
      <c r="S1919" s="258">
        <v>0</v>
      </c>
      <c r="T1919" s="257">
        <f>INT($L1919*S1919*100+0.5)/100</f>
        <v>0</v>
      </c>
      <c r="U1919" s="258">
        <v>0</v>
      </c>
      <c r="V1919" s="257">
        <f>INT($L1919*U1919*100+0.5)/100</f>
        <v>0</v>
      </c>
      <c r="W1919" s="258">
        <v>0</v>
      </c>
      <c r="X1919" s="257">
        <f>INT($L1919*W1919*100+0.5)/100</f>
        <v>0</v>
      </c>
      <c r="Y1919" s="258">
        <v>0</v>
      </c>
      <c r="Z1919" s="257">
        <f>INT($L1919*Y1919*100+0.5)/100</f>
        <v>0</v>
      </c>
    </row>
    <row r="1920" spans="1:26" ht="15.75" hidden="1" customHeight="1">
      <c r="A1920" s="284"/>
      <c r="B1920" s="237"/>
      <c r="C1920" s="285"/>
      <c r="D1920" s="422" t="s">
        <v>369</v>
      </c>
      <c r="E1920" s="251"/>
      <c r="F1920" s="239"/>
      <c r="G1920" s="253"/>
      <c r="H1920" s="239"/>
      <c r="I1920" s="225"/>
      <c r="J1920" s="225"/>
      <c r="K1920" s="251"/>
      <c r="L1920" s="346"/>
      <c r="M1920" s="260"/>
      <c r="N1920" s="257"/>
      <c r="O1920" s="260"/>
      <c r="P1920" s="257"/>
      <c r="Q1920" s="260"/>
      <c r="R1920" s="257"/>
      <c r="S1920" s="260"/>
      <c r="T1920" s="257"/>
      <c r="U1920" s="260"/>
      <c r="V1920" s="257"/>
      <c r="W1920" s="260"/>
      <c r="X1920" s="257"/>
      <c r="Y1920" s="260"/>
      <c r="Z1920" s="257"/>
    </row>
    <row r="1921" spans="1:26" ht="15.75" hidden="1" customHeight="1">
      <c r="A1921" s="284"/>
      <c r="B1921" s="237"/>
      <c r="C1921" s="285"/>
      <c r="D1921" s="422"/>
      <c r="E1921" s="251"/>
      <c r="F1921" s="239"/>
      <c r="G1921" s="253"/>
      <c r="H1921" s="239"/>
      <c r="I1921" s="225"/>
      <c r="J1921" s="225"/>
      <c r="K1921" s="251"/>
      <c r="L1921" s="346"/>
      <c r="M1921" s="260"/>
      <c r="N1921" s="257"/>
      <c r="O1921" s="260"/>
      <c r="P1921" s="257"/>
      <c r="Q1921" s="260"/>
      <c r="R1921" s="257"/>
      <c r="S1921" s="260"/>
      <c r="T1921" s="257"/>
      <c r="U1921" s="260"/>
      <c r="V1921" s="257"/>
      <c r="W1921" s="260"/>
      <c r="X1921" s="257"/>
      <c r="Y1921" s="260"/>
      <c r="Z1921" s="257"/>
    </row>
    <row r="1922" spans="1:26" ht="15.75" hidden="1" customHeight="1">
      <c r="A1922" s="284">
        <f>A1919+1</f>
        <v>356</v>
      </c>
      <c r="B1922" s="237"/>
      <c r="C1922" s="285"/>
      <c r="D1922" s="422" t="s">
        <v>2053</v>
      </c>
      <c r="E1922" s="251"/>
      <c r="F1922" s="239"/>
      <c r="G1922" s="253"/>
      <c r="H1922" s="239"/>
      <c r="I1922" s="225"/>
      <c r="J1922" s="225"/>
      <c r="K1922" s="251"/>
      <c r="L1922" s="262">
        <v>700</v>
      </c>
      <c r="M1922" s="258">
        <v>0</v>
      </c>
      <c r="N1922" s="257">
        <f>INT($L1922*M1922*100+0.5)/100</f>
        <v>0</v>
      </c>
      <c r="O1922" s="258">
        <v>0</v>
      </c>
      <c r="P1922" s="257">
        <f>INT($L1922*O1922*100+0.5)/100</f>
        <v>0</v>
      </c>
      <c r="Q1922" s="258">
        <v>0</v>
      </c>
      <c r="R1922" s="257">
        <f>INT($L1922*Q1922*100+0.5)/100</f>
        <v>0</v>
      </c>
      <c r="S1922" s="258">
        <v>0</v>
      </c>
      <c r="T1922" s="257">
        <f>INT($L1922*S1922*100+0.5)/100</f>
        <v>0</v>
      </c>
      <c r="U1922" s="258">
        <v>0</v>
      </c>
      <c r="V1922" s="257">
        <f>INT($L1922*U1922*100+0.5)/100</f>
        <v>0</v>
      </c>
      <c r="W1922" s="258">
        <v>0</v>
      </c>
      <c r="X1922" s="257">
        <f>INT($L1922*W1922*100+0.5)/100</f>
        <v>0</v>
      </c>
      <c r="Y1922" s="258">
        <v>0</v>
      </c>
      <c r="Z1922" s="257">
        <f>INT($L1922*Y1922*100+0.5)/100</f>
        <v>0</v>
      </c>
    </row>
    <row r="1923" spans="1:26" ht="15.75" hidden="1" customHeight="1">
      <c r="A1923" s="284"/>
      <c r="B1923" s="237"/>
      <c r="C1923" s="285"/>
      <c r="D1923" s="422" t="s">
        <v>2033</v>
      </c>
      <c r="E1923" s="251"/>
      <c r="F1923" s="239"/>
      <c r="G1923" s="253"/>
      <c r="H1923" s="239"/>
      <c r="I1923" s="225"/>
      <c r="J1923" s="225"/>
      <c r="K1923" s="251"/>
      <c r="L1923" s="346"/>
      <c r="M1923" s="260"/>
      <c r="N1923" s="257"/>
      <c r="O1923" s="260"/>
      <c r="P1923" s="257"/>
      <c r="Q1923" s="260"/>
      <c r="R1923" s="257"/>
      <c r="S1923" s="260"/>
      <c r="T1923" s="257"/>
      <c r="U1923" s="260"/>
      <c r="V1923" s="257"/>
      <c r="W1923" s="260"/>
      <c r="X1923" s="257"/>
      <c r="Y1923" s="260"/>
      <c r="Z1923" s="257"/>
    </row>
    <row r="1924" spans="1:26" ht="15.75" hidden="1" customHeight="1">
      <c r="A1924" s="284"/>
      <c r="B1924" s="237"/>
      <c r="C1924" s="285"/>
      <c r="D1924" s="422"/>
      <c r="E1924" s="251"/>
      <c r="F1924" s="239"/>
      <c r="G1924" s="253"/>
      <c r="H1924" s="239"/>
      <c r="I1924" s="225"/>
      <c r="J1924" s="225"/>
      <c r="K1924" s="251"/>
      <c r="L1924" s="346"/>
      <c r="M1924" s="260"/>
      <c r="N1924" s="257"/>
      <c r="O1924" s="260"/>
      <c r="P1924" s="257"/>
      <c r="Q1924" s="260"/>
      <c r="R1924" s="257"/>
      <c r="S1924" s="260"/>
      <c r="T1924" s="257"/>
      <c r="U1924" s="260"/>
      <c r="V1924" s="257"/>
      <c r="W1924" s="260"/>
      <c r="X1924" s="257"/>
      <c r="Y1924" s="260"/>
      <c r="Z1924" s="257"/>
    </row>
    <row r="1925" spans="1:26" ht="15.75" hidden="1" customHeight="1">
      <c r="A1925" s="284">
        <f>A1922+1</f>
        <v>357</v>
      </c>
      <c r="B1925" s="237"/>
      <c r="C1925" s="285"/>
      <c r="D1925" s="422" t="s">
        <v>2054</v>
      </c>
      <c r="E1925" s="251"/>
      <c r="F1925" s="239"/>
      <c r="G1925" s="253"/>
      <c r="H1925" s="239"/>
      <c r="I1925" s="225"/>
      <c r="J1925" s="225"/>
      <c r="K1925" s="251"/>
      <c r="L1925" s="262">
        <v>700</v>
      </c>
      <c r="M1925" s="258">
        <v>0</v>
      </c>
      <c r="N1925" s="257">
        <f>INT($L1925*M1925*100+0.5)/100</f>
        <v>0</v>
      </c>
      <c r="O1925" s="258">
        <v>0</v>
      </c>
      <c r="P1925" s="257">
        <f>INT($L1925*O1925*100+0.5)/100</f>
        <v>0</v>
      </c>
      <c r="Q1925" s="258">
        <v>0</v>
      </c>
      <c r="R1925" s="257">
        <f>INT($L1925*Q1925*100+0.5)/100</f>
        <v>0</v>
      </c>
      <c r="S1925" s="258">
        <v>0</v>
      </c>
      <c r="T1925" s="257">
        <f>INT($L1925*S1925*100+0.5)/100</f>
        <v>0</v>
      </c>
      <c r="U1925" s="258">
        <v>0</v>
      </c>
      <c r="V1925" s="257">
        <f>INT($L1925*U1925*100+0.5)/100</f>
        <v>0</v>
      </c>
      <c r="W1925" s="258">
        <v>0</v>
      </c>
      <c r="X1925" s="257">
        <f>INT($L1925*W1925*100+0.5)/100</f>
        <v>0</v>
      </c>
      <c r="Y1925" s="258">
        <v>0</v>
      </c>
      <c r="Z1925" s="257">
        <f>INT($L1925*Y1925*100+0.5)/100</f>
        <v>0</v>
      </c>
    </row>
    <row r="1926" spans="1:26" ht="15.75" hidden="1" customHeight="1">
      <c r="A1926" s="284"/>
      <c r="B1926" s="237"/>
      <c r="C1926" s="285"/>
      <c r="D1926" s="422" t="s">
        <v>2034</v>
      </c>
      <c r="E1926" s="251"/>
      <c r="F1926" s="239"/>
      <c r="G1926" s="253"/>
      <c r="H1926" s="239"/>
      <c r="I1926" s="225"/>
      <c r="J1926" s="225"/>
      <c r="K1926" s="251"/>
      <c r="L1926" s="346"/>
      <c r="M1926" s="260"/>
      <c r="N1926" s="257"/>
      <c r="O1926" s="260"/>
      <c r="P1926" s="257"/>
      <c r="Q1926" s="260"/>
      <c r="R1926" s="257"/>
      <c r="S1926" s="260"/>
      <c r="T1926" s="257"/>
      <c r="U1926" s="260"/>
      <c r="V1926" s="257"/>
      <c r="W1926" s="260"/>
      <c r="X1926" s="257"/>
      <c r="Y1926" s="260"/>
      <c r="Z1926" s="257"/>
    </row>
    <row r="1927" spans="1:26" ht="15.75" hidden="1" customHeight="1">
      <c r="A1927" s="284"/>
      <c r="B1927" s="237"/>
      <c r="C1927" s="285"/>
      <c r="D1927" s="422"/>
      <c r="E1927" s="251"/>
      <c r="F1927" s="239"/>
      <c r="G1927" s="253"/>
      <c r="H1927" s="239"/>
      <c r="I1927" s="225"/>
      <c r="J1927" s="225"/>
      <c r="K1927" s="251"/>
      <c r="L1927" s="346"/>
      <c r="M1927" s="260"/>
      <c r="N1927" s="257"/>
      <c r="O1927" s="260"/>
      <c r="P1927" s="257"/>
      <c r="Q1927" s="260"/>
      <c r="R1927" s="257"/>
      <c r="S1927" s="260"/>
      <c r="T1927" s="257"/>
      <c r="U1927" s="260"/>
      <c r="V1927" s="257"/>
      <c r="W1927" s="260"/>
      <c r="X1927" s="257"/>
      <c r="Y1927" s="260"/>
      <c r="Z1927" s="257"/>
    </row>
    <row r="1928" spans="1:26" ht="15.75" hidden="1" customHeight="1">
      <c r="A1928" s="284">
        <f>A1925+1</f>
        <v>358</v>
      </c>
      <c r="B1928" s="237"/>
      <c r="C1928" s="285"/>
      <c r="D1928" s="422" t="s">
        <v>466</v>
      </c>
      <c r="E1928" s="251"/>
      <c r="F1928" s="239"/>
      <c r="G1928" s="253"/>
      <c r="H1928" s="239"/>
      <c r="I1928" s="225"/>
      <c r="J1928" s="225"/>
      <c r="K1928" s="251"/>
      <c r="L1928" s="262">
        <v>3000</v>
      </c>
      <c r="M1928" s="258">
        <v>0</v>
      </c>
      <c r="N1928" s="257">
        <f>INT($L1928*M1928*100+0.5)/100</f>
        <v>0</v>
      </c>
      <c r="O1928" s="258">
        <v>0</v>
      </c>
      <c r="P1928" s="257">
        <f>INT($L1928*O1928*100+0.5)/100</f>
        <v>0</v>
      </c>
      <c r="Q1928" s="258">
        <v>0</v>
      </c>
      <c r="R1928" s="257">
        <f>INT($L1928*Q1928*100+0.5)/100</f>
        <v>0</v>
      </c>
      <c r="S1928" s="258">
        <v>0</v>
      </c>
      <c r="T1928" s="257">
        <f>INT($L1928*S1928*100+0.5)/100</f>
        <v>0</v>
      </c>
      <c r="U1928" s="258">
        <v>0</v>
      </c>
      <c r="V1928" s="257">
        <f>INT($L1928*U1928*100+0.5)/100</f>
        <v>0</v>
      </c>
      <c r="W1928" s="258">
        <v>0</v>
      </c>
      <c r="X1928" s="257">
        <f>INT($L1928*W1928*100+0.5)/100</f>
        <v>0</v>
      </c>
      <c r="Y1928" s="258">
        <v>0</v>
      </c>
      <c r="Z1928" s="257">
        <f>INT($L1928*Y1928*100+0.5)/100</f>
        <v>0</v>
      </c>
    </row>
    <row r="1929" spans="1:26" ht="15.75" hidden="1" customHeight="1">
      <c r="A1929" s="284"/>
      <c r="B1929" s="237"/>
      <c r="C1929" s="285"/>
      <c r="D1929" s="422" t="s">
        <v>521</v>
      </c>
      <c r="E1929" s="251"/>
      <c r="F1929" s="239"/>
      <c r="G1929" s="253"/>
      <c r="H1929" s="239"/>
      <c r="I1929" s="225"/>
      <c r="J1929" s="225"/>
      <c r="K1929" s="251"/>
      <c r="L1929" s="346"/>
      <c r="M1929" s="260"/>
      <c r="N1929" s="257"/>
      <c r="O1929" s="260"/>
      <c r="P1929" s="257"/>
      <c r="Q1929" s="260"/>
      <c r="R1929" s="257"/>
      <c r="S1929" s="260"/>
      <c r="T1929" s="257"/>
      <c r="U1929" s="260"/>
      <c r="V1929" s="257"/>
      <c r="W1929" s="260"/>
      <c r="X1929" s="257"/>
      <c r="Y1929" s="260"/>
      <c r="Z1929" s="257"/>
    </row>
    <row r="1930" spans="1:26" ht="15.75" hidden="1" customHeight="1">
      <c r="A1930" s="284"/>
      <c r="B1930" s="237"/>
      <c r="C1930" s="285"/>
      <c r="D1930" s="422"/>
      <c r="E1930" s="251"/>
      <c r="F1930" s="239"/>
      <c r="G1930" s="253"/>
      <c r="H1930" s="239"/>
      <c r="I1930" s="225"/>
      <c r="J1930" s="225"/>
      <c r="K1930" s="251"/>
      <c r="L1930" s="346"/>
      <c r="M1930" s="260"/>
      <c r="N1930" s="257"/>
      <c r="O1930" s="260"/>
      <c r="P1930" s="257"/>
      <c r="Q1930" s="260"/>
      <c r="R1930" s="257"/>
      <c r="S1930" s="260"/>
      <c r="T1930" s="257"/>
      <c r="U1930" s="260"/>
      <c r="V1930" s="257"/>
      <c r="W1930" s="260"/>
      <c r="X1930" s="257"/>
      <c r="Y1930" s="260"/>
      <c r="Z1930" s="257"/>
    </row>
    <row r="1931" spans="1:26" ht="15.75" hidden="1" customHeight="1">
      <c r="A1931" s="284">
        <f>A1928+1</f>
        <v>359</v>
      </c>
      <c r="B1931" s="237"/>
      <c r="C1931" s="285"/>
      <c r="D1931" s="422" t="s">
        <v>2055</v>
      </c>
      <c r="E1931" s="251"/>
      <c r="F1931" s="239"/>
      <c r="G1931" s="253"/>
      <c r="H1931" s="239"/>
      <c r="I1931" s="225"/>
      <c r="J1931" s="225"/>
      <c r="K1931" s="251"/>
      <c r="L1931" s="262">
        <v>90</v>
      </c>
      <c r="M1931" s="258">
        <v>0</v>
      </c>
      <c r="N1931" s="257">
        <f>INT($L1931*M1931*100+0.5)/100</f>
        <v>0</v>
      </c>
      <c r="O1931" s="258">
        <v>0</v>
      </c>
      <c r="P1931" s="257">
        <f>INT($L1931*O1931*100+0.5)/100</f>
        <v>0</v>
      </c>
      <c r="Q1931" s="258">
        <v>0</v>
      </c>
      <c r="R1931" s="257">
        <f>INT($L1931*Q1931*100+0.5)/100</f>
        <v>0</v>
      </c>
      <c r="S1931" s="258">
        <v>0</v>
      </c>
      <c r="T1931" s="257">
        <f>INT($L1931*S1931*100+0.5)/100</f>
        <v>0</v>
      </c>
      <c r="U1931" s="258">
        <v>0</v>
      </c>
      <c r="V1931" s="257">
        <f>INT($L1931*U1931*100+0.5)/100</f>
        <v>0</v>
      </c>
      <c r="W1931" s="258">
        <v>0</v>
      </c>
      <c r="X1931" s="257">
        <f>INT($L1931*W1931*100+0.5)/100</f>
        <v>0</v>
      </c>
      <c r="Y1931" s="258">
        <v>0</v>
      </c>
      <c r="Z1931" s="257">
        <f>INT($L1931*Y1931*100+0.5)/100</f>
        <v>0</v>
      </c>
    </row>
    <row r="1932" spans="1:26" ht="15.75" hidden="1" customHeight="1">
      <c r="A1932" s="284"/>
      <c r="B1932" s="237"/>
      <c r="C1932" s="285"/>
      <c r="D1932" s="422" t="s">
        <v>2035</v>
      </c>
      <c r="E1932" s="251"/>
      <c r="F1932" s="239"/>
      <c r="G1932" s="253"/>
      <c r="H1932" s="239"/>
      <c r="I1932" s="225"/>
      <c r="J1932" s="225"/>
      <c r="K1932" s="251"/>
      <c r="L1932" s="346"/>
      <c r="M1932" s="260"/>
      <c r="N1932" s="257"/>
      <c r="O1932" s="260"/>
      <c r="P1932" s="257"/>
      <c r="Q1932" s="260"/>
      <c r="R1932" s="257"/>
      <c r="S1932" s="260"/>
      <c r="T1932" s="257"/>
      <c r="U1932" s="260"/>
      <c r="V1932" s="257"/>
      <c r="W1932" s="260"/>
      <c r="X1932" s="257"/>
      <c r="Y1932" s="260"/>
      <c r="Z1932" s="257"/>
    </row>
    <row r="1933" spans="1:26" ht="15.75" hidden="1" customHeight="1">
      <c r="A1933" s="284"/>
      <c r="B1933" s="237"/>
      <c r="C1933" s="285"/>
      <c r="D1933" s="422"/>
      <c r="E1933" s="251"/>
      <c r="F1933" s="239"/>
      <c r="G1933" s="253"/>
      <c r="H1933" s="239"/>
      <c r="I1933" s="225"/>
      <c r="J1933" s="225"/>
      <c r="K1933" s="251"/>
      <c r="L1933" s="262"/>
      <c r="M1933" s="260"/>
      <c r="N1933" s="257"/>
      <c r="O1933" s="260"/>
      <c r="P1933" s="257"/>
      <c r="Q1933" s="260"/>
      <c r="R1933" s="257"/>
      <c r="S1933" s="260"/>
      <c r="T1933" s="257"/>
      <c r="U1933" s="260"/>
      <c r="V1933" s="257"/>
      <c r="W1933" s="260"/>
      <c r="X1933" s="257"/>
      <c r="Y1933" s="260"/>
      <c r="Z1933" s="257"/>
    </row>
    <row r="1934" spans="1:26" ht="15" hidden="1" customHeight="1">
      <c r="A1934" s="284">
        <f>A1931+1</f>
        <v>360</v>
      </c>
      <c r="B1934" s="237"/>
      <c r="C1934" s="285"/>
      <c r="D1934" s="422" t="s">
        <v>2056</v>
      </c>
      <c r="E1934" s="251"/>
      <c r="F1934" s="239"/>
      <c r="G1934" s="253"/>
      <c r="H1934" s="239"/>
      <c r="I1934" s="225"/>
      <c r="J1934" s="225"/>
      <c r="K1934" s="251"/>
      <c r="L1934" s="262">
        <v>68.69</v>
      </c>
      <c r="M1934" s="258">
        <v>0</v>
      </c>
      <c r="N1934" s="257">
        <f>INT($L1934*M1934*100+0.5)/100</f>
        <v>0</v>
      </c>
      <c r="O1934" s="258">
        <v>0</v>
      </c>
      <c r="P1934" s="257">
        <f>INT($L1934*O1934*100+0.5)/100</f>
        <v>0</v>
      </c>
      <c r="Q1934" s="258">
        <v>0</v>
      </c>
      <c r="R1934" s="257">
        <f>INT($L1934*Q1934*100+0.5)/100</f>
        <v>0</v>
      </c>
      <c r="S1934" s="258">
        <v>0</v>
      </c>
      <c r="T1934" s="257">
        <f>INT($L1934*S1934*100+0.5)/100</f>
        <v>0</v>
      </c>
      <c r="U1934" s="258">
        <v>0</v>
      </c>
      <c r="V1934" s="257">
        <f>INT($L1934*U1934*100+0.5)/100</f>
        <v>0</v>
      </c>
      <c r="W1934" s="258">
        <v>0</v>
      </c>
      <c r="X1934" s="257">
        <f>INT($L1934*W1934*100+0.5)/100</f>
        <v>0</v>
      </c>
      <c r="Y1934" s="258">
        <v>0</v>
      </c>
      <c r="Z1934" s="257">
        <f>INT($L1934*Y1934*100+0.5)/100</f>
        <v>0</v>
      </c>
    </row>
    <row r="1935" spans="1:26" ht="15.75" hidden="1" customHeight="1">
      <c r="A1935" s="284"/>
      <c r="B1935" s="237"/>
      <c r="C1935" s="285"/>
      <c r="D1935" s="422" t="s">
        <v>2036</v>
      </c>
      <c r="E1935" s="251"/>
      <c r="F1935" s="239"/>
      <c r="G1935" s="253"/>
      <c r="H1935" s="239"/>
      <c r="I1935" s="225"/>
      <c r="J1935" s="225"/>
      <c r="K1935" s="251"/>
      <c r="L1935" s="262"/>
      <c r="M1935" s="260"/>
      <c r="N1935" s="257"/>
      <c r="O1935" s="260"/>
      <c r="P1935" s="257"/>
      <c r="Q1935" s="260"/>
      <c r="R1935" s="257"/>
      <c r="S1935" s="260"/>
      <c r="T1935" s="257"/>
      <c r="U1935" s="260"/>
      <c r="V1935" s="257"/>
      <c r="W1935" s="260"/>
      <c r="X1935" s="257"/>
      <c r="Y1935" s="260"/>
      <c r="Z1935" s="257"/>
    </row>
    <row r="1936" spans="1:26" ht="15.75" hidden="1" customHeight="1">
      <c r="A1936" s="284"/>
      <c r="B1936" s="237"/>
      <c r="C1936" s="285"/>
      <c r="D1936" s="335"/>
      <c r="E1936" s="251"/>
      <c r="F1936" s="239"/>
      <c r="G1936" s="253"/>
      <c r="H1936" s="239"/>
      <c r="I1936" s="225"/>
      <c r="J1936" s="225"/>
      <c r="K1936" s="251"/>
      <c r="L1936" s="262"/>
      <c r="M1936" s="260"/>
      <c r="N1936" s="257"/>
      <c r="O1936" s="260"/>
      <c r="P1936" s="257"/>
      <c r="Q1936" s="260"/>
      <c r="R1936" s="257"/>
      <c r="S1936" s="260"/>
      <c r="T1936" s="257"/>
      <c r="U1936" s="260"/>
      <c r="V1936" s="257"/>
      <c r="W1936" s="260"/>
      <c r="X1936" s="257"/>
      <c r="Y1936" s="260"/>
      <c r="Z1936" s="257"/>
    </row>
    <row r="1937" spans="1:27" s="247" customFormat="1" ht="15.75" hidden="1">
      <c r="A1937" s="284">
        <f>A1934+1</f>
        <v>361</v>
      </c>
      <c r="B1937" s="251"/>
      <c r="C1937" s="563" t="s">
        <v>1804</v>
      </c>
      <c r="D1937" s="276" t="s">
        <v>381</v>
      </c>
      <c r="E1937" s="251" t="s">
        <v>539</v>
      </c>
      <c r="F1937" s="252"/>
      <c r="G1937" s="253"/>
      <c r="H1937" s="254">
        <f>F1937*G1937</f>
        <v>0</v>
      </c>
      <c r="I1937" s="336"/>
      <c r="J1937" s="336"/>
      <c r="K1937" s="251" t="s">
        <v>539</v>
      </c>
      <c r="L1937" s="262">
        <v>100</v>
      </c>
      <c r="M1937" s="288">
        <v>0</v>
      </c>
      <c r="N1937" s="257">
        <f>INT($L1937*M1937*100+0.5)/100</f>
        <v>0</v>
      </c>
      <c r="O1937" s="288">
        <v>0</v>
      </c>
      <c r="P1937" s="257">
        <f>INT($L1937*O1937*100+0.5)/100</f>
        <v>0</v>
      </c>
      <c r="Q1937" s="288">
        <v>0</v>
      </c>
      <c r="R1937" s="257">
        <f>INT($L1937*Q1937*100+0.5)/100</f>
        <v>0</v>
      </c>
      <c r="S1937" s="288">
        <v>0</v>
      </c>
      <c r="T1937" s="257">
        <f>INT($L1937*S1937*100+0.5)/100</f>
        <v>0</v>
      </c>
      <c r="U1937" s="288">
        <v>0</v>
      </c>
      <c r="V1937" s="257">
        <f>INT($L1937*U1937*100+0.5)/100</f>
        <v>0</v>
      </c>
      <c r="W1937" s="288">
        <v>0</v>
      </c>
      <c r="X1937" s="257">
        <f>INT($L1937*W1937*100+0.5)/100</f>
        <v>0</v>
      </c>
      <c r="Y1937" s="288">
        <v>0</v>
      </c>
      <c r="Z1937" s="257">
        <f>INT($L1937*Y1937*100+0.5)/100</f>
        <v>0</v>
      </c>
    </row>
    <row r="1938" spans="1:27" s="247" customFormat="1" ht="15.75" hidden="1">
      <c r="A1938" s="250"/>
      <c r="B1938" s="251"/>
      <c r="C1938" s="326"/>
      <c r="D1938" s="335" t="s">
        <v>382</v>
      </c>
      <c r="E1938" s="251" t="s">
        <v>1416</v>
      </c>
      <c r="F1938" s="337"/>
      <c r="G1938" s="253"/>
      <c r="H1938" s="337"/>
      <c r="I1938" s="336"/>
      <c r="J1938" s="336"/>
      <c r="K1938" s="251" t="s">
        <v>1416</v>
      </c>
      <c r="L1938" s="262"/>
      <c r="M1938" s="288"/>
      <c r="N1938" s="257"/>
      <c r="O1938" s="288"/>
      <c r="P1938" s="257"/>
      <c r="Q1938" s="288"/>
      <c r="R1938" s="257"/>
      <c r="S1938" s="288"/>
      <c r="T1938" s="257"/>
      <c r="U1938" s="288"/>
      <c r="V1938" s="257"/>
      <c r="W1938" s="288"/>
      <c r="X1938" s="257"/>
      <c r="Y1938" s="288"/>
      <c r="Z1938" s="257"/>
    </row>
    <row r="1939" spans="1:27" s="325" customFormat="1" ht="15">
      <c r="A1939" s="318"/>
      <c r="B1939" s="319"/>
      <c r="C1939" s="267" t="s">
        <v>1585</v>
      </c>
      <c r="D1939" s="333" t="s">
        <v>1586</v>
      </c>
      <c r="E1939" s="319"/>
      <c r="F1939" s="348"/>
      <c r="G1939" s="523"/>
      <c r="H1939" s="339"/>
      <c r="I1939" s="322">
        <f>N1939+P1939+R1939+V1939+X1939+Z1939</f>
        <v>0</v>
      </c>
      <c r="J1939" s="322"/>
      <c r="K1939" s="319"/>
      <c r="L1939" s="272"/>
      <c r="M1939" s="322"/>
      <c r="N1939" s="322">
        <f>SUM(N1711:N1938)</f>
        <v>0</v>
      </c>
      <c r="O1939" s="322"/>
      <c r="P1939" s="322">
        <f>SUM(P1711:P1938)</f>
        <v>0</v>
      </c>
      <c r="Q1939" s="322"/>
      <c r="R1939" s="322">
        <f>SUM(R1711:R1938)</f>
        <v>0</v>
      </c>
      <c r="S1939" s="322"/>
      <c r="T1939" s="322">
        <f>SUM(T1711:T1938)</f>
        <v>0</v>
      </c>
      <c r="U1939" s="322"/>
      <c r="V1939" s="322">
        <f>SUM(V1711:V1938)</f>
        <v>0</v>
      </c>
      <c r="W1939" s="322"/>
      <c r="X1939" s="322">
        <f>SUM(X1711:X1938)</f>
        <v>0</v>
      </c>
      <c r="Y1939" s="322"/>
      <c r="Z1939" s="324">
        <f>SUM(Z1711:Z1938)</f>
        <v>0</v>
      </c>
    </row>
    <row r="1940" spans="1:27" s="247" customFormat="1" ht="15.75">
      <c r="A1940" s="284"/>
      <c r="B1940" s="237"/>
      <c r="C1940" s="453"/>
      <c r="D1940" s="330"/>
      <c r="E1940" s="237"/>
      <c r="F1940" s="349"/>
      <c r="G1940" s="465" t="s">
        <v>2022</v>
      </c>
      <c r="H1940" s="336"/>
      <c r="I1940" s="336">
        <f>I106+I110+I211+I528+I547+I1074+I565+I611+I641+I658+I682+I716+I1261+I1291+I1324+I1537+I1603+I1628+I1643+I1650+I1708+I1939</f>
        <v>1092981.6199999999</v>
      </c>
      <c r="J1940" s="336"/>
      <c r="K1940" s="237"/>
      <c r="L1940" s="253"/>
      <c r="M1940" s="309"/>
      <c r="N1940" s="350"/>
      <c r="O1940" s="440"/>
      <c r="P1940" s="350">
        <f>P106+P110+P211+P528+P547+P565+P611+P641+P658+P682+P716+P1261+P1291+P1324+P1537+P1603+P1628+P1643+P1650+P1708+P1939</f>
        <v>128938.22000000003</v>
      </c>
      <c r="Q1940" s="440"/>
      <c r="R1940" s="350"/>
      <c r="S1940" s="309"/>
      <c r="T1940" s="350"/>
      <c r="U1940" s="309"/>
      <c r="V1940" s="350"/>
      <c r="W1940" s="309"/>
      <c r="X1940" s="350"/>
      <c r="Y1940" s="309"/>
      <c r="Z1940" s="242"/>
    </row>
    <row r="1941" spans="1:27" s="351" customFormat="1" ht="31.5">
      <c r="A1941" s="399"/>
      <c r="B1941" s="400"/>
      <c r="C1941" s="401"/>
      <c r="D1941" s="402" t="s">
        <v>1457</v>
      </c>
      <c r="E1941" s="400"/>
      <c r="F1941" s="403"/>
      <c r="G1941" s="404"/>
      <c r="H1941" s="405">
        <f>SUM(H17:H1940)</f>
        <v>882218.75</v>
      </c>
      <c r="I1941" s="406">
        <f>N1941+P1941+R1941+T1941+V1941+X1941+Z1941</f>
        <v>1092981.6200000001</v>
      </c>
      <c r="J1941" s="406"/>
      <c r="K1941" s="400"/>
      <c r="L1941" s="407"/>
      <c r="M1941" s="407"/>
      <c r="N1941" s="408">
        <f>N106+N110+N211+N528+N547+N565+N611+N641+N658+N682+N716+N1074+N1261+N1291+N1324+N1537+N1603+N1628+N1643+N1650+N1708+N1939</f>
        <v>138313.43</v>
      </c>
      <c r="O1941" s="407"/>
      <c r="P1941" s="408">
        <f>P106+P110+P211+P528+P547+P565+P611+P641+P658+P682+P716+P1074+P1261+P1291+P1324+P1537+P1603+P1628+P1643+P1650+P1708+P1939</f>
        <v>336413.35</v>
      </c>
      <c r="Q1941" s="407"/>
      <c r="R1941" s="408">
        <f>R106+R110+R211+R528+R547+R565+R611+R641+R658+R682+R716+R1074+R1261+R1291+R1324+R1537+R1603+R1628+R1643+R1650+R1708+R1939</f>
        <v>203153.81000000003</v>
      </c>
      <c r="S1941" s="407"/>
      <c r="T1941" s="408">
        <f>T106+T110+T211+T528+T547+T565+T611+T641+T658+T682+T716+T1074+T1261+T1291+T1324+T1537+T1603+T1628+T1643+T1650+T1708+T1939</f>
        <v>6979.62</v>
      </c>
      <c r="U1941" s="407"/>
      <c r="V1941" s="408">
        <f>V106+V110+V211+V528+V547+V565+V611+V641+V658+V682+V716+V1074+V1261+V1291+V1324+V1537+V1603+V1628+V1643+V1650+V1708+V1939</f>
        <v>237055.09000000003</v>
      </c>
      <c r="W1941" s="407"/>
      <c r="X1941" s="408">
        <f>X106+X110+X211+X528+X547+X565+X611+X641+X658+X682+X716+X1074+X1261+X1291+X1324+X1537+X1603+X1628+X1643+X1650+X1708+X1939</f>
        <v>22277.339999999997</v>
      </c>
      <c r="Y1941" s="407"/>
      <c r="Z1941" s="566">
        <f>Z106+Z110+Z211+Z528+Z547+Z565+Z611+Z641+Z658+Z682+Z716+Z1074+Z1261+Z1291+Z1324+Z1537+Z1603+Z1628+Z1643+Z1650+Z1708+Z1939</f>
        <v>148788.98000000001</v>
      </c>
    </row>
    <row r="1942" spans="1:27" s="247" customFormat="1" ht="15.75">
      <c r="A1942" s="284"/>
      <c r="B1942" s="237"/>
      <c r="C1942" s="352"/>
      <c r="D1942" s="249"/>
      <c r="E1942" s="237"/>
      <c r="F1942" s="349"/>
      <c r="G1942" s="567"/>
      <c r="H1942" s="397">
        <f>H1941-P1940+P1941</f>
        <v>1089693.8799999999</v>
      </c>
      <c r="I1942" s="694">
        <f>I1941/'CompSolo Wolf'!I1928</f>
        <v>0.75955870495495292</v>
      </c>
      <c r="J1942" s="240">
        <f>SUM(J17:J1940)</f>
        <v>1092981.6199999999</v>
      </c>
      <c r="K1942" s="237"/>
      <c r="L1942" s="253"/>
      <c r="M1942" s="309"/>
      <c r="N1942" s="495">
        <f>N107+N111+N212+N529+N548+N566+N612+N642+N659+N683+N717+N1075+N1262+N1292+N1325+N1538+N1604+N1629+N1644+N1651+N1709+N1940</f>
        <v>1</v>
      </c>
      <c r="O1942" s="461">
        <f>P1941/(150+250)</f>
        <v>841.03337499999998</v>
      </c>
      <c r="P1942" s="398"/>
      <c r="Q1942" s="461"/>
      <c r="R1942" s="350"/>
      <c r="S1942" s="309"/>
      <c r="T1942" s="350"/>
      <c r="U1942" s="309"/>
      <c r="V1942" s="350"/>
      <c r="W1942" s="309"/>
      <c r="X1942" s="350"/>
      <c r="Y1942" s="309"/>
      <c r="Z1942" s="242"/>
    </row>
    <row r="1943" spans="1:27" s="247" customFormat="1" ht="15.75">
      <c r="A1943" s="284"/>
      <c r="B1943" s="237"/>
      <c r="C1943" s="352"/>
      <c r="D1943" s="249"/>
      <c r="E1943" s="237"/>
      <c r="F1943" s="349"/>
      <c r="G1943" s="253"/>
      <c r="H1943" s="353"/>
      <c r="I1943" s="240"/>
      <c r="J1943" s="336"/>
      <c r="K1943" s="237"/>
      <c r="L1943" s="253"/>
      <c r="M1943" s="309">
        <f>N1943*170</f>
        <v>38864.930743801655</v>
      </c>
      <c r="N1943" s="353">
        <f>N1941/(250+140+125+90)</f>
        <v>228.61723966942148</v>
      </c>
      <c r="O1943" s="462" t="s">
        <v>2390</v>
      </c>
      <c r="P1943" s="309"/>
      <c r="Q1943" s="462"/>
      <c r="R1943" s="350"/>
      <c r="S1943" s="309"/>
      <c r="T1943" s="350"/>
      <c r="U1943" s="309"/>
      <c r="V1943" s="350"/>
      <c r="W1943" s="309"/>
      <c r="X1943" s="350"/>
      <c r="Y1943" s="309"/>
      <c r="Z1943" s="242"/>
      <c r="AA1943" s="183"/>
    </row>
    <row r="1944" spans="1:27" ht="15">
      <c r="A1944" s="250"/>
      <c r="B1944" s="251"/>
      <c r="C1944" s="326"/>
      <c r="D1944" s="292"/>
      <c r="E1944" s="307"/>
      <c r="F1944" s="307"/>
      <c r="G1944" s="253"/>
      <c r="H1944" s="307"/>
      <c r="I1944" s="225"/>
      <c r="J1944" s="225"/>
      <c r="K1944" s="307"/>
      <c r="L1944" s="253"/>
      <c r="M1944" s="568"/>
      <c r="N1944" s="225"/>
      <c r="O1944" s="568"/>
      <c r="P1944" s="568"/>
      <c r="Q1944" s="568"/>
      <c r="R1944" s="225"/>
      <c r="S1944" s="309"/>
      <c r="T1944" s="225"/>
      <c r="U1944" s="568"/>
      <c r="V1944" s="225"/>
      <c r="W1944" s="309"/>
      <c r="X1944" s="225"/>
      <c r="Y1944" s="309"/>
      <c r="Z1944" s="260"/>
    </row>
    <row r="1945" spans="1:27" ht="25.5">
      <c r="A1945" s="356" t="s">
        <v>1369</v>
      </c>
      <c r="B1945" s="357"/>
      <c r="C1945" s="358"/>
      <c r="D1945" s="359" t="s">
        <v>2099</v>
      </c>
      <c r="E1945" s="360"/>
      <c r="F1945" s="361"/>
      <c r="G1945" s="361"/>
      <c r="H1945" s="362"/>
      <c r="I1945" s="364"/>
      <c r="J1945" s="364"/>
      <c r="K1945" s="360"/>
      <c r="L1945" s="363"/>
      <c r="M1945" s="363"/>
      <c r="N1945" s="364"/>
      <c r="O1945" s="363"/>
      <c r="P1945" s="364"/>
      <c r="Q1945" s="363"/>
      <c r="R1945" s="364"/>
      <c r="S1945" s="364"/>
      <c r="T1945" s="365"/>
      <c r="U1945" s="363"/>
      <c r="V1945" s="364"/>
      <c r="W1945" s="364"/>
      <c r="X1945" s="365"/>
      <c r="Y1945" s="364"/>
      <c r="Z1945" s="365"/>
    </row>
    <row r="1946" spans="1:27" ht="15">
      <c r="A1946" s="366" t="s">
        <v>249</v>
      </c>
      <c r="B1946" s="367"/>
      <c r="C1946" s="540" t="s">
        <v>864</v>
      </c>
      <c r="D1946" s="526" t="s">
        <v>1592</v>
      </c>
      <c r="E1946" s="285" t="s">
        <v>1898</v>
      </c>
      <c r="F1946" s="285">
        <f t="shared" ref="F1946:F1966" si="293">M1946+O1946+Q1946+U1946+W1946+Y1946</f>
        <v>5</v>
      </c>
      <c r="G1946" s="253">
        <f t="shared" ref="G1946:G1966" si="294">L1946</f>
        <v>76.31</v>
      </c>
      <c r="H1946" s="243">
        <f>INT(F1946*G1946*100+0.5)/100</f>
        <v>381.55</v>
      </c>
      <c r="I1946" s="240">
        <f t="shared" ref="I1946:I1967" si="295">N1946+P1946+R1946+V1946+X1946+Z1946</f>
        <v>381.55</v>
      </c>
      <c r="J1946" s="240"/>
      <c r="K1946" s="285" t="s">
        <v>1901</v>
      </c>
      <c r="L1946" s="253">
        <v>76.31</v>
      </c>
      <c r="M1946" s="309">
        <v>2</v>
      </c>
      <c r="N1946" s="350">
        <f t="shared" ref="N1946:N1966" si="296">INT($L1946*M1946*100+0.5)/100</f>
        <v>152.62</v>
      </c>
      <c r="O1946" s="309">
        <v>3</v>
      </c>
      <c r="P1946" s="350">
        <f t="shared" ref="P1946:P1966" si="297">INT($L1946*O1946*100+0.5)/100</f>
        <v>228.93</v>
      </c>
      <c r="Q1946" s="309"/>
      <c r="R1946" s="350">
        <f t="shared" ref="R1946:R1966" si="298">INT($L1946*Q1946*100+0.5)/100</f>
        <v>0</v>
      </c>
      <c r="S1946" s="309">
        <v>0</v>
      </c>
      <c r="T1946" s="350">
        <f t="shared" ref="T1946:T1966" si="299">INT($L1946*S1946*100+0.5)/100</f>
        <v>0</v>
      </c>
      <c r="U1946" s="309"/>
      <c r="V1946" s="350">
        <f t="shared" ref="V1946:V1966" si="300">INT($L1946*U1946*100+0.5)/100</f>
        <v>0</v>
      </c>
      <c r="W1946" s="309">
        <v>0</v>
      </c>
      <c r="X1946" s="350">
        <f t="shared" ref="X1946:X1966" si="301">INT($L1946*W1946*100+0.5)/100</f>
        <v>0</v>
      </c>
      <c r="Y1946" s="309"/>
      <c r="Z1946" s="242">
        <f t="shared" ref="Z1946:Z1966" si="302">INT($L1946*Y1946*100+0.5)/100</f>
        <v>0</v>
      </c>
    </row>
    <row r="1947" spans="1:27" ht="15">
      <c r="A1947" s="250" t="s">
        <v>250</v>
      </c>
      <c r="B1947" s="251"/>
      <c r="C1947" s="540" t="s">
        <v>598</v>
      </c>
      <c r="D1947" s="526" t="s">
        <v>1593</v>
      </c>
      <c r="E1947" s="285" t="s">
        <v>1901</v>
      </c>
      <c r="F1947" s="285">
        <f t="shared" si="293"/>
        <v>34</v>
      </c>
      <c r="G1947" s="253">
        <f t="shared" si="294"/>
        <v>31.5</v>
      </c>
      <c r="H1947" s="243">
        <f t="shared" ref="H1947:H1957" si="303">F1947*G1947</f>
        <v>1071</v>
      </c>
      <c r="I1947" s="240">
        <f t="shared" si="295"/>
        <v>1071</v>
      </c>
      <c r="J1947" s="240"/>
      <c r="K1947" s="285" t="s">
        <v>1901</v>
      </c>
      <c r="L1947" s="253">
        <v>31.5</v>
      </c>
      <c r="M1947" s="309">
        <v>6</v>
      </c>
      <c r="N1947" s="350">
        <f t="shared" si="296"/>
        <v>189</v>
      </c>
      <c r="O1947" s="309">
        <v>10</v>
      </c>
      <c r="P1947" s="350">
        <f t="shared" si="297"/>
        <v>315</v>
      </c>
      <c r="Q1947" s="309">
        <v>6</v>
      </c>
      <c r="R1947" s="350">
        <f t="shared" si="298"/>
        <v>189</v>
      </c>
      <c r="S1947" s="309">
        <v>0</v>
      </c>
      <c r="T1947" s="350">
        <f t="shared" si="299"/>
        <v>0</v>
      </c>
      <c r="U1947" s="309">
        <v>6</v>
      </c>
      <c r="V1947" s="350">
        <f t="shared" si="300"/>
        <v>189</v>
      </c>
      <c r="W1947" s="309">
        <v>0</v>
      </c>
      <c r="X1947" s="350">
        <f t="shared" si="301"/>
        <v>0</v>
      </c>
      <c r="Y1947" s="309">
        <v>6</v>
      </c>
      <c r="Z1947" s="242">
        <f t="shared" si="302"/>
        <v>189</v>
      </c>
    </row>
    <row r="1948" spans="1:27" ht="15">
      <c r="A1948" s="250" t="s">
        <v>251</v>
      </c>
      <c r="B1948" s="251"/>
      <c r="C1948" s="540" t="s">
        <v>866</v>
      </c>
      <c r="D1948" s="526" t="s">
        <v>1594</v>
      </c>
      <c r="E1948" s="285" t="s">
        <v>2475</v>
      </c>
      <c r="F1948" s="285">
        <f t="shared" si="293"/>
        <v>1700</v>
      </c>
      <c r="G1948" s="253">
        <f t="shared" si="294"/>
        <v>5.5</v>
      </c>
      <c r="H1948" s="243">
        <f t="shared" si="303"/>
        <v>9350</v>
      </c>
      <c r="I1948" s="671">
        <f t="shared" si="295"/>
        <v>9350</v>
      </c>
      <c r="J1948" s="240"/>
      <c r="K1948" s="285" t="s">
        <v>2100</v>
      </c>
      <c r="L1948" s="671">
        <v>5.5</v>
      </c>
      <c r="M1948" s="309">
        <v>300</v>
      </c>
      <c r="N1948" s="350">
        <f t="shared" si="296"/>
        <v>1650</v>
      </c>
      <c r="O1948" s="309">
        <v>500</v>
      </c>
      <c r="P1948" s="350">
        <f t="shared" si="297"/>
        <v>2750</v>
      </c>
      <c r="Q1948" s="309">
        <v>300</v>
      </c>
      <c r="R1948" s="350">
        <f t="shared" si="298"/>
        <v>1650</v>
      </c>
      <c r="S1948" s="309">
        <v>0</v>
      </c>
      <c r="T1948" s="350">
        <f t="shared" si="299"/>
        <v>0</v>
      </c>
      <c r="U1948" s="309">
        <v>300</v>
      </c>
      <c r="V1948" s="350">
        <f t="shared" si="300"/>
        <v>1650</v>
      </c>
      <c r="W1948" s="309">
        <v>0</v>
      </c>
      <c r="X1948" s="350">
        <f t="shared" si="301"/>
        <v>0</v>
      </c>
      <c r="Y1948" s="309">
        <v>300</v>
      </c>
      <c r="Z1948" s="242">
        <f t="shared" si="302"/>
        <v>1650</v>
      </c>
    </row>
    <row r="1949" spans="1:27" ht="15">
      <c r="A1949" s="250" t="s">
        <v>252</v>
      </c>
      <c r="B1949" s="251"/>
      <c r="C1949" s="540" t="s">
        <v>865</v>
      </c>
      <c r="D1949" s="526" t="s">
        <v>1594</v>
      </c>
      <c r="E1949" s="285" t="s">
        <v>2100</v>
      </c>
      <c r="F1949" s="285">
        <f t="shared" si="293"/>
        <v>3400</v>
      </c>
      <c r="G1949" s="253">
        <f t="shared" si="294"/>
        <v>0.5</v>
      </c>
      <c r="H1949" s="243">
        <f t="shared" si="303"/>
        <v>1700</v>
      </c>
      <c r="I1949" s="240">
        <f t="shared" si="295"/>
        <v>1700</v>
      </c>
      <c r="J1949" s="240"/>
      <c r="K1949" s="285" t="s">
        <v>2100</v>
      </c>
      <c r="L1949" s="253">
        <v>0.5</v>
      </c>
      <c r="M1949" s="309">
        <v>600</v>
      </c>
      <c r="N1949" s="350">
        <f t="shared" si="296"/>
        <v>300</v>
      </c>
      <c r="O1949" s="309">
        <v>1000</v>
      </c>
      <c r="P1949" s="350">
        <f t="shared" si="297"/>
        <v>500</v>
      </c>
      <c r="Q1949" s="309">
        <v>600</v>
      </c>
      <c r="R1949" s="350">
        <f t="shared" si="298"/>
        <v>300</v>
      </c>
      <c r="S1949" s="309">
        <v>0</v>
      </c>
      <c r="T1949" s="350">
        <f t="shared" si="299"/>
        <v>0</v>
      </c>
      <c r="U1949" s="309">
        <v>600</v>
      </c>
      <c r="V1949" s="350">
        <f t="shared" si="300"/>
        <v>300</v>
      </c>
      <c r="W1949" s="309">
        <v>0</v>
      </c>
      <c r="X1949" s="350">
        <f t="shared" si="301"/>
        <v>0</v>
      </c>
      <c r="Y1949" s="309">
        <v>600</v>
      </c>
      <c r="Z1949" s="242">
        <f t="shared" si="302"/>
        <v>300</v>
      </c>
    </row>
    <row r="1950" spans="1:27" ht="15">
      <c r="A1950" s="250" t="s">
        <v>253</v>
      </c>
      <c r="B1950" s="251"/>
      <c r="C1950" s="540" t="s">
        <v>599</v>
      </c>
      <c r="D1950" s="526" t="s">
        <v>1595</v>
      </c>
      <c r="E1950" s="285" t="s">
        <v>1901</v>
      </c>
      <c r="F1950" s="285">
        <f t="shared" si="293"/>
        <v>5</v>
      </c>
      <c r="G1950" s="253">
        <f t="shared" si="294"/>
        <v>142.44</v>
      </c>
      <c r="H1950" s="243">
        <f t="shared" si="303"/>
        <v>712.2</v>
      </c>
      <c r="I1950" s="240">
        <f t="shared" si="295"/>
        <v>712.2</v>
      </c>
      <c r="J1950" s="240"/>
      <c r="K1950" s="285" t="s">
        <v>1901</v>
      </c>
      <c r="L1950" s="253">
        <v>142.44</v>
      </c>
      <c r="M1950" s="309">
        <v>1</v>
      </c>
      <c r="N1950" s="350">
        <f t="shared" si="296"/>
        <v>142.44</v>
      </c>
      <c r="O1950" s="309">
        <v>1</v>
      </c>
      <c r="P1950" s="350">
        <f t="shared" si="297"/>
        <v>142.44</v>
      </c>
      <c r="Q1950" s="309">
        <v>1</v>
      </c>
      <c r="R1950" s="350">
        <f t="shared" si="298"/>
        <v>142.44</v>
      </c>
      <c r="S1950" s="309">
        <v>0</v>
      </c>
      <c r="T1950" s="350">
        <f t="shared" si="299"/>
        <v>0</v>
      </c>
      <c r="U1950" s="309">
        <v>1</v>
      </c>
      <c r="V1950" s="350">
        <f t="shared" si="300"/>
        <v>142.44</v>
      </c>
      <c r="W1950" s="309">
        <v>0</v>
      </c>
      <c r="X1950" s="350">
        <f t="shared" si="301"/>
        <v>0</v>
      </c>
      <c r="Y1950" s="309">
        <v>1</v>
      </c>
      <c r="Z1950" s="242">
        <f t="shared" si="302"/>
        <v>142.44</v>
      </c>
    </row>
    <row r="1951" spans="1:27" ht="15">
      <c r="A1951" s="250" t="s">
        <v>254</v>
      </c>
      <c r="B1951" s="251"/>
      <c r="C1951" s="540" t="s">
        <v>600</v>
      </c>
      <c r="D1951" s="526" t="s">
        <v>1596</v>
      </c>
      <c r="E1951" s="285" t="s">
        <v>1901</v>
      </c>
      <c r="F1951" s="285">
        <f t="shared" si="293"/>
        <v>11</v>
      </c>
      <c r="G1951" s="253">
        <f t="shared" si="294"/>
        <v>100</v>
      </c>
      <c r="H1951" s="243">
        <f t="shared" si="303"/>
        <v>1100</v>
      </c>
      <c r="I1951" s="240">
        <f t="shared" si="295"/>
        <v>1100</v>
      </c>
      <c r="J1951" s="240"/>
      <c r="K1951" s="285" t="s">
        <v>1901</v>
      </c>
      <c r="L1951" s="253">
        <v>100</v>
      </c>
      <c r="M1951" s="309">
        <v>2</v>
      </c>
      <c r="N1951" s="729">
        <f t="shared" si="296"/>
        <v>200</v>
      </c>
      <c r="O1951" s="309">
        <v>3</v>
      </c>
      <c r="P1951" s="350">
        <f t="shared" si="297"/>
        <v>300</v>
      </c>
      <c r="Q1951" s="309">
        <v>2</v>
      </c>
      <c r="R1951" s="350">
        <f t="shared" si="298"/>
        <v>200</v>
      </c>
      <c r="S1951" s="309">
        <v>0</v>
      </c>
      <c r="T1951" s="350">
        <f t="shared" si="299"/>
        <v>0</v>
      </c>
      <c r="U1951" s="309">
        <v>2</v>
      </c>
      <c r="V1951" s="350">
        <f t="shared" si="300"/>
        <v>200</v>
      </c>
      <c r="W1951" s="309">
        <v>0</v>
      </c>
      <c r="X1951" s="350">
        <f t="shared" si="301"/>
        <v>0</v>
      </c>
      <c r="Y1951" s="309">
        <v>2</v>
      </c>
      <c r="Z1951" s="242">
        <f t="shared" si="302"/>
        <v>200</v>
      </c>
    </row>
    <row r="1952" spans="1:27" ht="25.5">
      <c r="A1952" s="250" t="s">
        <v>254</v>
      </c>
      <c r="B1952" s="251"/>
      <c r="C1952" s="540" t="s">
        <v>601</v>
      </c>
      <c r="D1952" s="526" t="s">
        <v>1324</v>
      </c>
      <c r="E1952" s="285" t="s">
        <v>2461</v>
      </c>
      <c r="F1952" s="285">
        <f t="shared" si="293"/>
        <v>0</v>
      </c>
      <c r="G1952" s="253">
        <f t="shared" si="294"/>
        <v>0.7</v>
      </c>
      <c r="H1952" s="243">
        <f t="shared" si="303"/>
        <v>0</v>
      </c>
      <c r="I1952" s="240">
        <f t="shared" si="295"/>
        <v>0</v>
      </c>
      <c r="J1952" s="240"/>
      <c r="K1952" s="285" t="s">
        <v>2461</v>
      </c>
      <c r="L1952" s="253">
        <v>0.7</v>
      </c>
      <c r="M1952" s="309">
        <v>0</v>
      </c>
      <c r="N1952" s="729">
        <f t="shared" si="296"/>
        <v>0</v>
      </c>
      <c r="O1952" s="309">
        <v>0</v>
      </c>
      <c r="P1952" s="350">
        <f t="shared" si="297"/>
        <v>0</v>
      </c>
      <c r="Q1952" s="309">
        <v>0</v>
      </c>
      <c r="R1952" s="350">
        <f t="shared" si="298"/>
        <v>0</v>
      </c>
      <c r="S1952" s="309">
        <v>0</v>
      </c>
      <c r="T1952" s="350">
        <f t="shared" si="299"/>
        <v>0</v>
      </c>
      <c r="U1952" s="309">
        <v>0</v>
      </c>
      <c r="V1952" s="350">
        <f t="shared" si="300"/>
        <v>0</v>
      </c>
      <c r="W1952" s="309">
        <v>0</v>
      </c>
      <c r="X1952" s="350">
        <f t="shared" si="301"/>
        <v>0</v>
      </c>
      <c r="Y1952" s="309">
        <v>0</v>
      </c>
      <c r="Z1952" s="242">
        <f t="shared" si="302"/>
        <v>0</v>
      </c>
    </row>
    <row r="1953" spans="1:26" ht="15">
      <c r="A1953" s="250" t="s">
        <v>255</v>
      </c>
      <c r="B1953" s="251"/>
      <c r="C1953" s="540" t="s">
        <v>602</v>
      </c>
      <c r="D1953" s="526" t="s">
        <v>1597</v>
      </c>
      <c r="E1953" s="285" t="s">
        <v>1898</v>
      </c>
      <c r="F1953" s="285">
        <f t="shared" si="293"/>
        <v>680</v>
      </c>
      <c r="G1953" s="253">
        <f t="shared" si="294"/>
        <v>16</v>
      </c>
      <c r="H1953" s="243">
        <f t="shared" si="303"/>
        <v>10880</v>
      </c>
      <c r="I1953" s="240">
        <f t="shared" si="295"/>
        <v>10880</v>
      </c>
      <c r="J1953" s="240"/>
      <c r="K1953" s="285" t="s">
        <v>1898</v>
      </c>
      <c r="L1953" s="253">
        <v>16</v>
      </c>
      <c r="M1953" s="309">
        <v>120</v>
      </c>
      <c r="N1953" s="729">
        <f t="shared" si="296"/>
        <v>1920</v>
      </c>
      <c r="O1953" s="309">
        <v>200</v>
      </c>
      <c r="P1953" s="350">
        <f t="shared" si="297"/>
        <v>3200</v>
      </c>
      <c r="Q1953" s="309">
        <v>120</v>
      </c>
      <c r="R1953" s="350">
        <f t="shared" si="298"/>
        <v>1920</v>
      </c>
      <c r="S1953" s="309">
        <v>0</v>
      </c>
      <c r="T1953" s="350">
        <f t="shared" si="299"/>
        <v>0</v>
      </c>
      <c r="U1953" s="309">
        <v>120</v>
      </c>
      <c r="V1953" s="350">
        <f t="shared" si="300"/>
        <v>1920</v>
      </c>
      <c r="W1953" s="309">
        <v>0</v>
      </c>
      <c r="X1953" s="350">
        <f t="shared" si="301"/>
        <v>0</v>
      </c>
      <c r="Y1953" s="309">
        <v>120</v>
      </c>
      <c r="Z1953" s="242">
        <f t="shared" si="302"/>
        <v>1920</v>
      </c>
    </row>
    <row r="1954" spans="1:26" ht="15">
      <c r="A1954" s="250" t="s">
        <v>256</v>
      </c>
      <c r="B1954" s="251"/>
      <c r="C1954" s="540" t="s">
        <v>603</v>
      </c>
      <c r="D1954" s="526" t="s">
        <v>512</v>
      </c>
      <c r="E1954" s="285" t="s">
        <v>1901</v>
      </c>
      <c r="F1954" s="285">
        <f t="shared" si="293"/>
        <v>16</v>
      </c>
      <c r="G1954" s="253">
        <f t="shared" si="294"/>
        <v>75.47</v>
      </c>
      <c r="H1954" s="243">
        <f t="shared" si="303"/>
        <v>1207.52</v>
      </c>
      <c r="I1954" s="240">
        <f t="shared" si="295"/>
        <v>1207.52</v>
      </c>
      <c r="J1954" s="240"/>
      <c r="K1954" s="285" t="s">
        <v>1901</v>
      </c>
      <c r="L1954" s="253">
        <f>75+0.47</f>
        <v>75.47</v>
      </c>
      <c r="M1954" s="309">
        <v>3</v>
      </c>
      <c r="N1954" s="729">
        <f t="shared" si="296"/>
        <v>226.41</v>
      </c>
      <c r="O1954" s="309">
        <v>4</v>
      </c>
      <c r="P1954" s="350">
        <f t="shared" si="297"/>
        <v>301.88</v>
      </c>
      <c r="Q1954" s="309">
        <v>3</v>
      </c>
      <c r="R1954" s="350">
        <f t="shared" si="298"/>
        <v>226.41</v>
      </c>
      <c r="S1954" s="309">
        <v>0</v>
      </c>
      <c r="T1954" s="350">
        <f t="shared" si="299"/>
        <v>0</v>
      </c>
      <c r="U1954" s="309">
        <v>3</v>
      </c>
      <c r="V1954" s="350">
        <f t="shared" si="300"/>
        <v>226.41</v>
      </c>
      <c r="W1954" s="309">
        <v>0</v>
      </c>
      <c r="X1954" s="350">
        <f t="shared" si="301"/>
        <v>0</v>
      </c>
      <c r="Y1954" s="309">
        <v>3</v>
      </c>
      <c r="Z1954" s="242">
        <f t="shared" si="302"/>
        <v>226.41</v>
      </c>
    </row>
    <row r="1955" spans="1:26" ht="15">
      <c r="A1955" s="250"/>
      <c r="B1955" s="251"/>
      <c r="C1955" s="540" t="s">
        <v>604</v>
      </c>
      <c r="D1955" s="526" t="s">
        <v>1884</v>
      </c>
      <c r="E1955" s="285" t="s">
        <v>1885</v>
      </c>
      <c r="F1955" s="285">
        <f t="shared" si="293"/>
        <v>0</v>
      </c>
      <c r="G1955" s="253">
        <f t="shared" si="294"/>
        <v>2</v>
      </c>
      <c r="H1955" s="243">
        <f t="shared" si="303"/>
        <v>0</v>
      </c>
      <c r="I1955" s="240">
        <f t="shared" si="295"/>
        <v>0</v>
      </c>
      <c r="J1955" s="240"/>
      <c r="K1955" s="285" t="s">
        <v>1885</v>
      </c>
      <c r="L1955" s="253">
        <v>2</v>
      </c>
      <c r="M1955" s="309">
        <v>0</v>
      </c>
      <c r="N1955" s="729">
        <f t="shared" si="296"/>
        <v>0</v>
      </c>
      <c r="O1955" s="309">
        <v>0</v>
      </c>
      <c r="P1955" s="350">
        <f t="shared" si="297"/>
        <v>0</v>
      </c>
      <c r="Q1955" s="309">
        <v>0</v>
      </c>
      <c r="R1955" s="350">
        <f t="shared" si="298"/>
        <v>0</v>
      </c>
      <c r="S1955" s="309">
        <v>0</v>
      </c>
      <c r="T1955" s="350">
        <f t="shared" si="299"/>
        <v>0</v>
      </c>
      <c r="U1955" s="309">
        <v>0</v>
      </c>
      <c r="V1955" s="350">
        <f t="shared" si="300"/>
        <v>0</v>
      </c>
      <c r="W1955" s="309">
        <v>0</v>
      </c>
      <c r="X1955" s="350">
        <f t="shared" si="301"/>
        <v>0</v>
      </c>
      <c r="Y1955" s="309">
        <v>0</v>
      </c>
      <c r="Z1955" s="242">
        <f t="shared" si="302"/>
        <v>0</v>
      </c>
    </row>
    <row r="1956" spans="1:26" ht="15">
      <c r="A1956" s="250" t="s">
        <v>257</v>
      </c>
      <c r="B1956" s="251"/>
      <c r="C1956" s="540" t="s">
        <v>604</v>
      </c>
      <c r="D1956" s="526" t="s">
        <v>504</v>
      </c>
      <c r="E1956" s="285" t="s">
        <v>1598</v>
      </c>
      <c r="F1956" s="285">
        <f t="shared" si="293"/>
        <v>0</v>
      </c>
      <c r="G1956" s="253">
        <f t="shared" si="294"/>
        <v>30</v>
      </c>
      <c r="H1956" s="243">
        <f t="shared" si="303"/>
        <v>0</v>
      </c>
      <c r="I1956" s="240">
        <f t="shared" si="295"/>
        <v>0</v>
      </c>
      <c r="J1956" s="240"/>
      <c r="K1956" s="285" t="s">
        <v>1598</v>
      </c>
      <c r="L1956" s="253">
        <v>30</v>
      </c>
      <c r="M1956" s="309">
        <v>0</v>
      </c>
      <c r="N1956" s="729">
        <f t="shared" si="296"/>
        <v>0</v>
      </c>
      <c r="O1956" s="309">
        <v>0</v>
      </c>
      <c r="P1956" s="350">
        <f t="shared" si="297"/>
        <v>0</v>
      </c>
      <c r="Q1956" s="309">
        <v>0</v>
      </c>
      <c r="R1956" s="350">
        <f t="shared" si="298"/>
        <v>0</v>
      </c>
      <c r="S1956" s="309">
        <v>0</v>
      </c>
      <c r="T1956" s="350">
        <f t="shared" si="299"/>
        <v>0</v>
      </c>
      <c r="U1956" s="309">
        <v>0</v>
      </c>
      <c r="V1956" s="350">
        <f t="shared" si="300"/>
        <v>0</v>
      </c>
      <c r="W1956" s="309">
        <v>0</v>
      </c>
      <c r="X1956" s="350">
        <f t="shared" si="301"/>
        <v>0</v>
      </c>
      <c r="Y1956" s="309">
        <v>0</v>
      </c>
      <c r="Z1956" s="242">
        <f t="shared" si="302"/>
        <v>0</v>
      </c>
    </row>
    <row r="1957" spans="1:26" ht="15">
      <c r="A1957" s="250" t="s">
        <v>258</v>
      </c>
      <c r="B1957" s="251"/>
      <c r="C1957" s="540" t="s">
        <v>511</v>
      </c>
      <c r="D1957" s="526" t="s">
        <v>505</v>
      </c>
      <c r="E1957" s="285" t="s">
        <v>1598</v>
      </c>
      <c r="F1957" s="285">
        <f t="shared" si="293"/>
        <v>0</v>
      </c>
      <c r="G1957" s="253">
        <f t="shared" si="294"/>
        <v>30</v>
      </c>
      <c r="H1957" s="243">
        <f t="shared" si="303"/>
        <v>0</v>
      </c>
      <c r="I1957" s="240">
        <f t="shared" si="295"/>
        <v>0</v>
      </c>
      <c r="J1957" s="240"/>
      <c r="K1957" s="285" t="s">
        <v>1598</v>
      </c>
      <c r="L1957" s="253">
        <v>30</v>
      </c>
      <c r="M1957" s="309">
        <v>0</v>
      </c>
      <c r="N1957" s="729">
        <f t="shared" si="296"/>
        <v>0</v>
      </c>
      <c r="O1957" s="309">
        <v>0</v>
      </c>
      <c r="P1957" s="350">
        <f t="shared" si="297"/>
        <v>0</v>
      </c>
      <c r="Q1957" s="309">
        <v>0</v>
      </c>
      <c r="R1957" s="350">
        <f t="shared" si="298"/>
        <v>0</v>
      </c>
      <c r="S1957" s="309">
        <v>0</v>
      </c>
      <c r="T1957" s="350">
        <f t="shared" si="299"/>
        <v>0</v>
      </c>
      <c r="U1957" s="309">
        <v>0</v>
      </c>
      <c r="V1957" s="350">
        <f t="shared" si="300"/>
        <v>0</v>
      </c>
      <c r="W1957" s="309">
        <v>0</v>
      </c>
      <c r="X1957" s="350">
        <f t="shared" si="301"/>
        <v>0</v>
      </c>
      <c r="Y1957" s="309">
        <v>0</v>
      </c>
      <c r="Z1957" s="242">
        <f t="shared" si="302"/>
        <v>0</v>
      </c>
    </row>
    <row r="1958" spans="1:26" ht="15">
      <c r="A1958" s="250" t="s">
        <v>259</v>
      </c>
      <c r="B1958" s="251"/>
      <c r="C1958" s="540"/>
      <c r="D1958" s="526" t="s">
        <v>1599</v>
      </c>
      <c r="E1958" s="285"/>
      <c r="F1958" s="285">
        <f t="shared" si="293"/>
        <v>0</v>
      </c>
      <c r="G1958" s="253">
        <f t="shared" si="294"/>
        <v>0</v>
      </c>
      <c r="H1958" s="243"/>
      <c r="I1958" s="240">
        <f t="shared" si="295"/>
        <v>0</v>
      </c>
      <c r="J1958" s="240"/>
      <c r="K1958" s="285"/>
      <c r="L1958" s="253"/>
      <c r="M1958" s="309"/>
      <c r="N1958" s="729"/>
      <c r="O1958" s="309"/>
      <c r="P1958" s="350"/>
      <c r="Q1958" s="309"/>
      <c r="R1958" s="350"/>
      <c r="S1958" s="309"/>
      <c r="T1958" s="350"/>
      <c r="U1958" s="309"/>
      <c r="V1958" s="350"/>
      <c r="W1958" s="309"/>
      <c r="X1958" s="350"/>
      <c r="Y1958" s="309"/>
      <c r="Z1958" s="242"/>
    </row>
    <row r="1959" spans="1:26" ht="15">
      <c r="A1959" s="368" t="s">
        <v>260</v>
      </c>
      <c r="B1959" s="251">
        <v>1</v>
      </c>
      <c r="C1959" s="540" t="s">
        <v>513</v>
      </c>
      <c r="D1959" s="526" t="s">
        <v>1600</v>
      </c>
      <c r="E1959" s="285" t="s">
        <v>1901</v>
      </c>
      <c r="F1959" s="285">
        <f t="shared" si="293"/>
        <v>32</v>
      </c>
      <c r="G1959" s="253">
        <f t="shared" si="294"/>
        <v>14</v>
      </c>
      <c r="H1959" s="243">
        <f t="shared" ref="H1959:H1966" si="304">F1959*G1959</f>
        <v>448</v>
      </c>
      <c r="I1959" s="240">
        <f t="shared" si="295"/>
        <v>448</v>
      </c>
      <c r="J1959" s="240"/>
      <c r="K1959" s="285" t="s">
        <v>1901</v>
      </c>
      <c r="L1959" s="253">
        <v>14</v>
      </c>
      <c r="M1959" s="309">
        <v>5</v>
      </c>
      <c r="N1959" s="729">
        <f t="shared" si="296"/>
        <v>70</v>
      </c>
      <c r="O1959" s="309">
        <v>8</v>
      </c>
      <c r="P1959" s="350">
        <f t="shared" si="297"/>
        <v>112</v>
      </c>
      <c r="Q1959" s="309">
        <v>5</v>
      </c>
      <c r="R1959" s="350">
        <f t="shared" si="298"/>
        <v>70</v>
      </c>
      <c r="S1959" s="309">
        <v>0</v>
      </c>
      <c r="T1959" s="350">
        <f t="shared" si="299"/>
        <v>0</v>
      </c>
      <c r="U1959" s="309">
        <v>5</v>
      </c>
      <c r="V1959" s="350">
        <f t="shared" si="300"/>
        <v>70</v>
      </c>
      <c r="W1959" s="309">
        <v>4</v>
      </c>
      <c r="X1959" s="350">
        <f t="shared" si="301"/>
        <v>56</v>
      </c>
      <c r="Y1959" s="309">
        <v>5</v>
      </c>
      <c r="Z1959" s="242">
        <f t="shared" si="302"/>
        <v>70</v>
      </c>
    </row>
    <row r="1960" spans="1:26" ht="15">
      <c r="A1960" s="368" t="s">
        <v>261</v>
      </c>
      <c r="B1960" s="251">
        <v>2</v>
      </c>
      <c r="C1960" s="540" t="s">
        <v>514</v>
      </c>
      <c r="D1960" s="526" t="s">
        <v>1601</v>
      </c>
      <c r="E1960" s="285" t="s">
        <v>1901</v>
      </c>
      <c r="F1960" s="285">
        <f t="shared" si="293"/>
        <v>32</v>
      </c>
      <c r="G1960" s="253">
        <f t="shared" si="294"/>
        <v>46</v>
      </c>
      <c r="H1960" s="243">
        <f t="shared" si="304"/>
        <v>1472</v>
      </c>
      <c r="I1960" s="240">
        <f t="shared" si="295"/>
        <v>1472</v>
      </c>
      <c r="J1960" s="240"/>
      <c r="K1960" s="285" t="s">
        <v>1901</v>
      </c>
      <c r="L1960" s="253">
        <v>46</v>
      </c>
      <c r="M1960" s="309">
        <v>5</v>
      </c>
      <c r="N1960" s="729">
        <f t="shared" si="296"/>
        <v>230</v>
      </c>
      <c r="O1960" s="309">
        <v>8</v>
      </c>
      <c r="P1960" s="350">
        <f t="shared" si="297"/>
        <v>368</v>
      </c>
      <c r="Q1960" s="309">
        <v>5</v>
      </c>
      <c r="R1960" s="350">
        <f t="shared" si="298"/>
        <v>230</v>
      </c>
      <c r="S1960" s="309">
        <v>0</v>
      </c>
      <c r="T1960" s="350">
        <f t="shared" si="299"/>
        <v>0</v>
      </c>
      <c r="U1960" s="309">
        <v>5</v>
      </c>
      <c r="V1960" s="350">
        <f t="shared" si="300"/>
        <v>230</v>
      </c>
      <c r="W1960" s="309">
        <v>4</v>
      </c>
      <c r="X1960" s="350">
        <f t="shared" si="301"/>
        <v>184</v>
      </c>
      <c r="Y1960" s="309">
        <v>5</v>
      </c>
      <c r="Z1960" s="242">
        <f t="shared" si="302"/>
        <v>230</v>
      </c>
    </row>
    <row r="1961" spans="1:26" ht="15">
      <c r="A1961" s="368" t="s">
        <v>262</v>
      </c>
      <c r="B1961" s="251">
        <v>3</v>
      </c>
      <c r="C1961" s="540" t="s">
        <v>515</v>
      </c>
      <c r="D1961" s="526" t="s">
        <v>1602</v>
      </c>
      <c r="E1961" s="285" t="s">
        <v>1901</v>
      </c>
      <c r="F1961" s="285">
        <f t="shared" si="293"/>
        <v>32</v>
      </c>
      <c r="G1961" s="253">
        <f t="shared" si="294"/>
        <v>24</v>
      </c>
      <c r="H1961" s="243">
        <f t="shared" si="304"/>
        <v>768</v>
      </c>
      <c r="I1961" s="240">
        <f t="shared" si="295"/>
        <v>768</v>
      </c>
      <c r="J1961" s="240"/>
      <c r="K1961" s="285" t="s">
        <v>1901</v>
      </c>
      <c r="L1961" s="253">
        <v>24</v>
      </c>
      <c r="M1961" s="309">
        <v>5</v>
      </c>
      <c r="N1961" s="729">
        <f t="shared" si="296"/>
        <v>120</v>
      </c>
      <c r="O1961" s="309">
        <v>8</v>
      </c>
      <c r="P1961" s="350">
        <f t="shared" si="297"/>
        <v>192</v>
      </c>
      <c r="Q1961" s="309">
        <v>5</v>
      </c>
      <c r="R1961" s="350">
        <f t="shared" si="298"/>
        <v>120</v>
      </c>
      <c r="S1961" s="309">
        <v>0</v>
      </c>
      <c r="T1961" s="350">
        <f t="shared" si="299"/>
        <v>0</v>
      </c>
      <c r="U1961" s="309">
        <v>5</v>
      </c>
      <c r="V1961" s="350">
        <f t="shared" si="300"/>
        <v>120</v>
      </c>
      <c r="W1961" s="309">
        <v>4</v>
      </c>
      <c r="X1961" s="350">
        <f t="shared" si="301"/>
        <v>96</v>
      </c>
      <c r="Y1961" s="309">
        <v>5</v>
      </c>
      <c r="Z1961" s="242">
        <f t="shared" si="302"/>
        <v>120</v>
      </c>
    </row>
    <row r="1962" spans="1:26" ht="15">
      <c r="A1962" s="368" t="s">
        <v>263</v>
      </c>
      <c r="B1962" s="251">
        <v>4</v>
      </c>
      <c r="C1962" s="540" t="s">
        <v>516</v>
      </c>
      <c r="D1962" s="526" t="s">
        <v>1603</v>
      </c>
      <c r="E1962" s="285" t="s">
        <v>1901</v>
      </c>
      <c r="F1962" s="285">
        <f t="shared" si="293"/>
        <v>32</v>
      </c>
      <c r="G1962" s="253">
        <f t="shared" si="294"/>
        <v>16</v>
      </c>
      <c r="H1962" s="243">
        <f t="shared" si="304"/>
        <v>512</v>
      </c>
      <c r="I1962" s="240">
        <f t="shared" si="295"/>
        <v>512</v>
      </c>
      <c r="J1962" s="240"/>
      <c r="K1962" s="285" t="s">
        <v>1901</v>
      </c>
      <c r="L1962" s="253">
        <v>16</v>
      </c>
      <c r="M1962" s="309">
        <v>5</v>
      </c>
      <c r="N1962" s="729">
        <f t="shared" si="296"/>
        <v>80</v>
      </c>
      <c r="O1962" s="309">
        <v>8</v>
      </c>
      <c r="P1962" s="350">
        <f t="shared" si="297"/>
        <v>128</v>
      </c>
      <c r="Q1962" s="309">
        <v>5</v>
      </c>
      <c r="R1962" s="350">
        <f t="shared" si="298"/>
        <v>80</v>
      </c>
      <c r="S1962" s="309">
        <v>0</v>
      </c>
      <c r="T1962" s="350">
        <f t="shared" si="299"/>
        <v>0</v>
      </c>
      <c r="U1962" s="309">
        <v>5</v>
      </c>
      <c r="V1962" s="350">
        <f t="shared" si="300"/>
        <v>80</v>
      </c>
      <c r="W1962" s="309">
        <v>4</v>
      </c>
      <c r="X1962" s="350">
        <f t="shared" si="301"/>
        <v>64</v>
      </c>
      <c r="Y1962" s="309">
        <v>5</v>
      </c>
      <c r="Z1962" s="242">
        <f t="shared" si="302"/>
        <v>80</v>
      </c>
    </row>
    <row r="1963" spans="1:26" ht="15">
      <c r="A1963" s="368" t="s">
        <v>264</v>
      </c>
      <c r="B1963" s="251">
        <v>5</v>
      </c>
      <c r="C1963" s="540" t="s">
        <v>517</v>
      </c>
      <c r="D1963" s="526" t="s">
        <v>1604</v>
      </c>
      <c r="E1963" s="285" t="s">
        <v>1901</v>
      </c>
      <c r="F1963" s="285">
        <f t="shared" si="293"/>
        <v>32</v>
      </c>
      <c r="G1963" s="253">
        <f t="shared" si="294"/>
        <v>9</v>
      </c>
      <c r="H1963" s="243">
        <f t="shared" si="304"/>
        <v>288</v>
      </c>
      <c r="I1963" s="240">
        <f t="shared" si="295"/>
        <v>288</v>
      </c>
      <c r="J1963" s="240"/>
      <c r="K1963" s="285" t="s">
        <v>1901</v>
      </c>
      <c r="L1963" s="253">
        <v>9</v>
      </c>
      <c r="M1963" s="309">
        <v>5</v>
      </c>
      <c r="N1963" s="729">
        <f t="shared" si="296"/>
        <v>45</v>
      </c>
      <c r="O1963" s="309">
        <v>8</v>
      </c>
      <c r="P1963" s="350">
        <f t="shared" si="297"/>
        <v>72</v>
      </c>
      <c r="Q1963" s="309">
        <v>5</v>
      </c>
      <c r="R1963" s="350">
        <f t="shared" si="298"/>
        <v>45</v>
      </c>
      <c r="S1963" s="309">
        <v>0</v>
      </c>
      <c r="T1963" s="350">
        <f t="shared" si="299"/>
        <v>0</v>
      </c>
      <c r="U1963" s="309">
        <v>5</v>
      </c>
      <c r="V1963" s="350">
        <f t="shared" si="300"/>
        <v>45</v>
      </c>
      <c r="W1963" s="309">
        <v>4</v>
      </c>
      <c r="X1963" s="350">
        <f t="shared" si="301"/>
        <v>36</v>
      </c>
      <c r="Y1963" s="309">
        <v>5</v>
      </c>
      <c r="Z1963" s="242">
        <f t="shared" si="302"/>
        <v>45</v>
      </c>
    </row>
    <row r="1964" spans="1:26" ht="15">
      <c r="A1964" s="368" t="s">
        <v>265</v>
      </c>
      <c r="B1964" s="251">
        <v>6</v>
      </c>
      <c r="C1964" s="540" t="s">
        <v>518</v>
      </c>
      <c r="D1964" s="526" t="s">
        <v>1605</v>
      </c>
      <c r="E1964" s="285" t="s">
        <v>1901</v>
      </c>
      <c r="F1964" s="285">
        <f t="shared" si="293"/>
        <v>32</v>
      </c>
      <c r="G1964" s="253">
        <f t="shared" si="294"/>
        <v>44</v>
      </c>
      <c r="H1964" s="243">
        <f t="shared" si="304"/>
        <v>1408</v>
      </c>
      <c r="I1964" s="240">
        <f t="shared" si="295"/>
        <v>1408</v>
      </c>
      <c r="J1964" s="240"/>
      <c r="K1964" s="285" t="s">
        <v>1901</v>
      </c>
      <c r="L1964" s="253">
        <v>44</v>
      </c>
      <c r="M1964" s="309">
        <v>5</v>
      </c>
      <c r="N1964" s="729">
        <f t="shared" si="296"/>
        <v>220</v>
      </c>
      <c r="O1964" s="309">
        <v>8</v>
      </c>
      <c r="P1964" s="350">
        <f t="shared" si="297"/>
        <v>352</v>
      </c>
      <c r="Q1964" s="309">
        <v>5</v>
      </c>
      <c r="R1964" s="350">
        <f t="shared" si="298"/>
        <v>220</v>
      </c>
      <c r="S1964" s="309">
        <v>0</v>
      </c>
      <c r="T1964" s="350">
        <f t="shared" si="299"/>
        <v>0</v>
      </c>
      <c r="U1964" s="309">
        <v>5</v>
      </c>
      <c r="V1964" s="350">
        <f t="shared" si="300"/>
        <v>220</v>
      </c>
      <c r="W1964" s="309">
        <v>4</v>
      </c>
      <c r="X1964" s="350">
        <f t="shared" si="301"/>
        <v>176</v>
      </c>
      <c r="Y1964" s="309">
        <v>5</v>
      </c>
      <c r="Z1964" s="242">
        <f t="shared" si="302"/>
        <v>220</v>
      </c>
    </row>
    <row r="1965" spans="1:26" ht="15">
      <c r="A1965" s="368" t="s">
        <v>266</v>
      </c>
      <c r="B1965" s="251">
        <v>7</v>
      </c>
      <c r="C1965" s="540" t="s">
        <v>519</v>
      </c>
      <c r="D1965" s="526" t="s">
        <v>2097</v>
      </c>
      <c r="E1965" s="285" t="s">
        <v>1901</v>
      </c>
      <c r="F1965" s="285">
        <f t="shared" si="293"/>
        <v>32</v>
      </c>
      <c r="G1965" s="253">
        <f t="shared" si="294"/>
        <v>4</v>
      </c>
      <c r="H1965" s="243">
        <f t="shared" si="304"/>
        <v>128</v>
      </c>
      <c r="I1965" s="240">
        <f t="shared" si="295"/>
        <v>128</v>
      </c>
      <c r="J1965" s="240"/>
      <c r="K1965" s="285" t="s">
        <v>1901</v>
      </c>
      <c r="L1965" s="253">
        <v>4</v>
      </c>
      <c r="M1965" s="309">
        <v>5</v>
      </c>
      <c r="N1965" s="729">
        <f t="shared" si="296"/>
        <v>20</v>
      </c>
      <c r="O1965" s="309">
        <v>8</v>
      </c>
      <c r="P1965" s="350">
        <f t="shared" si="297"/>
        <v>32</v>
      </c>
      <c r="Q1965" s="309">
        <v>5</v>
      </c>
      <c r="R1965" s="350">
        <f t="shared" si="298"/>
        <v>20</v>
      </c>
      <c r="S1965" s="309">
        <v>0</v>
      </c>
      <c r="T1965" s="350">
        <f t="shared" si="299"/>
        <v>0</v>
      </c>
      <c r="U1965" s="309">
        <v>5</v>
      </c>
      <c r="V1965" s="350">
        <f t="shared" si="300"/>
        <v>20</v>
      </c>
      <c r="W1965" s="309">
        <v>4</v>
      </c>
      <c r="X1965" s="350">
        <f t="shared" si="301"/>
        <v>16</v>
      </c>
      <c r="Y1965" s="309">
        <v>5</v>
      </c>
      <c r="Z1965" s="242">
        <f t="shared" si="302"/>
        <v>20</v>
      </c>
    </row>
    <row r="1966" spans="1:26" ht="15">
      <c r="A1966" s="369" t="s">
        <v>267</v>
      </c>
      <c r="B1966" s="370">
        <v>8</v>
      </c>
      <c r="C1966" s="540" t="s">
        <v>520</v>
      </c>
      <c r="D1966" s="526" t="s">
        <v>2098</v>
      </c>
      <c r="E1966" s="371" t="s">
        <v>1901</v>
      </c>
      <c r="F1966" s="371">
        <f t="shared" si="293"/>
        <v>32</v>
      </c>
      <c r="G1966" s="253">
        <f t="shared" si="294"/>
        <v>5.3</v>
      </c>
      <c r="H1966" s="373">
        <f t="shared" si="304"/>
        <v>169.6</v>
      </c>
      <c r="I1966" s="240">
        <f t="shared" si="295"/>
        <v>169.6</v>
      </c>
      <c r="J1966" s="240"/>
      <c r="K1966" s="371" t="s">
        <v>1901</v>
      </c>
      <c r="L1966" s="253">
        <v>5.3</v>
      </c>
      <c r="M1966" s="374">
        <v>5</v>
      </c>
      <c r="N1966" s="730">
        <f t="shared" si="296"/>
        <v>26.5</v>
      </c>
      <c r="O1966" s="374">
        <v>8</v>
      </c>
      <c r="P1966" s="372">
        <f t="shared" si="297"/>
        <v>42.4</v>
      </c>
      <c r="Q1966" s="374">
        <v>5</v>
      </c>
      <c r="R1966" s="372">
        <f t="shared" si="298"/>
        <v>26.5</v>
      </c>
      <c r="S1966" s="374">
        <v>0</v>
      </c>
      <c r="T1966" s="372">
        <f t="shared" si="299"/>
        <v>0</v>
      </c>
      <c r="U1966" s="374">
        <v>5</v>
      </c>
      <c r="V1966" s="372">
        <f t="shared" si="300"/>
        <v>26.5</v>
      </c>
      <c r="W1966" s="374">
        <v>4</v>
      </c>
      <c r="X1966" s="372">
        <f t="shared" si="301"/>
        <v>21.2</v>
      </c>
      <c r="Y1966" s="374">
        <v>5</v>
      </c>
      <c r="Z1966" s="569">
        <f t="shared" si="302"/>
        <v>26.5</v>
      </c>
    </row>
    <row r="1967" spans="1:26" ht="28.5">
      <c r="A1967" s="356" t="s">
        <v>1369</v>
      </c>
      <c r="B1967" s="357"/>
      <c r="C1967" s="375"/>
      <c r="D1967" s="359" t="s">
        <v>2099</v>
      </c>
      <c r="E1967" s="361"/>
      <c r="F1967" s="361"/>
      <c r="G1967" s="364"/>
      <c r="H1967" s="376">
        <f>INT(SUM(H1946:H1966)*100+0.5)/100</f>
        <v>31595.87</v>
      </c>
      <c r="I1967" s="376">
        <f t="shared" si="295"/>
        <v>31595.870000000003</v>
      </c>
      <c r="J1967" s="414"/>
      <c r="K1967" s="361"/>
      <c r="L1967" s="363"/>
      <c r="M1967" s="731" t="s">
        <v>2508</v>
      </c>
      <c r="N1967" s="364">
        <f>SUM(N1946:N1966)</f>
        <v>5591.9699999999993</v>
      </c>
      <c r="O1967" s="363"/>
      <c r="P1967" s="364">
        <f>SUM(P1946:P1966)</f>
        <v>9036.65</v>
      </c>
      <c r="Q1967" s="363"/>
      <c r="R1967" s="364">
        <f>SUM(R1946:R1966)</f>
        <v>5439.35</v>
      </c>
      <c r="S1967" s="363"/>
      <c r="T1967" s="364">
        <f>SUM(T1946:T1966)</f>
        <v>0</v>
      </c>
      <c r="U1967" s="363"/>
      <c r="V1967" s="364">
        <f>SUM(V1946:V1966)</f>
        <v>5439.35</v>
      </c>
      <c r="W1967" s="363"/>
      <c r="X1967" s="364">
        <f>SUM(X1946:X1966)</f>
        <v>649.20000000000005</v>
      </c>
      <c r="Y1967" s="363"/>
      <c r="Z1967" s="365">
        <f>SUM(Z1946:Z1966)</f>
        <v>5439.35</v>
      </c>
    </row>
    <row r="1968" spans="1:26" ht="14.25">
      <c r="A1968" s="250"/>
      <c r="B1968" s="251"/>
      <c r="C1968" s="326"/>
      <c r="D1968" s="292"/>
      <c r="E1968" s="307"/>
      <c r="F1968" s="307"/>
      <c r="G1968" s="307"/>
      <c r="H1968" s="307"/>
      <c r="I1968" s="694">
        <f>I1967/'CompSolo Wolf'!I1954</f>
        <v>0.69986505901120966</v>
      </c>
      <c r="J1968" s="225"/>
      <c r="K1968" s="307"/>
      <c r="L1968" s="568"/>
      <c r="M1968" s="568"/>
      <c r="N1968" s="495">
        <f>N1967/N1941</f>
        <v>4.0429696523323871E-2</v>
      </c>
      <c r="O1968" s="732">
        <v>18261.830000000002</v>
      </c>
      <c r="P1968" s="495">
        <f>P1967/P1941</f>
        <v>2.6861746122738589E-2</v>
      </c>
      <c r="Q1968" s="568"/>
      <c r="R1968" s="495">
        <f>R1967/R1941</f>
        <v>2.6774540925420004E-2</v>
      </c>
      <c r="S1968" s="309"/>
      <c r="T1968" s="495">
        <f>T1967/T1941</f>
        <v>0</v>
      </c>
      <c r="U1968" s="568"/>
      <c r="V1968" s="495">
        <f>V1967/V1941</f>
        <v>2.2945510260927112E-2</v>
      </c>
      <c r="W1968" s="309"/>
      <c r="X1968" s="495">
        <f>X1967/X1941</f>
        <v>2.9141719792398921E-2</v>
      </c>
      <c r="Y1968" s="309"/>
      <c r="Z1968" s="570">
        <f>Z1967/Z1941</f>
        <v>3.6557478920817926E-2</v>
      </c>
    </row>
    <row r="1969" spans="1:26" s="351" customFormat="1" ht="31.5">
      <c r="A1969" s="492" t="s">
        <v>1455</v>
      </c>
      <c r="B1969" s="400"/>
      <c r="C1969" s="401"/>
      <c r="D1969" s="402" t="s">
        <v>1457</v>
      </c>
      <c r="E1969" s="400"/>
      <c r="F1969" s="403"/>
      <c r="G1969" s="403"/>
      <c r="H1969" s="405">
        <f>SUM(H49:H1968)</f>
        <v>2890634.52</v>
      </c>
      <c r="I1969" s="524">
        <f>I1941</f>
        <v>1092981.6200000001</v>
      </c>
      <c r="J1969" s="406"/>
      <c r="K1969" s="400"/>
      <c r="L1969" s="407"/>
      <c r="M1969" s="407"/>
      <c r="N1969" s="408">
        <f>N1941</f>
        <v>138313.43</v>
      </c>
      <c r="O1969" s="407"/>
      <c r="P1969" s="408">
        <f>P1941</f>
        <v>336413.35</v>
      </c>
      <c r="Q1969" s="407"/>
      <c r="R1969" s="408">
        <f>R1941</f>
        <v>203153.81000000003</v>
      </c>
      <c r="S1969" s="407"/>
      <c r="T1969" s="408">
        <f>T1941</f>
        <v>6979.62</v>
      </c>
      <c r="U1969" s="407"/>
      <c r="V1969" s="408">
        <f>V1941</f>
        <v>237055.09000000003</v>
      </c>
      <c r="W1969" s="407"/>
      <c r="X1969" s="408">
        <f>X1941</f>
        <v>22277.339999999997</v>
      </c>
      <c r="Y1969" s="407"/>
      <c r="Z1969" s="566">
        <f>Z1941</f>
        <v>148788.98000000001</v>
      </c>
    </row>
    <row r="1970" spans="1:26" ht="14.25">
      <c r="A1970" s="250"/>
      <c r="B1970" s="251"/>
      <c r="C1970" s="326"/>
      <c r="D1970" s="292"/>
      <c r="E1970" s="307"/>
      <c r="F1970" s="307"/>
      <c r="G1970" s="307"/>
      <c r="H1970" s="307"/>
      <c r="I1970" s="694">
        <f>I1969/'CompSolo Wolf'!I1956</f>
        <v>0.75955870495495292</v>
      </c>
      <c r="J1970" s="225"/>
      <c r="K1970" s="307"/>
      <c r="L1970" s="568"/>
      <c r="M1970" s="568"/>
      <c r="N1970" s="495"/>
      <c r="O1970" s="568"/>
      <c r="P1970" s="495"/>
      <c r="Q1970" s="568"/>
      <c r="R1970" s="495"/>
      <c r="S1970" s="309"/>
      <c r="T1970" s="495"/>
      <c r="U1970" s="568"/>
      <c r="V1970" s="495"/>
      <c r="W1970" s="309"/>
      <c r="X1970" s="495"/>
      <c r="Y1970" s="309"/>
      <c r="Z1970" s="570"/>
    </row>
    <row r="1971" spans="1:26" ht="25.5">
      <c r="A1971" s="356" t="s">
        <v>1456</v>
      </c>
      <c r="B1971" s="357"/>
      <c r="C1971" s="375"/>
      <c r="D1971" s="359" t="s">
        <v>2099</v>
      </c>
      <c r="E1971" s="361"/>
      <c r="F1971" s="361"/>
      <c r="G1971" s="364"/>
      <c r="H1971" s="376">
        <f>INT(SUM(H1951:H1970)*100+0.5)/100</f>
        <v>2940611.51</v>
      </c>
      <c r="I1971" s="376">
        <f>I1967</f>
        <v>31595.870000000003</v>
      </c>
      <c r="J1971" s="414"/>
      <c r="K1971" s="361"/>
      <c r="L1971" s="363"/>
      <c r="M1971" s="363"/>
      <c r="N1971" s="364">
        <f>N1967</f>
        <v>5591.9699999999993</v>
      </c>
      <c r="O1971" s="363"/>
      <c r="P1971" s="364">
        <f>P1967</f>
        <v>9036.65</v>
      </c>
      <c r="Q1971" s="363"/>
      <c r="R1971" s="364">
        <f>R1967</f>
        <v>5439.35</v>
      </c>
      <c r="S1971" s="363"/>
      <c r="T1971" s="364">
        <f>T1967</f>
        <v>0</v>
      </c>
      <c r="U1971" s="363"/>
      <c r="V1971" s="364">
        <f>V1967</f>
        <v>5439.35</v>
      </c>
      <c r="W1971" s="363"/>
      <c r="X1971" s="364">
        <f>X1967</f>
        <v>649.20000000000005</v>
      </c>
      <c r="Y1971" s="363"/>
      <c r="Z1971" s="365">
        <f>Z1967</f>
        <v>5439.35</v>
      </c>
    </row>
    <row r="1972" spans="1:26" ht="14.25">
      <c r="A1972" s="250"/>
      <c r="B1972" s="251"/>
      <c r="C1972" s="326"/>
      <c r="D1972" s="292"/>
      <c r="E1972" s="307"/>
      <c r="F1972" s="307"/>
      <c r="G1972" s="307"/>
      <c r="H1972" s="307"/>
      <c r="I1972" s="225">
        <f>SUM(I1969:I1971)</f>
        <v>1124578.2495587051</v>
      </c>
      <c r="J1972" s="225"/>
      <c r="K1972" s="307"/>
      <c r="L1972" s="568"/>
      <c r="M1972" s="568"/>
      <c r="N1972" s="225">
        <f>SUM(N1969:N1971)</f>
        <v>143905.4</v>
      </c>
      <c r="O1972" s="571">
        <f>P1972/(250-100+250)</f>
        <v>863.625</v>
      </c>
      <c r="P1972" s="225">
        <f>SUM(P1969:P1971)</f>
        <v>345450</v>
      </c>
      <c r="Q1972" s="568"/>
      <c r="R1972" s="225">
        <f>SUM(R1969:R1971)</f>
        <v>208593.16000000003</v>
      </c>
      <c r="S1972" s="309"/>
      <c r="T1972" s="225">
        <f>SUM(T1969:T1971)</f>
        <v>6979.62</v>
      </c>
      <c r="U1972" s="568"/>
      <c r="V1972" s="225">
        <f>SUM(V1969:V1971)</f>
        <v>242494.44000000003</v>
      </c>
      <c r="W1972" s="309"/>
      <c r="X1972" s="225">
        <f>SUM(X1969:X1971)</f>
        <v>22926.539999999997</v>
      </c>
      <c r="Y1972" s="309"/>
      <c r="Z1972" s="260">
        <f>SUM(Z1969:Z1971)</f>
        <v>154228.33000000002</v>
      </c>
    </row>
    <row r="1973" spans="1:26" ht="14.25">
      <c r="A1973" s="250"/>
      <c r="B1973" s="251"/>
      <c r="C1973" s="326"/>
      <c r="D1973" s="292"/>
      <c r="E1973" s="307"/>
      <c r="F1973" s="307"/>
      <c r="G1973" s="307"/>
      <c r="H1973" s="307"/>
      <c r="I1973" s="694">
        <f>I1972/'CompSolo Wolf'!I1959</f>
        <v>0.75774338090755045</v>
      </c>
      <c r="J1973" s="225"/>
      <c r="K1973" s="307"/>
      <c r="L1973" s="568"/>
      <c r="M1973" s="568"/>
      <c r="N1973" s="495">
        <f>N1972/'CompSolo Wolf'!N1956</f>
        <v>0.71674245556014871</v>
      </c>
      <c r="O1973" s="462" t="s">
        <v>2390</v>
      </c>
      <c r="P1973" s="495"/>
      <c r="Q1973" s="568"/>
      <c r="R1973" s="495"/>
      <c r="S1973" s="309"/>
      <c r="T1973" s="495"/>
      <c r="U1973" s="568"/>
      <c r="V1973" s="495"/>
      <c r="W1973" s="309"/>
      <c r="X1973" s="495"/>
      <c r="Y1973" s="309"/>
      <c r="Z1973" s="570"/>
    </row>
    <row r="1974" spans="1:26" s="383" customFormat="1" ht="31.5">
      <c r="A1974" s="377" t="s">
        <v>1368</v>
      </c>
      <c r="B1974" s="378"/>
      <c r="C1974" s="379"/>
      <c r="D1974" s="380" t="s">
        <v>342</v>
      </c>
      <c r="E1974" s="381"/>
      <c r="F1974" s="381"/>
      <c r="G1974" s="381"/>
      <c r="H1974" s="382">
        <f>H1942+H1967</f>
        <v>1121289.75</v>
      </c>
      <c r="I1974" s="382">
        <f>I1941+I1967</f>
        <v>1124577.4900000002</v>
      </c>
      <c r="J1974" s="382"/>
      <c r="K1974" s="381"/>
      <c r="L1974" s="382"/>
      <c r="M1974" s="382"/>
      <c r="N1974" s="382">
        <f>N1941+N1967</f>
        <v>143905.4</v>
      </c>
      <c r="O1974" s="382"/>
      <c r="P1974" s="382">
        <f>P1941+P1967+P1943</f>
        <v>345450</v>
      </c>
      <c r="Q1974" s="382"/>
      <c r="R1974" s="382">
        <f>R1941+R1967</f>
        <v>208593.16000000003</v>
      </c>
      <c r="S1974" s="382"/>
      <c r="T1974" s="382">
        <f>T1941+T1967</f>
        <v>6979.62</v>
      </c>
      <c r="U1974" s="382"/>
      <c r="V1974" s="382">
        <f>V1941+V1967</f>
        <v>242494.44000000003</v>
      </c>
      <c r="W1974" s="382"/>
      <c r="X1974" s="382">
        <f>X1941+X1967</f>
        <v>22926.539999999997</v>
      </c>
      <c r="Y1974" s="382"/>
      <c r="Z1974" s="572">
        <f>Z1941+Z1967</f>
        <v>154228.33000000002</v>
      </c>
    </row>
    <row r="1975" spans="1:26" ht="15">
      <c r="A1975" s="201"/>
      <c r="B1975" s="202"/>
      <c r="C1975" s="573"/>
      <c r="D1975" s="529"/>
      <c r="E1975" s="226"/>
      <c r="F1975" s="226"/>
      <c r="G1975" s="226"/>
      <c r="H1975" s="226"/>
      <c r="I1975" s="694">
        <f>I1974/'CompSolo Wolf'!I1961</f>
        <v>0.75774286911516853</v>
      </c>
      <c r="J1975" s="222"/>
      <c r="K1975" s="686">
        <f>SUM(N1975:Z1975)</f>
        <v>0.99999999999999978</v>
      </c>
      <c r="L1975" s="253"/>
      <c r="M1975" s="222"/>
      <c r="N1975" s="574">
        <f>N1974/$I$1974</f>
        <v>0.12796396982834857</v>
      </c>
      <c r="O1975" s="222"/>
      <c r="P1975" s="574">
        <f>P1974/$I$1974</f>
        <v>0.30718203331635235</v>
      </c>
      <c r="Q1975" s="223"/>
      <c r="R1975" s="574">
        <f>R1974/$I$1974</f>
        <v>0.18548580409518955</v>
      </c>
      <c r="S1975" s="224"/>
      <c r="T1975" s="574">
        <f>T1974/$I$1974</f>
        <v>6.2064375839498602E-3</v>
      </c>
      <c r="U1975" s="222"/>
      <c r="V1975" s="574">
        <f>V1974/$I$1974</f>
        <v>0.21563159689422556</v>
      </c>
      <c r="W1975" s="224"/>
      <c r="X1975" s="574">
        <f>X1974/$I$1974</f>
        <v>2.038680322509389E-2</v>
      </c>
      <c r="Y1975" s="224"/>
      <c r="Z1975" s="575">
        <f>Z1974/$I$1974</f>
        <v>0.13714335505684006</v>
      </c>
    </row>
    <row r="1976" spans="1:26" ht="15.75" thickBot="1">
      <c r="A1976" s="201"/>
      <c r="B1976" s="202"/>
      <c r="C1976" s="573"/>
      <c r="D1976" s="529"/>
      <c r="E1976" s="226"/>
      <c r="F1976" s="226"/>
      <c r="G1976" s="226"/>
      <c r="H1976" s="226"/>
      <c r="I1976" s="222"/>
      <c r="J1976" s="222"/>
      <c r="K1976" s="226"/>
      <c r="L1976" s="253"/>
      <c r="M1976" s="184" t="s">
        <v>1806</v>
      </c>
      <c r="N1976" s="184"/>
      <c r="O1976" s="184"/>
      <c r="P1976" s="184"/>
      <c r="Q1976" s="184"/>
      <c r="R1976" s="184"/>
      <c r="S1976" s="184"/>
      <c r="T1976" s="184"/>
      <c r="U1976" s="184"/>
      <c r="V1976" s="184"/>
      <c r="W1976" s="184"/>
      <c r="X1976" s="184"/>
      <c r="Y1976" s="184"/>
      <c r="Z1976" s="184"/>
    </row>
    <row r="1977" spans="1:26" ht="18">
      <c r="A1977" s="210"/>
      <c r="B1977" s="211"/>
      <c r="C1977" s="576"/>
      <c r="D1977" s="577" t="s">
        <v>1806</v>
      </c>
      <c r="E1977" s="466"/>
      <c r="F1977" s="466"/>
      <c r="G1977" s="466"/>
      <c r="H1977" s="466"/>
      <c r="I1977" s="500"/>
      <c r="J1977" s="500"/>
      <c r="K1977" s="466"/>
      <c r="L1977" s="523"/>
      <c r="M1977" s="189" t="s">
        <v>2466</v>
      </c>
      <c r="N1977" s="189"/>
      <c r="O1977" s="189" t="s">
        <v>2467</v>
      </c>
      <c r="P1977" s="189"/>
      <c r="Q1977" s="189" t="s">
        <v>2468</v>
      </c>
      <c r="R1977" s="189"/>
      <c r="S1977" s="190" t="s">
        <v>23</v>
      </c>
      <c r="T1977" s="189"/>
      <c r="U1977" s="189" t="s">
        <v>2469</v>
      </c>
      <c r="V1977" s="189"/>
      <c r="W1977" s="190" t="s">
        <v>341</v>
      </c>
      <c r="X1977" s="189"/>
      <c r="Y1977" s="190" t="s">
        <v>2470</v>
      </c>
      <c r="Z1977" s="189"/>
    </row>
    <row r="1978" spans="1:26" s="247" customFormat="1" ht="18.75" thickBot="1">
      <c r="A1978" s="385"/>
      <c r="B1978" s="385"/>
      <c r="C1978" s="386"/>
      <c r="D1978" s="423"/>
      <c r="I1978" s="220"/>
      <c r="J1978" s="220"/>
      <c r="L1978" s="305"/>
      <c r="M1978" s="220"/>
      <c r="N1978" s="220"/>
      <c r="O1978" s="220"/>
      <c r="P1978" s="220"/>
      <c r="Q1978" s="387"/>
      <c r="R1978" s="220"/>
      <c r="S1978" s="220"/>
      <c r="T1978" s="220"/>
      <c r="U1978" s="220"/>
      <c r="V1978" s="220"/>
      <c r="W1978" s="220"/>
      <c r="X1978" s="220"/>
      <c r="Y1978" s="220"/>
      <c r="Z1978" s="220"/>
    </row>
    <row r="1979" spans="1:26" ht="32.25" thickBot="1">
      <c r="A1979" s="616" t="s">
        <v>553</v>
      </c>
      <c r="B1979" s="191"/>
      <c r="C1979" s="384"/>
      <c r="D1979" s="681" t="s">
        <v>346</v>
      </c>
      <c r="I1979" s="612">
        <f>SUM(N1974:Z1974)</f>
        <v>1124577.4900000002</v>
      </c>
      <c r="L1979" s="287"/>
      <c r="O1979" s="388"/>
      <c r="P1979" s="388"/>
      <c r="Q1979" s="388"/>
      <c r="R1979" s="388"/>
    </row>
    <row r="1980" spans="1:26" ht="16.5" thickBot="1">
      <c r="A1980" s="191"/>
      <c r="B1980" s="191"/>
      <c r="C1980" s="384"/>
      <c r="D1980" s="682" t="s">
        <v>343</v>
      </c>
      <c r="I1980" s="693">
        <f>I1979/'CompSolo Wolf'!I1966</f>
        <v>0.75774286911516853</v>
      </c>
      <c r="L1980" s="287"/>
      <c r="N1980" s="389">
        <f>N1974</f>
        <v>143905.4</v>
      </c>
      <c r="O1980" s="388"/>
      <c r="P1980" s="388"/>
      <c r="Q1980" s="388"/>
      <c r="R1980" s="388"/>
    </row>
    <row r="1981" spans="1:26" ht="16.5" thickBot="1">
      <c r="A1981" s="191"/>
      <c r="B1981" s="191"/>
      <c r="C1981" s="384"/>
      <c r="D1981" s="683" t="s">
        <v>344</v>
      </c>
      <c r="L1981" s="287"/>
      <c r="M1981"/>
      <c r="N1981"/>
      <c r="O1981" s="388"/>
      <c r="P1981" s="611">
        <f>P1974</f>
        <v>345450</v>
      </c>
      <c r="Q1981" s="388"/>
      <c r="R1981" s="388"/>
    </row>
    <row r="1982" spans="1:26" ht="16.5" thickBot="1">
      <c r="A1982" s="191"/>
      <c r="B1982" s="191"/>
      <c r="C1982" s="384"/>
      <c r="D1982" s="684" t="s">
        <v>345</v>
      </c>
      <c r="L1982" s="287"/>
      <c r="M1982"/>
      <c r="N1982"/>
      <c r="O1982" s="388"/>
      <c r="P1982"/>
      <c r="Q1982" s="388"/>
      <c r="R1982" s="428">
        <f>R1974</f>
        <v>208593.16000000003</v>
      </c>
      <c r="S1982" s="429"/>
      <c r="T1982" s="428">
        <f>T1974</f>
        <v>6979.62</v>
      </c>
      <c r="U1982" s="429"/>
      <c r="V1982" s="428">
        <f>V1974</f>
        <v>242494.44000000003</v>
      </c>
      <c r="W1982" s="429"/>
      <c r="X1982" s="428">
        <f>X1974</f>
        <v>22926.539999999997</v>
      </c>
      <c r="Y1982" s="429"/>
      <c r="Z1982" s="428">
        <f>Z1974</f>
        <v>154228.33000000002</v>
      </c>
    </row>
    <row r="1983" spans="1:26" ht="16.5" thickBot="1">
      <c r="A1983" s="191"/>
      <c r="B1983" s="191"/>
      <c r="C1983" s="384"/>
      <c r="L1983" s="287"/>
      <c r="M1983"/>
      <c r="N1983"/>
      <c r="O1983" s="219"/>
      <c r="P1983" s="219"/>
      <c r="Q1983" s="219"/>
      <c r="R1983" s="496">
        <f>SUM(R1982:Z1982)</f>
        <v>635222.09000000008</v>
      </c>
      <c r="S1983" s="497"/>
      <c r="T1983" s="497"/>
      <c r="U1983" s="497"/>
      <c r="V1983" s="497"/>
      <c r="W1983" s="497"/>
      <c r="X1983" s="497"/>
      <c r="Y1983" s="497"/>
      <c r="Z1983" s="498"/>
    </row>
    <row r="1984" spans="1:26" s="303" customFormat="1" ht="14.25">
      <c r="A1984" s="415"/>
      <c r="B1984" s="415"/>
      <c r="C1984" s="417"/>
      <c r="D1984" s="427" t="s">
        <v>1971</v>
      </c>
      <c r="I1984" s="302"/>
      <c r="J1984" s="419"/>
      <c r="L1984" s="355"/>
      <c r="M1984" s="302"/>
      <c r="N1984" s="602">
        <f>N1980/I1979</f>
        <v>0.12796396982834857</v>
      </c>
      <c r="O1984" s="302"/>
      <c r="P1984" s="602">
        <f>P1981/I1979</f>
        <v>0.30718203331635235</v>
      </c>
      <c r="Q1984" s="302"/>
      <c r="R1984" s="601">
        <f>R1983/I1979</f>
        <v>0.56485399685529891</v>
      </c>
      <c r="S1984" s="598"/>
      <c r="T1984" s="599"/>
      <c r="U1984" s="599"/>
      <c r="V1984" s="599"/>
      <c r="W1984" s="598"/>
      <c r="X1984" s="599"/>
      <c r="Y1984" s="598"/>
      <c r="Z1984" s="600"/>
    </row>
    <row r="1985" spans="1:26" s="303" customFormat="1" ht="15">
      <c r="A1985" s="415"/>
      <c r="B1985" s="415"/>
      <c r="C1985" s="417"/>
      <c r="D1985" s="427"/>
      <c r="I1985" s="302"/>
      <c r="J1985" s="419"/>
      <c r="L1985" s="355"/>
      <c r="M1985" s="302"/>
      <c r="N1985" s="499"/>
      <c r="O1985" s="302"/>
      <c r="P1985" s="302"/>
      <c r="Q1985" s="302"/>
      <c r="R1985" s="302"/>
      <c r="S1985" s="418"/>
      <c r="T1985" s="302"/>
      <c r="U1985" s="302"/>
      <c r="V1985" s="302"/>
      <c r="W1985" s="418"/>
      <c r="X1985" s="302"/>
      <c r="Y1985" s="418"/>
      <c r="Z1985" s="302"/>
    </row>
    <row r="1986" spans="1:26" s="303" customFormat="1" ht="31.5">
      <c r="A1986" s="415"/>
      <c r="B1986" s="415"/>
      <c r="C1986" s="417"/>
      <c r="D1986" s="685" t="s">
        <v>2378</v>
      </c>
      <c r="I1986" s="302"/>
      <c r="J1986" s="419"/>
      <c r="L1986" s="355"/>
      <c r="M1986" s="302"/>
      <c r="N1986" s="302"/>
      <c r="O1986" s="302"/>
      <c r="P1986" s="302"/>
      <c r="Q1986" s="302"/>
      <c r="R1986" s="302"/>
      <c r="S1986" s="418"/>
      <c r="T1986" s="302"/>
      <c r="U1986" s="302"/>
      <c r="V1986" s="302"/>
      <c r="W1986" s="418"/>
      <c r="X1986" s="302"/>
      <c r="Y1986" s="418"/>
      <c r="Z1986" s="302"/>
    </row>
    <row r="1987" spans="1:26" s="303" customFormat="1" ht="28.5">
      <c r="A1987" s="415"/>
      <c r="B1987" s="415"/>
      <c r="C1987" s="417"/>
      <c r="D1987" s="603" t="s">
        <v>2023</v>
      </c>
      <c r="I1987" s="302"/>
      <c r="J1987" s="419"/>
      <c r="L1987" s="355"/>
      <c r="M1987" s="302"/>
      <c r="N1987" s="949">
        <f>120000*1.05*0.6*470/400</f>
        <v>88830</v>
      </c>
      <c r="O1987" s="302"/>
      <c r="P1987" s="302"/>
      <c r="Q1987" s="302"/>
      <c r="R1987" s="302"/>
      <c r="S1987" s="418"/>
      <c r="T1987" s="302"/>
      <c r="U1987" s="302"/>
      <c r="V1987" s="302"/>
      <c r="W1987" s="418"/>
      <c r="X1987" s="302"/>
      <c r="Y1987" s="418"/>
      <c r="Z1987" s="302"/>
    </row>
    <row r="1988" spans="1:26" s="303" customFormat="1" ht="14.25">
      <c r="A1988" s="415"/>
      <c r="B1988" s="415"/>
      <c r="C1988" s="417"/>
      <c r="D1988" s="604" t="s">
        <v>2176</v>
      </c>
      <c r="I1988" s="302"/>
      <c r="J1988" s="419"/>
      <c r="L1988" s="355"/>
      <c r="M1988" s="309"/>
      <c r="N1988" s="950"/>
      <c r="O1988" s="302"/>
      <c r="P1988" s="302"/>
      <c r="Q1988" s="302"/>
      <c r="R1988" s="302"/>
      <c r="S1988" s="418"/>
      <c r="T1988" s="302"/>
      <c r="U1988" s="302"/>
      <c r="V1988" s="302"/>
      <c r="W1988" s="418"/>
      <c r="X1988" s="302"/>
      <c r="Y1988" s="418"/>
      <c r="Z1988" s="302"/>
    </row>
    <row r="1989" spans="1:26" s="303" customFormat="1" ht="14.25">
      <c r="A1989" s="415"/>
      <c r="B1989" s="415"/>
      <c r="C1989" s="417"/>
      <c r="D1989" s="604" t="s">
        <v>2177</v>
      </c>
      <c r="I1989" s="302"/>
      <c r="J1989" s="419"/>
      <c r="L1989" s="355"/>
      <c r="M1989" s="309"/>
      <c r="N1989" s="950"/>
      <c r="O1989" s="302"/>
      <c r="P1989" s="302"/>
      <c r="Q1989" s="302"/>
      <c r="R1989" s="302"/>
      <c r="S1989" s="418"/>
      <c r="T1989" s="302"/>
      <c r="U1989" s="302"/>
      <c r="V1989" s="302"/>
      <c r="W1989" s="418"/>
      <c r="X1989" s="302"/>
      <c r="Y1989" s="418"/>
      <c r="Z1989" s="302"/>
    </row>
    <row r="1990" spans="1:26" s="303" customFormat="1" ht="14.25">
      <c r="A1990" s="415"/>
      <c r="B1990" s="415"/>
      <c r="C1990" s="417"/>
      <c r="D1990" s="604" t="s">
        <v>2174</v>
      </c>
      <c r="I1990" s="302"/>
      <c r="J1990" s="419"/>
      <c r="L1990" s="355"/>
      <c r="M1990" s="309"/>
      <c r="N1990" s="950"/>
      <c r="O1990" s="302"/>
      <c r="P1990" s="302"/>
      <c r="Q1990" s="302"/>
      <c r="R1990" s="302"/>
      <c r="S1990" s="418"/>
      <c r="T1990" s="302"/>
      <c r="U1990" s="302"/>
      <c r="V1990" s="302"/>
      <c r="W1990" s="418"/>
      <c r="X1990" s="302"/>
      <c r="Y1990" s="418"/>
      <c r="Z1990" s="302"/>
    </row>
    <row r="1991" spans="1:26" s="303" customFormat="1" ht="14.25">
      <c r="A1991" s="415"/>
      <c r="B1991" s="415"/>
      <c r="C1991" s="417"/>
      <c r="D1991" s="604" t="s">
        <v>1774</v>
      </c>
      <c r="I1991" s="302"/>
      <c r="J1991" s="419"/>
      <c r="L1991"/>
      <c r="M1991" s="309"/>
      <c r="N1991" s="950"/>
      <c r="O1991" s="302"/>
      <c r="P1991" s="302"/>
      <c r="Q1991" s="302"/>
      <c r="R1991" s="302"/>
      <c r="S1991" s="418"/>
      <c r="T1991" s="302"/>
      <c r="U1991" s="302"/>
      <c r="V1991" s="302"/>
      <c r="W1991" s="418"/>
      <c r="X1991" s="302"/>
      <c r="Y1991" s="418"/>
      <c r="Z1991" s="302"/>
    </row>
    <row r="1992" spans="1:26" s="303" customFormat="1" ht="14.25">
      <c r="A1992" s="415"/>
      <c r="B1992" s="415"/>
      <c r="C1992" s="417"/>
      <c r="D1992" s="604" t="s">
        <v>1945</v>
      </c>
      <c r="I1992" s="302"/>
      <c r="J1992" s="419"/>
      <c r="L1992"/>
      <c r="M1992" s="309"/>
      <c r="N1992" s="950"/>
      <c r="O1992" s="302"/>
      <c r="P1992" s="302"/>
      <c r="Q1992" s="302"/>
      <c r="R1992" s="302"/>
      <c r="S1992" s="418"/>
      <c r="T1992" s="302"/>
      <c r="U1992" s="302"/>
      <c r="V1992" s="302"/>
      <c r="W1992" s="418"/>
      <c r="X1992" s="302"/>
      <c r="Y1992" s="418"/>
      <c r="Z1992" s="302"/>
    </row>
    <row r="1993" spans="1:26" s="303" customFormat="1" ht="28.5">
      <c r="A1993" s="415"/>
      <c r="B1993" s="415"/>
      <c r="C1993" s="510"/>
      <c r="D1993" s="604" t="s">
        <v>943</v>
      </c>
      <c r="I1993" s="302"/>
      <c r="J1993" s="419"/>
      <c r="L1993" s="355"/>
      <c r="M1993" s="309"/>
      <c r="N1993" s="950"/>
      <c r="O1993" s="302"/>
      <c r="P1993" s="302"/>
      <c r="Q1993" s="302"/>
      <c r="R1993" s="302"/>
      <c r="S1993" s="418"/>
      <c r="T1993" s="302"/>
      <c r="U1993" s="302"/>
      <c r="V1993" s="302"/>
      <c r="W1993" s="418"/>
      <c r="X1993" s="302"/>
      <c r="Y1993" s="418"/>
      <c r="Z1993" s="302"/>
    </row>
    <row r="1994" spans="1:26" s="303" customFormat="1" ht="14.25">
      <c r="A1994" s="415"/>
      <c r="B1994" s="415"/>
      <c r="C1994" s="510"/>
      <c r="D1994" s="604" t="s">
        <v>2389</v>
      </c>
      <c r="I1994" s="302"/>
      <c r="J1994" s="419"/>
      <c r="L1994" s="355"/>
      <c r="M1994" s="309"/>
      <c r="N1994" s="950"/>
      <c r="O1994" s="302"/>
      <c r="P1994" s="302"/>
      <c r="Q1994" s="302"/>
      <c r="R1994" s="302"/>
      <c r="S1994" s="418"/>
      <c r="T1994" s="302"/>
      <c r="U1994" s="302"/>
      <c r="V1994" s="302"/>
      <c r="W1994" s="418"/>
      <c r="X1994" s="302"/>
      <c r="Y1994" s="418"/>
      <c r="Z1994" s="302"/>
    </row>
    <row r="1995" spans="1:26" s="303" customFormat="1" ht="14.25">
      <c r="A1995" s="415"/>
      <c r="B1995" s="415"/>
      <c r="C1995" s="510"/>
      <c r="D1995" s="604" t="s">
        <v>1936</v>
      </c>
      <c r="I1995" s="302"/>
      <c r="J1995" s="419"/>
      <c r="L1995" s="355"/>
      <c r="M1995" s="309"/>
      <c r="N1995" s="950"/>
      <c r="O1995" s="302"/>
      <c r="P1995" s="302"/>
      <c r="Q1995" s="302"/>
      <c r="R1995" s="302"/>
      <c r="S1995" s="418"/>
      <c r="T1995" s="302"/>
      <c r="U1995" s="302"/>
      <c r="V1995" s="302"/>
      <c r="W1995" s="418"/>
      <c r="X1995" s="302"/>
      <c r="Y1995" s="418"/>
      <c r="Z1995" s="302"/>
    </row>
    <row r="1996" spans="1:26" s="303" customFormat="1" ht="14.25">
      <c r="A1996" s="415"/>
      <c r="B1996" s="415"/>
      <c r="C1996" s="510"/>
      <c r="D1996" s="605" t="s">
        <v>1938</v>
      </c>
      <c r="I1996" s="302"/>
      <c r="J1996" s="419"/>
      <c r="L1996" s="355"/>
      <c r="M1996" s="309"/>
      <c r="N1996" s="951"/>
      <c r="O1996" s="302"/>
      <c r="P1996" s="302"/>
      <c r="Q1996" s="302"/>
      <c r="R1996" s="302"/>
      <c r="S1996" s="418"/>
      <c r="T1996" s="302"/>
      <c r="U1996" s="302"/>
      <c r="V1996" s="302"/>
      <c r="W1996" s="418"/>
      <c r="X1996" s="302"/>
      <c r="Y1996" s="418"/>
      <c r="Z1996" s="302"/>
    </row>
    <row r="1997" spans="1:26" s="303" customFormat="1" ht="14.25">
      <c r="A1997" s="415"/>
      <c r="B1997" s="415"/>
      <c r="C1997" s="510"/>
      <c r="D1997" s="606" t="s">
        <v>1937</v>
      </c>
      <c r="I1997" s="302"/>
      <c r="J1997" s="419"/>
      <c r="L1997" s="355"/>
      <c r="M1997" s="309"/>
      <c r="N1997" s="323">
        <f>17000*1.05*0.6*470/400</f>
        <v>12584.25</v>
      </c>
      <c r="O1997" s="302"/>
      <c r="P1997" s="302"/>
      <c r="Q1997" s="302"/>
      <c r="R1997" s="302"/>
      <c r="S1997" s="418"/>
      <c r="T1997" s="302"/>
      <c r="U1997" s="302"/>
      <c r="V1997" s="302"/>
      <c r="W1997" s="418"/>
      <c r="X1997" s="302"/>
      <c r="Y1997" s="418"/>
      <c r="Z1997" s="302"/>
    </row>
    <row r="1998" spans="1:26" s="303" customFormat="1" ht="14.25">
      <c r="A1998" s="415"/>
      <c r="B1998" s="415"/>
      <c r="C1998" s="952"/>
      <c r="D1998" s="603" t="s">
        <v>2387</v>
      </c>
      <c r="I1998" s="302"/>
      <c r="J1998" s="419"/>
      <c r="L1998" s="355"/>
      <c r="M1998" s="309"/>
      <c r="N1998" s="949">
        <f>18000*1.05*0.6*470/400</f>
        <v>13324.5</v>
      </c>
      <c r="O1998" s="302"/>
      <c r="P1998" s="302"/>
      <c r="Q1998" s="302"/>
      <c r="R1998" s="302"/>
      <c r="S1998" s="418"/>
      <c r="T1998" s="302"/>
      <c r="U1998" s="302"/>
      <c r="V1998" s="302"/>
      <c r="W1998" s="418"/>
      <c r="X1998" s="302"/>
      <c r="Y1998" s="418"/>
      <c r="Z1998" s="302"/>
    </row>
    <row r="1999" spans="1:26" s="303" customFormat="1" ht="14.25">
      <c r="A1999" s="415"/>
      <c r="B1999" s="415"/>
      <c r="C1999" s="952"/>
      <c r="D1999" s="605" t="s">
        <v>2388</v>
      </c>
      <c r="I1999" s="302"/>
      <c r="J1999" s="419"/>
      <c r="L1999" s="355"/>
      <c r="M1999" s="309"/>
      <c r="N1999" s="953"/>
      <c r="O1999" s="302"/>
      <c r="P1999" s="302"/>
      <c r="Q1999" s="302"/>
      <c r="R1999" s="302"/>
      <c r="S1999" s="418"/>
      <c r="T1999" s="302"/>
      <c r="U1999" s="302"/>
      <c r="V1999" s="302"/>
      <c r="W1999" s="418"/>
      <c r="X1999" s="302"/>
      <c r="Y1999" s="418"/>
      <c r="Z1999" s="302"/>
    </row>
    <row r="2000" spans="1:26" s="303" customFormat="1" ht="29.25">
      <c r="A2000" s="415"/>
      <c r="B2000" s="415"/>
      <c r="C2000" s="510"/>
      <c r="D2000" s="606" t="s">
        <v>1939</v>
      </c>
      <c r="I2000" s="614">
        <f>N2000</f>
        <v>114738.75</v>
      </c>
      <c r="J2000" s="419"/>
      <c r="L2000" s="355"/>
      <c r="M2000" s="302"/>
      <c r="N2000" s="614">
        <f>SUM(N1987:N1999)</f>
        <v>114738.75</v>
      </c>
      <c r="O2000" s="302"/>
      <c r="P2000" s="302"/>
      <c r="Q2000" s="302"/>
      <c r="R2000" s="302"/>
      <c r="S2000" s="418"/>
      <c r="T2000" s="302"/>
      <c r="U2000" s="302"/>
      <c r="V2000" s="302"/>
      <c r="W2000" s="418"/>
      <c r="X2000" s="302"/>
      <c r="Y2000" s="418"/>
      <c r="Z2000" s="302"/>
    </row>
    <row r="2001" spans="1:27" s="303" customFormat="1" ht="14.25">
      <c r="A2001" s="415"/>
      <c r="B2001" s="415"/>
      <c r="C2001" s="510"/>
      <c r="D2001" s="427"/>
      <c r="I2001" s="302"/>
      <c r="J2001" s="419"/>
      <c r="L2001" s="355"/>
      <c r="M2001" s="302"/>
      <c r="N2001" s="302"/>
      <c r="O2001" s="302"/>
      <c r="P2001" s="302"/>
      <c r="Q2001" s="302"/>
      <c r="R2001" s="302"/>
      <c r="S2001" s="418"/>
      <c r="T2001" s="302"/>
      <c r="U2001" s="302"/>
      <c r="V2001" s="302"/>
      <c r="W2001" s="418"/>
      <c r="X2001" s="302"/>
      <c r="Y2001" s="418"/>
      <c r="Z2001" s="302"/>
    </row>
    <row r="2002" spans="1:27" s="433" customFormat="1" ht="31.5">
      <c r="A2002" s="616" t="s">
        <v>2382</v>
      </c>
      <c r="B2002" s="432"/>
      <c r="C2002" s="511"/>
      <c r="D2002" s="685" t="s">
        <v>2379</v>
      </c>
      <c r="F2002" s="617"/>
      <c r="G2002" s="617"/>
      <c r="H2002" s="617"/>
      <c r="I2002" s="618">
        <f>I1974+I2000</f>
        <v>1239316.2400000002</v>
      </c>
      <c r="J2002" s="619">
        <f>SUM(N2002:Z2002)</f>
        <v>1239316.2400000002</v>
      </c>
      <c r="L2002" s="434"/>
      <c r="M2002" s="434"/>
      <c r="N2002" s="620">
        <f>N1974+N2000</f>
        <v>258644.15</v>
      </c>
      <c r="O2002" s="434"/>
      <c r="P2002" s="621">
        <f>P1974+P2000</f>
        <v>345450</v>
      </c>
      <c r="Q2002" s="434"/>
      <c r="R2002" s="622">
        <f>R1974+R2000</f>
        <v>208593.16000000003</v>
      </c>
      <c r="S2002" s="623"/>
      <c r="T2002" s="622">
        <f>T1974+T2000</f>
        <v>6979.62</v>
      </c>
      <c r="U2002" s="618"/>
      <c r="V2002" s="622">
        <f>V1974+V2000</f>
        <v>242494.44000000003</v>
      </c>
      <c r="W2002" s="623"/>
      <c r="X2002" s="622">
        <f>X1974+X2000</f>
        <v>22926.539999999997</v>
      </c>
      <c r="Y2002" s="623"/>
      <c r="Z2002" s="622">
        <f>Z1974+Z2000</f>
        <v>154228.33000000002</v>
      </c>
    </row>
    <row r="2003" spans="1:27" s="439" customFormat="1" ht="15">
      <c r="A2003" s="431"/>
      <c r="B2003" s="431"/>
      <c r="C2003" s="512"/>
      <c r="F2003" s="624"/>
      <c r="G2003" s="624"/>
      <c r="H2003" s="624"/>
      <c r="I2003" s="693">
        <f>I2002/'CompSolo Wolf'!I1989</f>
        <v>0.75253060070361211</v>
      </c>
      <c r="J2003" s="624"/>
      <c r="L2003" s="624"/>
      <c r="M2003" s="624"/>
      <c r="N2003" s="693">
        <f>N2002/'CompSolo Wolf'!N1989</f>
        <v>0.69422808693225968</v>
      </c>
      <c r="O2003" s="624"/>
      <c r="P2003" s="693">
        <f>P2002/'CompSolo Wolf'!P1989</f>
        <v>1.1749999999999998</v>
      </c>
      <c r="Q2003" s="416"/>
      <c r="R2003" s="625">
        <f>R2002/$I$2002</f>
        <v>0.16831310142437897</v>
      </c>
      <c r="S2003" s="626"/>
      <c r="T2003" s="625">
        <f>T2002/$I$2002</f>
        <v>5.631831307237609E-3</v>
      </c>
      <c r="U2003" s="627"/>
      <c r="V2003" s="625">
        <f>V2002/$I$2002</f>
        <v>0.19566792734032112</v>
      </c>
      <c r="W2003" s="626"/>
      <c r="X2003" s="625">
        <f>X2002/$I$2002</f>
        <v>1.8499346058758977E-2</v>
      </c>
      <c r="Y2003" s="626"/>
      <c r="Z2003" s="625">
        <f>Z2002/$I$2002</f>
        <v>0.12444630758651237</v>
      </c>
    </row>
    <row r="2004" spans="1:27" s="439" customFormat="1" ht="15">
      <c r="A2004" s="431"/>
      <c r="B2004" s="431"/>
      <c r="C2004" s="512"/>
      <c r="D2004" s="438"/>
      <c r="F2004" s="624"/>
      <c r="G2004" s="624"/>
      <c r="H2004" s="624"/>
      <c r="I2004" s="628"/>
      <c r="J2004" s="629"/>
      <c r="L2004" s="416"/>
      <c r="M2004" s="416"/>
      <c r="N2004" s="628"/>
      <c r="O2004" s="416"/>
      <c r="P2004" s="628"/>
      <c r="Q2004" s="416"/>
      <c r="R2004" s="630">
        <f>SUM(R2002:Z2002)</f>
        <v>635222.09000000008</v>
      </c>
      <c r="S2004" s="631"/>
      <c r="T2004" s="631"/>
      <c r="U2004" s="631"/>
      <c r="V2004" s="631"/>
      <c r="W2004" s="631"/>
      <c r="X2004" s="631"/>
      <c r="Y2004" s="631"/>
      <c r="Z2004" s="632"/>
      <c r="AA2004" s="693">
        <f>R2004/'CompSolo Wolf'!R1991</f>
        <v>0.64798660974892552</v>
      </c>
    </row>
    <row r="2005" spans="1:27" s="439" customFormat="1" ht="15">
      <c r="A2005" s="431"/>
      <c r="B2005" s="431"/>
      <c r="C2005" s="437"/>
      <c r="D2005" s="438" t="s">
        <v>1948</v>
      </c>
      <c r="F2005" s="624"/>
      <c r="G2005" s="624"/>
      <c r="H2005" s="624"/>
      <c r="I2005" s="633">
        <f>SUM(N2005:Z2005)</f>
        <v>0.99999999999999989</v>
      </c>
      <c r="J2005" s="629"/>
      <c r="L2005" s="416"/>
      <c r="M2005" s="416"/>
      <c r="N2005" s="633">
        <f>N2002/$I$2002</f>
        <v>0.20869907264347634</v>
      </c>
      <c r="O2005" s="416"/>
      <c r="P2005" s="633">
        <f>P2002/$I$2002</f>
        <v>0.27874241363931446</v>
      </c>
      <c r="Q2005" s="416"/>
      <c r="R2005" s="634">
        <f>SUM(R2003:Z2003)</f>
        <v>0.51255851371720906</v>
      </c>
      <c r="S2005" s="635"/>
      <c r="T2005" s="636"/>
      <c r="U2005" s="636"/>
      <c r="V2005" s="637"/>
      <c r="W2005" s="635"/>
      <c r="X2005" s="637"/>
      <c r="Y2005" s="635"/>
      <c r="Z2005" s="638"/>
    </row>
    <row r="2006" spans="1:27" s="439" customFormat="1" ht="15">
      <c r="A2006" s="431"/>
      <c r="B2006" s="431"/>
      <c r="C2006" s="437"/>
      <c r="D2006" s="438"/>
      <c r="F2006" s="624"/>
      <c r="G2006" s="624"/>
      <c r="H2006" s="624"/>
      <c r="I2006" s="628"/>
      <c r="J2006" s="629"/>
      <c r="L2006" s="416"/>
      <c r="M2006" s="639"/>
      <c r="N2006" s="639"/>
      <c r="O2006" s="416"/>
      <c r="P2006" s="628"/>
      <c r="Q2006" s="416"/>
      <c r="R2006" s="628"/>
      <c r="S2006" s="640"/>
      <c r="T2006" s="416"/>
      <c r="U2006" s="416"/>
      <c r="V2006" s="628"/>
      <c r="W2006" s="640"/>
      <c r="X2006" s="628"/>
      <c r="Y2006" s="640"/>
      <c r="Z2006" s="628"/>
    </row>
    <row r="2007" spans="1:27" s="439" customFormat="1" ht="15">
      <c r="A2007" s="431"/>
      <c r="B2007" s="431"/>
      <c r="C2007" s="437"/>
      <c r="D2007" s="246" t="s">
        <v>931</v>
      </c>
      <c r="F2007" s="624"/>
      <c r="G2007" s="624"/>
      <c r="H2007" s="624"/>
      <c r="I2007" s="628"/>
      <c r="J2007" s="629"/>
      <c r="L2007" s="416"/>
      <c r="M2007" s="639"/>
      <c r="N2007" s="639"/>
      <c r="O2007" s="416"/>
      <c r="P2007" s="628"/>
      <c r="Q2007" s="416"/>
      <c r="R2007" s="628"/>
      <c r="S2007" s="640"/>
      <c r="T2007" s="416"/>
      <c r="U2007" s="416"/>
      <c r="V2007" s="628"/>
      <c r="W2007" s="640"/>
      <c r="X2007" s="628"/>
      <c r="Y2007" s="640"/>
      <c r="Z2007" s="628"/>
    </row>
    <row r="2008" spans="1:27" s="439" customFormat="1" ht="15">
      <c r="A2008" s="431"/>
      <c r="B2008" s="431"/>
      <c r="C2008" s="437"/>
      <c r="D2008" s="438"/>
      <c r="F2008" s="624"/>
      <c r="G2008" s="624"/>
      <c r="H2008" s="624"/>
      <c r="I2008" s="628"/>
      <c r="J2008" s="629"/>
      <c r="L2008" s="416"/>
      <c r="M2008" s="416"/>
      <c r="N2008" s="628"/>
      <c r="O2008" s="416"/>
      <c r="P2008" s="628"/>
      <c r="Q2008" s="416"/>
      <c r="R2008" s="628"/>
      <c r="S2008" s="640"/>
      <c r="T2008" s="416"/>
      <c r="U2008" s="416"/>
      <c r="V2008" s="628"/>
      <c r="W2008" s="640"/>
      <c r="X2008" s="628"/>
      <c r="Y2008" s="640"/>
      <c r="Z2008" s="628"/>
    </row>
    <row r="2009" spans="1:27" s="439" customFormat="1" ht="30">
      <c r="A2009" s="616" t="s">
        <v>1942</v>
      </c>
      <c r="B2009" s="431"/>
      <c r="C2009" s="437"/>
      <c r="D2009" s="438" t="s">
        <v>502</v>
      </c>
      <c r="F2009" s="624"/>
      <c r="G2009" s="624"/>
      <c r="H2009" s="624"/>
      <c r="I2009" s="416">
        <f>SUM(N2009:Z2009)</f>
        <v>79238.31200000002</v>
      </c>
      <c r="J2009" s="629"/>
      <c r="L2009" s="416"/>
      <c r="M2009" s="416"/>
      <c r="N2009" s="416">
        <f>N2002*5/100</f>
        <v>12932.2075</v>
      </c>
      <c r="O2009" s="416"/>
      <c r="P2009" s="416">
        <f>P2002*10/100</f>
        <v>34545</v>
      </c>
      <c r="Q2009" s="416"/>
      <c r="R2009" s="416">
        <f>R2002*5/100</f>
        <v>10429.658000000001</v>
      </c>
      <c r="S2009" s="416"/>
      <c r="T2009" s="416">
        <f>T2002*5/100</f>
        <v>348.98099999999999</v>
      </c>
      <c r="U2009" s="416"/>
      <c r="V2009" s="416">
        <f>V2002*5/100</f>
        <v>12124.722000000002</v>
      </c>
      <c r="W2009" s="640"/>
      <c r="X2009" s="416">
        <f>X2002*5/100</f>
        <v>1146.3269999999998</v>
      </c>
      <c r="Y2009" s="640"/>
      <c r="Z2009" s="416">
        <f>Z2002*5/100</f>
        <v>7711.4165000000012</v>
      </c>
    </row>
    <row r="2010" spans="1:27" s="439" customFormat="1" ht="27.75">
      <c r="A2010" s="616" t="s">
        <v>1943</v>
      </c>
      <c r="B2010" s="431"/>
      <c r="C2010" s="437"/>
      <c r="D2010" s="438" t="s">
        <v>2160</v>
      </c>
      <c r="F2010" s="624"/>
      <c r="G2010" s="624"/>
      <c r="H2010" s="624"/>
      <c r="I2010" s="416">
        <f>'SpeseTecn 2013'!F190</f>
        <v>106753.66</v>
      </c>
      <c r="J2010" s="629">
        <f>SUM(N2010:Z2010)</f>
        <v>106753.65999999999</v>
      </c>
      <c r="L2010" s="416"/>
      <c r="M2010" s="416"/>
      <c r="N2010" s="416">
        <f>$I$2010*N2005</f>
        <v>22279.389843296976</v>
      </c>
      <c r="O2010" s="416"/>
      <c r="P2010" s="416">
        <f>$I$2010*P2005</f>
        <v>29756.772853230737</v>
      </c>
      <c r="Q2010" s="416"/>
      <c r="R2010" s="416">
        <f>$I$2010*R2003</f>
        <v>17968.039603003668</v>
      </c>
      <c r="S2010" s="416"/>
      <c r="T2010" s="416">
        <f>$I$2010*T2003</f>
        <v>601.2186045501993</v>
      </c>
      <c r="U2010" s="416"/>
      <c r="V2010" s="416">
        <f>$I$2010*V2003</f>
        <v>20888.267388193348</v>
      </c>
      <c r="W2010" s="640"/>
      <c r="X2010" s="416">
        <f>$I$2010*X2003</f>
        <v>1974.872899379096</v>
      </c>
      <c r="Y2010" s="640"/>
      <c r="Z2010" s="416">
        <f>$I$2010*Z2003</f>
        <v>13285.098808345963</v>
      </c>
    </row>
    <row r="2011" spans="1:27" s="439" customFormat="1" ht="15">
      <c r="A2011" s="616" t="s">
        <v>1944</v>
      </c>
      <c r="B2011" s="431"/>
      <c r="C2011" s="437"/>
      <c r="D2011" s="438" t="s">
        <v>1006</v>
      </c>
      <c r="F2011" s="624"/>
      <c r="G2011" s="624"/>
      <c r="H2011" s="624"/>
      <c r="I2011" s="416">
        <v>3500</v>
      </c>
      <c r="J2011" s="629">
        <f>SUM(N2011:Z2011)</f>
        <v>3499.9999999999995</v>
      </c>
      <c r="L2011" s="416"/>
      <c r="M2011" s="416"/>
      <c r="N2011" s="416">
        <f>$I$2011*N2005</f>
        <v>730.44675425216724</v>
      </c>
      <c r="O2011" s="416"/>
      <c r="P2011" s="416">
        <f>$I$2011*P2005</f>
        <v>975.59844773760062</v>
      </c>
      <c r="Q2011" s="416"/>
      <c r="R2011" s="416">
        <f>$I$2011*R2003</f>
        <v>589.09585498532635</v>
      </c>
      <c r="S2011" s="416"/>
      <c r="T2011" s="416">
        <f>$I$2011*T2003</f>
        <v>19.711409575331633</v>
      </c>
      <c r="U2011" s="416"/>
      <c r="V2011" s="416">
        <f>$I$2011*V2003</f>
        <v>684.83774569112393</v>
      </c>
      <c r="W2011" s="640"/>
      <c r="X2011" s="416">
        <f>$I$2011*X2003</f>
        <v>64.747711205656415</v>
      </c>
      <c r="Y2011" s="640"/>
      <c r="Z2011" s="416">
        <f>$I$2011*Z2003</f>
        <v>435.56207655279331</v>
      </c>
    </row>
    <row r="2012" spans="1:27" s="439" customFormat="1" ht="15">
      <c r="A2012" s="431"/>
      <c r="B2012" s="431"/>
      <c r="C2012" s="437"/>
      <c r="D2012" s="438"/>
      <c r="F2012" s="624"/>
      <c r="G2012" s="624"/>
      <c r="H2012" s="624"/>
      <c r="I2012" s="416"/>
      <c r="J2012" s="629"/>
      <c r="L2012" s="416"/>
      <c r="M2012" s="416"/>
      <c r="N2012" s="416"/>
      <c r="O2012" s="416"/>
      <c r="P2012" s="416"/>
      <c r="Q2012" s="416"/>
      <c r="R2012" s="416"/>
      <c r="S2012" s="416"/>
      <c r="T2012" s="416"/>
      <c r="U2012" s="416"/>
      <c r="V2012" s="416"/>
      <c r="W2012" s="640"/>
      <c r="X2012" s="416"/>
      <c r="Y2012" s="640"/>
      <c r="Z2012" s="416"/>
    </row>
    <row r="2013" spans="1:27" s="439" customFormat="1" ht="15.75">
      <c r="A2013" s="431"/>
      <c r="B2013" s="431"/>
      <c r="C2013" s="437"/>
      <c r="D2013" s="685" t="s">
        <v>2380</v>
      </c>
      <c r="F2013" s="624"/>
      <c r="G2013" s="624"/>
      <c r="H2013" s="624"/>
      <c r="I2013" s="434">
        <f>I2009+I2010+I2011</f>
        <v>189491.97200000001</v>
      </c>
      <c r="J2013" s="629"/>
      <c r="L2013" s="416"/>
      <c r="M2013" s="416"/>
      <c r="N2013" s="434">
        <f>N2009+N2010+N2011</f>
        <v>35942.044097549144</v>
      </c>
      <c r="O2013" s="416"/>
      <c r="P2013" s="434">
        <f>P2009+P2010+P2011</f>
        <v>65277.371300968342</v>
      </c>
      <c r="Q2013" s="416"/>
      <c r="R2013" s="434">
        <f>R2009+R2010+R2011</f>
        <v>28986.793457988995</v>
      </c>
      <c r="S2013" s="416"/>
      <c r="T2013" s="434">
        <f>T2009+T2010+T2011</f>
        <v>969.91101412553098</v>
      </c>
      <c r="U2013" s="416"/>
      <c r="V2013" s="434">
        <f>V2009+V2010+V2011</f>
        <v>33697.827133884479</v>
      </c>
      <c r="W2013" s="640"/>
      <c r="X2013" s="434">
        <f>X2009+X2010+X2011</f>
        <v>3185.9476105847521</v>
      </c>
      <c r="Y2013" s="640"/>
      <c r="Z2013" s="434">
        <f>Z2009+Z2010+Z2011</f>
        <v>21432.077384898759</v>
      </c>
    </row>
    <row r="2014" spans="1:27" s="439" customFormat="1" ht="15.75">
      <c r="A2014" s="431"/>
      <c r="B2014" s="431"/>
      <c r="C2014" s="437"/>
      <c r="D2014" s="685"/>
      <c r="F2014" s="624"/>
      <c r="G2014" s="624"/>
      <c r="H2014" s="624"/>
      <c r="I2014" s="692">
        <f>I2013/'CompSolo Wolf'!I2000</f>
        <v>0.77162536214915167</v>
      </c>
      <c r="J2014" s="629"/>
      <c r="L2014" s="416"/>
      <c r="M2014" s="416"/>
      <c r="N2014" s="434"/>
      <c r="O2014" s="416"/>
      <c r="P2014" s="434"/>
      <c r="Q2014" s="416"/>
      <c r="R2014" s="434"/>
      <c r="S2014" s="416"/>
      <c r="T2014" s="434"/>
      <c r="U2014" s="416"/>
      <c r="V2014" s="434"/>
      <c r="W2014" s="640"/>
      <c r="X2014" s="434"/>
      <c r="Y2014" s="640"/>
      <c r="Z2014" s="434"/>
    </row>
    <row r="2015" spans="1:27" s="439" customFormat="1" ht="15.75">
      <c r="A2015" s="431"/>
      <c r="B2015" s="431"/>
      <c r="C2015" s="437"/>
      <c r="D2015" s="685" t="s">
        <v>2384</v>
      </c>
      <c r="F2015" s="624"/>
      <c r="G2015" s="624"/>
      <c r="H2015" s="624"/>
      <c r="I2015" s="434">
        <f>I2002+I2013</f>
        <v>1428808.2120000003</v>
      </c>
      <c r="J2015" s="629"/>
      <c r="L2015" s="416"/>
      <c r="M2015" s="416"/>
      <c r="N2015" s="434">
        <f>N2002+N2013</f>
        <v>294586.19409754913</v>
      </c>
      <c r="O2015" s="416"/>
      <c r="P2015" s="434">
        <f>P2002+P2013</f>
        <v>410727.37130096834</v>
      </c>
      <c r="Q2015" s="416"/>
      <c r="R2015" s="434">
        <f>R2002+R2013</f>
        <v>237579.95345798903</v>
      </c>
      <c r="S2015" s="416"/>
      <c r="T2015" s="434">
        <f>T2002+T2013</f>
        <v>7949.5310141255304</v>
      </c>
      <c r="U2015" s="416"/>
      <c r="V2015" s="434">
        <f>V2002+V2013</f>
        <v>276192.26713388448</v>
      </c>
      <c r="W2015" s="640"/>
      <c r="X2015" s="434">
        <f>X2002+X2013</f>
        <v>26112.487610584751</v>
      </c>
      <c r="Y2015" s="640"/>
      <c r="Z2015" s="434">
        <f>Z2002+Z2013</f>
        <v>175660.40738489878</v>
      </c>
    </row>
    <row r="2016" spans="1:27" s="439" customFormat="1" ht="15">
      <c r="A2016" s="431"/>
      <c r="B2016" s="431"/>
      <c r="C2016" s="437"/>
      <c r="D2016" s="438"/>
      <c r="F2016" s="624"/>
      <c r="G2016" s="624"/>
      <c r="H2016" s="624"/>
      <c r="I2016" s="692">
        <f>I2013/'CompSolo Wolf'!I2000</f>
        <v>0.77162536214915167</v>
      </c>
      <c r="J2016" s="629"/>
      <c r="L2016" s="639"/>
      <c r="M2016" s="639"/>
      <c r="N2016" s="639"/>
      <c r="O2016" s="639"/>
      <c r="P2016" s="639"/>
      <c r="Q2016" s="639"/>
      <c r="R2016" s="639"/>
      <c r="S2016" s="639"/>
      <c r="T2016" s="639"/>
      <c r="U2016" s="639"/>
      <c r="V2016" s="639"/>
      <c r="W2016" s="639"/>
      <c r="X2016" s="416"/>
      <c r="Y2016" s="640"/>
      <c r="Z2016" s="416"/>
    </row>
    <row r="2017" spans="1:26" s="439" customFormat="1" ht="15">
      <c r="A2017" s="431"/>
      <c r="B2017" s="431"/>
      <c r="C2017" s="437"/>
      <c r="D2017" s="438" t="s">
        <v>2383</v>
      </c>
      <c r="E2017" s="673">
        <v>0.1</v>
      </c>
      <c r="F2017" s="624"/>
      <c r="G2017" s="624"/>
      <c r="H2017" s="624"/>
      <c r="I2017" s="416">
        <f>(I2002+I2009)*E2017</f>
        <v>131855.45520000003</v>
      </c>
      <c r="J2017" s="629"/>
      <c r="L2017" s="416"/>
      <c r="M2017" s="639"/>
      <c r="N2017" s="416">
        <f>(N2002+N2009)*E2017</f>
        <v>27157.635750000001</v>
      </c>
      <c r="O2017" s="416"/>
      <c r="P2017" s="416">
        <f>(P2002+P2009)*E2017</f>
        <v>37999.5</v>
      </c>
      <c r="Q2017" s="416"/>
      <c r="R2017" s="416">
        <f>(R2002+R2009)*E2017</f>
        <v>21902.281800000004</v>
      </c>
      <c r="S2017" s="416"/>
      <c r="T2017" s="416">
        <f>(T2002+T2009)*E2017</f>
        <v>732.86009999999999</v>
      </c>
      <c r="U2017" s="416"/>
      <c r="V2017" s="416">
        <f>(V2002+V2009)*E2017</f>
        <v>25461.916200000007</v>
      </c>
      <c r="W2017" s="640"/>
      <c r="X2017" s="416">
        <f>(X2002+X2009)*E2017</f>
        <v>2407.2867000000001</v>
      </c>
      <c r="Y2017" s="640"/>
      <c r="Z2017" s="416">
        <f>(Z2002+Z2009)*E2017</f>
        <v>16193.974650000002</v>
      </c>
    </row>
    <row r="2018" spans="1:26" s="439" customFormat="1" ht="15">
      <c r="A2018" s="431"/>
      <c r="B2018" s="431"/>
      <c r="C2018" s="437"/>
      <c r="D2018" s="438" t="s">
        <v>867</v>
      </c>
      <c r="E2018" s="673">
        <v>0.22</v>
      </c>
      <c r="F2018" s="624"/>
      <c r="G2018" s="624"/>
      <c r="H2018" s="624"/>
      <c r="I2018" s="416">
        <f>(I2010+I2011)*E2018</f>
        <v>24255.805200000003</v>
      </c>
      <c r="J2018" s="629">
        <f>SUM(N2018:Z2018)</f>
        <v>24255.805199999999</v>
      </c>
      <c r="L2018" s="416"/>
      <c r="M2018" s="639"/>
      <c r="N2018" s="416">
        <f>(N2010+N2011)*E2018</f>
        <v>5062.1640514608116</v>
      </c>
      <c r="O2018" s="416"/>
      <c r="P2018" s="416">
        <f>(P2010+P2011)*E2018</f>
        <v>6761.1216862130341</v>
      </c>
      <c r="Q2018" s="416"/>
      <c r="R2018" s="416">
        <f>(R2010+R2011)*E2018</f>
        <v>4082.5698007575793</v>
      </c>
      <c r="S2018" s="416"/>
      <c r="T2018" s="416">
        <f>(T2010+T2011)*E2018</f>
        <v>136.60460310761681</v>
      </c>
      <c r="U2018" s="416"/>
      <c r="V2018" s="416">
        <f>(V2010+V2011)*E2018</f>
        <v>4746.0831294545833</v>
      </c>
      <c r="W2018" s="640"/>
      <c r="X2018" s="416">
        <f>(X2010+X2011)*E2018</f>
        <v>448.71653432864554</v>
      </c>
      <c r="Y2018" s="640"/>
      <c r="Z2018" s="416">
        <f>(Z2010+Z2011)*E2018</f>
        <v>3018.5453946777266</v>
      </c>
    </row>
    <row r="2019" spans="1:26" s="439" customFormat="1" ht="15">
      <c r="A2019" s="431"/>
      <c r="B2019" s="431"/>
      <c r="C2019" s="437"/>
      <c r="D2019" s="438"/>
      <c r="F2019" s="624"/>
      <c r="G2019" s="624"/>
      <c r="H2019" s="624"/>
      <c r="I2019" s="416"/>
      <c r="J2019" s="629"/>
      <c r="L2019" s="416"/>
      <c r="M2019" s="639"/>
      <c r="N2019" s="416"/>
      <c r="O2019" s="416"/>
      <c r="P2019" s="416"/>
      <c r="Q2019" s="416"/>
      <c r="R2019" s="416"/>
      <c r="S2019" s="416"/>
      <c r="T2019" s="416"/>
      <c r="U2019" s="416"/>
      <c r="V2019" s="416"/>
      <c r="W2019" s="640"/>
      <c r="X2019" s="416"/>
      <c r="Y2019" s="640"/>
      <c r="Z2019" s="416"/>
    </row>
    <row r="2020" spans="1:26" s="439" customFormat="1" ht="15">
      <c r="A2020" s="431"/>
      <c r="B2020" s="431"/>
      <c r="C2020" s="437"/>
      <c r="D2020" s="438"/>
      <c r="F2020" s="624"/>
      <c r="G2020" s="624"/>
      <c r="H2020" s="624"/>
      <c r="I2020" s="416"/>
      <c r="J2020" s="629"/>
      <c r="L2020" s="416"/>
      <c r="M2020" s="416"/>
      <c r="N2020" s="416"/>
      <c r="O2020" s="416"/>
      <c r="P2020" s="416"/>
      <c r="Q2020" s="416"/>
      <c r="R2020" s="416"/>
      <c r="S2020" s="416"/>
      <c r="T2020" s="416"/>
      <c r="U2020" s="416"/>
      <c r="V2020" s="416"/>
      <c r="W2020" s="640"/>
      <c r="X2020" s="416"/>
      <c r="Y2020" s="640"/>
      <c r="Z2020" s="416"/>
    </row>
    <row r="2021" spans="1:26" s="439" customFormat="1" ht="15.75">
      <c r="A2021" s="431"/>
      <c r="B2021" s="431"/>
      <c r="C2021" s="437"/>
      <c r="D2021" s="685" t="s">
        <v>2385</v>
      </c>
      <c r="F2021" s="624"/>
      <c r="G2021" s="624"/>
      <c r="H2021" s="624"/>
      <c r="I2021" s="618">
        <f>I2015+I2017+I2018</f>
        <v>1584919.4724000003</v>
      </c>
      <c r="J2021" s="629">
        <f>SUM(N2021:Z2021)</f>
        <v>1584919.4723999999</v>
      </c>
      <c r="L2021" s="416"/>
      <c r="M2021" s="416"/>
      <c r="N2021" s="620">
        <f>N2015+N2017+N2018</f>
        <v>326805.99389900995</v>
      </c>
      <c r="O2021" s="416"/>
      <c r="P2021" s="621">
        <f>P2015+P2017+P2018</f>
        <v>455487.99298718135</v>
      </c>
      <c r="Q2021" s="416"/>
      <c r="R2021" s="622">
        <f>R2015+R2017+R2018</f>
        <v>263564.8050587466</v>
      </c>
      <c r="S2021" s="416"/>
      <c r="T2021" s="622">
        <f>T2015+T2017+T2018</f>
        <v>8818.9957172331469</v>
      </c>
      <c r="U2021" s="416"/>
      <c r="V2021" s="622">
        <f>V2015+V2017+V2018</f>
        <v>306400.26646333904</v>
      </c>
      <c r="W2021" s="640"/>
      <c r="X2021" s="622">
        <f>X2015+X2017+X2018</f>
        <v>28968.490844913398</v>
      </c>
      <c r="Y2021" s="640"/>
      <c r="Z2021" s="622">
        <f>Z2015+Z2017+Z2018</f>
        <v>194872.92742957649</v>
      </c>
    </row>
    <row r="2022" spans="1:26" ht="15">
      <c r="A2022" s="191"/>
      <c r="B2022" s="191"/>
      <c r="C2022" s="384"/>
      <c r="F2022" s="935" t="s">
        <v>1806</v>
      </c>
      <c r="G2022" s="941"/>
      <c r="H2022" s="941"/>
      <c r="I2022" s="942"/>
      <c r="J2022" s="221"/>
      <c r="L2022" s="287"/>
      <c r="M2022" s="185" t="s">
        <v>2466</v>
      </c>
      <c r="N2022" s="185"/>
      <c r="O2022" s="502" t="s">
        <v>2467</v>
      </c>
      <c r="P2022" s="502"/>
      <c r="Q2022" s="641" t="s">
        <v>2468</v>
      </c>
      <c r="R2022" s="641"/>
      <c r="S2022" s="641" t="s">
        <v>2468</v>
      </c>
      <c r="T2022" s="641"/>
      <c r="U2022" s="641" t="s">
        <v>2469</v>
      </c>
      <c r="V2022" s="641"/>
      <c r="W2022" s="641" t="s">
        <v>341</v>
      </c>
      <c r="X2022" s="641"/>
      <c r="Y2022" s="641" t="s">
        <v>2470</v>
      </c>
      <c r="Z2022" s="641"/>
    </row>
    <row r="2023" spans="1:26" ht="15">
      <c r="A2023" s="191"/>
      <c r="B2023" s="191"/>
      <c r="C2023" s="384"/>
      <c r="F2023" s="943"/>
      <c r="G2023" s="944"/>
      <c r="H2023" s="944"/>
      <c r="I2023" s="945"/>
      <c r="J2023" s="221"/>
      <c r="L2023" s="287"/>
      <c r="M2023" s="184" t="s">
        <v>1806</v>
      </c>
      <c r="N2023" s="184"/>
      <c r="O2023" s="184"/>
      <c r="P2023" s="184"/>
      <c r="Q2023" s="184"/>
      <c r="R2023" s="184"/>
      <c r="S2023" s="184"/>
      <c r="T2023" s="184"/>
      <c r="U2023" s="184"/>
      <c r="V2023" s="184"/>
      <c r="W2023" s="184"/>
      <c r="X2023" s="184"/>
      <c r="Y2023" s="184"/>
      <c r="Z2023" s="184"/>
    </row>
    <row r="2024" spans="1:26" ht="15.75">
      <c r="A2024" s="191"/>
      <c r="B2024" s="191"/>
      <c r="C2024" s="384"/>
      <c r="D2024" s="183" t="s">
        <v>0</v>
      </c>
      <c r="F2024" s="286"/>
      <c r="G2024" s="286"/>
      <c r="H2024" s="286"/>
      <c r="I2024" s="696">
        <f>I2021/'CompSolo Wolf'!I2008</f>
        <v>0.75490048249644115</v>
      </c>
      <c r="J2024" s="221"/>
      <c r="L2024" s="287"/>
      <c r="M2024" s="221"/>
      <c r="N2024" s="286"/>
      <c r="O2024" s="286"/>
      <c r="P2024" s="286"/>
      <c r="Q2024" s="932">
        <f>R2021+T2021+V2021+X2021+Z2021</f>
        <v>802625.48551380867</v>
      </c>
      <c r="R2024" s="933"/>
      <c r="S2024" s="933"/>
      <c r="T2024" s="933"/>
      <c r="U2024" s="933"/>
      <c r="V2024" s="933"/>
      <c r="W2024" s="933"/>
      <c r="X2024" s="933"/>
      <c r="Y2024" s="933"/>
      <c r="Z2024" s="934"/>
    </row>
    <row r="2025" spans="1:26" ht="15.75">
      <c r="A2025" s="191"/>
      <c r="B2025" s="191"/>
      <c r="C2025" s="384"/>
      <c r="D2025" s="427" t="s">
        <v>1971</v>
      </c>
      <c r="F2025" s="286"/>
      <c r="G2025" s="286"/>
      <c r="H2025" s="286"/>
      <c r="I2025" s="642">
        <f>SUM(N2025:X2025)</f>
        <v>0.99999999999999978</v>
      </c>
      <c r="J2025" s="221"/>
      <c r="K2025" s="691" t="s">
        <v>872</v>
      </c>
      <c r="L2025" s="287"/>
      <c r="M2025" s="221"/>
      <c r="N2025" s="642">
        <f>N2021/I2021</f>
        <v>0.20619722300725887</v>
      </c>
      <c r="O2025" s="354"/>
      <c r="P2025" s="642">
        <f>P2021/I2021</f>
        <v>0.28738872915571434</v>
      </c>
      <c r="Q2025" s="643">
        <f>Q2024/I2021</f>
        <v>0.50641404783702659</v>
      </c>
      <c r="R2025" s="644"/>
      <c r="S2025" s="644"/>
      <c r="T2025" s="644"/>
      <c r="U2025" s="644"/>
      <c r="V2025" s="644"/>
      <c r="W2025" s="644"/>
      <c r="X2025" s="644"/>
      <c r="Y2025" s="644"/>
      <c r="Z2025" s="645"/>
    </row>
    <row r="2026" spans="1:26" ht="15">
      <c r="A2026" s="191"/>
      <c r="B2026" s="191"/>
      <c r="C2026"/>
      <c r="D2026" s="183"/>
      <c r="E2026"/>
      <c r="F2026"/>
      <c r="G2026"/>
      <c r="H2026"/>
      <c r="I2026"/>
      <c r="J2026"/>
      <c r="K2026"/>
      <c r="L2026"/>
      <c r="M2026"/>
      <c r="N2026"/>
      <c r="O2026"/>
      <c r="P2026"/>
      <c r="Q2026" s="219"/>
    </row>
    <row r="2027" spans="1:26" ht="15">
      <c r="A2027" s="191"/>
      <c r="B2027" s="191"/>
      <c r="C2027"/>
      <c r="D2027" s="183"/>
      <c r="E2027"/>
      <c r="F2027"/>
      <c r="G2027"/>
      <c r="H2027"/>
      <c r="I2027"/>
      <c r="J2027"/>
      <c r="K2027"/>
      <c r="L2027"/>
      <c r="M2027"/>
      <c r="N2027"/>
      <c r="O2027"/>
      <c r="P2027"/>
      <c r="Q2027" s="219"/>
    </row>
    <row r="2028" spans="1:26" ht="15">
      <c r="A2028" s="191"/>
      <c r="B2028" s="191"/>
      <c r="C2028"/>
      <c r="D2028" s="183"/>
      <c r="E2028"/>
      <c r="F2028"/>
      <c r="G2028"/>
      <c r="H2028"/>
      <c r="I2028"/>
      <c r="J2028"/>
      <c r="K2028"/>
      <c r="L2028"/>
      <c r="M2028"/>
      <c r="N2028"/>
      <c r="O2028"/>
      <c r="P2028"/>
      <c r="Q2028" s="219"/>
    </row>
    <row r="2029" spans="1:26" customFormat="1">
      <c r="D2029" s="183"/>
    </row>
    <row r="2030" spans="1:26" customFormat="1">
      <c r="D2030" s="183"/>
    </row>
    <row r="2031" spans="1:26" customFormat="1">
      <c r="D2031" s="183"/>
    </row>
    <row r="2032" spans="1:26" customFormat="1">
      <c r="D2032" s="183"/>
    </row>
    <row r="2033" spans="4:4" customFormat="1">
      <c r="D2033" s="183"/>
    </row>
    <row r="2034" spans="4:4" customFormat="1">
      <c r="D2034" s="183"/>
    </row>
    <row r="2035" spans="4:4" customFormat="1">
      <c r="D2035" s="183"/>
    </row>
    <row r="2036" spans="4:4" customFormat="1">
      <c r="D2036" s="183"/>
    </row>
    <row r="2037" spans="4:4" customFormat="1">
      <c r="D2037" s="183"/>
    </row>
    <row r="2038" spans="4:4" customFormat="1">
      <c r="D2038" s="183"/>
    </row>
    <row r="2039" spans="4:4" customFormat="1">
      <c r="D2039" s="183"/>
    </row>
    <row r="2040" spans="4:4" customFormat="1">
      <c r="D2040" s="183"/>
    </row>
    <row r="2041" spans="4:4" customFormat="1">
      <c r="D2041" s="183"/>
    </row>
    <row r="2042" spans="4:4" customFormat="1">
      <c r="D2042" s="183"/>
    </row>
    <row r="2043" spans="4:4" customFormat="1">
      <c r="D2043" s="183"/>
    </row>
    <row r="2044" spans="4:4" customFormat="1">
      <c r="D2044" s="183"/>
    </row>
    <row r="2045" spans="4:4" customFormat="1">
      <c r="D2045" s="183"/>
    </row>
    <row r="2046" spans="4:4" customFormat="1">
      <c r="D2046" s="183"/>
    </row>
    <row r="2047" spans="4:4" customFormat="1">
      <c r="D2047" s="183"/>
    </row>
    <row r="2048" spans="4:4" customFormat="1">
      <c r="D2048" s="183"/>
    </row>
    <row r="2049" spans="4:4" customFormat="1">
      <c r="D2049" s="183"/>
    </row>
    <row r="2050" spans="4:4" customFormat="1">
      <c r="D2050" s="183"/>
    </row>
    <row r="2051" spans="4:4" customFormat="1">
      <c r="D2051" s="183"/>
    </row>
    <row r="2052" spans="4:4" customFormat="1">
      <c r="D2052" s="183"/>
    </row>
    <row r="2053" spans="4:4" customFormat="1">
      <c r="D2053" s="183"/>
    </row>
    <row r="2054" spans="4:4" customFormat="1">
      <c r="D2054" s="183"/>
    </row>
    <row r="2055" spans="4:4" customFormat="1">
      <c r="D2055" s="183"/>
    </row>
    <row r="2056" spans="4:4" customFormat="1">
      <c r="D2056" s="183"/>
    </row>
    <row r="2057" spans="4:4" customFormat="1">
      <c r="D2057" s="183"/>
    </row>
    <row r="2058" spans="4:4" customFormat="1">
      <c r="D2058" s="183"/>
    </row>
    <row r="2059" spans="4:4" customFormat="1">
      <c r="D2059" s="183"/>
    </row>
    <row r="2060" spans="4:4" customFormat="1">
      <c r="D2060" s="183"/>
    </row>
    <row r="2061" spans="4:4" customFormat="1">
      <c r="D2061" s="183"/>
    </row>
    <row r="2062" spans="4:4" customFormat="1">
      <c r="D2062" s="183"/>
    </row>
    <row r="2063" spans="4:4" customFormat="1">
      <c r="D2063" s="183"/>
    </row>
    <row r="2064" spans="4:4" customFormat="1">
      <c r="D2064" s="183"/>
    </row>
    <row r="2065" spans="4:4" customFormat="1">
      <c r="D2065" s="183"/>
    </row>
    <row r="2066" spans="4:4" customFormat="1">
      <c r="D2066" s="183"/>
    </row>
    <row r="2067" spans="4:4" customFormat="1">
      <c r="D2067" s="183"/>
    </row>
    <row r="2068" spans="4:4" customFormat="1">
      <c r="D2068" s="183"/>
    </row>
    <row r="2069" spans="4:4" customFormat="1">
      <c r="D2069" s="183"/>
    </row>
    <row r="2070" spans="4:4" customFormat="1">
      <c r="D2070" s="183"/>
    </row>
    <row r="2071" spans="4:4" customFormat="1">
      <c r="D2071" s="183"/>
    </row>
    <row r="2072" spans="4:4" customFormat="1">
      <c r="D2072" s="183"/>
    </row>
    <row r="2073" spans="4:4" customFormat="1">
      <c r="D2073" s="183"/>
    </row>
    <row r="2074" spans="4:4" customFormat="1">
      <c r="D2074" s="183"/>
    </row>
    <row r="2075" spans="4:4" customFormat="1">
      <c r="D2075" s="183"/>
    </row>
    <row r="2076" spans="4:4" customFormat="1">
      <c r="D2076" s="183"/>
    </row>
    <row r="2077" spans="4:4" customFormat="1">
      <c r="D2077" s="183"/>
    </row>
    <row r="2078" spans="4:4" customFormat="1">
      <c r="D2078" s="183"/>
    </row>
    <row r="2079" spans="4:4" customFormat="1">
      <c r="D2079" s="183"/>
    </row>
    <row r="2080" spans="4:4" customFormat="1">
      <c r="D2080" s="183"/>
    </row>
    <row r="2081" spans="4:4" customFormat="1">
      <c r="D2081" s="183"/>
    </row>
    <row r="2082" spans="4:4" customFormat="1">
      <c r="D2082" s="183"/>
    </row>
    <row r="2083" spans="4:4" customFormat="1">
      <c r="D2083" s="183"/>
    </row>
    <row r="2084" spans="4:4" customFormat="1">
      <c r="D2084" s="183"/>
    </row>
    <row r="2085" spans="4:4" customFormat="1">
      <c r="D2085" s="183"/>
    </row>
    <row r="2086" spans="4:4" customFormat="1">
      <c r="D2086" s="183"/>
    </row>
    <row r="2087" spans="4:4" customFormat="1">
      <c r="D2087" s="183"/>
    </row>
    <row r="2088" spans="4:4" customFormat="1">
      <c r="D2088" s="183"/>
    </row>
    <row r="2089" spans="4:4" customFormat="1">
      <c r="D2089" s="183"/>
    </row>
    <row r="2090" spans="4:4" customFormat="1">
      <c r="D2090" s="183"/>
    </row>
    <row r="2091" spans="4:4" customFormat="1">
      <c r="D2091" s="183"/>
    </row>
    <row r="2092" spans="4:4" customFormat="1">
      <c r="D2092" s="183"/>
    </row>
    <row r="2093" spans="4:4" customFormat="1">
      <c r="D2093" s="183"/>
    </row>
    <row r="2094" spans="4:4" customFormat="1">
      <c r="D2094" s="183"/>
    </row>
    <row r="2095" spans="4:4" customFormat="1">
      <c r="D2095" s="183"/>
    </row>
    <row r="2096" spans="4:4" customFormat="1">
      <c r="D2096" s="183"/>
    </row>
    <row r="2097" spans="4:4" customFormat="1">
      <c r="D2097" s="183"/>
    </row>
    <row r="2098" spans="4:4" customFormat="1">
      <c r="D2098" s="183"/>
    </row>
    <row r="2099" spans="4:4" customFormat="1">
      <c r="D2099" s="183"/>
    </row>
    <row r="2100" spans="4:4" customFormat="1">
      <c r="D2100" s="183"/>
    </row>
    <row r="2101" spans="4:4" customFormat="1">
      <c r="D2101" s="183"/>
    </row>
    <row r="2102" spans="4:4" customFormat="1">
      <c r="D2102" s="183"/>
    </row>
    <row r="2103" spans="4:4" customFormat="1">
      <c r="D2103" s="183"/>
    </row>
    <row r="2104" spans="4:4" customFormat="1">
      <c r="D2104" s="183"/>
    </row>
    <row r="2105" spans="4:4" customFormat="1">
      <c r="D2105" s="183"/>
    </row>
    <row r="2106" spans="4:4" customFormat="1">
      <c r="D2106" s="183"/>
    </row>
    <row r="2107" spans="4:4" customFormat="1">
      <c r="D2107" s="183"/>
    </row>
    <row r="2108" spans="4:4" customFormat="1">
      <c r="D2108" s="183"/>
    </row>
    <row r="2109" spans="4:4" customFormat="1">
      <c r="D2109" s="183"/>
    </row>
    <row r="2110" spans="4:4" customFormat="1">
      <c r="D2110" s="183"/>
    </row>
    <row r="2111" spans="4:4" customFormat="1">
      <c r="D2111" s="183"/>
    </row>
    <row r="2112" spans="4:4" customFormat="1">
      <c r="D2112" s="183"/>
    </row>
    <row r="2113" spans="4:4" customFormat="1">
      <c r="D2113" s="183"/>
    </row>
    <row r="2114" spans="4:4" customFormat="1">
      <c r="D2114" s="183"/>
    </row>
    <row r="2115" spans="4:4" customFormat="1">
      <c r="D2115" s="183"/>
    </row>
    <row r="2116" spans="4:4" customFormat="1">
      <c r="D2116" s="183"/>
    </row>
    <row r="2117" spans="4:4" customFormat="1">
      <c r="D2117" s="183"/>
    </row>
    <row r="2118" spans="4:4" customFormat="1">
      <c r="D2118" s="183"/>
    </row>
    <row r="2119" spans="4:4" customFormat="1">
      <c r="D2119" s="183"/>
    </row>
    <row r="2120" spans="4:4" customFormat="1">
      <c r="D2120" s="183"/>
    </row>
    <row r="2121" spans="4:4" customFormat="1">
      <c r="D2121" s="183"/>
    </row>
    <row r="2122" spans="4:4" customFormat="1">
      <c r="D2122" s="183"/>
    </row>
    <row r="2123" spans="4:4" customFormat="1">
      <c r="D2123" s="183"/>
    </row>
    <row r="2124" spans="4:4" customFormat="1">
      <c r="D2124" s="183"/>
    </row>
    <row r="2125" spans="4:4" customFormat="1">
      <c r="D2125" s="183"/>
    </row>
    <row r="2126" spans="4:4" customFormat="1">
      <c r="D2126" s="183"/>
    </row>
    <row r="2127" spans="4:4" customFormat="1">
      <c r="D2127" s="183"/>
    </row>
    <row r="2128" spans="4:4" customFormat="1">
      <c r="D2128" s="183"/>
    </row>
    <row r="2129" spans="4:4" customFormat="1">
      <c r="D2129" s="183"/>
    </row>
    <row r="2130" spans="4:4" customFormat="1">
      <c r="D2130" s="183"/>
    </row>
    <row r="2131" spans="4:4" customFormat="1">
      <c r="D2131" s="183"/>
    </row>
    <row r="2132" spans="4:4" customFormat="1">
      <c r="D2132" s="183"/>
    </row>
    <row r="2133" spans="4:4" customFormat="1">
      <c r="D2133" s="183"/>
    </row>
    <row r="2134" spans="4:4" customFormat="1">
      <c r="D2134" s="183"/>
    </row>
    <row r="2135" spans="4:4" customFormat="1">
      <c r="D2135" s="183"/>
    </row>
    <row r="2136" spans="4:4" customFormat="1">
      <c r="D2136" s="183"/>
    </row>
    <row r="2137" spans="4:4" customFormat="1">
      <c r="D2137" s="183"/>
    </row>
    <row r="2138" spans="4:4" customFormat="1">
      <c r="D2138" s="183"/>
    </row>
    <row r="2139" spans="4:4" customFormat="1">
      <c r="D2139" s="183"/>
    </row>
    <row r="2140" spans="4:4" customFormat="1">
      <c r="D2140" s="183"/>
    </row>
    <row r="2141" spans="4:4" customFormat="1">
      <c r="D2141" s="183"/>
    </row>
    <row r="2142" spans="4:4" customFormat="1">
      <c r="D2142" s="183"/>
    </row>
    <row r="2143" spans="4:4" customFormat="1">
      <c r="D2143" s="183"/>
    </row>
    <row r="2144" spans="4:4" customFormat="1">
      <c r="D2144" s="183"/>
    </row>
    <row r="2145" spans="4:4" customFormat="1">
      <c r="D2145" s="183"/>
    </row>
    <row r="2146" spans="4:4" customFormat="1">
      <c r="D2146" s="183"/>
    </row>
    <row r="2147" spans="4:4" customFormat="1">
      <c r="D2147" s="183"/>
    </row>
    <row r="2148" spans="4:4" customFormat="1">
      <c r="D2148" s="183"/>
    </row>
    <row r="2149" spans="4:4" customFormat="1">
      <c r="D2149" s="183"/>
    </row>
    <row r="2150" spans="4:4" customFormat="1">
      <c r="D2150" s="183"/>
    </row>
    <row r="2151" spans="4:4" customFormat="1">
      <c r="D2151" s="183"/>
    </row>
    <row r="2152" spans="4:4" customFormat="1">
      <c r="D2152" s="183"/>
    </row>
    <row r="2153" spans="4:4" customFormat="1">
      <c r="D2153" s="183"/>
    </row>
    <row r="2154" spans="4:4" customFormat="1">
      <c r="D2154" s="183"/>
    </row>
    <row r="2155" spans="4:4" customFormat="1">
      <c r="D2155" s="183"/>
    </row>
    <row r="2156" spans="4:4" customFormat="1">
      <c r="D2156" s="183"/>
    </row>
    <row r="2157" spans="4:4" customFormat="1">
      <c r="D2157" s="183"/>
    </row>
    <row r="2158" spans="4:4" customFormat="1">
      <c r="D2158" s="183"/>
    </row>
    <row r="2159" spans="4:4" customFormat="1">
      <c r="D2159" s="183"/>
    </row>
    <row r="2160" spans="4:4" customFormat="1">
      <c r="D2160" s="183"/>
    </row>
    <row r="2161" spans="4:4" customFormat="1">
      <c r="D2161" s="183"/>
    </row>
    <row r="2162" spans="4:4" customFormat="1">
      <c r="D2162" s="183"/>
    </row>
    <row r="2163" spans="4:4" customFormat="1">
      <c r="D2163" s="183"/>
    </row>
    <row r="2164" spans="4:4" customFormat="1">
      <c r="D2164" s="183"/>
    </row>
    <row r="2165" spans="4:4" customFormat="1">
      <c r="D2165" s="183"/>
    </row>
    <row r="2166" spans="4:4" customFormat="1">
      <c r="D2166" s="183"/>
    </row>
    <row r="2167" spans="4:4" customFormat="1">
      <c r="D2167" s="183"/>
    </row>
    <row r="2168" spans="4:4" customFormat="1">
      <c r="D2168" s="183"/>
    </row>
    <row r="2169" spans="4:4" customFormat="1">
      <c r="D2169" s="183"/>
    </row>
    <row r="2170" spans="4:4" customFormat="1">
      <c r="D2170" s="183"/>
    </row>
    <row r="2171" spans="4:4" customFormat="1">
      <c r="D2171" s="183"/>
    </row>
    <row r="2172" spans="4:4" customFormat="1">
      <c r="D2172" s="183"/>
    </row>
    <row r="2173" spans="4:4" customFormat="1">
      <c r="D2173" s="183"/>
    </row>
    <row r="2174" spans="4:4" customFormat="1">
      <c r="D2174" s="183"/>
    </row>
    <row r="2175" spans="4:4" customFormat="1">
      <c r="D2175" s="183"/>
    </row>
    <row r="2176" spans="4:4" customFormat="1">
      <c r="D2176" s="183"/>
    </row>
    <row r="2177" spans="4:4" customFormat="1">
      <c r="D2177" s="183"/>
    </row>
    <row r="2178" spans="4:4" customFormat="1">
      <c r="D2178" s="183"/>
    </row>
    <row r="2179" spans="4:4" customFormat="1">
      <c r="D2179" s="183"/>
    </row>
    <row r="2180" spans="4:4" customFormat="1">
      <c r="D2180" s="183"/>
    </row>
    <row r="2181" spans="4:4" customFormat="1">
      <c r="D2181" s="183"/>
    </row>
    <row r="2182" spans="4:4" customFormat="1">
      <c r="D2182" s="183"/>
    </row>
    <row r="2183" spans="4:4" customFormat="1">
      <c r="D2183" s="183"/>
    </row>
    <row r="2184" spans="4:4" customFormat="1">
      <c r="D2184" s="183"/>
    </row>
    <row r="2185" spans="4:4" customFormat="1">
      <c r="D2185" s="183"/>
    </row>
    <row r="2186" spans="4:4" customFormat="1">
      <c r="D2186" s="183"/>
    </row>
    <row r="2187" spans="4:4" customFormat="1">
      <c r="D2187" s="183"/>
    </row>
    <row r="2188" spans="4:4" customFormat="1">
      <c r="D2188" s="183"/>
    </row>
    <row r="2189" spans="4:4" customFormat="1">
      <c r="D2189" s="183"/>
    </row>
    <row r="2190" spans="4:4" customFormat="1">
      <c r="D2190" s="183"/>
    </row>
    <row r="2191" spans="4:4" customFormat="1">
      <c r="D2191" s="183"/>
    </row>
    <row r="2192" spans="4:4" customFormat="1">
      <c r="D2192" s="183"/>
    </row>
    <row r="2193" spans="4:4" customFormat="1">
      <c r="D2193" s="183"/>
    </row>
    <row r="2194" spans="4:4" customFormat="1">
      <c r="D2194" s="183"/>
    </row>
    <row r="2195" spans="4:4" customFormat="1">
      <c r="D2195" s="183"/>
    </row>
    <row r="2196" spans="4:4" customFormat="1">
      <c r="D2196" s="183"/>
    </row>
    <row r="2197" spans="4:4" customFormat="1">
      <c r="D2197" s="183"/>
    </row>
    <row r="2198" spans="4:4" customFormat="1">
      <c r="D2198" s="183"/>
    </row>
    <row r="2199" spans="4:4" customFormat="1">
      <c r="D2199" s="183"/>
    </row>
    <row r="2200" spans="4:4" customFormat="1">
      <c r="D2200" s="183"/>
    </row>
    <row r="2201" spans="4:4" customFormat="1">
      <c r="D2201" s="183"/>
    </row>
    <row r="2202" spans="4:4" customFormat="1">
      <c r="D2202" s="183"/>
    </row>
    <row r="2203" spans="4:4" customFormat="1">
      <c r="D2203" s="183"/>
    </row>
    <row r="2204" spans="4:4" customFormat="1">
      <c r="D2204" s="183"/>
    </row>
    <row r="2205" spans="4:4" customFormat="1">
      <c r="D2205" s="183"/>
    </row>
    <row r="2206" spans="4:4" customFormat="1">
      <c r="D2206" s="183"/>
    </row>
    <row r="2207" spans="4:4" customFormat="1">
      <c r="D2207" s="183"/>
    </row>
    <row r="2208" spans="4:4" customFormat="1">
      <c r="D2208" s="183"/>
    </row>
    <row r="2209" spans="4:4" customFormat="1">
      <c r="D2209" s="183"/>
    </row>
    <row r="2210" spans="4:4" customFormat="1">
      <c r="D2210" s="183"/>
    </row>
    <row r="2211" spans="4:4" customFormat="1">
      <c r="D2211" s="183"/>
    </row>
    <row r="2212" spans="4:4" customFormat="1">
      <c r="D2212" s="183"/>
    </row>
    <row r="2213" spans="4:4" customFormat="1">
      <c r="D2213" s="183"/>
    </row>
    <row r="2214" spans="4:4" customFormat="1">
      <c r="D2214" s="183"/>
    </row>
    <row r="2215" spans="4:4" customFormat="1">
      <c r="D2215" s="183"/>
    </row>
    <row r="2216" spans="4:4" customFormat="1">
      <c r="D2216" s="183"/>
    </row>
    <row r="2217" spans="4:4" customFormat="1">
      <c r="D2217" s="183"/>
    </row>
    <row r="2218" spans="4:4" customFormat="1">
      <c r="D2218" s="183"/>
    </row>
    <row r="2219" spans="4:4" customFormat="1">
      <c r="D2219" s="183"/>
    </row>
    <row r="2220" spans="4:4" customFormat="1">
      <c r="D2220" s="183"/>
    </row>
    <row r="2221" spans="4:4" customFormat="1">
      <c r="D2221" s="183"/>
    </row>
    <row r="2222" spans="4:4" customFormat="1">
      <c r="D2222" s="183"/>
    </row>
    <row r="2223" spans="4:4" customFormat="1">
      <c r="D2223" s="183"/>
    </row>
    <row r="2224" spans="4:4" customFormat="1">
      <c r="D2224" s="183"/>
    </row>
    <row r="2225" spans="2:26" customFormat="1">
      <c r="D2225" s="183"/>
    </row>
    <row r="2226" spans="2:26" customFormat="1">
      <c r="D2226" s="183"/>
    </row>
    <row r="2227" spans="2:26" customFormat="1">
      <c r="D2227" s="183"/>
    </row>
    <row r="2228" spans="2:26" customFormat="1">
      <c r="D2228" s="183"/>
    </row>
    <row r="2229" spans="2:26" customFormat="1">
      <c r="D2229" s="183"/>
    </row>
    <row r="2230" spans="2:26" customFormat="1">
      <c r="D2230" s="183"/>
    </row>
    <row r="2231" spans="2:26" ht="15">
      <c r="B2231" s="191"/>
      <c r="L2231" s="287"/>
      <c r="Q2231" s="219"/>
      <c r="R2231" s="183"/>
      <c r="S2231" s="183"/>
      <c r="T2231" s="183"/>
      <c r="U2231" s="183"/>
      <c r="V2231" s="183"/>
      <c r="W2231" s="183"/>
      <c r="X2231" s="183"/>
      <c r="Y2231" s="183"/>
      <c r="Z2231" s="183"/>
    </row>
    <row r="2232" spans="2:26" ht="15">
      <c r="B2232" s="191"/>
      <c r="L2232" s="287"/>
      <c r="Q2232" s="219"/>
      <c r="R2232" s="183"/>
      <c r="S2232" s="183"/>
      <c r="T2232" s="183"/>
      <c r="U2232" s="183"/>
      <c r="V2232" s="183"/>
      <c r="W2232" s="183"/>
      <c r="X2232" s="183"/>
      <c r="Y2232" s="183"/>
      <c r="Z2232" s="183"/>
    </row>
    <row r="2233" spans="2:26" ht="15">
      <c r="B2233" s="191"/>
      <c r="L2233" s="287"/>
      <c r="Q2233" s="219"/>
      <c r="R2233" s="183"/>
      <c r="S2233" s="183"/>
      <c r="T2233" s="183"/>
      <c r="U2233" s="183"/>
      <c r="V2233" s="183"/>
      <c r="W2233" s="183"/>
      <c r="X2233" s="183"/>
      <c r="Y2233" s="183"/>
      <c r="Z2233" s="183"/>
    </row>
    <row r="2234" spans="2:26" ht="15">
      <c r="B2234" s="191"/>
      <c r="L2234" s="287"/>
      <c r="Q2234" s="219"/>
      <c r="R2234" s="183"/>
      <c r="S2234" s="183"/>
      <c r="T2234" s="183"/>
      <c r="U2234" s="183"/>
      <c r="V2234" s="183"/>
      <c r="W2234" s="183"/>
      <c r="X2234" s="183"/>
      <c r="Y2234" s="183"/>
      <c r="Z2234" s="183"/>
    </row>
    <row r="2235" spans="2:26" ht="15">
      <c r="B2235" s="191"/>
      <c r="L2235" s="287"/>
      <c r="Q2235" s="219"/>
      <c r="R2235" s="183"/>
      <c r="S2235" s="183"/>
      <c r="T2235" s="183"/>
      <c r="U2235" s="183"/>
      <c r="V2235" s="183"/>
      <c r="W2235" s="183"/>
      <c r="X2235" s="183"/>
      <c r="Y2235" s="183"/>
      <c r="Z2235" s="183"/>
    </row>
    <row r="2236" spans="2:26" ht="15">
      <c r="B2236" s="191"/>
      <c r="L2236" s="287"/>
      <c r="Q2236" s="219"/>
      <c r="R2236" s="183"/>
      <c r="S2236" s="183"/>
      <c r="T2236" s="183"/>
      <c r="U2236" s="183"/>
      <c r="V2236" s="183"/>
      <c r="W2236" s="183"/>
      <c r="X2236" s="183"/>
      <c r="Y2236" s="183"/>
      <c r="Z2236" s="183"/>
    </row>
    <row r="2237" spans="2:26" ht="15">
      <c r="B2237" s="191"/>
      <c r="L2237" s="287"/>
      <c r="Q2237" s="219"/>
      <c r="R2237" s="183"/>
      <c r="S2237" s="183"/>
      <c r="T2237" s="183"/>
      <c r="U2237" s="183"/>
      <c r="V2237" s="183"/>
      <c r="W2237" s="183"/>
      <c r="X2237" s="183"/>
      <c r="Y2237" s="183"/>
      <c r="Z2237" s="183"/>
    </row>
    <row r="2238" spans="2:26" ht="15">
      <c r="B2238" s="191"/>
      <c r="L2238" s="287"/>
      <c r="Q2238" s="219"/>
      <c r="R2238" s="183"/>
      <c r="S2238" s="183"/>
      <c r="T2238" s="183"/>
      <c r="U2238" s="183"/>
      <c r="V2238" s="183"/>
      <c r="W2238" s="183"/>
      <c r="X2238" s="183"/>
      <c r="Y2238" s="183"/>
      <c r="Z2238" s="183"/>
    </row>
    <row r="2239" spans="2:26" ht="15">
      <c r="B2239" s="191"/>
      <c r="L2239" s="287"/>
      <c r="Q2239" s="219"/>
      <c r="R2239" s="183"/>
      <c r="S2239" s="183"/>
      <c r="T2239" s="183"/>
      <c r="U2239" s="183"/>
      <c r="V2239" s="183"/>
      <c r="W2239" s="183"/>
      <c r="X2239" s="183"/>
      <c r="Y2239" s="183"/>
      <c r="Z2239" s="183"/>
    </row>
    <row r="2240" spans="2:26" ht="15">
      <c r="B2240" s="191"/>
      <c r="L2240" s="287"/>
      <c r="Q2240" s="219"/>
      <c r="R2240" s="183"/>
      <c r="S2240" s="183"/>
      <c r="T2240" s="183"/>
      <c r="U2240" s="183"/>
      <c r="V2240" s="183"/>
      <c r="W2240" s="183"/>
      <c r="X2240" s="183"/>
      <c r="Y2240" s="183"/>
      <c r="Z2240" s="183"/>
    </row>
    <row r="2241" spans="2:26" ht="15">
      <c r="B2241" s="191"/>
      <c r="L2241" s="287"/>
      <c r="Q2241" s="219"/>
      <c r="R2241" s="183"/>
      <c r="S2241" s="183"/>
      <c r="T2241" s="183"/>
      <c r="U2241" s="183"/>
      <c r="V2241" s="183"/>
      <c r="W2241" s="183"/>
      <c r="X2241" s="183"/>
      <c r="Y2241" s="183"/>
      <c r="Z2241" s="183"/>
    </row>
    <row r="2242" spans="2:26" ht="15">
      <c r="B2242" s="191"/>
      <c r="L2242" s="287"/>
      <c r="R2242" s="183"/>
      <c r="S2242" s="183"/>
      <c r="T2242" s="183"/>
      <c r="U2242" s="183"/>
      <c r="V2242" s="183"/>
      <c r="W2242" s="183"/>
      <c r="X2242" s="183"/>
      <c r="Y2242" s="183"/>
      <c r="Z2242" s="183"/>
    </row>
    <row r="2243" spans="2:26" ht="15">
      <c r="B2243" s="191"/>
      <c r="L2243" s="287"/>
      <c r="R2243" s="183"/>
      <c r="S2243" s="183"/>
      <c r="T2243" s="183"/>
      <c r="U2243" s="183"/>
      <c r="V2243" s="183"/>
      <c r="W2243" s="183"/>
      <c r="X2243" s="183"/>
      <c r="Y2243" s="183"/>
      <c r="Z2243" s="183"/>
    </row>
    <row r="2244" spans="2:26" ht="15">
      <c r="B2244" s="191"/>
      <c r="L2244" s="287"/>
      <c r="R2244" s="183"/>
      <c r="S2244" s="183"/>
      <c r="T2244" s="183"/>
      <c r="U2244" s="183"/>
      <c r="V2244" s="183"/>
      <c r="W2244" s="183"/>
      <c r="X2244" s="183"/>
      <c r="Y2244" s="183"/>
      <c r="Z2244" s="183"/>
    </row>
    <row r="2245" spans="2:26" ht="15">
      <c r="B2245" s="191"/>
      <c r="L2245" s="287"/>
      <c r="R2245" s="183"/>
      <c r="S2245" s="183"/>
      <c r="T2245" s="183"/>
      <c r="U2245" s="183"/>
      <c r="V2245" s="183"/>
      <c r="W2245" s="183"/>
      <c r="X2245" s="183"/>
      <c r="Y2245" s="183"/>
      <c r="Z2245" s="183"/>
    </row>
    <row r="2246" spans="2:26" ht="15">
      <c r="B2246" s="191"/>
      <c r="L2246" s="287"/>
      <c r="R2246" s="183"/>
      <c r="S2246" s="183"/>
      <c r="T2246" s="183"/>
      <c r="U2246" s="183"/>
      <c r="V2246" s="183"/>
      <c r="W2246" s="183"/>
      <c r="X2246" s="183"/>
      <c r="Y2246" s="183"/>
      <c r="Z2246" s="183"/>
    </row>
    <row r="2247" spans="2:26" ht="15">
      <c r="B2247" s="191"/>
      <c r="L2247" s="287"/>
      <c r="R2247" s="183"/>
      <c r="S2247" s="183"/>
      <c r="T2247" s="183"/>
      <c r="U2247" s="183"/>
      <c r="V2247" s="183"/>
      <c r="W2247" s="183"/>
      <c r="X2247" s="183"/>
      <c r="Y2247" s="183"/>
      <c r="Z2247" s="183"/>
    </row>
    <row r="2248" spans="2:26" ht="15">
      <c r="B2248" s="191"/>
      <c r="L2248" s="287"/>
      <c r="R2248" s="183"/>
      <c r="S2248" s="183"/>
      <c r="T2248" s="183"/>
      <c r="U2248" s="183"/>
      <c r="V2248" s="183"/>
      <c r="W2248" s="183"/>
      <c r="X2248" s="183"/>
      <c r="Y2248" s="183"/>
      <c r="Z2248" s="183"/>
    </row>
    <row r="2249" spans="2:26" ht="15">
      <c r="B2249" s="191"/>
      <c r="L2249" s="287"/>
      <c r="R2249" s="183"/>
      <c r="S2249" s="183"/>
      <c r="T2249" s="183"/>
      <c r="U2249" s="183"/>
      <c r="V2249" s="183"/>
      <c r="W2249" s="183"/>
      <c r="X2249" s="183"/>
      <c r="Y2249" s="183"/>
      <c r="Z2249" s="183"/>
    </row>
    <row r="2250" spans="2:26" ht="15">
      <c r="B2250" s="191"/>
      <c r="L2250" s="287"/>
      <c r="R2250" s="183"/>
      <c r="S2250" s="183"/>
      <c r="T2250" s="183"/>
      <c r="U2250" s="183"/>
      <c r="V2250" s="183"/>
      <c r="W2250" s="183"/>
      <c r="X2250" s="183"/>
      <c r="Y2250" s="183"/>
      <c r="Z2250" s="183"/>
    </row>
    <row r="2251" spans="2:26" ht="15">
      <c r="B2251" s="191"/>
      <c r="L2251" s="287"/>
      <c r="R2251" s="183"/>
      <c r="S2251" s="183"/>
      <c r="T2251" s="183"/>
      <c r="U2251" s="183"/>
      <c r="V2251" s="183"/>
      <c r="W2251" s="183"/>
      <c r="X2251" s="183"/>
      <c r="Y2251" s="183"/>
      <c r="Z2251" s="183"/>
    </row>
    <row r="2252" spans="2:26" ht="15">
      <c r="B2252" s="191"/>
      <c r="L2252" s="287"/>
      <c r="R2252" s="183"/>
      <c r="S2252" s="183"/>
      <c r="T2252" s="183"/>
      <c r="U2252" s="183"/>
      <c r="V2252" s="183"/>
      <c r="W2252" s="183"/>
      <c r="X2252" s="183"/>
      <c r="Y2252" s="183"/>
      <c r="Z2252" s="183"/>
    </row>
    <row r="2253" spans="2:26" ht="15">
      <c r="B2253" s="191"/>
      <c r="L2253" s="287"/>
      <c r="R2253" s="183"/>
      <c r="S2253" s="183"/>
      <c r="T2253" s="183"/>
      <c r="U2253" s="183"/>
      <c r="V2253" s="183"/>
      <c r="W2253" s="183"/>
      <c r="X2253" s="183"/>
      <c r="Y2253" s="183"/>
      <c r="Z2253" s="183"/>
    </row>
    <row r="2254" spans="2:26" ht="15">
      <c r="B2254" s="191"/>
      <c r="L2254" s="287"/>
      <c r="R2254" s="183"/>
      <c r="S2254" s="183"/>
      <c r="T2254" s="183"/>
      <c r="U2254" s="183"/>
      <c r="V2254" s="183"/>
      <c r="W2254" s="183"/>
      <c r="X2254" s="183"/>
      <c r="Y2254" s="183"/>
      <c r="Z2254" s="183"/>
    </row>
    <row r="2255" spans="2:26" ht="15">
      <c r="B2255" s="191"/>
      <c r="L2255" s="287"/>
      <c r="R2255" s="183"/>
      <c r="S2255" s="183"/>
      <c r="T2255" s="183"/>
      <c r="U2255" s="183"/>
      <c r="V2255" s="183"/>
      <c r="W2255" s="183"/>
      <c r="X2255" s="183"/>
      <c r="Y2255" s="183"/>
      <c r="Z2255" s="183"/>
    </row>
    <row r="2256" spans="2:26" ht="15">
      <c r="B2256" s="191"/>
      <c r="L2256" s="287"/>
      <c r="M2256" s="183"/>
      <c r="N2256" s="183"/>
      <c r="O2256" s="183"/>
      <c r="P2256" s="183"/>
      <c r="Q2256" s="183"/>
      <c r="R2256" s="183"/>
      <c r="S2256" s="183"/>
      <c r="T2256" s="183"/>
      <c r="U2256" s="183"/>
      <c r="V2256" s="183"/>
      <c r="W2256" s="183"/>
      <c r="X2256" s="183"/>
      <c r="Y2256" s="183"/>
      <c r="Z2256" s="183"/>
    </row>
    <row r="2257" spans="2:26" ht="15">
      <c r="B2257" s="191"/>
      <c r="L2257" s="287"/>
      <c r="M2257" s="183"/>
      <c r="N2257" s="183"/>
      <c r="O2257" s="183"/>
      <c r="P2257" s="183"/>
      <c r="Q2257" s="183"/>
      <c r="R2257" s="183"/>
      <c r="S2257" s="183"/>
      <c r="T2257" s="183"/>
      <c r="U2257" s="183"/>
      <c r="V2257" s="183"/>
      <c r="W2257" s="183"/>
      <c r="X2257" s="183"/>
      <c r="Y2257" s="183"/>
      <c r="Z2257" s="183"/>
    </row>
    <row r="2258" spans="2:26" ht="15">
      <c r="B2258" s="191"/>
      <c r="L2258" s="287"/>
      <c r="M2258" s="183"/>
      <c r="N2258" s="183"/>
      <c r="O2258" s="183"/>
      <c r="P2258" s="183"/>
      <c r="Q2258" s="183"/>
      <c r="R2258" s="183"/>
      <c r="S2258" s="183"/>
      <c r="T2258" s="183"/>
      <c r="U2258" s="183"/>
      <c r="V2258" s="183"/>
      <c r="W2258" s="183"/>
      <c r="X2258" s="183"/>
      <c r="Y2258" s="183"/>
      <c r="Z2258" s="183"/>
    </row>
    <row r="2259" spans="2:26" ht="15">
      <c r="B2259" s="191"/>
      <c r="L2259" s="287"/>
      <c r="M2259" s="183"/>
      <c r="N2259" s="183"/>
      <c r="O2259" s="183"/>
      <c r="P2259" s="183"/>
      <c r="Q2259" s="183"/>
      <c r="R2259" s="183"/>
      <c r="S2259" s="183"/>
      <c r="T2259" s="183"/>
      <c r="U2259" s="183"/>
      <c r="V2259" s="183"/>
      <c r="W2259" s="183"/>
      <c r="X2259" s="183"/>
      <c r="Y2259" s="183"/>
      <c r="Z2259" s="183"/>
    </row>
    <row r="2260" spans="2:26" ht="15">
      <c r="B2260" s="191"/>
      <c r="L2260" s="287"/>
      <c r="M2260" s="183"/>
      <c r="N2260" s="183"/>
      <c r="O2260" s="183"/>
      <c r="P2260" s="183"/>
      <c r="Q2260" s="183"/>
      <c r="R2260" s="183"/>
      <c r="S2260" s="183"/>
      <c r="T2260" s="183"/>
      <c r="U2260" s="183"/>
      <c r="V2260" s="183"/>
      <c r="W2260" s="183"/>
      <c r="X2260" s="183"/>
      <c r="Y2260" s="183"/>
      <c r="Z2260" s="183"/>
    </row>
    <row r="2261" spans="2:26" ht="15">
      <c r="B2261" s="191"/>
      <c r="L2261" s="287"/>
      <c r="M2261" s="183"/>
      <c r="N2261" s="183"/>
      <c r="O2261" s="183"/>
      <c r="P2261" s="183"/>
      <c r="Q2261" s="183"/>
      <c r="R2261" s="183"/>
      <c r="S2261" s="183"/>
      <c r="T2261" s="183"/>
      <c r="U2261" s="183"/>
      <c r="V2261" s="183"/>
      <c r="W2261" s="183"/>
      <c r="X2261" s="183"/>
      <c r="Y2261" s="183"/>
      <c r="Z2261" s="183"/>
    </row>
    <row r="2262" spans="2:26" ht="15">
      <c r="B2262" s="191"/>
      <c r="L2262" s="287"/>
      <c r="M2262" s="183"/>
      <c r="N2262" s="183"/>
      <c r="O2262" s="183"/>
      <c r="P2262" s="183"/>
      <c r="Q2262" s="183"/>
      <c r="R2262" s="183"/>
      <c r="S2262" s="183"/>
      <c r="T2262" s="183"/>
      <c r="U2262" s="183"/>
      <c r="V2262" s="183"/>
      <c r="W2262" s="183"/>
      <c r="X2262" s="183"/>
      <c r="Y2262" s="183"/>
      <c r="Z2262" s="183"/>
    </row>
    <row r="2263" spans="2:26" ht="15">
      <c r="B2263" s="191"/>
      <c r="L2263" s="287"/>
      <c r="M2263" s="183"/>
      <c r="N2263" s="183"/>
      <c r="O2263" s="183"/>
      <c r="P2263" s="183"/>
      <c r="Q2263" s="183"/>
      <c r="R2263" s="183"/>
      <c r="S2263" s="183"/>
      <c r="T2263" s="183"/>
      <c r="U2263" s="183"/>
      <c r="V2263" s="183"/>
      <c r="W2263" s="183"/>
      <c r="X2263" s="183"/>
      <c r="Y2263" s="183"/>
      <c r="Z2263" s="183"/>
    </row>
    <row r="2264" spans="2:26" ht="15">
      <c r="B2264" s="191"/>
      <c r="L2264" s="287"/>
      <c r="M2264" s="183"/>
      <c r="N2264" s="183"/>
      <c r="O2264" s="183"/>
      <c r="P2264" s="183"/>
      <c r="Q2264" s="183"/>
      <c r="R2264" s="183"/>
      <c r="S2264" s="183"/>
      <c r="T2264" s="183"/>
      <c r="U2264" s="183"/>
      <c r="V2264" s="183"/>
      <c r="W2264" s="183"/>
      <c r="X2264" s="183"/>
      <c r="Y2264" s="183"/>
      <c r="Z2264" s="183"/>
    </row>
    <row r="2265" spans="2:26" ht="15">
      <c r="B2265" s="191"/>
      <c r="L2265" s="287"/>
      <c r="M2265" s="183"/>
      <c r="N2265" s="183"/>
      <c r="O2265" s="183"/>
      <c r="P2265" s="183"/>
      <c r="Q2265" s="183"/>
      <c r="R2265" s="183"/>
      <c r="S2265" s="183"/>
      <c r="T2265" s="183"/>
      <c r="U2265" s="183"/>
      <c r="V2265" s="183"/>
      <c r="W2265" s="183"/>
      <c r="X2265" s="183"/>
      <c r="Y2265" s="183"/>
      <c r="Z2265" s="183"/>
    </row>
    <row r="2266" spans="2:26" ht="15">
      <c r="B2266" s="191"/>
      <c r="L2266" s="287"/>
      <c r="M2266" s="183"/>
      <c r="N2266" s="183"/>
      <c r="O2266" s="183"/>
      <c r="P2266" s="183"/>
      <c r="Q2266" s="183"/>
      <c r="R2266" s="183"/>
      <c r="S2266" s="183"/>
      <c r="T2266" s="183"/>
      <c r="U2266" s="183"/>
      <c r="V2266" s="183"/>
      <c r="W2266" s="183"/>
      <c r="X2266" s="183"/>
      <c r="Y2266" s="183"/>
      <c r="Z2266" s="183"/>
    </row>
    <row r="2267" spans="2:26" ht="15">
      <c r="B2267" s="191"/>
      <c r="L2267" s="287"/>
      <c r="M2267" s="183"/>
      <c r="N2267" s="183"/>
      <c r="O2267" s="183"/>
      <c r="P2267" s="183"/>
      <c r="Q2267" s="183"/>
      <c r="R2267" s="183"/>
      <c r="S2267" s="183"/>
      <c r="T2267" s="183"/>
      <c r="U2267" s="183"/>
      <c r="V2267" s="183"/>
      <c r="W2267" s="183"/>
      <c r="X2267" s="183"/>
      <c r="Y2267" s="183"/>
      <c r="Z2267" s="183"/>
    </row>
    <row r="2268" spans="2:26" ht="15">
      <c r="B2268" s="191"/>
      <c r="L2268" s="287"/>
      <c r="M2268" s="183"/>
      <c r="N2268" s="183"/>
      <c r="O2268" s="183"/>
      <c r="P2268" s="183"/>
      <c r="Q2268" s="183"/>
      <c r="R2268" s="183"/>
      <c r="S2268" s="183"/>
      <c r="T2268" s="183"/>
      <c r="U2268" s="183"/>
      <c r="V2268" s="183"/>
      <c r="W2268" s="183"/>
      <c r="X2268" s="183"/>
      <c r="Y2268" s="183"/>
      <c r="Z2268" s="183"/>
    </row>
    <row r="2269" spans="2:26" ht="15">
      <c r="B2269" s="191"/>
      <c r="L2269" s="287"/>
      <c r="M2269" s="183"/>
      <c r="N2269" s="183"/>
      <c r="O2269" s="183"/>
      <c r="P2269" s="183"/>
      <c r="Q2269" s="183"/>
      <c r="R2269" s="183"/>
      <c r="S2269" s="183"/>
      <c r="T2269" s="183"/>
      <c r="U2269" s="183"/>
      <c r="V2269" s="183"/>
      <c r="W2269" s="183"/>
      <c r="X2269" s="183"/>
      <c r="Y2269" s="183"/>
      <c r="Z2269" s="183"/>
    </row>
    <row r="2270" spans="2:26" ht="15">
      <c r="B2270" s="191"/>
      <c r="L2270" s="287"/>
      <c r="M2270" s="183"/>
      <c r="N2270" s="183"/>
      <c r="O2270" s="183"/>
      <c r="P2270" s="183"/>
      <c r="Q2270" s="183"/>
      <c r="R2270" s="183"/>
      <c r="S2270" s="183"/>
      <c r="T2270" s="183"/>
      <c r="U2270" s="183"/>
      <c r="V2270" s="183"/>
      <c r="W2270" s="183"/>
      <c r="X2270" s="183"/>
      <c r="Y2270" s="183"/>
      <c r="Z2270" s="183"/>
    </row>
    <row r="2271" spans="2:26" ht="15">
      <c r="B2271" s="191"/>
      <c r="L2271" s="287"/>
      <c r="M2271" s="183"/>
      <c r="N2271" s="183"/>
      <c r="O2271" s="183"/>
      <c r="P2271" s="183"/>
      <c r="Q2271" s="183"/>
      <c r="R2271" s="183"/>
      <c r="S2271" s="183"/>
      <c r="T2271" s="183"/>
      <c r="U2271" s="183"/>
      <c r="V2271" s="183"/>
      <c r="W2271" s="183"/>
      <c r="X2271" s="183"/>
      <c r="Y2271" s="183"/>
      <c r="Z2271" s="183"/>
    </row>
    <row r="2272" spans="2:26" ht="15">
      <c r="B2272" s="191"/>
      <c r="L2272" s="287"/>
      <c r="M2272" s="183"/>
      <c r="N2272" s="183"/>
      <c r="O2272" s="183"/>
      <c r="P2272" s="183"/>
      <c r="Q2272" s="183"/>
      <c r="R2272" s="183"/>
      <c r="S2272" s="183"/>
      <c r="T2272" s="183"/>
      <c r="U2272" s="183"/>
      <c r="V2272" s="183"/>
      <c r="W2272" s="183"/>
      <c r="X2272" s="183"/>
      <c r="Y2272" s="183"/>
      <c r="Z2272" s="183"/>
    </row>
    <row r="2273" spans="2:26" ht="15">
      <c r="B2273" s="191"/>
      <c r="L2273" s="287"/>
      <c r="M2273" s="183"/>
      <c r="N2273" s="183"/>
      <c r="O2273" s="183"/>
      <c r="P2273" s="183"/>
      <c r="Q2273" s="183"/>
      <c r="R2273" s="183"/>
      <c r="S2273" s="183"/>
      <c r="T2273" s="183"/>
      <c r="U2273" s="183"/>
      <c r="V2273" s="183"/>
      <c r="W2273" s="183"/>
      <c r="X2273" s="183"/>
      <c r="Y2273" s="183"/>
      <c r="Z2273" s="183"/>
    </row>
    <row r="2274" spans="2:26" ht="15">
      <c r="B2274" s="191"/>
      <c r="L2274" s="287"/>
      <c r="M2274" s="183"/>
      <c r="N2274" s="183"/>
      <c r="O2274" s="183"/>
      <c r="P2274" s="183"/>
      <c r="Q2274" s="183"/>
      <c r="R2274" s="183"/>
      <c r="S2274" s="183"/>
      <c r="T2274" s="183"/>
      <c r="U2274" s="183"/>
      <c r="V2274" s="183"/>
      <c r="W2274" s="183"/>
      <c r="X2274" s="183"/>
      <c r="Y2274" s="183"/>
      <c r="Z2274" s="183"/>
    </row>
    <row r="2275" spans="2:26" ht="15">
      <c r="B2275" s="191"/>
      <c r="L2275" s="287"/>
      <c r="M2275" s="183"/>
      <c r="N2275" s="183"/>
      <c r="O2275" s="183"/>
      <c r="P2275" s="183"/>
      <c r="Q2275" s="183"/>
      <c r="R2275" s="183"/>
      <c r="S2275" s="183"/>
      <c r="T2275" s="183"/>
      <c r="U2275" s="183"/>
      <c r="V2275" s="183"/>
      <c r="W2275" s="183"/>
      <c r="X2275" s="183"/>
      <c r="Y2275" s="183"/>
      <c r="Z2275" s="183"/>
    </row>
    <row r="2276" spans="2:26" ht="15">
      <c r="B2276" s="191"/>
      <c r="L2276" s="287"/>
      <c r="M2276" s="183"/>
      <c r="N2276" s="183"/>
      <c r="O2276" s="183"/>
      <c r="P2276" s="183"/>
      <c r="Q2276" s="183"/>
      <c r="R2276" s="183"/>
      <c r="S2276" s="183"/>
      <c r="T2276" s="183"/>
      <c r="U2276" s="183"/>
      <c r="V2276" s="183"/>
      <c r="W2276" s="183"/>
      <c r="X2276" s="183"/>
      <c r="Y2276" s="183"/>
      <c r="Z2276" s="183"/>
    </row>
    <row r="2277" spans="2:26" ht="15">
      <c r="B2277" s="191"/>
      <c r="L2277" s="287"/>
      <c r="M2277" s="183"/>
      <c r="N2277" s="183"/>
      <c r="O2277" s="183"/>
      <c r="P2277" s="183"/>
      <c r="Q2277" s="183"/>
      <c r="R2277" s="183"/>
      <c r="S2277" s="183"/>
      <c r="T2277" s="183"/>
      <c r="U2277" s="183"/>
      <c r="V2277" s="183"/>
      <c r="W2277" s="183"/>
      <c r="X2277" s="183"/>
      <c r="Y2277" s="183"/>
      <c r="Z2277" s="183"/>
    </row>
    <row r="2278" spans="2:26" ht="15">
      <c r="B2278" s="191"/>
      <c r="L2278" s="287"/>
      <c r="M2278" s="183"/>
      <c r="N2278" s="183"/>
      <c r="O2278" s="183"/>
      <c r="P2278" s="183"/>
      <c r="Q2278" s="183"/>
      <c r="R2278" s="183"/>
      <c r="S2278" s="183"/>
      <c r="T2278" s="183"/>
      <c r="U2278" s="183"/>
      <c r="V2278" s="183"/>
      <c r="W2278" s="183"/>
      <c r="X2278" s="183"/>
      <c r="Y2278" s="183"/>
      <c r="Z2278" s="183"/>
    </row>
    <row r="2279" spans="2:26">
      <c r="B2279" s="191"/>
      <c r="M2279" s="183"/>
      <c r="N2279" s="183"/>
      <c r="O2279" s="183"/>
      <c r="P2279" s="183"/>
      <c r="Q2279" s="183"/>
      <c r="R2279" s="183"/>
      <c r="S2279" s="183"/>
      <c r="T2279" s="183"/>
      <c r="U2279" s="183"/>
      <c r="V2279" s="183"/>
      <c r="W2279" s="183"/>
      <c r="X2279" s="183"/>
      <c r="Y2279" s="183"/>
      <c r="Z2279" s="183"/>
    </row>
    <row r="2280" spans="2:26">
      <c r="B2280" s="191"/>
      <c r="M2280" s="183"/>
      <c r="N2280" s="183"/>
      <c r="O2280" s="183"/>
      <c r="P2280" s="183"/>
      <c r="Q2280" s="183"/>
      <c r="R2280" s="183"/>
      <c r="S2280" s="183"/>
      <c r="T2280" s="183"/>
      <c r="U2280" s="183"/>
      <c r="V2280" s="183"/>
      <c r="W2280" s="183"/>
      <c r="X2280" s="183"/>
      <c r="Y2280" s="183"/>
      <c r="Z2280" s="183"/>
    </row>
    <row r="2281" spans="2:26">
      <c r="B2281" s="191"/>
      <c r="M2281" s="183"/>
      <c r="N2281" s="183"/>
      <c r="O2281" s="183"/>
      <c r="P2281" s="183"/>
      <c r="Q2281" s="183"/>
      <c r="R2281" s="183"/>
      <c r="S2281" s="183"/>
      <c r="T2281" s="183"/>
      <c r="U2281" s="183"/>
      <c r="V2281" s="183"/>
      <c r="W2281" s="183"/>
      <c r="X2281" s="183"/>
      <c r="Y2281" s="183"/>
      <c r="Z2281" s="183"/>
    </row>
    <row r="2282" spans="2:26">
      <c r="B2282" s="191"/>
      <c r="M2282" s="183"/>
      <c r="N2282" s="183"/>
      <c r="O2282" s="183"/>
      <c r="P2282" s="183"/>
      <c r="Q2282" s="183"/>
      <c r="R2282" s="183"/>
      <c r="S2282" s="183"/>
      <c r="T2282" s="183"/>
      <c r="U2282" s="183"/>
      <c r="V2282" s="183"/>
      <c r="W2282" s="183"/>
      <c r="X2282" s="183"/>
      <c r="Y2282" s="183"/>
      <c r="Z2282" s="183"/>
    </row>
    <row r="2283" spans="2:26">
      <c r="B2283" s="191"/>
      <c r="M2283" s="183"/>
      <c r="N2283" s="183"/>
      <c r="O2283" s="183"/>
      <c r="P2283" s="183"/>
      <c r="Q2283" s="183"/>
      <c r="R2283" s="183"/>
      <c r="S2283" s="183"/>
      <c r="T2283" s="183"/>
      <c r="U2283" s="183"/>
      <c r="V2283" s="183"/>
      <c r="W2283" s="183"/>
      <c r="X2283" s="183"/>
      <c r="Y2283" s="183"/>
      <c r="Z2283" s="183"/>
    </row>
    <row r="2284" spans="2:26">
      <c r="B2284" s="191"/>
      <c r="M2284" s="183"/>
      <c r="N2284" s="183"/>
      <c r="O2284" s="183"/>
      <c r="P2284" s="183"/>
      <c r="Q2284" s="183"/>
      <c r="R2284" s="183"/>
      <c r="S2284" s="183"/>
      <c r="T2284" s="183"/>
      <c r="U2284" s="183"/>
      <c r="V2284" s="183"/>
      <c r="W2284" s="183"/>
      <c r="X2284" s="183"/>
      <c r="Y2284" s="183"/>
      <c r="Z2284" s="183"/>
    </row>
    <row r="2285" spans="2:26">
      <c r="B2285" s="191"/>
      <c r="M2285" s="183"/>
      <c r="N2285" s="183"/>
      <c r="O2285" s="183"/>
      <c r="P2285" s="183"/>
      <c r="Q2285" s="183"/>
      <c r="R2285" s="183"/>
      <c r="S2285" s="183"/>
      <c r="T2285" s="183"/>
      <c r="U2285" s="183"/>
      <c r="V2285" s="183"/>
      <c r="W2285" s="183"/>
      <c r="X2285" s="183"/>
      <c r="Y2285" s="183"/>
      <c r="Z2285" s="183"/>
    </row>
    <row r="2286" spans="2:26">
      <c r="B2286" s="191"/>
      <c r="M2286" s="183"/>
      <c r="N2286" s="183"/>
      <c r="O2286" s="183"/>
      <c r="P2286" s="183"/>
      <c r="Q2286" s="183"/>
      <c r="R2286" s="183"/>
      <c r="S2286" s="183"/>
      <c r="T2286" s="183"/>
      <c r="U2286" s="183"/>
      <c r="V2286" s="183"/>
      <c r="W2286" s="183"/>
      <c r="X2286" s="183"/>
      <c r="Y2286" s="183"/>
      <c r="Z2286" s="183"/>
    </row>
    <row r="2287" spans="2:26">
      <c r="B2287" s="191"/>
      <c r="M2287" s="183"/>
      <c r="N2287" s="183"/>
      <c r="O2287" s="183"/>
      <c r="P2287" s="183"/>
      <c r="Q2287" s="183"/>
      <c r="R2287" s="183"/>
      <c r="S2287" s="183"/>
      <c r="T2287" s="183"/>
      <c r="U2287" s="183"/>
      <c r="V2287" s="183"/>
      <c r="W2287" s="183"/>
      <c r="X2287" s="183"/>
      <c r="Y2287" s="183"/>
      <c r="Z2287" s="183"/>
    </row>
    <row r="2288" spans="2:26">
      <c r="B2288" s="191"/>
      <c r="D2288" s="183"/>
      <c r="I2288" s="183"/>
      <c r="J2288" s="183"/>
      <c r="L2288" s="183"/>
      <c r="M2288" s="183"/>
      <c r="N2288" s="183"/>
      <c r="O2288" s="183"/>
      <c r="P2288" s="183"/>
      <c r="Q2288" s="183"/>
      <c r="R2288" s="183"/>
      <c r="S2288" s="183"/>
      <c r="T2288" s="183"/>
      <c r="U2288" s="183"/>
      <c r="V2288" s="183"/>
      <c r="W2288" s="183"/>
      <c r="X2288" s="183"/>
      <c r="Y2288" s="183"/>
      <c r="Z2288" s="183"/>
    </row>
    <row r="2289" spans="2:26">
      <c r="B2289" s="191"/>
      <c r="D2289" s="183"/>
      <c r="I2289" s="183"/>
      <c r="J2289" s="183"/>
      <c r="L2289" s="183"/>
      <c r="M2289" s="183"/>
      <c r="N2289" s="183"/>
      <c r="O2289" s="183"/>
      <c r="P2289" s="183"/>
      <c r="Q2289" s="183"/>
      <c r="R2289" s="183"/>
      <c r="S2289" s="183"/>
      <c r="T2289" s="183"/>
      <c r="U2289" s="183"/>
      <c r="V2289" s="183"/>
      <c r="W2289" s="183"/>
      <c r="X2289" s="183"/>
      <c r="Y2289" s="183"/>
      <c r="Z2289" s="183"/>
    </row>
    <row r="2290" spans="2:26">
      <c r="B2290" s="191"/>
      <c r="D2290" s="183"/>
      <c r="I2290" s="183"/>
      <c r="J2290" s="183"/>
      <c r="L2290" s="183"/>
      <c r="M2290" s="183"/>
      <c r="N2290" s="183"/>
      <c r="O2290" s="183"/>
      <c r="P2290" s="183"/>
      <c r="Q2290" s="183"/>
      <c r="R2290" s="183"/>
      <c r="S2290" s="183"/>
      <c r="T2290" s="183"/>
      <c r="U2290" s="183"/>
      <c r="V2290" s="183"/>
      <c r="W2290" s="183"/>
      <c r="X2290" s="183"/>
      <c r="Y2290" s="183"/>
      <c r="Z2290" s="183"/>
    </row>
    <row r="2291" spans="2:26">
      <c r="B2291" s="191"/>
      <c r="D2291" s="183"/>
      <c r="I2291" s="183"/>
      <c r="J2291" s="183"/>
      <c r="L2291" s="183"/>
      <c r="M2291" s="183"/>
      <c r="N2291" s="183"/>
      <c r="O2291" s="183"/>
      <c r="P2291" s="183"/>
      <c r="Q2291" s="183"/>
      <c r="R2291" s="183"/>
      <c r="S2291" s="183"/>
      <c r="T2291" s="183"/>
      <c r="U2291" s="183"/>
      <c r="V2291" s="183"/>
      <c r="W2291" s="183"/>
      <c r="X2291" s="183"/>
      <c r="Y2291" s="183"/>
      <c r="Z2291" s="183"/>
    </row>
    <row r="2292" spans="2:26">
      <c r="B2292" s="191"/>
      <c r="D2292" s="183"/>
      <c r="I2292" s="183"/>
      <c r="J2292" s="183"/>
      <c r="L2292" s="183"/>
      <c r="M2292" s="183"/>
      <c r="N2292" s="183"/>
      <c r="O2292" s="183"/>
      <c r="P2292" s="183"/>
      <c r="Q2292" s="183"/>
      <c r="R2292" s="183"/>
      <c r="S2292" s="183"/>
      <c r="T2292" s="183"/>
      <c r="U2292" s="183"/>
      <c r="V2292" s="183"/>
      <c r="W2292" s="183"/>
      <c r="X2292" s="183"/>
      <c r="Y2292" s="183"/>
      <c r="Z2292" s="183"/>
    </row>
    <row r="2293" spans="2:26">
      <c r="B2293" s="191"/>
      <c r="D2293" s="183"/>
      <c r="I2293" s="183"/>
      <c r="J2293" s="183"/>
      <c r="L2293" s="183"/>
      <c r="M2293" s="183"/>
      <c r="N2293" s="183"/>
      <c r="O2293" s="183"/>
      <c r="P2293" s="183"/>
      <c r="Q2293" s="183"/>
      <c r="R2293" s="183"/>
      <c r="S2293" s="183"/>
      <c r="T2293" s="183"/>
      <c r="U2293" s="183"/>
      <c r="V2293" s="183"/>
      <c r="W2293" s="183"/>
      <c r="X2293" s="183"/>
      <c r="Y2293" s="183"/>
      <c r="Z2293" s="183"/>
    </row>
    <row r="2294" spans="2:26">
      <c r="B2294" s="191"/>
      <c r="D2294" s="183"/>
      <c r="I2294" s="183"/>
      <c r="J2294" s="183"/>
      <c r="L2294" s="183"/>
      <c r="M2294" s="183"/>
      <c r="N2294" s="183"/>
      <c r="O2294" s="183"/>
      <c r="P2294" s="183"/>
      <c r="Q2294" s="183"/>
      <c r="R2294" s="183"/>
      <c r="S2294" s="183"/>
      <c r="T2294" s="183"/>
      <c r="U2294" s="183"/>
      <c r="V2294" s="183"/>
      <c r="W2294" s="183"/>
      <c r="X2294" s="183"/>
      <c r="Y2294" s="183"/>
      <c r="Z2294" s="183"/>
    </row>
    <row r="2295" spans="2:26">
      <c r="B2295" s="191"/>
      <c r="D2295" s="183"/>
      <c r="I2295" s="183"/>
      <c r="J2295" s="183"/>
      <c r="L2295" s="183"/>
      <c r="M2295" s="183"/>
      <c r="N2295" s="183"/>
      <c r="O2295" s="183"/>
      <c r="P2295" s="183"/>
      <c r="Q2295" s="183"/>
      <c r="R2295" s="183"/>
      <c r="S2295" s="183"/>
      <c r="T2295" s="183"/>
      <c r="U2295" s="183"/>
      <c r="V2295" s="183"/>
      <c r="W2295" s="183"/>
      <c r="X2295" s="183"/>
      <c r="Y2295" s="183"/>
      <c r="Z2295" s="183"/>
    </row>
    <row r="2296" spans="2:26">
      <c r="B2296" s="191"/>
      <c r="D2296" s="183"/>
      <c r="I2296" s="183"/>
      <c r="J2296" s="183"/>
      <c r="L2296" s="183"/>
      <c r="M2296" s="183"/>
      <c r="N2296" s="183"/>
      <c r="O2296" s="183"/>
      <c r="P2296" s="183"/>
      <c r="Q2296" s="183"/>
      <c r="R2296" s="183"/>
      <c r="S2296" s="183"/>
      <c r="T2296" s="183"/>
      <c r="U2296" s="183"/>
      <c r="V2296" s="183"/>
      <c r="W2296" s="183"/>
      <c r="X2296" s="183"/>
      <c r="Y2296" s="183"/>
      <c r="Z2296" s="183"/>
    </row>
    <row r="2297" spans="2:26">
      <c r="B2297" s="191"/>
      <c r="D2297" s="183"/>
      <c r="I2297" s="183"/>
      <c r="J2297" s="183"/>
      <c r="L2297" s="183"/>
      <c r="M2297" s="183"/>
      <c r="N2297" s="183"/>
      <c r="O2297" s="183"/>
      <c r="P2297" s="183"/>
      <c r="Q2297" s="183"/>
      <c r="R2297" s="183"/>
      <c r="S2297" s="183"/>
      <c r="T2297" s="183"/>
      <c r="U2297" s="183"/>
      <c r="V2297" s="183"/>
      <c r="W2297" s="183"/>
      <c r="X2297" s="183"/>
      <c r="Y2297" s="183"/>
      <c r="Z2297" s="183"/>
    </row>
    <row r="2298" spans="2:26">
      <c r="B2298" s="191"/>
      <c r="D2298" s="183"/>
      <c r="I2298" s="183"/>
      <c r="J2298" s="183"/>
      <c r="L2298" s="183"/>
      <c r="M2298" s="183"/>
      <c r="N2298" s="183"/>
      <c r="O2298" s="183"/>
      <c r="P2298" s="183"/>
      <c r="Q2298" s="183"/>
      <c r="R2298" s="183"/>
      <c r="S2298" s="183"/>
      <c r="T2298" s="183"/>
      <c r="U2298" s="183"/>
      <c r="V2298" s="183"/>
      <c r="W2298" s="183"/>
      <c r="X2298" s="183"/>
      <c r="Y2298" s="183"/>
      <c r="Z2298" s="183"/>
    </row>
    <row r="2299" spans="2:26">
      <c r="B2299" s="191"/>
      <c r="D2299" s="183"/>
      <c r="I2299" s="183"/>
      <c r="J2299" s="183"/>
      <c r="L2299" s="183"/>
      <c r="M2299" s="183"/>
      <c r="N2299" s="183"/>
      <c r="O2299" s="183"/>
      <c r="P2299" s="183"/>
      <c r="Q2299" s="183"/>
      <c r="R2299" s="183"/>
      <c r="S2299" s="183"/>
      <c r="T2299" s="183"/>
      <c r="U2299" s="183"/>
      <c r="V2299" s="183"/>
      <c r="W2299" s="183"/>
      <c r="X2299" s="183"/>
      <c r="Y2299" s="183"/>
      <c r="Z2299" s="183"/>
    </row>
    <row r="2300" spans="2:26">
      <c r="B2300" s="191"/>
      <c r="D2300" s="183"/>
      <c r="I2300" s="183"/>
      <c r="J2300" s="183"/>
      <c r="L2300" s="183"/>
      <c r="M2300" s="183"/>
      <c r="N2300" s="183"/>
      <c r="O2300" s="183"/>
      <c r="P2300" s="183"/>
      <c r="Q2300" s="183"/>
      <c r="R2300" s="183"/>
      <c r="S2300" s="183"/>
      <c r="T2300" s="183"/>
      <c r="U2300" s="183"/>
      <c r="V2300" s="183"/>
      <c r="W2300" s="183"/>
      <c r="X2300" s="183"/>
      <c r="Y2300" s="183"/>
      <c r="Z2300" s="183"/>
    </row>
    <row r="2301" spans="2:26">
      <c r="B2301" s="191"/>
      <c r="D2301" s="183"/>
      <c r="I2301" s="183"/>
      <c r="J2301" s="183"/>
      <c r="L2301" s="183"/>
      <c r="M2301" s="183"/>
      <c r="N2301" s="183"/>
      <c r="O2301" s="183"/>
      <c r="P2301" s="183"/>
      <c r="Q2301" s="183"/>
      <c r="R2301" s="183"/>
      <c r="S2301" s="183"/>
      <c r="T2301" s="183"/>
      <c r="U2301" s="183"/>
      <c r="V2301" s="183"/>
      <c r="W2301" s="183"/>
      <c r="X2301" s="183"/>
      <c r="Y2301" s="183"/>
      <c r="Z2301" s="183"/>
    </row>
    <row r="2302" spans="2:26">
      <c r="B2302" s="191"/>
      <c r="D2302" s="183"/>
      <c r="I2302" s="183"/>
      <c r="J2302" s="183"/>
      <c r="L2302" s="183"/>
      <c r="M2302" s="183"/>
      <c r="N2302" s="183"/>
      <c r="O2302" s="183"/>
      <c r="P2302" s="183"/>
      <c r="Q2302" s="183"/>
      <c r="R2302" s="183"/>
      <c r="S2302" s="183"/>
      <c r="T2302" s="183"/>
      <c r="U2302" s="183"/>
      <c r="V2302" s="183"/>
      <c r="W2302" s="183"/>
      <c r="X2302" s="183"/>
      <c r="Y2302" s="183"/>
      <c r="Z2302" s="183"/>
    </row>
    <row r="2303" spans="2:26">
      <c r="B2303" s="191"/>
      <c r="D2303" s="183"/>
      <c r="I2303" s="183"/>
      <c r="J2303" s="183"/>
      <c r="L2303" s="183"/>
      <c r="M2303" s="183"/>
      <c r="N2303" s="183"/>
      <c r="O2303" s="183"/>
      <c r="P2303" s="183"/>
      <c r="Q2303" s="183"/>
      <c r="R2303" s="183"/>
      <c r="S2303" s="183"/>
      <c r="T2303" s="183"/>
      <c r="U2303" s="183"/>
      <c r="V2303" s="183"/>
      <c r="W2303" s="183"/>
      <c r="X2303" s="183"/>
      <c r="Y2303" s="183"/>
      <c r="Z2303" s="183"/>
    </row>
    <row r="2304" spans="2:26">
      <c r="B2304" s="191"/>
      <c r="D2304" s="183"/>
      <c r="I2304" s="183"/>
      <c r="J2304" s="183"/>
      <c r="L2304" s="183"/>
      <c r="M2304" s="183"/>
      <c r="N2304" s="183"/>
      <c r="O2304" s="183"/>
      <c r="P2304" s="183"/>
      <c r="Q2304" s="183"/>
      <c r="R2304" s="183"/>
      <c r="S2304" s="183"/>
      <c r="T2304" s="183"/>
      <c r="U2304" s="183"/>
      <c r="V2304" s="183"/>
      <c r="W2304" s="183"/>
      <c r="X2304" s="183"/>
      <c r="Y2304" s="183"/>
      <c r="Z2304" s="183"/>
    </row>
    <row r="2305" spans="2:26">
      <c r="B2305" s="191"/>
      <c r="D2305" s="183"/>
      <c r="I2305" s="183"/>
      <c r="J2305" s="183"/>
      <c r="L2305" s="183"/>
      <c r="M2305" s="183"/>
      <c r="N2305" s="183"/>
      <c r="O2305" s="183"/>
      <c r="P2305" s="183"/>
      <c r="Q2305" s="183"/>
      <c r="R2305" s="183"/>
      <c r="S2305" s="183"/>
      <c r="T2305" s="183"/>
      <c r="U2305" s="183"/>
      <c r="V2305" s="183"/>
      <c r="W2305" s="183"/>
      <c r="X2305" s="183"/>
      <c r="Y2305" s="183"/>
      <c r="Z2305" s="183"/>
    </row>
    <row r="2306" spans="2:26">
      <c r="B2306" s="191"/>
      <c r="D2306" s="183"/>
      <c r="I2306" s="183"/>
      <c r="J2306" s="183"/>
      <c r="L2306" s="183"/>
      <c r="M2306" s="183"/>
      <c r="N2306" s="183"/>
      <c r="O2306" s="183"/>
      <c r="P2306" s="183"/>
      <c r="Q2306" s="183"/>
      <c r="R2306" s="183"/>
      <c r="S2306" s="183"/>
      <c r="T2306" s="183"/>
      <c r="U2306" s="183"/>
      <c r="V2306" s="183"/>
      <c r="W2306" s="183"/>
      <c r="X2306" s="183"/>
      <c r="Y2306" s="183"/>
      <c r="Z2306" s="183"/>
    </row>
    <row r="2307" spans="2:26">
      <c r="B2307" s="191"/>
      <c r="D2307" s="183"/>
      <c r="I2307" s="183"/>
      <c r="J2307" s="183"/>
      <c r="L2307" s="183"/>
      <c r="M2307" s="183"/>
      <c r="N2307" s="183"/>
      <c r="O2307" s="183"/>
      <c r="P2307" s="183"/>
      <c r="Q2307" s="183"/>
      <c r="R2307" s="183"/>
      <c r="S2307" s="183"/>
      <c r="T2307" s="183"/>
      <c r="U2307" s="183"/>
      <c r="V2307" s="183"/>
      <c r="W2307" s="183"/>
      <c r="X2307" s="183"/>
      <c r="Y2307" s="183"/>
      <c r="Z2307" s="183"/>
    </row>
    <row r="2308" spans="2:26">
      <c r="B2308" s="191"/>
      <c r="D2308" s="183"/>
      <c r="I2308" s="183"/>
      <c r="J2308" s="183"/>
      <c r="L2308" s="183"/>
      <c r="M2308" s="183"/>
      <c r="N2308" s="183"/>
      <c r="O2308" s="183"/>
      <c r="P2308" s="183"/>
      <c r="Q2308" s="183"/>
      <c r="R2308" s="183"/>
      <c r="S2308" s="183"/>
      <c r="T2308" s="183"/>
      <c r="U2308" s="183"/>
      <c r="V2308" s="183"/>
      <c r="W2308" s="183"/>
      <c r="X2308" s="183"/>
      <c r="Y2308" s="183"/>
      <c r="Z2308" s="183"/>
    </row>
    <row r="2309" spans="2:26">
      <c r="B2309" s="191"/>
      <c r="D2309" s="183"/>
      <c r="I2309" s="183"/>
      <c r="J2309" s="183"/>
      <c r="L2309" s="183"/>
      <c r="M2309" s="183"/>
      <c r="N2309" s="183"/>
      <c r="O2309" s="183"/>
      <c r="P2309" s="183"/>
      <c r="Q2309" s="183"/>
      <c r="R2309" s="183"/>
      <c r="S2309" s="183"/>
      <c r="T2309" s="183"/>
      <c r="U2309" s="183"/>
      <c r="V2309" s="183"/>
      <c r="W2309" s="183"/>
      <c r="X2309" s="183"/>
      <c r="Y2309" s="183"/>
      <c r="Z2309" s="183"/>
    </row>
    <row r="2310" spans="2:26">
      <c r="B2310" s="191"/>
      <c r="D2310" s="183"/>
      <c r="I2310" s="183"/>
      <c r="J2310" s="183"/>
      <c r="L2310" s="183"/>
      <c r="M2310" s="183"/>
      <c r="N2310" s="183"/>
      <c r="O2310" s="183"/>
      <c r="P2310" s="183"/>
      <c r="Q2310" s="183"/>
      <c r="R2310" s="183"/>
      <c r="S2310" s="183"/>
      <c r="T2310" s="183"/>
      <c r="U2310" s="183"/>
      <c r="V2310" s="183"/>
      <c r="W2310" s="183"/>
      <c r="X2310" s="183"/>
      <c r="Y2310" s="183"/>
      <c r="Z2310" s="183"/>
    </row>
    <row r="2311" spans="2:26">
      <c r="B2311" s="191"/>
      <c r="D2311" s="183"/>
      <c r="I2311" s="183"/>
      <c r="J2311" s="183"/>
      <c r="L2311" s="183"/>
      <c r="M2311" s="183"/>
      <c r="N2311" s="183"/>
      <c r="O2311" s="183"/>
      <c r="P2311" s="183"/>
      <c r="Q2311" s="183"/>
      <c r="R2311" s="183"/>
      <c r="S2311" s="183"/>
      <c r="T2311" s="183"/>
      <c r="U2311" s="183"/>
      <c r="V2311" s="183"/>
      <c r="W2311" s="183"/>
      <c r="X2311" s="183"/>
      <c r="Y2311" s="183"/>
      <c r="Z2311" s="183"/>
    </row>
    <row r="2312" spans="2:26">
      <c r="B2312" s="191"/>
      <c r="D2312" s="183"/>
      <c r="I2312" s="183"/>
      <c r="J2312" s="183"/>
      <c r="L2312" s="183"/>
      <c r="M2312" s="183"/>
      <c r="N2312" s="183"/>
      <c r="O2312" s="183"/>
      <c r="P2312" s="183"/>
      <c r="Q2312" s="183"/>
      <c r="R2312" s="183"/>
      <c r="S2312" s="183"/>
      <c r="T2312" s="183"/>
      <c r="U2312" s="183"/>
      <c r="V2312" s="183"/>
      <c r="W2312" s="183"/>
      <c r="X2312" s="183"/>
      <c r="Y2312" s="183"/>
      <c r="Z2312" s="183"/>
    </row>
    <row r="2313" spans="2:26">
      <c r="B2313" s="191"/>
      <c r="D2313" s="183"/>
      <c r="I2313" s="183"/>
      <c r="J2313" s="183"/>
      <c r="L2313" s="183"/>
      <c r="M2313" s="183"/>
      <c r="N2313" s="183"/>
      <c r="O2313" s="183"/>
      <c r="P2313" s="183"/>
      <c r="Q2313" s="183"/>
      <c r="R2313" s="183"/>
      <c r="S2313" s="183"/>
      <c r="T2313" s="183"/>
      <c r="U2313" s="183"/>
      <c r="V2313" s="183"/>
      <c r="W2313" s="183"/>
      <c r="X2313" s="183"/>
      <c r="Y2313" s="183"/>
      <c r="Z2313" s="183"/>
    </row>
    <row r="2314" spans="2:26">
      <c r="B2314" s="191"/>
      <c r="D2314" s="183"/>
      <c r="I2314" s="183"/>
      <c r="J2314" s="183"/>
      <c r="L2314" s="183"/>
      <c r="M2314" s="183"/>
      <c r="N2314" s="183"/>
      <c r="O2314" s="183"/>
      <c r="P2314" s="183"/>
      <c r="Q2314" s="183"/>
      <c r="R2314" s="183"/>
      <c r="S2314" s="183"/>
      <c r="T2314" s="183"/>
      <c r="U2314" s="183"/>
      <c r="V2314" s="183"/>
      <c r="W2314" s="183"/>
      <c r="X2314" s="183"/>
      <c r="Y2314" s="183"/>
      <c r="Z2314" s="183"/>
    </row>
    <row r="2315" spans="2:26">
      <c r="B2315" s="191"/>
      <c r="D2315" s="183"/>
      <c r="I2315" s="183"/>
      <c r="J2315" s="183"/>
      <c r="L2315" s="183"/>
      <c r="M2315" s="183"/>
      <c r="N2315" s="183"/>
      <c r="O2315" s="183"/>
      <c r="P2315" s="183"/>
      <c r="Q2315" s="183"/>
      <c r="R2315" s="183"/>
      <c r="S2315" s="183"/>
      <c r="T2315" s="183"/>
      <c r="U2315" s="183"/>
      <c r="V2315" s="183"/>
      <c r="W2315" s="183"/>
      <c r="X2315" s="183"/>
      <c r="Y2315" s="183"/>
      <c r="Z2315" s="183"/>
    </row>
    <row r="2316" spans="2:26">
      <c r="B2316" s="191"/>
      <c r="D2316" s="183"/>
      <c r="I2316" s="183"/>
      <c r="J2316" s="183"/>
      <c r="L2316" s="183"/>
      <c r="M2316" s="183"/>
      <c r="N2316" s="183"/>
      <c r="O2316" s="183"/>
      <c r="P2316" s="183"/>
      <c r="Q2316" s="183"/>
      <c r="R2316" s="183"/>
      <c r="S2316" s="183"/>
      <c r="T2316" s="183"/>
      <c r="U2316" s="183"/>
      <c r="V2316" s="183"/>
      <c r="W2316" s="183"/>
      <c r="X2316" s="183"/>
      <c r="Y2316" s="183"/>
      <c r="Z2316" s="183"/>
    </row>
    <row r="2317" spans="2:26">
      <c r="B2317" s="191"/>
      <c r="D2317" s="183"/>
      <c r="I2317" s="183"/>
      <c r="J2317" s="183"/>
      <c r="L2317" s="183"/>
      <c r="M2317" s="183"/>
      <c r="N2317" s="183"/>
      <c r="O2317" s="183"/>
      <c r="P2317" s="183"/>
      <c r="Q2317" s="183"/>
      <c r="R2317" s="183"/>
      <c r="S2317" s="183"/>
      <c r="T2317" s="183"/>
      <c r="U2317" s="183"/>
      <c r="V2317" s="183"/>
      <c r="W2317" s="183"/>
      <c r="X2317" s="183"/>
      <c r="Y2317" s="183"/>
      <c r="Z2317" s="183"/>
    </row>
    <row r="2318" spans="2:26">
      <c r="B2318" s="191"/>
      <c r="D2318" s="183"/>
      <c r="I2318" s="183"/>
      <c r="J2318" s="183"/>
      <c r="L2318" s="183"/>
      <c r="M2318" s="183"/>
      <c r="N2318" s="183"/>
      <c r="O2318" s="183"/>
      <c r="P2318" s="183"/>
      <c r="Q2318" s="183"/>
      <c r="R2318" s="183"/>
      <c r="S2318" s="183"/>
      <c r="T2318" s="183"/>
      <c r="U2318" s="183"/>
      <c r="V2318" s="183"/>
      <c r="W2318" s="183"/>
      <c r="X2318" s="183"/>
      <c r="Y2318" s="183"/>
      <c r="Z2318" s="183"/>
    </row>
    <row r="2319" spans="2:26">
      <c r="B2319" s="191"/>
      <c r="D2319" s="183"/>
      <c r="I2319" s="183"/>
      <c r="J2319" s="183"/>
      <c r="L2319" s="183"/>
      <c r="M2319" s="183"/>
      <c r="N2319" s="183"/>
      <c r="O2319" s="183"/>
      <c r="P2319" s="183"/>
      <c r="Q2319" s="183"/>
      <c r="R2319" s="183"/>
      <c r="S2319" s="183"/>
      <c r="T2319" s="183"/>
      <c r="U2319" s="183"/>
      <c r="V2319" s="183"/>
      <c r="W2319" s="183"/>
      <c r="X2319" s="183"/>
      <c r="Y2319" s="183"/>
      <c r="Z2319" s="183"/>
    </row>
    <row r="2320" spans="2:26">
      <c r="B2320" s="191"/>
      <c r="D2320" s="183"/>
      <c r="I2320" s="183"/>
      <c r="J2320" s="183"/>
      <c r="L2320" s="183"/>
      <c r="M2320" s="183"/>
      <c r="N2320" s="183"/>
      <c r="O2320" s="183"/>
      <c r="P2320" s="183"/>
      <c r="Q2320" s="183"/>
      <c r="R2320" s="183"/>
      <c r="S2320" s="183"/>
      <c r="T2320" s="183"/>
      <c r="U2320" s="183"/>
      <c r="V2320" s="183"/>
      <c r="W2320" s="183"/>
      <c r="X2320" s="183"/>
      <c r="Y2320" s="183"/>
      <c r="Z2320" s="183"/>
    </row>
    <row r="2321" spans="2:26">
      <c r="B2321" s="191"/>
      <c r="D2321" s="183"/>
      <c r="I2321" s="183"/>
      <c r="J2321" s="183"/>
      <c r="L2321" s="183"/>
      <c r="M2321" s="183"/>
      <c r="N2321" s="183"/>
      <c r="O2321" s="183"/>
      <c r="P2321" s="183"/>
      <c r="Q2321" s="183"/>
      <c r="R2321" s="183"/>
      <c r="S2321" s="183"/>
      <c r="T2321" s="183"/>
      <c r="U2321" s="183"/>
      <c r="V2321" s="183"/>
      <c r="W2321" s="183"/>
      <c r="X2321" s="183"/>
      <c r="Y2321" s="183"/>
      <c r="Z2321" s="183"/>
    </row>
    <row r="2322" spans="2:26">
      <c r="B2322" s="191"/>
      <c r="D2322" s="183"/>
      <c r="I2322" s="183"/>
      <c r="J2322" s="183"/>
      <c r="L2322" s="183"/>
      <c r="M2322" s="183"/>
      <c r="N2322" s="183"/>
      <c r="O2322" s="183"/>
      <c r="P2322" s="183"/>
      <c r="Q2322" s="183"/>
      <c r="R2322" s="183"/>
      <c r="S2322" s="183"/>
      <c r="T2322" s="183"/>
      <c r="U2322" s="183"/>
      <c r="V2322" s="183"/>
      <c r="W2322" s="183"/>
      <c r="X2322" s="183"/>
      <c r="Y2322" s="183"/>
      <c r="Z2322" s="183"/>
    </row>
    <row r="2323" spans="2:26">
      <c r="B2323" s="191"/>
      <c r="D2323" s="183"/>
      <c r="I2323" s="183"/>
      <c r="J2323" s="183"/>
      <c r="L2323" s="183"/>
      <c r="M2323" s="183"/>
      <c r="N2323" s="183"/>
      <c r="O2323" s="183"/>
      <c r="P2323" s="183"/>
      <c r="Q2323" s="183"/>
      <c r="R2323" s="183"/>
      <c r="S2323" s="183"/>
      <c r="T2323" s="183"/>
      <c r="U2323" s="183"/>
      <c r="V2323" s="183"/>
      <c r="W2323" s="183"/>
      <c r="X2323" s="183"/>
      <c r="Y2323" s="183"/>
      <c r="Z2323" s="183"/>
    </row>
    <row r="2324" spans="2:26">
      <c r="B2324" s="191"/>
      <c r="D2324" s="183"/>
      <c r="I2324" s="183"/>
      <c r="J2324" s="183"/>
      <c r="L2324" s="183"/>
      <c r="M2324" s="183"/>
      <c r="N2324" s="183"/>
      <c r="O2324" s="183"/>
      <c r="P2324" s="183"/>
      <c r="Q2324" s="183"/>
      <c r="R2324" s="183"/>
      <c r="S2324" s="183"/>
      <c r="T2324" s="183"/>
      <c r="U2324" s="183"/>
      <c r="V2324" s="183"/>
      <c r="W2324" s="183"/>
      <c r="X2324" s="183"/>
      <c r="Y2324" s="183"/>
      <c r="Z2324" s="183"/>
    </row>
    <row r="2325" spans="2:26">
      <c r="B2325" s="191"/>
      <c r="D2325" s="183"/>
      <c r="I2325" s="183"/>
      <c r="J2325" s="183"/>
      <c r="L2325" s="183"/>
      <c r="M2325" s="183"/>
      <c r="N2325" s="183"/>
      <c r="O2325" s="183"/>
      <c r="P2325" s="183"/>
      <c r="Q2325" s="183"/>
      <c r="R2325" s="183"/>
      <c r="S2325" s="183"/>
      <c r="T2325" s="183"/>
      <c r="U2325" s="183"/>
      <c r="V2325" s="183"/>
      <c r="W2325" s="183"/>
      <c r="X2325" s="183"/>
      <c r="Y2325" s="183"/>
      <c r="Z2325" s="183"/>
    </row>
    <row r="2326" spans="2:26">
      <c r="B2326" s="191"/>
      <c r="D2326" s="183"/>
      <c r="I2326" s="183"/>
      <c r="J2326" s="183"/>
      <c r="L2326" s="183"/>
      <c r="M2326" s="183"/>
      <c r="N2326" s="183"/>
      <c r="O2326" s="183"/>
      <c r="P2326" s="183"/>
      <c r="Q2326" s="183"/>
      <c r="R2326" s="183"/>
      <c r="S2326" s="183"/>
      <c r="T2326" s="183"/>
      <c r="U2326" s="183"/>
      <c r="V2326" s="183"/>
      <c r="W2326" s="183"/>
      <c r="X2326" s="183"/>
      <c r="Y2326" s="183"/>
      <c r="Z2326" s="183"/>
    </row>
    <row r="2327" spans="2:26">
      <c r="B2327" s="191"/>
      <c r="D2327" s="183"/>
      <c r="I2327" s="183"/>
      <c r="J2327" s="183"/>
      <c r="L2327" s="183"/>
      <c r="M2327" s="183"/>
      <c r="N2327" s="183"/>
      <c r="O2327" s="183"/>
      <c r="P2327" s="183"/>
      <c r="Q2327" s="183"/>
      <c r="R2327" s="183"/>
      <c r="S2327" s="183"/>
      <c r="T2327" s="183"/>
      <c r="U2327" s="183"/>
      <c r="V2327" s="183"/>
      <c r="W2327" s="183"/>
      <c r="X2327" s="183"/>
      <c r="Y2327" s="183"/>
      <c r="Z2327" s="183"/>
    </row>
    <row r="2328" spans="2:26">
      <c r="B2328" s="191"/>
      <c r="D2328" s="183"/>
      <c r="I2328" s="183"/>
      <c r="J2328" s="183"/>
      <c r="L2328" s="183"/>
      <c r="M2328" s="183"/>
      <c r="N2328" s="183"/>
      <c r="O2328" s="183"/>
      <c r="P2328" s="183"/>
      <c r="Q2328" s="183"/>
      <c r="R2328" s="183"/>
      <c r="S2328" s="183"/>
      <c r="T2328" s="183"/>
      <c r="U2328" s="183"/>
      <c r="V2328" s="183"/>
      <c r="W2328" s="183"/>
      <c r="X2328" s="183"/>
      <c r="Y2328" s="183"/>
      <c r="Z2328" s="183"/>
    </row>
    <row r="2329" spans="2:26">
      <c r="B2329" s="191"/>
      <c r="D2329" s="183"/>
      <c r="I2329" s="183"/>
      <c r="J2329" s="183"/>
      <c r="L2329" s="183"/>
      <c r="M2329" s="183"/>
      <c r="N2329" s="183"/>
      <c r="O2329" s="183"/>
      <c r="P2329" s="183"/>
      <c r="Q2329" s="183"/>
      <c r="R2329" s="183"/>
      <c r="S2329" s="183"/>
      <c r="T2329" s="183"/>
      <c r="U2329" s="183"/>
      <c r="V2329" s="183"/>
      <c r="W2329" s="183"/>
      <c r="X2329" s="183"/>
      <c r="Y2329" s="183"/>
      <c r="Z2329" s="183"/>
    </row>
    <row r="2330" spans="2:26">
      <c r="B2330" s="191"/>
      <c r="D2330" s="183"/>
      <c r="I2330" s="183"/>
      <c r="J2330" s="183"/>
      <c r="L2330" s="183"/>
      <c r="M2330" s="183"/>
      <c r="N2330" s="183"/>
      <c r="O2330" s="183"/>
      <c r="P2330" s="183"/>
      <c r="Q2330" s="183"/>
      <c r="R2330" s="183"/>
      <c r="S2330" s="183"/>
      <c r="T2330" s="183"/>
      <c r="U2330" s="183"/>
      <c r="V2330" s="183"/>
      <c r="W2330" s="183"/>
      <c r="X2330" s="183"/>
      <c r="Y2330" s="183"/>
      <c r="Z2330" s="183"/>
    </row>
    <row r="2331" spans="2:26">
      <c r="B2331" s="191"/>
      <c r="D2331" s="183"/>
      <c r="I2331" s="183"/>
      <c r="J2331" s="183"/>
      <c r="L2331" s="183"/>
      <c r="M2331" s="183"/>
      <c r="N2331" s="183"/>
      <c r="O2331" s="183"/>
      <c r="P2331" s="183"/>
      <c r="Q2331" s="183"/>
      <c r="R2331" s="183"/>
      <c r="S2331" s="183"/>
      <c r="T2331" s="183"/>
      <c r="U2331" s="183"/>
      <c r="V2331" s="183"/>
      <c r="W2331" s="183"/>
      <c r="X2331" s="183"/>
      <c r="Y2331" s="183"/>
      <c r="Z2331" s="183"/>
    </row>
    <row r="2332" spans="2:26">
      <c r="B2332" s="191"/>
      <c r="D2332" s="183"/>
      <c r="I2332" s="183"/>
      <c r="J2332" s="183"/>
      <c r="L2332" s="183"/>
      <c r="M2332" s="183"/>
      <c r="N2332" s="183"/>
      <c r="O2332" s="183"/>
      <c r="P2332" s="183"/>
      <c r="Q2332" s="183"/>
      <c r="R2332" s="183"/>
      <c r="S2332" s="183"/>
      <c r="T2332" s="183"/>
      <c r="U2332" s="183"/>
      <c r="V2332" s="183"/>
      <c r="W2332" s="183"/>
      <c r="X2332" s="183"/>
      <c r="Y2332" s="183"/>
      <c r="Z2332" s="183"/>
    </row>
    <row r="2333" spans="2:26">
      <c r="B2333" s="191"/>
      <c r="D2333" s="183"/>
      <c r="I2333" s="183"/>
      <c r="J2333" s="183"/>
      <c r="L2333" s="183"/>
      <c r="M2333" s="183"/>
      <c r="N2333" s="183"/>
      <c r="O2333" s="183"/>
      <c r="P2333" s="183"/>
      <c r="Q2333" s="183"/>
      <c r="R2333" s="183"/>
      <c r="S2333" s="183"/>
      <c r="T2333" s="183"/>
      <c r="U2333" s="183"/>
      <c r="V2333" s="183"/>
      <c r="W2333" s="183"/>
      <c r="X2333" s="183"/>
      <c r="Y2333" s="183"/>
      <c r="Z2333" s="183"/>
    </row>
    <row r="2334" spans="2:26">
      <c r="B2334" s="191"/>
      <c r="D2334" s="183"/>
      <c r="I2334" s="183"/>
      <c r="J2334" s="183"/>
      <c r="L2334" s="183"/>
      <c r="M2334" s="183"/>
      <c r="N2334" s="183"/>
      <c r="O2334" s="183"/>
      <c r="P2334" s="183"/>
      <c r="Q2334" s="183"/>
      <c r="R2334" s="183"/>
      <c r="S2334" s="183"/>
      <c r="T2334" s="183"/>
      <c r="U2334" s="183"/>
      <c r="V2334" s="183"/>
      <c r="W2334" s="183"/>
      <c r="X2334" s="183"/>
      <c r="Y2334" s="183"/>
      <c r="Z2334" s="183"/>
    </row>
    <row r="2335" spans="2:26">
      <c r="B2335" s="191"/>
      <c r="D2335" s="183"/>
      <c r="I2335" s="183"/>
      <c r="J2335" s="183"/>
      <c r="L2335" s="183"/>
      <c r="M2335" s="183"/>
      <c r="N2335" s="183"/>
      <c r="O2335" s="183"/>
      <c r="P2335" s="183"/>
      <c r="Q2335" s="183"/>
      <c r="R2335" s="183"/>
      <c r="S2335" s="183"/>
      <c r="T2335" s="183"/>
      <c r="U2335" s="183"/>
      <c r="V2335" s="183"/>
      <c r="W2335" s="183"/>
      <c r="X2335" s="183"/>
      <c r="Y2335" s="183"/>
      <c r="Z2335" s="183"/>
    </row>
    <row r="2336" spans="2:26">
      <c r="B2336" s="191"/>
      <c r="D2336" s="183"/>
      <c r="I2336" s="183"/>
      <c r="J2336" s="183"/>
      <c r="L2336" s="183"/>
      <c r="M2336" s="183"/>
      <c r="N2336" s="183"/>
      <c r="O2336" s="183"/>
      <c r="P2336" s="183"/>
      <c r="Q2336" s="183"/>
      <c r="R2336" s="183"/>
      <c r="S2336" s="183"/>
      <c r="T2336" s="183"/>
      <c r="U2336" s="183"/>
      <c r="V2336" s="183"/>
      <c r="W2336" s="183"/>
      <c r="X2336" s="183"/>
      <c r="Y2336" s="183"/>
      <c r="Z2336" s="183"/>
    </row>
    <row r="2337" spans="2:26">
      <c r="B2337" s="191"/>
      <c r="D2337" s="183"/>
      <c r="I2337" s="183"/>
      <c r="J2337" s="183"/>
      <c r="L2337" s="183"/>
      <c r="M2337" s="183"/>
      <c r="N2337" s="183"/>
      <c r="O2337" s="183"/>
      <c r="P2337" s="183"/>
      <c r="Q2337" s="183"/>
      <c r="R2337" s="183"/>
      <c r="S2337" s="183"/>
      <c r="T2337" s="183"/>
      <c r="U2337" s="183"/>
      <c r="V2337" s="183"/>
      <c r="W2337" s="183"/>
      <c r="X2337" s="183"/>
      <c r="Y2337" s="183"/>
      <c r="Z2337" s="183"/>
    </row>
    <row r="2338" spans="2:26">
      <c r="B2338" s="191"/>
      <c r="D2338" s="183"/>
      <c r="I2338" s="183"/>
      <c r="J2338" s="183"/>
      <c r="L2338" s="183"/>
      <c r="M2338" s="183"/>
      <c r="N2338" s="183"/>
      <c r="O2338" s="183"/>
      <c r="P2338" s="183"/>
      <c r="Q2338" s="183"/>
      <c r="R2338" s="183"/>
      <c r="S2338" s="183"/>
      <c r="T2338" s="183"/>
      <c r="U2338" s="183"/>
      <c r="V2338" s="183"/>
      <c r="W2338" s="183"/>
      <c r="X2338" s="183"/>
      <c r="Y2338" s="183"/>
      <c r="Z2338" s="183"/>
    </row>
    <row r="2339" spans="2:26">
      <c r="B2339" s="191"/>
      <c r="D2339" s="183"/>
      <c r="I2339" s="183"/>
      <c r="J2339" s="183"/>
      <c r="L2339" s="183"/>
      <c r="M2339" s="183"/>
      <c r="N2339" s="183"/>
      <c r="O2339" s="183"/>
      <c r="P2339" s="183"/>
      <c r="Q2339" s="183"/>
      <c r="R2339" s="183"/>
      <c r="S2339" s="183"/>
      <c r="T2339" s="183"/>
      <c r="U2339" s="183"/>
      <c r="V2339" s="183"/>
      <c r="W2339" s="183"/>
      <c r="X2339" s="183"/>
      <c r="Y2339" s="183"/>
      <c r="Z2339" s="183"/>
    </row>
    <row r="2340" spans="2:26">
      <c r="B2340" s="191"/>
      <c r="D2340" s="183"/>
      <c r="I2340" s="183"/>
      <c r="J2340" s="183"/>
      <c r="L2340" s="183"/>
      <c r="M2340" s="183"/>
      <c r="N2340" s="183"/>
      <c r="O2340" s="183"/>
      <c r="P2340" s="183"/>
      <c r="Q2340" s="183"/>
      <c r="R2340" s="183"/>
      <c r="S2340" s="183"/>
      <c r="T2340" s="183"/>
      <c r="U2340" s="183"/>
      <c r="V2340" s="183"/>
      <c r="W2340" s="183"/>
      <c r="X2340" s="183"/>
      <c r="Y2340" s="183"/>
      <c r="Z2340" s="183"/>
    </row>
    <row r="2341" spans="2:26">
      <c r="B2341" s="191"/>
      <c r="D2341" s="183"/>
      <c r="I2341" s="183"/>
      <c r="J2341" s="183"/>
      <c r="L2341" s="183"/>
      <c r="M2341" s="183"/>
      <c r="N2341" s="183"/>
      <c r="O2341" s="183"/>
      <c r="P2341" s="183"/>
      <c r="Q2341" s="183"/>
      <c r="R2341" s="183"/>
      <c r="S2341" s="183"/>
      <c r="T2341" s="183"/>
      <c r="U2341" s="183"/>
      <c r="V2341" s="183"/>
      <c r="W2341" s="183"/>
      <c r="X2341" s="183"/>
      <c r="Y2341" s="183"/>
      <c r="Z2341" s="183"/>
    </row>
    <row r="2342" spans="2:26">
      <c r="B2342" s="191"/>
      <c r="D2342" s="183"/>
      <c r="I2342" s="183"/>
      <c r="J2342" s="183"/>
      <c r="L2342" s="183"/>
      <c r="M2342" s="183"/>
      <c r="N2342" s="183"/>
      <c r="O2342" s="183"/>
      <c r="P2342" s="183"/>
      <c r="Q2342" s="183"/>
      <c r="R2342" s="183"/>
      <c r="S2342" s="183"/>
      <c r="T2342" s="183"/>
      <c r="U2342" s="183"/>
      <c r="V2342" s="183"/>
      <c r="W2342" s="183"/>
      <c r="X2342" s="183"/>
      <c r="Y2342" s="183"/>
      <c r="Z2342" s="183"/>
    </row>
    <row r="2343" spans="2:26">
      <c r="B2343" s="191"/>
      <c r="D2343" s="183"/>
      <c r="I2343" s="183"/>
      <c r="J2343" s="183"/>
      <c r="L2343" s="183"/>
      <c r="M2343" s="183"/>
      <c r="N2343" s="183"/>
      <c r="O2343" s="183"/>
      <c r="P2343" s="183"/>
      <c r="Q2343" s="183"/>
      <c r="R2343" s="183"/>
      <c r="S2343" s="183"/>
      <c r="T2343" s="183"/>
      <c r="U2343" s="183"/>
      <c r="V2343" s="183"/>
      <c r="W2343" s="183"/>
      <c r="X2343" s="183"/>
      <c r="Y2343" s="183"/>
      <c r="Z2343" s="183"/>
    </row>
    <row r="2344" spans="2:26">
      <c r="B2344" s="191"/>
      <c r="D2344" s="183"/>
      <c r="I2344" s="183"/>
      <c r="J2344" s="183"/>
      <c r="L2344" s="183"/>
      <c r="M2344" s="183"/>
      <c r="N2344" s="183"/>
      <c r="O2344" s="183"/>
      <c r="P2344" s="183"/>
      <c r="Q2344" s="183"/>
      <c r="R2344" s="183"/>
      <c r="S2344" s="183"/>
      <c r="T2344" s="183"/>
      <c r="U2344" s="183"/>
      <c r="V2344" s="183"/>
      <c r="W2344" s="183"/>
      <c r="X2344" s="183"/>
      <c r="Y2344" s="183"/>
      <c r="Z2344" s="183"/>
    </row>
    <row r="2345" spans="2:26">
      <c r="B2345" s="191"/>
      <c r="D2345" s="183"/>
      <c r="I2345" s="183"/>
      <c r="J2345" s="183"/>
      <c r="L2345" s="183"/>
      <c r="M2345" s="183"/>
      <c r="N2345" s="183"/>
      <c r="O2345" s="183"/>
      <c r="P2345" s="183"/>
      <c r="Q2345" s="183"/>
      <c r="R2345" s="183"/>
      <c r="S2345" s="183"/>
      <c r="T2345" s="183"/>
      <c r="U2345" s="183"/>
      <c r="V2345" s="183"/>
      <c r="W2345" s="183"/>
      <c r="X2345" s="183"/>
      <c r="Y2345" s="183"/>
      <c r="Z2345" s="183"/>
    </row>
    <row r="2346" spans="2:26">
      <c r="B2346" s="191"/>
      <c r="D2346" s="183"/>
      <c r="I2346" s="183"/>
      <c r="J2346" s="183"/>
      <c r="L2346" s="183"/>
      <c r="M2346" s="183"/>
      <c r="N2346" s="183"/>
      <c r="O2346" s="183"/>
      <c r="P2346" s="183"/>
      <c r="Q2346" s="183"/>
      <c r="R2346" s="183"/>
      <c r="S2346" s="183"/>
      <c r="T2346" s="183"/>
      <c r="U2346" s="183"/>
      <c r="V2346" s="183"/>
      <c r="W2346" s="183"/>
      <c r="X2346" s="183"/>
      <c r="Y2346" s="183"/>
      <c r="Z2346" s="183"/>
    </row>
    <row r="2347" spans="2:26">
      <c r="B2347" s="191"/>
      <c r="D2347" s="183"/>
      <c r="I2347" s="183"/>
      <c r="J2347" s="183"/>
      <c r="L2347" s="183"/>
      <c r="M2347" s="183"/>
      <c r="N2347" s="183"/>
      <c r="O2347" s="183"/>
      <c r="P2347" s="183"/>
      <c r="Q2347" s="183"/>
      <c r="R2347" s="183"/>
      <c r="S2347" s="183"/>
      <c r="T2347" s="183"/>
      <c r="U2347" s="183"/>
      <c r="V2347" s="183"/>
      <c r="W2347" s="183"/>
      <c r="X2347" s="183"/>
      <c r="Y2347" s="183"/>
      <c r="Z2347" s="183"/>
    </row>
    <row r="2348" spans="2:26">
      <c r="B2348" s="191"/>
      <c r="D2348" s="183"/>
      <c r="I2348" s="183"/>
      <c r="J2348" s="183"/>
      <c r="L2348" s="183"/>
      <c r="M2348" s="183"/>
      <c r="N2348" s="183"/>
      <c r="O2348" s="183"/>
      <c r="P2348" s="183"/>
      <c r="Q2348" s="183"/>
      <c r="R2348" s="183"/>
      <c r="S2348" s="183"/>
      <c r="T2348" s="183"/>
      <c r="U2348" s="183"/>
      <c r="V2348" s="183"/>
      <c r="W2348" s="183"/>
      <c r="X2348" s="183"/>
      <c r="Y2348" s="183"/>
      <c r="Z2348" s="183"/>
    </row>
    <row r="2349" spans="2:26">
      <c r="B2349" s="191"/>
      <c r="D2349" s="183"/>
      <c r="I2349" s="183"/>
      <c r="J2349" s="183"/>
      <c r="L2349" s="183"/>
      <c r="M2349" s="183"/>
      <c r="N2349" s="183"/>
      <c r="O2349" s="183"/>
      <c r="P2349" s="183"/>
      <c r="Q2349" s="183"/>
      <c r="R2349" s="183"/>
      <c r="S2349" s="183"/>
      <c r="T2349" s="183"/>
      <c r="U2349" s="183"/>
      <c r="V2349" s="183"/>
      <c r="W2349" s="183"/>
      <c r="X2349" s="183"/>
      <c r="Y2349" s="183"/>
      <c r="Z2349" s="183"/>
    </row>
    <row r="2350" spans="2:26">
      <c r="B2350" s="191"/>
      <c r="D2350" s="183"/>
      <c r="I2350" s="183"/>
      <c r="J2350" s="183"/>
      <c r="L2350" s="183"/>
      <c r="M2350" s="183"/>
      <c r="N2350" s="183"/>
      <c r="O2350" s="183"/>
      <c r="P2350" s="183"/>
      <c r="Q2350" s="183"/>
      <c r="R2350" s="183"/>
      <c r="S2350" s="183"/>
      <c r="T2350" s="183"/>
      <c r="U2350" s="183"/>
      <c r="V2350" s="183"/>
      <c r="W2350" s="183"/>
      <c r="X2350" s="183"/>
      <c r="Y2350" s="183"/>
      <c r="Z2350" s="183"/>
    </row>
    <row r="2351" spans="2:26">
      <c r="B2351" s="191"/>
      <c r="D2351" s="183"/>
      <c r="I2351" s="183"/>
      <c r="J2351" s="183"/>
      <c r="L2351" s="183"/>
      <c r="M2351" s="183"/>
      <c r="N2351" s="183"/>
      <c r="O2351" s="183"/>
      <c r="P2351" s="183"/>
      <c r="Q2351" s="183"/>
      <c r="R2351" s="183"/>
      <c r="S2351" s="183"/>
      <c r="T2351" s="183"/>
      <c r="U2351" s="183"/>
      <c r="V2351" s="183"/>
      <c r="W2351" s="183"/>
      <c r="X2351" s="183"/>
      <c r="Y2351" s="183"/>
      <c r="Z2351" s="183"/>
    </row>
    <row r="2352" spans="2:26">
      <c r="B2352" s="191"/>
      <c r="D2352" s="183"/>
      <c r="I2352" s="183"/>
      <c r="J2352" s="183"/>
      <c r="L2352" s="183"/>
      <c r="M2352" s="183"/>
      <c r="N2352" s="183"/>
      <c r="O2352" s="183"/>
      <c r="P2352" s="183"/>
      <c r="Q2352" s="183"/>
      <c r="R2352" s="183"/>
      <c r="S2352" s="183"/>
      <c r="T2352" s="183"/>
      <c r="U2352" s="183"/>
      <c r="V2352" s="183"/>
      <c r="W2352" s="183"/>
      <c r="X2352" s="183"/>
      <c r="Y2352" s="183"/>
      <c r="Z2352" s="183"/>
    </row>
    <row r="2353" spans="2:26">
      <c r="B2353" s="191"/>
      <c r="D2353" s="183"/>
      <c r="I2353" s="183"/>
      <c r="J2353" s="183"/>
      <c r="L2353" s="183"/>
      <c r="M2353" s="183"/>
      <c r="N2353" s="183"/>
      <c r="O2353" s="183"/>
      <c r="P2353" s="183"/>
      <c r="Q2353" s="183"/>
      <c r="R2353" s="183"/>
      <c r="S2353" s="183"/>
      <c r="T2353" s="183"/>
      <c r="U2353" s="183"/>
      <c r="V2353" s="183"/>
      <c r="W2353" s="183"/>
      <c r="X2353" s="183"/>
      <c r="Y2353" s="183"/>
      <c r="Z2353" s="183"/>
    </row>
    <row r="2354" spans="2:26">
      <c r="B2354" s="191"/>
      <c r="D2354" s="183"/>
      <c r="I2354" s="183"/>
      <c r="J2354" s="183"/>
      <c r="L2354" s="183"/>
      <c r="M2354" s="183"/>
      <c r="N2354" s="183"/>
      <c r="O2354" s="183"/>
      <c r="P2354" s="183"/>
      <c r="Q2354" s="183"/>
      <c r="R2354" s="183"/>
      <c r="S2354" s="183"/>
      <c r="T2354" s="183"/>
      <c r="U2354" s="183"/>
      <c r="V2354" s="183"/>
      <c r="W2354" s="183"/>
      <c r="X2354" s="183"/>
      <c r="Y2354" s="183"/>
      <c r="Z2354" s="183"/>
    </row>
    <row r="2355" spans="2:26">
      <c r="B2355" s="191"/>
      <c r="D2355" s="183"/>
      <c r="I2355" s="183"/>
      <c r="J2355" s="183"/>
      <c r="L2355" s="183"/>
      <c r="M2355" s="183"/>
      <c r="N2355" s="183"/>
      <c r="O2355" s="183"/>
      <c r="P2355" s="183"/>
      <c r="Q2355" s="183"/>
      <c r="R2355" s="183"/>
      <c r="S2355" s="183"/>
      <c r="T2355" s="183"/>
      <c r="U2355" s="183"/>
      <c r="V2355" s="183"/>
      <c r="W2355" s="183"/>
      <c r="X2355" s="183"/>
      <c r="Y2355" s="183"/>
      <c r="Z2355" s="183"/>
    </row>
    <row r="2356" spans="2:26">
      <c r="B2356" s="191"/>
      <c r="D2356" s="183"/>
      <c r="I2356" s="183"/>
      <c r="J2356" s="183"/>
      <c r="L2356" s="183"/>
      <c r="M2356" s="183"/>
      <c r="N2356" s="183"/>
      <c r="O2356" s="183"/>
      <c r="P2356" s="183"/>
      <c r="Q2356" s="183"/>
      <c r="R2356" s="183"/>
      <c r="S2356" s="183"/>
      <c r="T2356" s="183"/>
      <c r="U2356" s="183"/>
      <c r="V2356" s="183"/>
      <c r="W2356" s="183"/>
      <c r="X2356" s="183"/>
      <c r="Y2356" s="183"/>
      <c r="Z2356" s="183"/>
    </row>
    <row r="2357" spans="2:26">
      <c r="B2357" s="191"/>
      <c r="D2357" s="183"/>
      <c r="I2357" s="183"/>
      <c r="J2357" s="183"/>
      <c r="L2357" s="183"/>
      <c r="M2357" s="183"/>
      <c r="N2357" s="183"/>
      <c r="O2357" s="183"/>
      <c r="P2357" s="183"/>
      <c r="Q2357" s="183"/>
      <c r="R2357" s="183"/>
      <c r="S2357" s="183"/>
      <c r="T2357" s="183"/>
      <c r="U2357" s="183"/>
      <c r="V2357" s="183"/>
      <c r="W2357" s="183"/>
      <c r="X2357" s="183"/>
      <c r="Y2357" s="183"/>
      <c r="Z2357" s="183"/>
    </row>
    <row r="2358" spans="2:26">
      <c r="B2358" s="191"/>
      <c r="D2358" s="183"/>
      <c r="I2358" s="183"/>
      <c r="J2358" s="183"/>
      <c r="L2358" s="183"/>
      <c r="M2358" s="183"/>
      <c r="N2358" s="183"/>
      <c r="O2358" s="183"/>
      <c r="P2358" s="183"/>
      <c r="Q2358" s="183"/>
      <c r="R2358" s="183"/>
      <c r="S2358" s="183"/>
      <c r="T2358" s="183"/>
      <c r="U2358" s="183"/>
      <c r="V2358" s="183"/>
      <c r="W2358" s="183"/>
      <c r="X2358" s="183"/>
      <c r="Y2358" s="183"/>
      <c r="Z2358" s="183"/>
    </row>
    <row r="2359" spans="2:26">
      <c r="B2359" s="191"/>
      <c r="D2359" s="183"/>
      <c r="I2359" s="183"/>
      <c r="J2359" s="183"/>
      <c r="L2359" s="183"/>
      <c r="M2359" s="183"/>
      <c r="N2359" s="183"/>
      <c r="O2359" s="183"/>
      <c r="P2359" s="183"/>
      <c r="Q2359" s="183"/>
      <c r="R2359" s="183"/>
      <c r="S2359" s="183"/>
      <c r="T2359" s="183"/>
      <c r="U2359" s="183"/>
      <c r="V2359" s="183"/>
      <c r="W2359" s="183"/>
      <c r="X2359" s="183"/>
      <c r="Y2359" s="183"/>
      <c r="Z2359" s="183"/>
    </row>
    <row r="2360" spans="2:26">
      <c r="B2360" s="191"/>
      <c r="D2360" s="183"/>
      <c r="I2360" s="183"/>
      <c r="J2360" s="183"/>
      <c r="L2360" s="183"/>
      <c r="M2360" s="183"/>
      <c r="N2360" s="183"/>
      <c r="O2360" s="183"/>
      <c r="P2360" s="183"/>
      <c r="Q2360" s="183"/>
      <c r="R2360" s="183"/>
      <c r="S2360" s="183"/>
      <c r="T2360" s="183"/>
      <c r="U2360" s="183"/>
      <c r="V2360" s="183"/>
      <c r="W2360" s="183"/>
      <c r="X2360" s="183"/>
      <c r="Y2360" s="183"/>
      <c r="Z2360" s="183"/>
    </row>
    <row r="2361" spans="2:26">
      <c r="B2361" s="191"/>
      <c r="D2361" s="183"/>
      <c r="I2361" s="183"/>
      <c r="J2361" s="183"/>
      <c r="L2361" s="183"/>
      <c r="M2361" s="183"/>
      <c r="N2361" s="183"/>
      <c r="O2361" s="183"/>
      <c r="P2361" s="183"/>
      <c r="Q2361" s="183"/>
      <c r="R2361" s="183"/>
      <c r="S2361" s="183"/>
      <c r="T2361" s="183"/>
      <c r="U2361" s="183"/>
      <c r="V2361" s="183"/>
      <c r="W2361" s="183"/>
      <c r="X2361" s="183"/>
      <c r="Y2361" s="183"/>
      <c r="Z2361" s="183"/>
    </row>
    <row r="2362" spans="2:26">
      <c r="B2362" s="191"/>
      <c r="D2362" s="183"/>
      <c r="I2362" s="183"/>
      <c r="J2362" s="183"/>
      <c r="L2362" s="183"/>
      <c r="M2362" s="183"/>
      <c r="N2362" s="183"/>
      <c r="O2362" s="183"/>
      <c r="P2362" s="183"/>
      <c r="Q2362" s="183"/>
      <c r="R2362" s="183"/>
      <c r="S2362" s="183"/>
      <c r="T2362" s="183"/>
      <c r="U2362" s="183"/>
      <c r="V2362" s="183"/>
      <c r="W2362" s="183"/>
      <c r="X2362" s="183"/>
      <c r="Y2362" s="183"/>
      <c r="Z2362" s="183"/>
    </row>
    <row r="2363" spans="2:26">
      <c r="B2363" s="191"/>
      <c r="D2363" s="183"/>
      <c r="I2363" s="183"/>
      <c r="J2363" s="183"/>
      <c r="L2363" s="183"/>
      <c r="M2363" s="183"/>
      <c r="N2363" s="183"/>
      <c r="O2363" s="183"/>
      <c r="P2363" s="183"/>
      <c r="Q2363" s="183"/>
      <c r="R2363" s="183"/>
      <c r="S2363" s="183"/>
      <c r="T2363" s="183"/>
      <c r="U2363" s="183"/>
      <c r="V2363" s="183"/>
      <c r="W2363" s="183"/>
      <c r="X2363" s="183"/>
      <c r="Y2363" s="183"/>
      <c r="Z2363" s="183"/>
    </row>
    <row r="2364" spans="2:26">
      <c r="B2364" s="191"/>
      <c r="D2364" s="183"/>
      <c r="I2364" s="183"/>
      <c r="J2364" s="183"/>
      <c r="L2364" s="183"/>
      <c r="M2364" s="183"/>
      <c r="N2364" s="183"/>
      <c r="O2364" s="183"/>
      <c r="P2364" s="183"/>
      <c r="Q2364" s="183"/>
      <c r="R2364" s="183"/>
      <c r="S2364" s="183"/>
      <c r="T2364" s="183"/>
      <c r="U2364" s="183"/>
      <c r="V2364" s="183"/>
      <c r="W2364" s="183"/>
      <c r="X2364" s="183"/>
      <c r="Y2364" s="183"/>
      <c r="Z2364" s="183"/>
    </row>
    <row r="2365" spans="2:26">
      <c r="B2365" s="191"/>
      <c r="D2365" s="183"/>
      <c r="I2365" s="183"/>
      <c r="J2365" s="183"/>
      <c r="L2365" s="183"/>
      <c r="M2365" s="183"/>
      <c r="N2365" s="183"/>
      <c r="O2365" s="183"/>
      <c r="P2365" s="183"/>
      <c r="Q2365" s="183"/>
      <c r="R2365" s="183"/>
      <c r="S2365" s="183"/>
      <c r="T2365" s="183"/>
      <c r="U2365" s="183"/>
      <c r="V2365" s="183"/>
      <c r="W2365" s="183"/>
      <c r="X2365" s="183"/>
      <c r="Y2365" s="183"/>
      <c r="Z2365" s="183"/>
    </row>
    <row r="2366" spans="2:26">
      <c r="B2366" s="191"/>
      <c r="D2366" s="183"/>
      <c r="I2366" s="183"/>
      <c r="J2366" s="183"/>
      <c r="L2366" s="183"/>
      <c r="M2366" s="183"/>
      <c r="N2366" s="183"/>
      <c r="O2366" s="183"/>
      <c r="P2366" s="183"/>
      <c r="Q2366" s="183"/>
      <c r="R2366" s="183"/>
      <c r="S2366" s="183"/>
      <c r="T2366" s="183"/>
      <c r="U2366" s="183"/>
      <c r="V2366" s="183"/>
      <c r="W2366" s="183"/>
      <c r="X2366" s="183"/>
      <c r="Y2366" s="183"/>
      <c r="Z2366" s="183"/>
    </row>
    <row r="2367" spans="2:26">
      <c r="B2367" s="191"/>
      <c r="D2367" s="183"/>
      <c r="I2367" s="183"/>
      <c r="J2367" s="183"/>
      <c r="L2367" s="183"/>
      <c r="M2367" s="183"/>
      <c r="N2367" s="183"/>
      <c r="O2367" s="183"/>
      <c r="P2367" s="183"/>
      <c r="Q2367" s="183"/>
      <c r="R2367" s="183"/>
      <c r="S2367" s="183"/>
      <c r="T2367" s="183"/>
      <c r="U2367" s="183"/>
      <c r="V2367" s="183"/>
      <c r="W2367" s="183"/>
      <c r="X2367" s="183"/>
      <c r="Y2367" s="183"/>
      <c r="Z2367" s="183"/>
    </row>
    <row r="2368" spans="2:26">
      <c r="B2368" s="191"/>
      <c r="D2368" s="183"/>
      <c r="I2368" s="183"/>
      <c r="J2368" s="183"/>
      <c r="L2368" s="183"/>
      <c r="M2368" s="183"/>
      <c r="N2368" s="183"/>
      <c r="O2368" s="183"/>
      <c r="P2368" s="183"/>
      <c r="Q2368" s="183"/>
      <c r="R2368" s="183"/>
      <c r="S2368" s="183"/>
      <c r="T2368" s="183"/>
      <c r="U2368" s="183"/>
      <c r="V2368" s="183"/>
      <c r="W2368" s="183"/>
      <c r="X2368" s="183"/>
      <c r="Y2368" s="183"/>
      <c r="Z2368" s="183"/>
    </row>
    <row r="2369" spans="2:26">
      <c r="B2369" s="191"/>
      <c r="D2369" s="183"/>
      <c r="I2369" s="183"/>
      <c r="J2369" s="183"/>
      <c r="L2369" s="183"/>
      <c r="M2369" s="183"/>
      <c r="N2369" s="183"/>
      <c r="O2369" s="183"/>
      <c r="P2369" s="183"/>
      <c r="Q2369" s="183"/>
      <c r="R2369" s="183"/>
      <c r="S2369" s="183"/>
      <c r="T2369" s="183"/>
      <c r="U2369" s="183"/>
      <c r="V2369" s="183"/>
      <c r="W2369" s="183"/>
      <c r="X2369" s="183"/>
      <c r="Y2369" s="183"/>
      <c r="Z2369" s="183"/>
    </row>
    <row r="2370" spans="2:26">
      <c r="B2370" s="191"/>
      <c r="D2370" s="183"/>
      <c r="I2370" s="183"/>
      <c r="J2370" s="183"/>
      <c r="L2370" s="183"/>
      <c r="M2370" s="183"/>
      <c r="N2370" s="183"/>
      <c r="O2370" s="183"/>
      <c r="P2370" s="183"/>
      <c r="Q2370" s="183"/>
      <c r="R2370" s="183"/>
      <c r="S2370" s="183"/>
      <c r="T2370" s="183"/>
      <c r="U2370" s="183"/>
      <c r="V2370" s="183"/>
      <c r="W2370" s="183"/>
      <c r="X2370" s="183"/>
      <c r="Y2370" s="183"/>
      <c r="Z2370" s="183"/>
    </row>
    <row r="2371" spans="2:26">
      <c r="B2371" s="191"/>
      <c r="D2371" s="183"/>
      <c r="I2371" s="183"/>
      <c r="J2371" s="183"/>
      <c r="L2371" s="183"/>
      <c r="M2371" s="183"/>
      <c r="N2371" s="183"/>
      <c r="O2371" s="183"/>
      <c r="P2371" s="183"/>
      <c r="Q2371" s="183"/>
      <c r="R2371" s="183"/>
      <c r="S2371" s="183"/>
      <c r="T2371" s="183"/>
      <c r="U2371" s="183"/>
      <c r="V2371" s="183"/>
      <c r="W2371" s="183"/>
      <c r="X2371" s="183"/>
      <c r="Y2371" s="183"/>
      <c r="Z2371" s="183"/>
    </row>
    <row r="2372" spans="2:26">
      <c r="B2372" s="191"/>
      <c r="D2372" s="183"/>
      <c r="I2372" s="183"/>
      <c r="J2372" s="183"/>
      <c r="L2372" s="183"/>
      <c r="M2372" s="183"/>
      <c r="N2372" s="183"/>
      <c r="O2372" s="183"/>
      <c r="P2372" s="183"/>
      <c r="Q2372" s="183"/>
      <c r="R2372" s="183"/>
      <c r="S2372" s="183"/>
      <c r="T2372" s="183"/>
      <c r="U2372" s="183"/>
      <c r="V2372" s="183"/>
      <c r="W2372" s="183"/>
      <c r="X2372" s="183"/>
      <c r="Y2372" s="183"/>
      <c r="Z2372" s="183"/>
    </row>
    <row r="2373" spans="2:26">
      <c r="B2373" s="191"/>
      <c r="D2373" s="183"/>
      <c r="I2373" s="183"/>
      <c r="J2373" s="183"/>
      <c r="L2373" s="183"/>
      <c r="M2373" s="183"/>
      <c r="N2373" s="183"/>
      <c r="O2373" s="183"/>
      <c r="P2373" s="183"/>
      <c r="Q2373" s="183"/>
      <c r="R2373" s="183"/>
      <c r="S2373" s="183"/>
      <c r="T2373" s="183"/>
      <c r="U2373" s="183"/>
      <c r="V2373" s="183"/>
      <c r="W2373" s="183"/>
      <c r="X2373" s="183"/>
      <c r="Y2373" s="183"/>
      <c r="Z2373" s="183"/>
    </row>
    <row r="2374" spans="2:26">
      <c r="B2374" s="191"/>
      <c r="D2374" s="183"/>
      <c r="I2374" s="183"/>
      <c r="J2374" s="183"/>
      <c r="L2374" s="183"/>
      <c r="M2374" s="183"/>
      <c r="N2374" s="183"/>
      <c r="O2374" s="183"/>
      <c r="P2374" s="183"/>
      <c r="Q2374" s="183"/>
      <c r="R2374" s="183"/>
      <c r="S2374" s="183"/>
      <c r="T2374" s="183"/>
      <c r="U2374" s="183"/>
      <c r="V2374" s="183"/>
      <c r="W2374" s="183"/>
      <c r="X2374" s="183"/>
      <c r="Y2374" s="183"/>
      <c r="Z2374" s="183"/>
    </row>
    <row r="2375" spans="2:26">
      <c r="B2375" s="191"/>
      <c r="D2375" s="183"/>
      <c r="I2375" s="183"/>
      <c r="J2375" s="183"/>
      <c r="L2375" s="183"/>
      <c r="M2375" s="183"/>
      <c r="N2375" s="183"/>
      <c r="O2375" s="183"/>
      <c r="P2375" s="183"/>
      <c r="Q2375" s="183"/>
      <c r="R2375" s="183"/>
      <c r="S2375" s="183"/>
      <c r="T2375" s="183"/>
      <c r="U2375" s="183"/>
      <c r="V2375" s="183"/>
      <c r="W2375" s="183"/>
      <c r="X2375" s="183"/>
      <c r="Y2375" s="183"/>
      <c r="Z2375" s="183"/>
    </row>
    <row r="2376" spans="2:26">
      <c r="B2376" s="191"/>
      <c r="D2376" s="183"/>
      <c r="I2376" s="183"/>
      <c r="J2376" s="183"/>
      <c r="L2376" s="183"/>
      <c r="M2376" s="183"/>
      <c r="N2376" s="183"/>
      <c r="O2376" s="183"/>
      <c r="P2376" s="183"/>
      <c r="Q2376" s="183"/>
      <c r="R2376" s="183"/>
      <c r="S2376" s="183"/>
      <c r="T2376" s="183"/>
      <c r="U2376" s="183"/>
      <c r="V2376" s="183"/>
      <c r="W2376" s="183"/>
      <c r="X2376" s="183"/>
      <c r="Y2376" s="183"/>
      <c r="Z2376" s="183"/>
    </row>
    <row r="2377" spans="2:26">
      <c r="B2377" s="191"/>
      <c r="D2377" s="183"/>
      <c r="I2377" s="183"/>
      <c r="J2377" s="183"/>
      <c r="L2377" s="183"/>
      <c r="M2377" s="183"/>
      <c r="N2377" s="183"/>
      <c r="O2377" s="183"/>
      <c r="P2377" s="183"/>
      <c r="Q2377" s="183"/>
      <c r="R2377" s="183"/>
      <c r="S2377" s="183"/>
      <c r="T2377" s="183"/>
      <c r="U2377" s="183"/>
      <c r="V2377" s="183"/>
      <c r="W2377" s="183"/>
      <c r="X2377" s="183"/>
      <c r="Y2377" s="183"/>
      <c r="Z2377" s="183"/>
    </row>
    <row r="2378" spans="2:26">
      <c r="B2378" s="191"/>
      <c r="D2378" s="183"/>
      <c r="I2378" s="183"/>
      <c r="J2378" s="183"/>
      <c r="L2378" s="183"/>
      <c r="M2378" s="183"/>
      <c r="N2378" s="183"/>
      <c r="O2378" s="183"/>
      <c r="P2378" s="183"/>
      <c r="Q2378" s="183"/>
      <c r="R2378" s="183"/>
      <c r="S2378" s="183"/>
      <c r="T2378" s="183"/>
      <c r="U2378" s="183"/>
      <c r="V2378" s="183"/>
      <c r="W2378" s="183"/>
      <c r="X2378" s="183"/>
      <c r="Y2378" s="183"/>
      <c r="Z2378" s="183"/>
    </row>
    <row r="2379" spans="2:26">
      <c r="B2379" s="191"/>
      <c r="D2379" s="183"/>
      <c r="I2379" s="183"/>
      <c r="J2379" s="183"/>
      <c r="L2379" s="183"/>
      <c r="M2379" s="183"/>
      <c r="N2379" s="183"/>
      <c r="O2379" s="183"/>
      <c r="P2379" s="183"/>
      <c r="Q2379" s="183"/>
      <c r="R2379" s="183"/>
      <c r="S2379" s="183"/>
      <c r="T2379" s="183"/>
      <c r="U2379" s="183"/>
      <c r="V2379" s="183"/>
      <c r="W2379" s="183"/>
      <c r="X2379" s="183"/>
      <c r="Y2379" s="183"/>
      <c r="Z2379" s="183"/>
    </row>
    <row r="2380" spans="2:26">
      <c r="B2380" s="191"/>
      <c r="D2380" s="183"/>
      <c r="I2380" s="183"/>
      <c r="J2380" s="183"/>
      <c r="L2380" s="183"/>
      <c r="M2380" s="183"/>
      <c r="N2380" s="183"/>
      <c r="O2380" s="183"/>
      <c r="P2380" s="183"/>
      <c r="Q2380" s="183"/>
      <c r="R2380" s="183"/>
      <c r="S2380" s="183"/>
      <c r="T2380" s="183"/>
      <c r="U2380" s="183"/>
      <c r="V2380" s="183"/>
      <c r="W2380" s="183"/>
      <c r="X2380" s="183"/>
      <c r="Y2380" s="183"/>
      <c r="Z2380" s="183"/>
    </row>
    <row r="2381" spans="2:26">
      <c r="B2381" s="191"/>
      <c r="D2381" s="183"/>
      <c r="I2381" s="183"/>
      <c r="J2381" s="183"/>
      <c r="L2381" s="183"/>
      <c r="M2381" s="183"/>
      <c r="N2381" s="183"/>
      <c r="O2381" s="183"/>
      <c r="P2381" s="183"/>
      <c r="Q2381" s="183"/>
      <c r="R2381" s="183"/>
      <c r="S2381" s="183"/>
      <c r="T2381" s="183"/>
      <c r="U2381" s="183"/>
      <c r="V2381" s="183"/>
      <c r="W2381" s="183"/>
      <c r="X2381" s="183"/>
      <c r="Y2381" s="183"/>
      <c r="Z2381" s="183"/>
    </row>
    <row r="2382" spans="2:26">
      <c r="B2382" s="191"/>
      <c r="D2382" s="183"/>
      <c r="I2382" s="183"/>
      <c r="J2382" s="183"/>
      <c r="L2382" s="183"/>
      <c r="M2382" s="183"/>
      <c r="N2382" s="183"/>
      <c r="O2382" s="183"/>
      <c r="P2382" s="183"/>
      <c r="Q2382" s="183"/>
      <c r="R2382" s="183"/>
      <c r="S2382" s="183"/>
      <c r="T2382" s="183"/>
      <c r="U2382" s="183"/>
      <c r="V2382" s="183"/>
      <c r="W2382" s="183"/>
      <c r="X2382" s="183"/>
      <c r="Y2382" s="183"/>
      <c r="Z2382" s="183"/>
    </row>
    <row r="2383" spans="2:26">
      <c r="B2383" s="191"/>
      <c r="D2383" s="183"/>
      <c r="I2383" s="183"/>
      <c r="J2383" s="183"/>
      <c r="L2383" s="183"/>
      <c r="M2383" s="183"/>
      <c r="N2383" s="183"/>
      <c r="O2383" s="183"/>
      <c r="P2383" s="183"/>
      <c r="Q2383" s="183"/>
      <c r="R2383" s="183"/>
      <c r="S2383" s="183"/>
      <c r="T2383" s="183"/>
      <c r="U2383" s="183"/>
      <c r="V2383" s="183"/>
      <c r="W2383" s="183"/>
      <c r="X2383" s="183"/>
      <c r="Y2383" s="183"/>
      <c r="Z2383" s="183"/>
    </row>
    <row r="2384" spans="2:26">
      <c r="B2384" s="191"/>
      <c r="D2384" s="183"/>
      <c r="I2384" s="183"/>
      <c r="J2384" s="183"/>
      <c r="L2384" s="183"/>
      <c r="M2384" s="183"/>
      <c r="N2384" s="183"/>
      <c r="O2384" s="183"/>
      <c r="P2384" s="183"/>
      <c r="Q2384" s="183"/>
      <c r="R2384" s="183"/>
      <c r="S2384" s="183"/>
      <c r="T2384" s="183"/>
      <c r="U2384" s="183"/>
      <c r="V2384" s="183"/>
      <c r="W2384" s="183"/>
      <c r="X2384" s="183"/>
      <c r="Y2384" s="183"/>
      <c r="Z2384" s="183"/>
    </row>
    <row r="2385" spans="2:26">
      <c r="B2385" s="191"/>
      <c r="D2385" s="183"/>
      <c r="I2385" s="183"/>
      <c r="J2385" s="183"/>
      <c r="L2385" s="183"/>
      <c r="M2385" s="183"/>
      <c r="N2385" s="183"/>
      <c r="O2385" s="183"/>
      <c r="P2385" s="183"/>
      <c r="Q2385" s="183"/>
      <c r="R2385" s="183"/>
      <c r="S2385" s="183"/>
      <c r="T2385" s="183"/>
      <c r="U2385" s="183"/>
      <c r="V2385" s="183"/>
      <c r="W2385" s="183"/>
      <c r="X2385" s="183"/>
      <c r="Y2385" s="183"/>
      <c r="Z2385" s="183"/>
    </row>
    <row r="2386" spans="2:26">
      <c r="B2386" s="191"/>
      <c r="D2386" s="183"/>
      <c r="I2386" s="183"/>
      <c r="J2386" s="183"/>
      <c r="L2386" s="183"/>
      <c r="M2386" s="183"/>
      <c r="N2386" s="183"/>
      <c r="O2386" s="183"/>
      <c r="P2386" s="183"/>
      <c r="Q2386" s="183"/>
      <c r="R2386" s="183"/>
      <c r="S2386" s="183"/>
      <c r="T2386" s="183"/>
      <c r="U2386" s="183"/>
      <c r="V2386" s="183"/>
      <c r="W2386" s="183"/>
      <c r="X2386" s="183"/>
      <c r="Y2386" s="183"/>
      <c r="Z2386" s="183"/>
    </row>
    <row r="2387" spans="2:26">
      <c r="B2387" s="191"/>
      <c r="D2387" s="183"/>
      <c r="I2387" s="183"/>
      <c r="J2387" s="183"/>
      <c r="L2387" s="183"/>
      <c r="M2387" s="183"/>
      <c r="N2387" s="183"/>
      <c r="O2387" s="183"/>
      <c r="P2387" s="183"/>
      <c r="Q2387" s="183"/>
      <c r="R2387" s="183"/>
      <c r="S2387" s="183"/>
      <c r="T2387" s="183"/>
      <c r="U2387" s="183"/>
      <c r="V2387" s="183"/>
      <c r="W2387" s="183"/>
      <c r="X2387" s="183"/>
      <c r="Y2387" s="183"/>
      <c r="Z2387" s="183"/>
    </row>
    <row r="2388" spans="2:26">
      <c r="B2388" s="191"/>
      <c r="D2388" s="183"/>
      <c r="I2388" s="183"/>
      <c r="J2388" s="183"/>
      <c r="L2388" s="183"/>
      <c r="M2388" s="183"/>
      <c r="N2388" s="183"/>
      <c r="O2388" s="183"/>
      <c r="P2388" s="183"/>
      <c r="Q2388" s="183"/>
      <c r="R2388" s="183"/>
      <c r="S2388" s="183"/>
      <c r="T2388" s="183"/>
      <c r="U2388" s="183"/>
      <c r="V2388" s="183"/>
      <c r="W2388" s="183"/>
      <c r="X2388" s="183"/>
      <c r="Y2388" s="183"/>
      <c r="Z2388" s="183"/>
    </row>
    <row r="2389" spans="2:26">
      <c r="B2389" s="191"/>
      <c r="D2389" s="183"/>
      <c r="I2389" s="183"/>
      <c r="J2389" s="183"/>
      <c r="L2389" s="183"/>
      <c r="M2389" s="183"/>
      <c r="N2389" s="183"/>
      <c r="O2389" s="183"/>
      <c r="P2389" s="183"/>
      <c r="Q2389" s="183"/>
      <c r="R2389" s="183"/>
      <c r="S2389" s="183"/>
      <c r="T2389" s="183"/>
      <c r="U2389" s="183"/>
      <c r="V2389" s="183"/>
      <c r="W2389" s="183"/>
      <c r="X2389" s="183"/>
      <c r="Y2389" s="183"/>
      <c r="Z2389" s="183"/>
    </row>
    <row r="2390" spans="2:26">
      <c r="B2390" s="191"/>
      <c r="D2390" s="183"/>
      <c r="I2390" s="183"/>
      <c r="J2390" s="183"/>
      <c r="L2390" s="183"/>
      <c r="M2390" s="183"/>
      <c r="N2390" s="183"/>
      <c r="O2390" s="183"/>
      <c r="P2390" s="183"/>
      <c r="Q2390" s="183"/>
      <c r="R2390" s="183"/>
      <c r="S2390" s="183"/>
      <c r="T2390" s="183"/>
      <c r="U2390" s="183"/>
      <c r="V2390" s="183"/>
      <c r="W2390" s="183"/>
      <c r="X2390" s="183"/>
      <c r="Y2390" s="183"/>
      <c r="Z2390" s="183"/>
    </row>
    <row r="2391" spans="2:26">
      <c r="B2391" s="191"/>
      <c r="D2391" s="183"/>
      <c r="I2391" s="183"/>
      <c r="J2391" s="183"/>
      <c r="L2391" s="183"/>
      <c r="M2391" s="183"/>
      <c r="N2391" s="183"/>
      <c r="O2391" s="183"/>
      <c r="P2391" s="183"/>
      <c r="Q2391" s="183"/>
      <c r="R2391" s="183"/>
      <c r="S2391" s="183"/>
      <c r="T2391" s="183"/>
      <c r="U2391" s="183"/>
      <c r="V2391" s="183"/>
      <c r="W2391" s="183"/>
      <c r="X2391" s="183"/>
      <c r="Y2391" s="183"/>
      <c r="Z2391" s="183"/>
    </row>
    <row r="2392" spans="2:26">
      <c r="B2392" s="191"/>
      <c r="D2392" s="183"/>
      <c r="I2392" s="183"/>
      <c r="J2392" s="183"/>
      <c r="L2392" s="183"/>
      <c r="M2392" s="183"/>
      <c r="N2392" s="183"/>
      <c r="O2392" s="183"/>
      <c r="P2392" s="183"/>
      <c r="Q2392" s="183"/>
      <c r="R2392" s="183"/>
      <c r="S2392" s="183"/>
      <c r="T2392" s="183"/>
      <c r="U2392" s="183"/>
      <c r="V2392" s="183"/>
      <c r="W2392" s="183"/>
      <c r="X2392" s="183"/>
      <c r="Y2392" s="183"/>
      <c r="Z2392" s="183"/>
    </row>
    <row r="2393" spans="2:26">
      <c r="B2393" s="191"/>
      <c r="D2393" s="183"/>
      <c r="I2393" s="183"/>
      <c r="J2393" s="183"/>
      <c r="L2393" s="183"/>
      <c r="M2393" s="183"/>
      <c r="N2393" s="183"/>
      <c r="O2393" s="183"/>
      <c r="P2393" s="183"/>
      <c r="Q2393" s="183"/>
      <c r="R2393" s="183"/>
      <c r="S2393" s="183"/>
      <c r="T2393" s="183"/>
      <c r="U2393" s="183"/>
      <c r="V2393" s="183"/>
      <c r="W2393" s="183"/>
      <c r="X2393" s="183"/>
      <c r="Y2393" s="183"/>
      <c r="Z2393" s="183"/>
    </row>
    <row r="2394" spans="2:26">
      <c r="B2394" s="191"/>
      <c r="D2394" s="183"/>
      <c r="I2394" s="183"/>
      <c r="J2394" s="183"/>
      <c r="L2394" s="183"/>
      <c r="M2394" s="183"/>
      <c r="N2394" s="183"/>
      <c r="O2394" s="183"/>
      <c r="P2394" s="183"/>
      <c r="Q2394" s="183"/>
      <c r="R2394" s="183"/>
      <c r="S2394" s="183"/>
      <c r="T2394" s="183"/>
      <c r="U2394" s="183"/>
      <c r="V2394" s="183"/>
      <c r="W2394" s="183"/>
      <c r="X2394" s="183"/>
      <c r="Y2394" s="183"/>
      <c r="Z2394" s="183"/>
    </row>
    <row r="2395" spans="2:26">
      <c r="B2395" s="191"/>
      <c r="D2395" s="183"/>
      <c r="I2395" s="183"/>
      <c r="J2395" s="183"/>
      <c r="L2395" s="183"/>
      <c r="M2395" s="183"/>
      <c r="N2395" s="183"/>
      <c r="O2395" s="183"/>
      <c r="P2395" s="183"/>
      <c r="Q2395" s="183"/>
      <c r="R2395" s="183"/>
      <c r="S2395" s="183"/>
      <c r="T2395" s="183"/>
      <c r="U2395" s="183"/>
      <c r="V2395" s="183"/>
      <c r="W2395" s="183"/>
      <c r="X2395" s="183"/>
      <c r="Y2395" s="183"/>
      <c r="Z2395" s="183"/>
    </row>
    <row r="2396" spans="2:26">
      <c r="B2396" s="191"/>
      <c r="D2396" s="183"/>
      <c r="I2396" s="183"/>
      <c r="J2396" s="183"/>
      <c r="L2396" s="183"/>
      <c r="M2396" s="183"/>
      <c r="N2396" s="183"/>
      <c r="O2396" s="183"/>
      <c r="P2396" s="183"/>
      <c r="Q2396" s="183"/>
      <c r="R2396" s="183"/>
      <c r="S2396" s="183"/>
      <c r="T2396" s="183"/>
      <c r="U2396" s="183"/>
      <c r="V2396" s="183"/>
      <c r="W2396" s="183"/>
      <c r="X2396" s="183"/>
      <c r="Y2396" s="183"/>
      <c r="Z2396" s="183"/>
    </row>
    <row r="2397" spans="2:26">
      <c r="B2397" s="191"/>
      <c r="D2397" s="183"/>
      <c r="I2397" s="183"/>
      <c r="J2397" s="183"/>
      <c r="L2397" s="183"/>
      <c r="M2397" s="183"/>
      <c r="N2397" s="183"/>
      <c r="O2397" s="183"/>
      <c r="P2397" s="183"/>
      <c r="Q2397" s="183"/>
      <c r="R2397" s="183"/>
      <c r="S2397" s="183"/>
      <c r="T2397" s="183"/>
      <c r="U2397" s="183"/>
      <c r="V2397" s="183"/>
      <c r="W2397" s="183"/>
      <c r="X2397" s="183"/>
      <c r="Y2397" s="183"/>
      <c r="Z2397" s="183"/>
    </row>
    <row r="2398" spans="2:26">
      <c r="B2398" s="191"/>
      <c r="D2398" s="183"/>
      <c r="I2398" s="183"/>
      <c r="J2398" s="183"/>
      <c r="L2398" s="183"/>
      <c r="M2398" s="183"/>
      <c r="N2398" s="183"/>
      <c r="O2398" s="183"/>
      <c r="P2398" s="183"/>
      <c r="Q2398" s="183"/>
      <c r="R2398" s="183"/>
      <c r="S2398" s="183"/>
      <c r="T2398" s="183"/>
      <c r="U2398" s="183"/>
      <c r="V2398" s="183"/>
      <c r="W2398" s="183"/>
      <c r="X2398" s="183"/>
      <c r="Y2398" s="183"/>
      <c r="Z2398" s="183"/>
    </row>
    <row r="2399" spans="2:26">
      <c r="B2399" s="191"/>
      <c r="D2399" s="183"/>
      <c r="I2399" s="183"/>
      <c r="J2399" s="183"/>
      <c r="L2399" s="183"/>
      <c r="M2399" s="183"/>
      <c r="N2399" s="183"/>
      <c r="O2399" s="183"/>
      <c r="P2399" s="183"/>
      <c r="Q2399" s="183"/>
      <c r="R2399" s="183"/>
      <c r="S2399" s="183"/>
      <c r="T2399" s="183"/>
      <c r="U2399" s="183"/>
      <c r="V2399" s="183"/>
      <c r="W2399" s="183"/>
      <c r="X2399" s="183"/>
      <c r="Y2399" s="183"/>
      <c r="Z2399" s="183"/>
    </row>
    <row r="2400" spans="2:26">
      <c r="B2400" s="191"/>
      <c r="D2400" s="183"/>
      <c r="I2400" s="183"/>
      <c r="J2400" s="183"/>
      <c r="L2400" s="183"/>
      <c r="M2400" s="183"/>
      <c r="N2400" s="183"/>
      <c r="O2400" s="183"/>
      <c r="P2400" s="183"/>
      <c r="Q2400" s="183"/>
      <c r="R2400" s="183"/>
      <c r="S2400" s="183"/>
      <c r="T2400" s="183"/>
      <c r="U2400" s="183"/>
      <c r="V2400" s="183"/>
      <c r="W2400" s="183"/>
      <c r="X2400" s="183"/>
      <c r="Y2400" s="183"/>
      <c r="Z2400" s="183"/>
    </row>
    <row r="2401" spans="2:26">
      <c r="B2401" s="191"/>
      <c r="D2401" s="183"/>
      <c r="I2401" s="183"/>
      <c r="J2401" s="183"/>
      <c r="L2401" s="183"/>
      <c r="M2401" s="183"/>
      <c r="N2401" s="183"/>
      <c r="O2401" s="183"/>
      <c r="P2401" s="183"/>
      <c r="Q2401" s="183"/>
      <c r="R2401" s="183"/>
      <c r="S2401" s="183"/>
      <c r="T2401" s="183"/>
      <c r="U2401" s="183"/>
      <c r="V2401" s="183"/>
      <c r="W2401" s="183"/>
      <c r="X2401" s="183"/>
      <c r="Y2401" s="183"/>
      <c r="Z2401" s="183"/>
    </row>
    <row r="2402" spans="2:26">
      <c r="B2402" s="191"/>
      <c r="D2402" s="183"/>
      <c r="I2402" s="183"/>
      <c r="J2402" s="183"/>
      <c r="L2402" s="183"/>
      <c r="M2402" s="183"/>
      <c r="N2402" s="183"/>
      <c r="O2402" s="183"/>
      <c r="P2402" s="183"/>
      <c r="Q2402" s="183"/>
      <c r="R2402" s="183"/>
      <c r="S2402" s="183"/>
      <c r="T2402" s="183"/>
      <c r="U2402" s="183"/>
      <c r="V2402" s="183"/>
      <c r="W2402" s="183"/>
      <c r="X2402" s="183"/>
      <c r="Y2402" s="183"/>
      <c r="Z2402" s="183"/>
    </row>
    <row r="2403" spans="2:26">
      <c r="B2403" s="191"/>
      <c r="D2403" s="183"/>
      <c r="I2403" s="183"/>
      <c r="J2403" s="183"/>
      <c r="L2403" s="183"/>
      <c r="M2403" s="183"/>
      <c r="N2403" s="183"/>
      <c r="O2403" s="183"/>
      <c r="P2403" s="183"/>
      <c r="Q2403" s="183"/>
      <c r="R2403" s="183"/>
      <c r="S2403" s="183"/>
      <c r="T2403" s="183"/>
      <c r="U2403" s="183"/>
      <c r="V2403" s="183"/>
      <c r="W2403" s="183"/>
      <c r="X2403" s="183"/>
      <c r="Y2403" s="183"/>
      <c r="Z2403" s="183"/>
    </row>
    <row r="2404" spans="2:26">
      <c r="B2404" s="191"/>
      <c r="D2404" s="183"/>
      <c r="I2404" s="183"/>
      <c r="J2404" s="183"/>
      <c r="L2404" s="183"/>
      <c r="M2404" s="183"/>
      <c r="N2404" s="183"/>
      <c r="O2404" s="183"/>
      <c r="P2404" s="183"/>
      <c r="Q2404" s="183"/>
      <c r="R2404" s="183"/>
      <c r="S2404" s="183"/>
      <c r="T2404" s="183"/>
      <c r="U2404" s="183"/>
      <c r="V2404" s="183"/>
      <c r="W2404" s="183"/>
      <c r="X2404" s="183"/>
      <c r="Y2404" s="183"/>
      <c r="Z2404" s="183"/>
    </row>
    <row r="2405" spans="2:26">
      <c r="B2405" s="191"/>
      <c r="D2405" s="183"/>
      <c r="I2405" s="183"/>
      <c r="J2405" s="183"/>
      <c r="L2405" s="183"/>
      <c r="M2405" s="183"/>
      <c r="N2405" s="183"/>
      <c r="O2405" s="183"/>
      <c r="P2405" s="183"/>
      <c r="Q2405" s="183"/>
      <c r="R2405" s="183"/>
      <c r="S2405" s="183"/>
      <c r="T2405" s="183"/>
      <c r="U2405" s="183"/>
      <c r="V2405" s="183"/>
      <c r="W2405" s="183"/>
      <c r="X2405" s="183"/>
      <c r="Y2405" s="183"/>
      <c r="Z2405" s="183"/>
    </row>
    <row r="2406" spans="2:26">
      <c r="B2406" s="191"/>
      <c r="D2406" s="183"/>
      <c r="I2406" s="183"/>
      <c r="J2406" s="183"/>
      <c r="L2406" s="183"/>
      <c r="M2406" s="183"/>
      <c r="N2406" s="183"/>
      <c r="O2406" s="183"/>
      <c r="P2406" s="183"/>
      <c r="Q2406" s="183"/>
      <c r="R2406" s="183"/>
      <c r="S2406" s="183"/>
      <c r="T2406" s="183"/>
      <c r="U2406" s="183"/>
      <c r="V2406" s="183"/>
      <c r="W2406" s="183"/>
      <c r="X2406" s="183"/>
      <c r="Y2406" s="183"/>
      <c r="Z2406" s="183"/>
    </row>
    <row r="2407" spans="2:26">
      <c r="B2407" s="191"/>
      <c r="D2407" s="183"/>
      <c r="I2407" s="183"/>
      <c r="J2407" s="183"/>
      <c r="L2407" s="183"/>
      <c r="M2407" s="183"/>
      <c r="N2407" s="183"/>
      <c r="O2407" s="183"/>
      <c r="P2407" s="183"/>
      <c r="Q2407" s="183"/>
      <c r="R2407" s="183"/>
      <c r="S2407" s="183"/>
      <c r="T2407" s="183"/>
      <c r="U2407" s="183"/>
      <c r="V2407" s="183"/>
      <c r="W2407" s="183"/>
      <c r="X2407" s="183"/>
      <c r="Y2407" s="183"/>
      <c r="Z2407" s="183"/>
    </row>
    <row r="2408" spans="2:26">
      <c r="B2408" s="191"/>
      <c r="D2408" s="183"/>
      <c r="I2408" s="183"/>
      <c r="J2408" s="183"/>
      <c r="L2408" s="183"/>
      <c r="M2408" s="183"/>
      <c r="N2408" s="183"/>
      <c r="O2408" s="183"/>
      <c r="P2408" s="183"/>
      <c r="Q2408" s="183"/>
      <c r="R2408" s="183"/>
      <c r="S2408" s="183"/>
      <c r="T2408" s="183"/>
      <c r="U2408" s="183"/>
      <c r="V2408" s="183"/>
      <c r="W2408" s="183"/>
      <c r="X2408" s="183"/>
      <c r="Y2408" s="183"/>
      <c r="Z2408" s="183"/>
    </row>
    <row r="2409" spans="2:26">
      <c r="B2409" s="191"/>
      <c r="D2409" s="183"/>
      <c r="I2409" s="183"/>
      <c r="J2409" s="183"/>
      <c r="L2409" s="183"/>
      <c r="M2409" s="183"/>
      <c r="N2409" s="183"/>
      <c r="O2409" s="183"/>
      <c r="P2409" s="183"/>
      <c r="Q2409" s="183"/>
      <c r="R2409" s="183"/>
      <c r="S2409" s="183"/>
      <c r="T2409" s="183"/>
      <c r="U2409" s="183"/>
      <c r="V2409" s="183"/>
      <c r="W2409" s="183"/>
      <c r="X2409" s="183"/>
      <c r="Y2409" s="183"/>
      <c r="Z2409" s="183"/>
    </row>
    <row r="2410" spans="2:26">
      <c r="B2410" s="191"/>
      <c r="D2410" s="183"/>
      <c r="I2410" s="183"/>
      <c r="J2410" s="183"/>
      <c r="L2410" s="183"/>
      <c r="M2410" s="183"/>
      <c r="N2410" s="183"/>
      <c r="O2410" s="183"/>
      <c r="P2410" s="183"/>
      <c r="Q2410" s="183"/>
      <c r="R2410" s="183"/>
      <c r="S2410" s="183"/>
      <c r="T2410" s="183"/>
      <c r="U2410" s="183"/>
      <c r="V2410" s="183"/>
      <c r="W2410" s="183"/>
      <c r="X2410" s="183"/>
      <c r="Y2410" s="183"/>
      <c r="Z2410" s="183"/>
    </row>
    <row r="2411" spans="2:26">
      <c r="B2411" s="191"/>
      <c r="D2411" s="183"/>
      <c r="I2411" s="183"/>
      <c r="J2411" s="183"/>
      <c r="L2411" s="183"/>
      <c r="M2411" s="183"/>
      <c r="N2411" s="183"/>
      <c r="O2411" s="183"/>
      <c r="P2411" s="183"/>
      <c r="Q2411" s="183"/>
      <c r="R2411" s="183"/>
      <c r="S2411" s="183"/>
      <c r="T2411" s="183"/>
      <c r="U2411" s="183"/>
      <c r="V2411" s="183"/>
      <c r="W2411" s="183"/>
      <c r="X2411" s="183"/>
      <c r="Y2411" s="183"/>
      <c r="Z2411" s="183"/>
    </row>
    <row r="2412" spans="2:26">
      <c r="B2412" s="191"/>
      <c r="D2412" s="183"/>
      <c r="I2412" s="183"/>
      <c r="J2412" s="183"/>
      <c r="L2412" s="183"/>
      <c r="M2412" s="183"/>
      <c r="N2412" s="183"/>
      <c r="O2412" s="183"/>
      <c r="P2412" s="183"/>
      <c r="Q2412" s="183"/>
      <c r="R2412" s="183"/>
      <c r="S2412" s="183"/>
      <c r="T2412" s="183"/>
      <c r="U2412" s="183"/>
      <c r="V2412" s="183"/>
      <c r="W2412" s="183"/>
      <c r="X2412" s="183"/>
      <c r="Y2412" s="183"/>
      <c r="Z2412" s="183"/>
    </row>
    <row r="2413" spans="2:26">
      <c r="B2413" s="191"/>
      <c r="D2413" s="183"/>
      <c r="I2413" s="183"/>
      <c r="J2413" s="183"/>
      <c r="L2413" s="183"/>
      <c r="M2413" s="183"/>
      <c r="N2413" s="183"/>
      <c r="O2413" s="183"/>
      <c r="P2413" s="183"/>
      <c r="Q2413" s="183"/>
      <c r="R2413" s="183"/>
      <c r="S2413" s="183"/>
      <c r="T2413" s="183"/>
      <c r="U2413" s="183"/>
      <c r="V2413" s="183"/>
      <c r="W2413" s="183"/>
      <c r="X2413" s="183"/>
      <c r="Y2413" s="183"/>
      <c r="Z2413" s="183"/>
    </row>
    <row r="2414" spans="2:26">
      <c r="B2414" s="191"/>
      <c r="D2414" s="183"/>
      <c r="I2414" s="183"/>
      <c r="J2414" s="183"/>
      <c r="L2414" s="183"/>
      <c r="M2414" s="183"/>
      <c r="N2414" s="183"/>
      <c r="O2414" s="183"/>
      <c r="P2414" s="183"/>
      <c r="Q2414" s="183"/>
      <c r="R2414" s="183"/>
      <c r="S2414" s="183"/>
      <c r="T2414" s="183"/>
      <c r="U2414" s="183"/>
      <c r="V2414" s="183"/>
      <c r="W2414" s="183"/>
      <c r="X2414" s="183"/>
      <c r="Y2414" s="183"/>
      <c r="Z2414" s="183"/>
    </row>
    <row r="2415" spans="2:26">
      <c r="B2415" s="191"/>
      <c r="D2415" s="183"/>
      <c r="I2415" s="183"/>
      <c r="J2415" s="183"/>
      <c r="L2415" s="183"/>
      <c r="M2415" s="183"/>
      <c r="N2415" s="183"/>
      <c r="O2415" s="183"/>
      <c r="P2415" s="183"/>
      <c r="Q2415" s="183"/>
      <c r="R2415" s="183"/>
      <c r="S2415" s="183"/>
      <c r="T2415" s="183"/>
      <c r="U2415" s="183"/>
      <c r="V2415" s="183"/>
      <c r="W2415" s="183"/>
      <c r="X2415" s="183"/>
      <c r="Y2415" s="183"/>
      <c r="Z2415" s="183"/>
    </row>
    <row r="2416" spans="2:26">
      <c r="B2416" s="191"/>
      <c r="D2416" s="183"/>
      <c r="I2416" s="183"/>
      <c r="J2416" s="183"/>
      <c r="L2416" s="183"/>
      <c r="M2416" s="183"/>
      <c r="N2416" s="183"/>
      <c r="O2416" s="183"/>
      <c r="P2416" s="183"/>
      <c r="Q2416" s="183"/>
      <c r="R2416" s="183"/>
      <c r="S2416" s="183"/>
      <c r="T2416" s="183"/>
      <c r="U2416" s="183"/>
      <c r="V2416" s="183"/>
      <c r="W2416" s="183"/>
      <c r="X2416" s="183"/>
      <c r="Y2416" s="183"/>
      <c r="Z2416" s="183"/>
    </row>
    <row r="2417" spans="2:26">
      <c r="B2417" s="191"/>
      <c r="D2417" s="183"/>
      <c r="I2417" s="183"/>
      <c r="J2417" s="183"/>
      <c r="L2417" s="183"/>
      <c r="M2417" s="183"/>
      <c r="N2417" s="183"/>
      <c r="O2417" s="183"/>
      <c r="P2417" s="183"/>
      <c r="Q2417" s="183"/>
      <c r="R2417" s="183"/>
      <c r="S2417" s="183"/>
      <c r="T2417" s="183"/>
      <c r="U2417" s="183"/>
      <c r="V2417" s="183"/>
      <c r="W2417" s="183"/>
      <c r="X2417" s="183"/>
      <c r="Y2417" s="183"/>
      <c r="Z2417" s="183"/>
    </row>
    <row r="2418" spans="2:26">
      <c r="B2418" s="191"/>
      <c r="D2418" s="183"/>
      <c r="I2418" s="183"/>
      <c r="J2418" s="183"/>
      <c r="L2418" s="183"/>
      <c r="M2418" s="183"/>
      <c r="N2418" s="183"/>
      <c r="O2418" s="183"/>
      <c r="P2418" s="183"/>
      <c r="Q2418" s="183"/>
      <c r="R2418" s="183"/>
      <c r="S2418" s="183"/>
      <c r="T2418" s="183"/>
      <c r="U2418" s="183"/>
      <c r="V2418" s="183"/>
      <c r="W2418" s="183"/>
      <c r="X2418" s="183"/>
      <c r="Y2418" s="183"/>
      <c r="Z2418" s="183"/>
    </row>
    <row r="2419" spans="2:26">
      <c r="B2419" s="191"/>
      <c r="D2419" s="183"/>
      <c r="I2419" s="183"/>
      <c r="J2419" s="183"/>
      <c r="L2419" s="183"/>
      <c r="M2419" s="183"/>
      <c r="N2419" s="183"/>
      <c r="O2419" s="183"/>
      <c r="P2419" s="183"/>
      <c r="Q2419" s="183"/>
      <c r="R2419" s="183"/>
      <c r="S2419" s="183"/>
      <c r="T2419" s="183"/>
      <c r="U2419" s="183"/>
      <c r="V2419" s="183"/>
      <c r="W2419" s="183"/>
      <c r="X2419" s="183"/>
      <c r="Y2419" s="183"/>
      <c r="Z2419" s="183"/>
    </row>
    <row r="2420" spans="2:26">
      <c r="B2420" s="191"/>
      <c r="D2420" s="183"/>
      <c r="I2420" s="183"/>
      <c r="J2420" s="183"/>
      <c r="L2420" s="183"/>
      <c r="M2420" s="183"/>
      <c r="N2420" s="183"/>
      <c r="O2420" s="183"/>
      <c r="P2420" s="183"/>
      <c r="Q2420" s="183"/>
      <c r="R2420" s="183"/>
      <c r="S2420" s="183"/>
      <c r="T2420" s="183"/>
      <c r="U2420" s="183"/>
      <c r="V2420" s="183"/>
      <c r="W2420" s="183"/>
      <c r="X2420" s="183"/>
      <c r="Y2420" s="183"/>
      <c r="Z2420" s="183"/>
    </row>
    <row r="2421" spans="2:26">
      <c r="B2421" s="191"/>
      <c r="D2421" s="183"/>
      <c r="I2421" s="183"/>
      <c r="J2421" s="183"/>
      <c r="L2421" s="183"/>
      <c r="M2421" s="183"/>
      <c r="N2421" s="183"/>
      <c r="O2421" s="183"/>
      <c r="P2421" s="183"/>
      <c r="Q2421" s="183"/>
      <c r="R2421" s="183"/>
      <c r="S2421" s="183"/>
      <c r="T2421" s="183"/>
      <c r="U2421" s="183"/>
      <c r="V2421" s="183"/>
      <c r="W2421" s="183"/>
      <c r="X2421" s="183"/>
      <c r="Y2421" s="183"/>
      <c r="Z2421" s="183"/>
    </row>
    <row r="2422" spans="2:26">
      <c r="B2422" s="191"/>
      <c r="D2422" s="183"/>
      <c r="I2422" s="183"/>
      <c r="J2422" s="183"/>
      <c r="L2422" s="183"/>
      <c r="M2422" s="183"/>
      <c r="N2422" s="183"/>
      <c r="O2422" s="183"/>
      <c r="P2422" s="183"/>
      <c r="Q2422" s="183"/>
      <c r="R2422" s="183"/>
      <c r="S2422" s="183"/>
      <c r="T2422" s="183"/>
      <c r="U2422" s="183"/>
      <c r="V2422" s="183"/>
      <c r="W2422" s="183"/>
      <c r="X2422" s="183"/>
      <c r="Y2422" s="183"/>
      <c r="Z2422" s="183"/>
    </row>
    <row r="2423" spans="2:26">
      <c r="B2423" s="191"/>
      <c r="D2423" s="183"/>
      <c r="I2423" s="183"/>
      <c r="J2423" s="183"/>
      <c r="L2423" s="183"/>
      <c r="M2423" s="183"/>
      <c r="N2423" s="183"/>
      <c r="O2423" s="183"/>
      <c r="P2423" s="183"/>
      <c r="Q2423" s="183"/>
      <c r="R2423" s="183"/>
      <c r="S2423" s="183"/>
      <c r="T2423" s="183"/>
      <c r="U2423" s="183"/>
      <c r="V2423" s="183"/>
      <c r="W2423" s="183"/>
      <c r="X2423" s="183"/>
      <c r="Y2423" s="183"/>
      <c r="Z2423" s="183"/>
    </row>
    <row r="2424" spans="2:26">
      <c r="B2424" s="191"/>
      <c r="D2424" s="183"/>
      <c r="I2424" s="183"/>
      <c r="J2424" s="183"/>
      <c r="L2424" s="183"/>
      <c r="M2424" s="183"/>
      <c r="N2424" s="183"/>
      <c r="O2424" s="183"/>
      <c r="P2424" s="183"/>
      <c r="Q2424" s="183"/>
      <c r="R2424" s="183"/>
      <c r="S2424" s="183"/>
      <c r="T2424" s="183"/>
      <c r="U2424" s="183"/>
      <c r="V2424" s="183"/>
      <c r="W2424" s="183"/>
      <c r="X2424" s="183"/>
      <c r="Y2424" s="183"/>
      <c r="Z2424" s="183"/>
    </row>
    <row r="2425" spans="2:26">
      <c r="B2425" s="191"/>
      <c r="D2425" s="183"/>
      <c r="I2425" s="183"/>
      <c r="J2425" s="183"/>
      <c r="L2425" s="183"/>
      <c r="M2425" s="183"/>
      <c r="N2425" s="183"/>
      <c r="O2425" s="183"/>
      <c r="P2425" s="183"/>
      <c r="Q2425" s="183"/>
      <c r="R2425" s="183"/>
      <c r="S2425" s="183"/>
      <c r="T2425" s="183"/>
      <c r="U2425" s="183"/>
      <c r="V2425" s="183"/>
      <c r="W2425" s="183"/>
      <c r="X2425" s="183"/>
      <c r="Y2425" s="183"/>
      <c r="Z2425" s="183"/>
    </row>
    <row r="2426" spans="2:26">
      <c r="B2426" s="191"/>
      <c r="D2426" s="183"/>
      <c r="I2426" s="183"/>
      <c r="J2426" s="183"/>
      <c r="L2426" s="183"/>
      <c r="M2426" s="183"/>
      <c r="N2426" s="183"/>
      <c r="O2426" s="183"/>
      <c r="P2426" s="183"/>
      <c r="Q2426" s="183"/>
      <c r="R2426" s="183"/>
      <c r="S2426" s="183"/>
      <c r="T2426" s="183"/>
      <c r="U2426" s="183"/>
      <c r="V2426" s="183"/>
      <c r="W2426" s="183"/>
      <c r="X2426" s="183"/>
      <c r="Y2426" s="183"/>
      <c r="Z2426" s="183"/>
    </row>
    <row r="2427" spans="2:26">
      <c r="B2427" s="191"/>
      <c r="D2427" s="183"/>
      <c r="I2427" s="183"/>
      <c r="J2427" s="183"/>
      <c r="L2427" s="183"/>
      <c r="M2427" s="183"/>
      <c r="N2427" s="183"/>
      <c r="O2427" s="183"/>
      <c r="P2427" s="183"/>
      <c r="Q2427" s="183"/>
      <c r="R2427" s="183"/>
      <c r="S2427" s="183"/>
      <c r="T2427" s="183"/>
      <c r="U2427" s="183"/>
      <c r="V2427" s="183"/>
      <c r="W2427" s="183"/>
      <c r="X2427" s="183"/>
      <c r="Y2427" s="183"/>
      <c r="Z2427" s="183"/>
    </row>
    <row r="2428" spans="2:26">
      <c r="B2428" s="191"/>
      <c r="D2428" s="183"/>
      <c r="I2428" s="183"/>
      <c r="J2428" s="183"/>
      <c r="L2428" s="183"/>
      <c r="M2428" s="183"/>
      <c r="N2428" s="183"/>
      <c r="O2428" s="183"/>
      <c r="P2428" s="183"/>
      <c r="Q2428" s="183"/>
      <c r="R2428" s="183"/>
      <c r="S2428" s="183"/>
      <c r="T2428" s="183"/>
      <c r="U2428" s="183"/>
      <c r="V2428" s="183"/>
      <c r="W2428" s="183"/>
      <c r="X2428" s="183"/>
      <c r="Y2428" s="183"/>
      <c r="Z2428" s="183"/>
    </row>
    <row r="2429" spans="2:26">
      <c r="B2429" s="191"/>
      <c r="D2429" s="183"/>
      <c r="I2429" s="183"/>
      <c r="J2429" s="183"/>
      <c r="L2429" s="183"/>
      <c r="M2429" s="183"/>
      <c r="N2429" s="183"/>
      <c r="O2429" s="183"/>
      <c r="P2429" s="183"/>
      <c r="Q2429" s="183"/>
      <c r="R2429" s="183"/>
      <c r="S2429" s="183"/>
      <c r="T2429" s="183"/>
      <c r="U2429" s="183"/>
      <c r="V2429" s="183"/>
      <c r="W2429" s="183"/>
      <c r="X2429" s="183"/>
      <c r="Y2429" s="183"/>
      <c r="Z2429" s="183"/>
    </row>
    <row r="2430" spans="2:26">
      <c r="B2430" s="191"/>
      <c r="D2430" s="183"/>
      <c r="I2430" s="183"/>
      <c r="J2430" s="183"/>
      <c r="L2430" s="183"/>
      <c r="M2430" s="183"/>
      <c r="N2430" s="183"/>
      <c r="O2430" s="183"/>
      <c r="P2430" s="183"/>
      <c r="Q2430" s="183"/>
      <c r="R2430" s="183"/>
      <c r="S2430" s="183"/>
      <c r="T2430" s="183"/>
      <c r="U2430" s="183"/>
      <c r="V2430" s="183"/>
      <c r="W2430" s="183"/>
      <c r="X2430" s="183"/>
      <c r="Y2430" s="183"/>
      <c r="Z2430" s="183"/>
    </row>
    <row r="2431" spans="2:26">
      <c r="B2431" s="191"/>
      <c r="D2431" s="183"/>
      <c r="I2431" s="183"/>
      <c r="J2431" s="183"/>
      <c r="L2431" s="183"/>
      <c r="M2431" s="183"/>
      <c r="N2431" s="183"/>
      <c r="O2431" s="183"/>
      <c r="P2431" s="183"/>
      <c r="Q2431" s="183"/>
      <c r="R2431" s="183"/>
      <c r="S2431" s="183"/>
      <c r="T2431" s="183"/>
      <c r="U2431" s="183"/>
      <c r="V2431" s="183"/>
      <c r="W2431" s="183"/>
      <c r="X2431" s="183"/>
      <c r="Y2431" s="183"/>
      <c r="Z2431" s="183"/>
    </row>
    <row r="2432" spans="2:26">
      <c r="B2432" s="191"/>
      <c r="D2432" s="183"/>
      <c r="I2432" s="183"/>
      <c r="J2432" s="183"/>
      <c r="L2432" s="183"/>
      <c r="M2432" s="183"/>
      <c r="N2432" s="183"/>
      <c r="O2432" s="183"/>
      <c r="P2432" s="183"/>
      <c r="Q2432" s="183"/>
      <c r="R2432" s="183"/>
      <c r="S2432" s="183"/>
      <c r="T2432" s="183"/>
      <c r="U2432" s="183"/>
      <c r="V2432" s="183"/>
      <c r="W2432" s="183"/>
      <c r="X2432" s="183"/>
      <c r="Y2432" s="183"/>
      <c r="Z2432" s="183"/>
    </row>
    <row r="2433" spans="2:26">
      <c r="B2433" s="191"/>
      <c r="D2433" s="183"/>
      <c r="I2433" s="183"/>
      <c r="J2433" s="183"/>
      <c r="L2433" s="183"/>
      <c r="M2433" s="183"/>
      <c r="N2433" s="183"/>
      <c r="O2433" s="183"/>
      <c r="P2433" s="183"/>
      <c r="Q2433" s="183"/>
      <c r="R2433" s="183"/>
      <c r="S2433" s="183"/>
      <c r="T2433" s="183"/>
      <c r="U2433" s="183"/>
      <c r="V2433" s="183"/>
      <c r="W2433" s="183"/>
      <c r="X2433" s="183"/>
      <c r="Y2433" s="183"/>
      <c r="Z2433" s="183"/>
    </row>
    <row r="2434" spans="2:26">
      <c r="B2434" s="191"/>
      <c r="D2434" s="183"/>
      <c r="I2434" s="183"/>
      <c r="J2434" s="183"/>
      <c r="L2434" s="183"/>
      <c r="M2434" s="183"/>
      <c r="N2434" s="183"/>
      <c r="O2434" s="183"/>
      <c r="P2434" s="183"/>
      <c r="Q2434" s="183"/>
      <c r="R2434" s="183"/>
      <c r="S2434" s="183"/>
      <c r="T2434" s="183"/>
      <c r="U2434" s="183"/>
      <c r="V2434" s="183"/>
      <c r="W2434" s="183"/>
      <c r="X2434" s="183"/>
      <c r="Y2434" s="183"/>
      <c r="Z2434" s="183"/>
    </row>
    <row r="2435" spans="2:26">
      <c r="B2435" s="191"/>
      <c r="D2435" s="183"/>
      <c r="I2435" s="183"/>
      <c r="J2435" s="183"/>
      <c r="L2435" s="183"/>
      <c r="M2435" s="183"/>
      <c r="N2435" s="183"/>
      <c r="O2435" s="183"/>
      <c r="P2435" s="183"/>
      <c r="Q2435" s="183"/>
      <c r="R2435" s="183"/>
      <c r="S2435" s="183"/>
      <c r="T2435" s="183"/>
      <c r="U2435" s="183"/>
      <c r="V2435" s="183"/>
      <c r="W2435" s="183"/>
      <c r="X2435" s="183"/>
      <c r="Y2435" s="183"/>
      <c r="Z2435" s="183"/>
    </row>
    <row r="2436" spans="2:26">
      <c r="B2436" s="191"/>
      <c r="D2436" s="183"/>
      <c r="I2436" s="183"/>
      <c r="J2436" s="183"/>
      <c r="L2436" s="183"/>
      <c r="M2436" s="183"/>
      <c r="N2436" s="183"/>
      <c r="O2436" s="183"/>
      <c r="P2436" s="183"/>
      <c r="Q2436" s="183"/>
      <c r="R2436" s="183"/>
      <c r="S2436" s="183"/>
      <c r="T2436" s="183"/>
      <c r="U2436" s="183"/>
      <c r="V2436" s="183"/>
      <c r="W2436" s="183"/>
      <c r="X2436" s="183"/>
      <c r="Y2436" s="183"/>
      <c r="Z2436" s="183"/>
    </row>
    <row r="2437" spans="2:26">
      <c r="B2437" s="191"/>
      <c r="D2437" s="183"/>
      <c r="I2437" s="183"/>
      <c r="J2437" s="183"/>
      <c r="L2437" s="183"/>
      <c r="M2437" s="183"/>
      <c r="N2437" s="183"/>
      <c r="O2437" s="183"/>
      <c r="P2437" s="183"/>
      <c r="Q2437" s="183"/>
      <c r="R2437" s="183"/>
      <c r="S2437" s="183"/>
      <c r="T2437" s="183"/>
      <c r="U2437" s="183"/>
      <c r="V2437" s="183"/>
      <c r="W2437" s="183"/>
      <c r="X2437" s="183"/>
      <c r="Y2437" s="183"/>
      <c r="Z2437" s="183"/>
    </row>
    <row r="2438" spans="2:26">
      <c r="B2438" s="191"/>
      <c r="D2438" s="183"/>
      <c r="I2438" s="183"/>
      <c r="J2438" s="183"/>
      <c r="L2438" s="183"/>
      <c r="M2438" s="183"/>
      <c r="N2438" s="183"/>
      <c r="O2438" s="183"/>
      <c r="P2438" s="183"/>
      <c r="Q2438" s="183"/>
      <c r="R2438" s="183"/>
      <c r="S2438" s="183"/>
      <c r="T2438" s="183"/>
      <c r="U2438" s="183"/>
      <c r="V2438" s="183"/>
      <c r="W2438" s="183"/>
      <c r="X2438" s="183"/>
      <c r="Y2438" s="183"/>
      <c r="Z2438" s="183"/>
    </row>
    <row r="2439" spans="2:26">
      <c r="B2439" s="191"/>
      <c r="D2439" s="183"/>
      <c r="I2439" s="183"/>
      <c r="J2439" s="183"/>
      <c r="L2439" s="183"/>
      <c r="M2439" s="183"/>
      <c r="N2439" s="183"/>
      <c r="O2439" s="183"/>
      <c r="P2439" s="183"/>
      <c r="Q2439" s="183"/>
      <c r="R2439" s="183"/>
      <c r="S2439" s="183"/>
      <c r="T2439" s="183"/>
      <c r="U2439" s="183"/>
      <c r="V2439" s="183"/>
      <c r="W2439" s="183"/>
      <c r="X2439" s="183"/>
      <c r="Y2439" s="183"/>
      <c r="Z2439" s="183"/>
    </row>
    <row r="2440" spans="2:26">
      <c r="B2440" s="191"/>
      <c r="D2440" s="183"/>
      <c r="I2440" s="183"/>
      <c r="J2440" s="183"/>
      <c r="L2440" s="183"/>
      <c r="M2440" s="183"/>
      <c r="N2440" s="183"/>
      <c r="O2440" s="183"/>
      <c r="P2440" s="183"/>
      <c r="Q2440" s="183"/>
      <c r="R2440" s="183"/>
      <c r="S2440" s="183"/>
      <c r="T2440" s="183"/>
      <c r="U2440" s="183"/>
      <c r="V2440" s="183"/>
      <c r="W2440" s="183"/>
      <c r="X2440" s="183"/>
      <c r="Y2440" s="183"/>
      <c r="Z2440" s="183"/>
    </row>
    <row r="2441" spans="2:26">
      <c r="B2441" s="191"/>
      <c r="D2441" s="183"/>
      <c r="I2441" s="183"/>
      <c r="J2441" s="183"/>
      <c r="L2441" s="183"/>
      <c r="M2441" s="183"/>
      <c r="N2441" s="183"/>
      <c r="O2441" s="183"/>
      <c r="P2441" s="183"/>
      <c r="Q2441" s="183"/>
      <c r="R2441" s="183"/>
      <c r="S2441" s="183"/>
      <c r="T2441" s="183"/>
      <c r="U2441" s="183"/>
      <c r="V2441" s="183"/>
      <c r="W2441" s="183"/>
      <c r="X2441" s="183"/>
      <c r="Y2441" s="183"/>
      <c r="Z2441" s="183"/>
    </row>
    <row r="2442" spans="2:26">
      <c r="B2442" s="191"/>
      <c r="D2442" s="183"/>
      <c r="I2442" s="183"/>
      <c r="J2442" s="183"/>
      <c r="L2442" s="183"/>
      <c r="M2442" s="183"/>
      <c r="N2442" s="183"/>
      <c r="O2442" s="183"/>
      <c r="P2442" s="183"/>
      <c r="Q2442" s="183"/>
      <c r="R2442" s="183"/>
      <c r="S2442" s="183"/>
      <c r="T2442" s="183"/>
      <c r="U2442" s="183"/>
      <c r="V2442" s="183"/>
      <c r="W2442" s="183"/>
      <c r="X2442" s="183"/>
      <c r="Y2442" s="183"/>
      <c r="Z2442" s="183"/>
    </row>
    <row r="2443" spans="2:26">
      <c r="B2443" s="191"/>
      <c r="D2443" s="183"/>
      <c r="I2443" s="183"/>
      <c r="J2443" s="183"/>
      <c r="L2443" s="183"/>
      <c r="M2443" s="183"/>
      <c r="N2443" s="183"/>
      <c r="O2443" s="183"/>
      <c r="P2443" s="183"/>
      <c r="Q2443" s="183"/>
      <c r="R2443" s="183"/>
      <c r="S2443" s="183"/>
      <c r="T2443" s="183"/>
      <c r="U2443" s="183"/>
      <c r="V2443" s="183"/>
      <c r="W2443" s="183"/>
      <c r="X2443" s="183"/>
      <c r="Y2443" s="183"/>
      <c r="Z2443" s="183"/>
    </row>
    <row r="2444" spans="2:26">
      <c r="B2444" s="191"/>
      <c r="D2444" s="183"/>
      <c r="I2444" s="183"/>
      <c r="J2444" s="183"/>
      <c r="L2444" s="183"/>
      <c r="M2444" s="183"/>
      <c r="N2444" s="183"/>
      <c r="O2444" s="183"/>
      <c r="P2444" s="183"/>
      <c r="Q2444" s="183"/>
      <c r="R2444" s="183"/>
      <c r="S2444" s="183"/>
      <c r="T2444" s="183"/>
      <c r="U2444" s="183"/>
      <c r="V2444" s="183"/>
      <c r="W2444" s="183"/>
      <c r="X2444" s="183"/>
      <c r="Y2444" s="183"/>
      <c r="Z2444" s="183"/>
    </row>
    <row r="2445" spans="2:26">
      <c r="B2445" s="191"/>
      <c r="D2445" s="183"/>
      <c r="I2445" s="183"/>
      <c r="J2445" s="183"/>
      <c r="L2445" s="183"/>
      <c r="M2445" s="183"/>
      <c r="N2445" s="183"/>
      <c r="O2445" s="183"/>
      <c r="P2445" s="183"/>
      <c r="Q2445" s="183"/>
      <c r="R2445" s="183"/>
      <c r="S2445" s="183"/>
      <c r="T2445" s="183"/>
      <c r="U2445" s="183"/>
      <c r="V2445" s="183"/>
      <c r="W2445" s="183"/>
      <c r="X2445" s="183"/>
      <c r="Y2445" s="183"/>
      <c r="Z2445" s="183"/>
    </row>
    <row r="2446" spans="2:26">
      <c r="B2446" s="191"/>
      <c r="D2446" s="183"/>
      <c r="I2446" s="183"/>
      <c r="J2446" s="183"/>
      <c r="L2446" s="183"/>
      <c r="M2446" s="183"/>
      <c r="N2446" s="183"/>
      <c r="O2446" s="183"/>
      <c r="P2446" s="183"/>
      <c r="Q2446" s="183"/>
      <c r="R2446" s="183"/>
      <c r="S2446" s="183"/>
      <c r="T2446" s="183"/>
      <c r="U2446" s="183"/>
      <c r="V2446" s="183"/>
      <c r="W2446" s="183"/>
      <c r="X2446" s="183"/>
      <c r="Y2446" s="183"/>
      <c r="Z2446" s="183"/>
    </row>
    <row r="2447" spans="2:26">
      <c r="B2447" s="191"/>
      <c r="D2447" s="183"/>
      <c r="I2447" s="183"/>
      <c r="J2447" s="183"/>
      <c r="L2447" s="183"/>
      <c r="M2447" s="183"/>
      <c r="N2447" s="183"/>
      <c r="O2447" s="183"/>
      <c r="P2447" s="183"/>
      <c r="Q2447" s="183"/>
      <c r="R2447" s="183"/>
      <c r="S2447" s="183"/>
      <c r="T2447" s="183"/>
      <c r="U2447" s="183"/>
      <c r="V2447" s="183"/>
      <c r="W2447" s="183"/>
      <c r="X2447" s="183"/>
      <c r="Y2447" s="183"/>
      <c r="Z2447" s="183"/>
    </row>
    <row r="2448" spans="2:26">
      <c r="B2448" s="191"/>
      <c r="D2448" s="183"/>
      <c r="I2448" s="183"/>
      <c r="J2448" s="183"/>
      <c r="L2448" s="183"/>
      <c r="M2448" s="183"/>
      <c r="N2448" s="183"/>
      <c r="O2448" s="183"/>
      <c r="P2448" s="183"/>
      <c r="Q2448" s="183"/>
      <c r="R2448" s="183"/>
      <c r="S2448" s="183"/>
      <c r="T2448" s="183"/>
      <c r="U2448" s="183"/>
      <c r="V2448" s="183"/>
      <c r="W2448" s="183"/>
      <c r="X2448" s="183"/>
      <c r="Y2448" s="183"/>
      <c r="Z2448" s="183"/>
    </row>
    <row r="2449" spans="2:26">
      <c r="B2449" s="191"/>
      <c r="D2449" s="183"/>
      <c r="I2449" s="183"/>
      <c r="J2449" s="183"/>
      <c r="L2449" s="183"/>
      <c r="M2449" s="183"/>
      <c r="N2449" s="183"/>
      <c r="O2449" s="183"/>
      <c r="P2449" s="183"/>
      <c r="Q2449" s="183"/>
      <c r="R2449" s="183"/>
      <c r="S2449" s="183"/>
      <c r="T2449" s="183"/>
      <c r="U2449" s="183"/>
      <c r="V2449" s="183"/>
      <c r="W2449" s="183"/>
      <c r="X2449" s="183"/>
      <c r="Y2449" s="183"/>
      <c r="Z2449" s="183"/>
    </row>
    <row r="2450" spans="2:26">
      <c r="B2450" s="191"/>
      <c r="D2450" s="183"/>
      <c r="I2450" s="183"/>
      <c r="J2450" s="183"/>
      <c r="L2450" s="183"/>
      <c r="M2450" s="183"/>
      <c r="N2450" s="183"/>
      <c r="O2450" s="183"/>
      <c r="P2450" s="183"/>
      <c r="Q2450" s="183"/>
      <c r="R2450" s="183"/>
      <c r="S2450" s="183"/>
      <c r="T2450" s="183"/>
      <c r="U2450" s="183"/>
      <c r="V2450" s="183"/>
      <c r="W2450" s="183"/>
      <c r="X2450" s="183"/>
      <c r="Y2450" s="183"/>
      <c r="Z2450" s="183"/>
    </row>
    <row r="2451" spans="2:26">
      <c r="B2451" s="191"/>
      <c r="D2451" s="183"/>
      <c r="I2451" s="183"/>
      <c r="J2451" s="183"/>
      <c r="L2451" s="183"/>
      <c r="M2451" s="183"/>
      <c r="N2451" s="183"/>
      <c r="O2451" s="183"/>
      <c r="P2451" s="183"/>
      <c r="Q2451" s="183"/>
      <c r="R2451" s="183"/>
      <c r="S2451" s="183"/>
      <c r="T2451" s="183"/>
      <c r="U2451" s="183"/>
      <c r="V2451" s="183"/>
      <c r="W2451" s="183"/>
      <c r="X2451" s="183"/>
      <c r="Y2451" s="183"/>
      <c r="Z2451" s="183"/>
    </row>
    <row r="2452" spans="2:26">
      <c r="B2452" s="191"/>
      <c r="D2452" s="183"/>
      <c r="I2452" s="183"/>
      <c r="J2452" s="183"/>
      <c r="L2452" s="183"/>
      <c r="M2452" s="183"/>
      <c r="N2452" s="183"/>
      <c r="O2452" s="183"/>
      <c r="P2452" s="183"/>
      <c r="Q2452" s="183"/>
      <c r="R2452" s="183"/>
      <c r="S2452" s="183"/>
      <c r="T2452" s="183"/>
      <c r="U2452" s="183"/>
      <c r="V2452" s="183"/>
      <c r="W2452" s="183"/>
      <c r="X2452" s="183"/>
      <c r="Y2452" s="183"/>
      <c r="Z2452" s="183"/>
    </row>
    <row r="2453" spans="2:26">
      <c r="B2453" s="191"/>
      <c r="D2453" s="183"/>
      <c r="I2453" s="183"/>
      <c r="J2453" s="183"/>
      <c r="L2453" s="183"/>
      <c r="M2453" s="183"/>
      <c r="N2453" s="183"/>
      <c r="O2453" s="183"/>
      <c r="P2453" s="183"/>
      <c r="Q2453" s="183"/>
      <c r="R2453" s="183"/>
      <c r="S2453" s="183"/>
      <c r="T2453" s="183"/>
      <c r="U2453" s="183"/>
      <c r="V2453" s="183"/>
      <c r="W2453" s="183"/>
      <c r="X2453" s="183"/>
      <c r="Y2453" s="183"/>
      <c r="Z2453" s="183"/>
    </row>
    <row r="2454" spans="2:26">
      <c r="B2454" s="191"/>
      <c r="D2454" s="183"/>
      <c r="I2454" s="183"/>
      <c r="J2454" s="183"/>
      <c r="L2454" s="183"/>
      <c r="M2454" s="183"/>
      <c r="N2454" s="183"/>
      <c r="O2454" s="183"/>
      <c r="P2454" s="183"/>
      <c r="Q2454" s="183"/>
      <c r="R2454" s="183"/>
      <c r="S2454" s="183"/>
      <c r="T2454" s="183"/>
      <c r="U2454" s="183"/>
      <c r="V2454" s="183"/>
      <c r="W2454" s="183"/>
      <c r="X2454" s="183"/>
      <c r="Y2454" s="183"/>
      <c r="Z2454" s="183"/>
    </row>
    <row r="2455" spans="2:26">
      <c r="B2455" s="191"/>
      <c r="D2455" s="183"/>
      <c r="I2455" s="183"/>
      <c r="J2455" s="183"/>
      <c r="L2455" s="183"/>
      <c r="M2455" s="183"/>
      <c r="N2455" s="183"/>
      <c r="O2455" s="183"/>
      <c r="P2455" s="183"/>
      <c r="Q2455" s="183"/>
      <c r="R2455" s="183"/>
      <c r="S2455" s="183"/>
      <c r="T2455" s="183"/>
      <c r="U2455" s="183"/>
      <c r="V2455" s="183"/>
      <c r="W2455" s="183"/>
      <c r="X2455" s="183"/>
      <c r="Y2455" s="183"/>
      <c r="Z2455" s="183"/>
    </row>
    <row r="2456" spans="2:26">
      <c r="B2456" s="191"/>
      <c r="D2456" s="183"/>
      <c r="I2456" s="183"/>
      <c r="J2456" s="183"/>
      <c r="L2456" s="183"/>
      <c r="M2456" s="183"/>
      <c r="N2456" s="183"/>
      <c r="O2456" s="183"/>
      <c r="P2456" s="183"/>
      <c r="Q2456" s="183"/>
      <c r="R2456" s="183"/>
      <c r="S2456" s="183"/>
      <c r="T2456" s="183"/>
      <c r="U2456" s="183"/>
      <c r="V2456" s="183"/>
      <c r="W2456" s="183"/>
      <c r="X2456" s="183"/>
      <c r="Y2456" s="183"/>
      <c r="Z2456" s="183"/>
    </row>
    <row r="2457" spans="2:26">
      <c r="B2457" s="191"/>
      <c r="D2457" s="183"/>
      <c r="I2457" s="183"/>
      <c r="J2457" s="183"/>
      <c r="L2457" s="183"/>
      <c r="M2457" s="183"/>
      <c r="N2457" s="183"/>
      <c r="O2457" s="183"/>
      <c r="P2457" s="183"/>
      <c r="Q2457" s="183"/>
      <c r="R2457" s="183"/>
      <c r="S2457" s="183"/>
      <c r="T2457" s="183"/>
      <c r="U2457" s="183"/>
      <c r="V2457" s="183"/>
      <c r="W2457" s="183"/>
      <c r="X2457" s="183"/>
      <c r="Y2457" s="183"/>
      <c r="Z2457" s="183"/>
    </row>
    <row r="2458" spans="2:26">
      <c r="B2458" s="191"/>
      <c r="D2458" s="183"/>
      <c r="I2458" s="183"/>
      <c r="J2458" s="183"/>
      <c r="L2458" s="183"/>
      <c r="M2458" s="183"/>
      <c r="N2458" s="183"/>
      <c r="O2458" s="183"/>
      <c r="P2458" s="183"/>
      <c r="Q2458" s="183"/>
      <c r="R2458" s="183"/>
      <c r="S2458" s="183"/>
      <c r="T2458" s="183"/>
      <c r="U2458" s="183"/>
      <c r="V2458" s="183"/>
      <c r="W2458" s="183"/>
      <c r="X2458" s="183"/>
      <c r="Y2458" s="183"/>
      <c r="Z2458" s="183"/>
    </row>
    <row r="2459" spans="2:26">
      <c r="B2459" s="191"/>
      <c r="D2459" s="183"/>
      <c r="I2459" s="183"/>
      <c r="J2459" s="183"/>
      <c r="L2459" s="183"/>
      <c r="M2459" s="183"/>
      <c r="N2459" s="183"/>
      <c r="O2459" s="183"/>
      <c r="P2459" s="183"/>
      <c r="Q2459" s="183"/>
      <c r="R2459" s="183"/>
      <c r="S2459" s="183"/>
      <c r="T2459" s="183"/>
      <c r="U2459" s="183"/>
      <c r="V2459" s="183"/>
      <c r="W2459" s="183"/>
      <c r="X2459" s="183"/>
      <c r="Y2459" s="183"/>
      <c r="Z2459" s="183"/>
    </row>
    <row r="2460" spans="2:26">
      <c r="B2460" s="191"/>
      <c r="D2460" s="183"/>
      <c r="I2460" s="183"/>
      <c r="J2460" s="183"/>
      <c r="L2460" s="183"/>
      <c r="M2460" s="183"/>
      <c r="N2460" s="183"/>
      <c r="O2460" s="183"/>
      <c r="P2460" s="183"/>
      <c r="Q2460" s="183"/>
      <c r="R2460" s="183"/>
      <c r="S2460" s="183"/>
      <c r="T2460" s="183"/>
      <c r="U2460" s="183"/>
      <c r="V2460" s="183"/>
      <c r="W2460" s="183"/>
      <c r="X2460" s="183"/>
      <c r="Y2460" s="183"/>
      <c r="Z2460" s="183"/>
    </row>
    <row r="2461" spans="2:26">
      <c r="B2461" s="191"/>
      <c r="D2461" s="183"/>
      <c r="I2461" s="183"/>
      <c r="J2461" s="183"/>
      <c r="L2461" s="183"/>
      <c r="M2461" s="183"/>
      <c r="N2461" s="183"/>
      <c r="O2461" s="183"/>
      <c r="P2461" s="183"/>
      <c r="Q2461" s="183"/>
      <c r="R2461" s="183"/>
      <c r="S2461" s="183"/>
      <c r="T2461" s="183"/>
      <c r="U2461" s="183"/>
      <c r="V2461" s="183"/>
      <c r="W2461" s="183"/>
      <c r="X2461" s="183"/>
      <c r="Y2461" s="183"/>
      <c r="Z2461" s="183"/>
    </row>
    <row r="2462" spans="2:26">
      <c r="B2462" s="191"/>
      <c r="D2462" s="183"/>
      <c r="I2462" s="183"/>
      <c r="J2462" s="183"/>
      <c r="L2462" s="183"/>
      <c r="M2462" s="183"/>
      <c r="N2462" s="183"/>
      <c r="O2462" s="183"/>
      <c r="P2462" s="183"/>
      <c r="Q2462" s="183"/>
      <c r="R2462" s="183"/>
      <c r="S2462" s="183"/>
      <c r="T2462" s="183"/>
      <c r="U2462" s="183"/>
      <c r="V2462" s="183"/>
      <c r="W2462" s="183"/>
      <c r="X2462" s="183"/>
      <c r="Y2462" s="183"/>
      <c r="Z2462" s="183"/>
    </row>
    <row r="2463" spans="2:26">
      <c r="B2463" s="191"/>
      <c r="D2463" s="183"/>
      <c r="I2463" s="183"/>
      <c r="J2463" s="183"/>
      <c r="L2463" s="183"/>
      <c r="M2463" s="183"/>
      <c r="N2463" s="183"/>
      <c r="O2463" s="183"/>
      <c r="P2463" s="183"/>
      <c r="Q2463" s="183"/>
      <c r="R2463" s="183"/>
      <c r="S2463" s="183"/>
      <c r="T2463" s="183"/>
      <c r="U2463" s="183"/>
      <c r="V2463" s="183"/>
      <c r="W2463" s="183"/>
      <c r="X2463" s="183"/>
      <c r="Y2463" s="183"/>
      <c r="Z2463" s="183"/>
    </row>
    <row r="2464" spans="2:26">
      <c r="B2464" s="191"/>
      <c r="D2464" s="183"/>
      <c r="I2464" s="183"/>
      <c r="J2464" s="183"/>
      <c r="L2464" s="183"/>
      <c r="M2464" s="183"/>
      <c r="N2464" s="183"/>
      <c r="O2464" s="183"/>
      <c r="P2464" s="183"/>
      <c r="Q2464" s="183"/>
      <c r="R2464" s="183"/>
      <c r="S2464" s="183"/>
      <c r="T2464" s="183"/>
      <c r="U2464" s="183"/>
      <c r="V2464" s="183"/>
      <c r="W2464" s="183"/>
      <c r="X2464" s="183"/>
      <c r="Y2464" s="183"/>
      <c r="Z2464" s="183"/>
    </row>
    <row r="2465" spans="2:26">
      <c r="B2465" s="191"/>
      <c r="D2465" s="183"/>
      <c r="I2465" s="183"/>
      <c r="J2465" s="183"/>
      <c r="L2465" s="183"/>
      <c r="M2465" s="183"/>
      <c r="N2465" s="183"/>
      <c r="O2465" s="183"/>
      <c r="P2465" s="183"/>
      <c r="Q2465" s="183"/>
      <c r="R2465" s="183"/>
      <c r="S2465" s="183"/>
      <c r="T2465" s="183"/>
      <c r="U2465" s="183"/>
      <c r="V2465" s="183"/>
      <c r="W2465" s="183"/>
      <c r="X2465" s="183"/>
      <c r="Y2465" s="183"/>
      <c r="Z2465" s="183"/>
    </row>
    <row r="2466" spans="2:26">
      <c r="B2466" s="191"/>
      <c r="D2466" s="183"/>
      <c r="I2466" s="183"/>
      <c r="J2466" s="183"/>
      <c r="L2466" s="183"/>
      <c r="M2466" s="183"/>
      <c r="N2466" s="183"/>
      <c r="O2466" s="183"/>
      <c r="P2466" s="183"/>
      <c r="Q2466" s="183"/>
      <c r="R2466" s="183"/>
      <c r="S2466" s="183"/>
      <c r="T2466" s="183"/>
      <c r="U2466" s="183"/>
      <c r="V2466" s="183"/>
      <c r="W2466" s="183"/>
      <c r="X2466" s="183"/>
      <c r="Y2466" s="183"/>
      <c r="Z2466" s="183"/>
    </row>
    <row r="2467" spans="2:26">
      <c r="B2467" s="191"/>
      <c r="D2467" s="183"/>
      <c r="I2467" s="183"/>
      <c r="J2467" s="183"/>
      <c r="L2467" s="183"/>
      <c r="M2467" s="183"/>
      <c r="N2467" s="183"/>
      <c r="O2467" s="183"/>
      <c r="P2467" s="183"/>
      <c r="Q2467" s="183"/>
      <c r="R2467" s="183"/>
      <c r="S2467" s="183"/>
      <c r="T2467" s="183"/>
      <c r="U2467" s="183"/>
      <c r="V2467" s="183"/>
      <c r="W2467" s="183"/>
      <c r="X2467" s="183"/>
      <c r="Y2467" s="183"/>
      <c r="Z2467" s="183"/>
    </row>
    <row r="2468" spans="2:26">
      <c r="B2468" s="191"/>
      <c r="D2468" s="183"/>
      <c r="I2468" s="183"/>
      <c r="J2468" s="183"/>
      <c r="L2468" s="183"/>
      <c r="M2468" s="183"/>
      <c r="N2468" s="183"/>
      <c r="O2468" s="183"/>
      <c r="P2468" s="183"/>
      <c r="Q2468" s="183"/>
      <c r="R2468" s="183"/>
      <c r="S2468" s="183"/>
      <c r="T2468" s="183"/>
      <c r="U2468" s="183"/>
      <c r="V2468" s="183"/>
      <c r="W2468" s="183"/>
      <c r="X2468" s="183"/>
      <c r="Y2468" s="183"/>
      <c r="Z2468" s="183"/>
    </row>
    <row r="2469" spans="2:26">
      <c r="B2469" s="191"/>
      <c r="D2469" s="183"/>
      <c r="I2469" s="183"/>
      <c r="J2469" s="183"/>
      <c r="L2469" s="183"/>
      <c r="M2469" s="183"/>
      <c r="N2469" s="183"/>
      <c r="O2469" s="183"/>
      <c r="P2469" s="183"/>
      <c r="Q2469" s="183"/>
      <c r="R2469" s="183"/>
      <c r="S2469" s="183"/>
      <c r="T2469" s="183"/>
      <c r="U2469" s="183"/>
      <c r="V2469" s="183"/>
      <c r="W2469" s="183"/>
      <c r="X2469" s="183"/>
      <c r="Y2469" s="183"/>
      <c r="Z2469" s="183"/>
    </row>
    <row r="2470" spans="2:26">
      <c r="B2470" s="191"/>
      <c r="D2470" s="183"/>
      <c r="I2470" s="183"/>
      <c r="J2470" s="183"/>
      <c r="L2470" s="183"/>
      <c r="M2470" s="183"/>
      <c r="N2470" s="183"/>
      <c r="O2470" s="183"/>
      <c r="P2470" s="183"/>
      <c r="Q2470" s="183"/>
      <c r="R2470" s="183"/>
      <c r="S2470" s="183"/>
      <c r="T2470" s="183"/>
      <c r="U2470" s="183"/>
      <c r="V2470" s="183"/>
      <c r="W2470" s="183"/>
      <c r="X2470" s="183"/>
      <c r="Y2470" s="183"/>
      <c r="Z2470" s="183"/>
    </row>
    <row r="2471" spans="2:26">
      <c r="B2471" s="191"/>
      <c r="D2471" s="183"/>
      <c r="I2471" s="183"/>
      <c r="J2471" s="183"/>
      <c r="L2471" s="183"/>
      <c r="M2471" s="183"/>
      <c r="N2471" s="183"/>
      <c r="O2471" s="183"/>
      <c r="P2471" s="183"/>
      <c r="Q2471" s="183"/>
      <c r="R2471" s="183"/>
      <c r="S2471" s="183"/>
      <c r="T2471" s="183"/>
      <c r="U2471" s="183"/>
      <c r="V2471" s="183"/>
      <c r="W2471" s="183"/>
      <c r="X2471" s="183"/>
      <c r="Y2471" s="183"/>
      <c r="Z2471" s="183"/>
    </row>
    <row r="2472" spans="2:26">
      <c r="B2472" s="191"/>
      <c r="D2472" s="183"/>
      <c r="I2472" s="183"/>
      <c r="J2472" s="183"/>
      <c r="L2472" s="183"/>
      <c r="M2472" s="183"/>
      <c r="N2472" s="183"/>
      <c r="O2472" s="183"/>
      <c r="P2472" s="183"/>
      <c r="Q2472" s="183"/>
      <c r="R2472" s="183"/>
      <c r="S2472" s="183"/>
      <c r="T2472" s="183"/>
      <c r="U2472" s="183"/>
      <c r="V2472" s="183"/>
      <c r="W2472" s="183"/>
      <c r="X2472" s="183"/>
      <c r="Y2472" s="183"/>
      <c r="Z2472" s="183"/>
    </row>
    <row r="2473" spans="2:26">
      <c r="B2473" s="191"/>
      <c r="D2473" s="183"/>
      <c r="I2473" s="183"/>
      <c r="J2473" s="183"/>
      <c r="L2473" s="183"/>
      <c r="M2473" s="183"/>
      <c r="N2473" s="183"/>
      <c r="O2473" s="183"/>
      <c r="P2473" s="183"/>
      <c r="Q2473" s="183"/>
      <c r="R2473" s="183"/>
      <c r="S2473" s="183"/>
      <c r="T2473" s="183"/>
      <c r="U2473" s="183"/>
      <c r="V2473" s="183"/>
      <c r="W2473" s="183"/>
      <c r="X2473" s="183"/>
      <c r="Y2473" s="183"/>
      <c r="Z2473" s="183"/>
    </row>
    <row r="2474" spans="2:26">
      <c r="B2474" s="191"/>
      <c r="D2474" s="183"/>
      <c r="I2474" s="183"/>
      <c r="J2474" s="183"/>
      <c r="L2474" s="183"/>
      <c r="M2474" s="183"/>
      <c r="N2474" s="183"/>
      <c r="O2474" s="183"/>
      <c r="P2474" s="183"/>
      <c r="Q2474" s="183"/>
      <c r="R2474" s="183"/>
      <c r="S2474" s="183"/>
      <c r="T2474" s="183"/>
      <c r="U2474" s="183"/>
      <c r="V2474" s="183"/>
      <c r="W2474" s="183"/>
      <c r="X2474" s="183"/>
      <c r="Y2474" s="183"/>
      <c r="Z2474" s="183"/>
    </row>
    <row r="2475" spans="2:26">
      <c r="B2475" s="191"/>
      <c r="D2475" s="183"/>
      <c r="I2475" s="183"/>
      <c r="J2475" s="183"/>
      <c r="L2475" s="183"/>
      <c r="M2475" s="183"/>
      <c r="N2475" s="183"/>
      <c r="O2475" s="183"/>
      <c r="P2475" s="183"/>
      <c r="Q2475" s="183"/>
      <c r="R2475" s="183"/>
      <c r="S2475" s="183"/>
      <c r="T2475" s="183"/>
      <c r="U2475" s="183"/>
      <c r="V2475" s="183"/>
      <c r="W2475" s="183"/>
      <c r="X2475" s="183"/>
      <c r="Y2475" s="183"/>
      <c r="Z2475" s="183"/>
    </row>
    <row r="2476" spans="2:26">
      <c r="B2476" s="191"/>
      <c r="D2476" s="183"/>
      <c r="I2476" s="183"/>
      <c r="J2476" s="183"/>
      <c r="L2476" s="183"/>
      <c r="M2476" s="183"/>
      <c r="N2476" s="183"/>
      <c r="O2476" s="183"/>
      <c r="P2476" s="183"/>
      <c r="Q2476" s="183"/>
      <c r="R2476" s="183"/>
      <c r="S2476" s="183"/>
      <c r="T2476" s="183"/>
      <c r="U2476" s="183"/>
      <c r="V2476" s="183"/>
      <c r="W2476" s="183"/>
      <c r="X2476" s="183"/>
      <c r="Y2476" s="183"/>
      <c r="Z2476" s="183"/>
    </row>
    <row r="2477" spans="2:26">
      <c r="B2477" s="191"/>
      <c r="D2477" s="183"/>
      <c r="I2477" s="183"/>
      <c r="J2477" s="183"/>
      <c r="L2477" s="183"/>
      <c r="M2477" s="183"/>
      <c r="N2477" s="183"/>
      <c r="O2477" s="183"/>
      <c r="P2477" s="183"/>
      <c r="Q2477" s="183"/>
      <c r="R2477" s="183"/>
      <c r="S2477" s="183"/>
      <c r="T2477" s="183"/>
      <c r="U2477" s="183"/>
      <c r="V2477" s="183"/>
      <c r="W2477" s="183"/>
      <c r="X2477" s="183"/>
      <c r="Y2477" s="183"/>
      <c r="Z2477" s="183"/>
    </row>
    <row r="2478" spans="2:26">
      <c r="B2478" s="191"/>
      <c r="D2478" s="183"/>
      <c r="I2478" s="183"/>
      <c r="J2478" s="183"/>
      <c r="L2478" s="183"/>
      <c r="M2478" s="183"/>
      <c r="N2478" s="183"/>
      <c r="O2478" s="183"/>
      <c r="P2478" s="183"/>
      <c r="Q2478" s="183"/>
      <c r="R2478" s="183"/>
      <c r="S2478" s="183"/>
      <c r="T2478" s="183"/>
      <c r="U2478" s="183"/>
      <c r="V2478" s="183"/>
      <c r="W2478" s="183"/>
      <c r="X2478" s="183"/>
      <c r="Y2478" s="183"/>
      <c r="Z2478" s="183"/>
    </row>
    <row r="2479" spans="2:26">
      <c r="B2479" s="191"/>
      <c r="D2479" s="183"/>
      <c r="I2479" s="183"/>
      <c r="J2479" s="183"/>
      <c r="L2479" s="183"/>
      <c r="M2479" s="183"/>
      <c r="N2479" s="183"/>
      <c r="O2479" s="183"/>
      <c r="P2479" s="183"/>
      <c r="Q2479" s="183"/>
      <c r="R2479" s="183"/>
      <c r="S2479" s="183"/>
      <c r="T2479" s="183"/>
      <c r="U2479" s="183"/>
      <c r="V2479" s="183"/>
      <c r="W2479" s="183"/>
      <c r="X2479" s="183"/>
      <c r="Y2479" s="183"/>
      <c r="Z2479" s="183"/>
    </row>
    <row r="2480" spans="2:26">
      <c r="B2480" s="191"/>
      <c r="D2480" s="183"/>
      <c r="I2480" s="183"/>
      <c r="J2480" s="183"/>
      <c r="L2480" s="183"/>
      <c r="M2480" s="183"/>
      <c r="N2480" s="183"/>
      <c r="O2480" s="183"/>
      <c r="P2480" s="183"/>
      <c r="Q2480" s="183"/>
      <c r="R2480" s="183"/>
      <c r="S2480" s="183"/>
      <c r="T2480" s="183"/>
      <c r="U2480" s="183"/>
      <c r="V2480" s="183"/>
      <c r="W2480" s="183"/>
      <c r="X2480" s="183"/>
      <c r="Y2480" s="183"/>
      <c r="Z2480" s="183"/>
    </row>
    <row r="2481" spans="2:26">
      <c r="B2481" s="191"/>
      <c r="D2481" s="183"/>
      <c r="I2481" s="183"/>
      <c r="J2481" s="183"/>
      <c r="L2481" s="183"/>
      <c r="M2481" s="183"/>
      <c r="N2481" s="183"/>
      <c r="O2481" s="183"/>
      <c r="P2481" s="183"/>
      <c r="Q2481" s="183"/>
      <c r="R2481" s="183"/>
      <c r="S2481" s="183"/>
      <c r="T2481" s="183"/>
      <c r="U2481" s="183"/>
      <c r="V2481" s="183"/>
      <c r="W2481" s="183"/>
      <c r="X2481" s="183"/>
      <c r="Y2481" s="183"/>
      <c r="Z2481" s="183"/>
    </row>
    <row r="2482" spans="2:26">
      <c r="B2482" s="191"/>
      <c r="D2482" s="183"/>
      <c r="I2482" s="183"/>
      <c r="J2482" s="183"/>
      <c r="L2482" s="183"/>
      <c r="M2482" s="183"/>
      <c r="N2482" s="183"/>
      <c r="O2482" s="183"/>
      <c r="P2482" s="183"/>
      <c r="Q2482" s="183"/>
      <c r="R2482" s="183"/>
      <c r="S2482" s="183"/>
      <c r="T2482" s="183"/>
      <c r="U2482" s="183"/>
      <c r="V2482" s="183"/>
      <c r="W2482" s="183"/>
      <c r="X2482" s="183"/>
      <c r="Y2482" s="183"/>
      <c r="Z2482" s="183"/>
    </row>
    <row r="2483" spans="2:26">
      <c r="B2483" s="191"/>
      <c r="D2483" s="183"/>
      <c r="I2483" s="183"/>
      <c r="J2483" s="183"/>
      <c r="L2483" s="183"/>
      <c r="M2483" s="183"/>
      <c r="N2483" s="183"/>
      <c r="O2483" s="183"/>
      <c r="P2483" s="183"/>
      <c r="Q2483" s="183"/>
      <c r="R2483" s="183"/>
      <c r="S2483" s="183"/>
      <c r="T2483" s="183"/>
      <c r="U2483" s="183"/>
      <c r="V2483" s="183"/>
      <c r="W2483" s="183"/>
      <c r="X2483" s="183"/>
      <c r="Y2483" s="183"/>
      <c r="Z2483" s="183"/>
    </row>
    <row r="2484" spans="2:26">
      <c r="B2484" s="191"/>
      <c r="D2484" s="183"/>
      <c r="I2484" s="183"/>
      <c r="J2484" s="183"/>
      <c r="L2484" s="183"/>
      <c r="M2484" s="183"/>
      <c r="N2484" s="183"/>
      <c r="O2484" s="183"/>
      <c r="P2484" s="183"/>
      <c r="Q2484" s="183"/>
      <c r="R2484" s="183"/>
      <c r="S2484" s="183"/>
      <c r="T2484" s="183"/>
      <c r="U2484" s="183"/>
      <c r="V2484" s="183"/>
      <c r="W2484" s="183"/>
      <c r="X2484" s="183"/>
      <c r="Y2484" s="183"/>
      <c r="Z2484" s="183"/>
    </row>
    <row r="2485" spans="2:26">
      <c r="B2485" s="191"/>
      <c r="D2485" s="183"/>
      <c r="I2485" s="183"/>
      <c r="J2485" s="183"/>
      <c r="L2485" s="183"/>
      <c r="M2485" s="183"/>
      <c r="N2485" s="183"/>
      <c r="O2485" s="183"/>
      <c r="P2485" s="183"/>
      <c r="Q2485" s="183"/>
      <c r="R2485" s="183"/>
      <c r="S2485" s="183"/>
      <c r="T2485" s="183"/>
      <c r="U2485" s="183"/>
      <c r="V2485" s="183"/>
      <c r="W2485" s="183"/>
      <c r="X2485" s="183"/>
      <c r="Y2485" s="183"/>
      <c r="Z2485" s="183"/>
    </row>
    <row r="2486" spans="2:26">
      <c r="B2486" s="191"/>
      <c r="D2486" s="183"/>
      <c r="I2486" s="183"/>
      <c r="J2486" s="183"/>
      <c r="L2486" s="183"/>
      <c r="M2486" s="183"/>
      <c r="N2486" s="183"/>
      <c r="O2486" s="183"/>
      <c r="P2486" s="183"/>
      <c r="Q2486" s="183"/>
      <c r="R2486" s="183"/>
      <c r="S2486" s="183"/>
      <c r="T2486" s="183"/>
      <c r="U2486" s="183"/>
      <c r="V2486" s="183"/>
      <c r="W2486" s="183"/>
      <c r="X2486" s="183"/>
      <c r="Y2486" s="183"/>
      <c r="Z2486" s="183"/>
    </row>
    <row r="2487" spans="2:26">
      <c r="B2487" s="191"/>
      <c r="D2487" s="183"/>
      <c r="I2487" s="183"/>
      <c r="J2487" s="183"/>
      <c r="L2487" s="183"/>
      <c r="M2487" s="183"/>
      <c r="N2487" s="183"/>
      <c r="O2487" s="183"/>
      <c r="P2487" s="183"/>
      <c r="Q2487" s="183"/>
      <c r="R2487" s="183"/>
      <c r="S2487" s="183"/>
      <c r="T2487" s="183"/>
      <c r="U2487" s="183"/>
      <c r="V2487" s="183"/>
      <c r="W2487" s="183"/>
      <c r="X2487" s="183"/>
      <c r="Y2487" s="183"/>
      <c r="Z2487" s="183"/>
    </row>
    <row r="2488" spans="2:26">
      <c r="B2488" s="191"/>
      <c r="D2488" s="183"/>
      <c r="I2488" s="183"/>
      <c r="J2488" s="183"/>
      <c r="L2488" s="183"/>
      <c r="M2488" s="183"/>
      <c r="N2488" s="183"/>
      <c r="O2488" s="183"/>
      <c r="P2488" s="183"/>
      <c r="Q2488" s="183"/>
      <c r="R2488" s="183"/>
      <c r="S2488" s="183"/>
      <c r="T2488" s="183"/>
      <c r="U2488" s="183"/>
      <c r="V2488" s="183"/>
      <c r="W2488" s="183"/>
      <c r="X2488" s="183"/>
      <c r="Y2488" s="183"/>
      <c r="Z2488" s="183"/>
    </row>
    <row r="2489" spans="2:26">
      <c r="B2489" s="191"/>
      <c r="D2489" s="183"/>
      <c r="I2489" s="183"/>
      <c r="J2489" s="183"/>
      <c r="L2489" s="183"/>
      <c r="M2489" s="183"/>
      <c r="N2489" s="183"/>
      <c r="O2489" s="183"/>
      <c r="P2489" s="183"/>
      <c r="Q2489" s="183"/>
      <c r="R2489" s="183"/>
      <c r="S2489" s="183"/>
      <c r="T2489" s="183"/>
      <c r="U2489" s="183"/>
      <c r="V2489" s="183"/>
      <c r="W2489" s="183"/>
      <c r="X2489" s="183"/>
      <c r="Y2489" s="183"/>
      <c r="Z2489" s="183"/>
    </row>
    <row r="2490" spans="2:26">
      <c r="B2490" s="191"/>
      <c r="D2490" s="183"/>
      <c r="I2490" s="183"/>
      <c r="J2490" s="183"/>
      <c r="L2490" s="183"/>
      <c r="M2490" s="183"/>
      <c r="N2490" s="183"/>
      <c r="O2490" s="183"/>
      <c r="P2490" s="183"/>
      <c r="Q2490" s="183"/>
      <c r="R2490" s="183"/>
      <c r="S2490" s="183"/>
      <c r="T2490" s="183"/>
      <c r="U2490" s="183"/>
      <c r="V2490" s="183"/>
      <c r="W2490" s="183"/>
      <c r="X2490" s="183"/>
      <c r="Y2490" s="183"/>
      <c r="Z2490" s="183"/>
    </row>
    <row r="2491" spans="2:26">
      <c r="B2491" s="191"/>
      <c r="D2491" s="183"/>
      <c r="I2491" s="183"/>
      <c r="J2491" s="183"/>
      <c r="L2491" s="183"/>
      <c r="M2491" s="183"/>
      <c r="N2491" s="183"/>
      <c r="O2491" s="183"/>
      <c r="P2491" s="183"/>
      <c r="Q2491" s="183"/>
      <c r="R2491" s="183"/>
      <c r="S2491" s="183"/>
      <c r="T2491" s="183"/>
      <c r="U2491" s="183"/>
      <c r="V2491" s="183"/>
      <c r="W2491" s="183"/>
      <c r="X2491" s="183"/>
      <c r="Y2491" s="183"/>
      <c r="Z2491" s="183"/>
    </row>
    <row r="2492" spans="2:26">
      <c r="B2492" s="191"/>
      <c r="D2492" s="183"/>
      <c r="I2492" s="183"/>
      <c r="J2492" s="183"/>
      <c r="L2492" s="183"/>
      <c r="M2492" s="183"/>
      <c r="N2492" s="183"/>
      <c r="O2492" s="183"/>
      <c r="P2492" s="183"/>
      <c r="Q2492" s="183"/>
      <c r="R2492" s="183"/>
      <c r="S2492" s="183"/>
      <c r="T2492" s="183"/>
      <c r="U2492" s="183"/>
      <c r="V2492" s="183"/>
      <c r="W2492" s="183"/>
      <c r="X2492" s="183"/>
      <c r="Y2492" s="183"/>
      <c r="Z2492" s="183"/>
    </row>
    <row r="2493" spans="2:26">
      <c r="B2493" s="191"/>
      <c r="D2493" s="183"/>
      <c r="I2493" s="183"/>
      <c r="J2493" s="183"/>
      <c r="L2493" s="183"/>
      <c r="M2493" s="183"/>
      <c r="N2493" s="183"/>
      <c r="O2493" s="183"/>
      <c r="P2493" s="183"/>
      <c r="Q2493" s="183"/>
      <c r="R2493" s="183"/>
      <c r="S2493" s="183"/>
      <c r="T2493" s="183"/>
      <c r="U2493" s="183"/>
      <c r="V2493" s="183"/>
      <c r="W2493" s="183"/>
      <c r="X2493" s="183"/>
      <c r="Y2493" s="183"/>
      <c r="Z2493" s="183"/>
    </row>
    <row r="2494" spans="2:26">
      <c r="B2494" s="191"/>
      <c r="D2494" s="183"/>
      <c r="I2494" s="183"/>
      <c r="J2494" s="183"/>
      <c r="L2494" s="183"/>
      <c r="M2494" s="183"/>
      <c r="N2494" s="183"/>
      <c r="O2494" s="183"/>
      <c r="P2494" s="183"/>
      <c r="Q2494" s="183"/>
      <c r="R2494" s="183"/>
      <c r="S2494" s="183"/>
      <c r="T2494" s="183"/>
      <c r="U2494" s="183"/>
      <c r="V2494" s="183"/>
      <c r="W2494" s="183"/>
      <c r="X2494" s="183"/>
      <c r="Y2494" s="183"/>
      <c r="Z2494" s="183"/>
    </row>
    <row r="2495" spans="2:26">
      <c r="B2495" s="191"/>
      <c r="D2495" s="183"/>
      <c r="I2495" s="183"/>
      <c r="J2495" s="183"/>
      <c r="L2495" s="183"/>
      <c r="M2495" s="183"/>
      <c r="N2495" s="183"/>
      <c r="O2495" s="183"/>
      <c r="P2495" s="183"/>
      <c r="Q2495" s="183"/>
      <c r="R2495" s="183"/>
      <c r="S2495" s="183"/>
      <c r="T2495" s="183"/>
      <c r="U2495" s="183"/>
      <c r="V2495" s="183"/>
      <c r="W2495" s="183"/>
      <c r="X2495" s="183"/>
      <c r="Y2495" s="183"/>
      <c r="Z2495" s="183"/>
    </row>
    <row r="2496" spans="2:26">
      <c r="B2496" s="191"/>
      <c r="D2496" s="183"/>
      <c r="I2496" s="183"/>
      <c r="J2496" s="183"/>
      <c r="L2496" s="183"/>
      <c r="M2496" s="183"/>
      <c r="N2496" s="183"/>
      <c r="O2496" s="183"/>
      <c r="P2496" s="183"/>
      <c r="Q2496" s="183"/>
      <c r="R2496" s="183"/>
      <c r="S2496" s="183"/>
      <c r="T2496" s="183"/>
      <c r="U2496" s="183"/>
      <c r="V2496" s="183"/>
      <c r="W2496" s="183"/>
      <c r="X2496" s="183"/>
      <c r="Y2496" s="183"/>
      <c r="Z2496" s="183"/>
    </row>
    <row r="2497" spans="2:26">
      <c r="B2497" s="191"/>
      <c r="D2497" s="183"/>
      <c r="I2497" s="183"/>
      <c r="J2497" s="183"/>
      <c r="L2497" s="183"/>
      <c r="M2497" s="183"/>
      <c r="N2497" s="183"/>
      <c r="O2497" s="183"/>
      <c r="P2497" s="183"/>
      <c r="Q2497" s="183"/>
      <c r="R2497" s="183"/>
      <c r="S2497" s="183"/>
      <c r="T2497" s="183"/>
      <c r="U2497" s="183"/>
      <c r="V2497" s="183"/>
      <c r="W2497" s="183"/>
      <c r="X2497" s="183"/>
      <c r="Y2497" s="183"/>
      <c r="Z2497" s="183"/>
    </row>
    <row r="2498" spans="2:26">
      <c r="B2498" s="191"/>
      <c r="D2498" s="183"/>
      <c r="I2498" s="183"/>
      <c r="J2498" s="183"/>
      <c r="L2498" s="183"/>
      <c r="M2498" s="183"/>
      <c r="N2498" s="183"/>
      <c r="O2498" s="183"/>
      <c r="P2498" s="183"/>
      <c r="Q2498" s="183"/>
      <c r="R2498" s="183"/>
      <c r="S2498" s="183"/>
      <c r="T2498" s="183"/>
      <c r="U2498" s="183"/>
      <c r="V2498" s="183"/>
      <c r="W2498" s="183"/>
      <c r="X2498" s="183"/>
      <c r="Y2498" s="183"/>
      <c r="Z2498" s="183"/>
    </row>
    <row r="2499" spans="2:26">
      <c r="B2499" s="191"/>
      <c r="D2499" s="183"/>
      <c r="I2499" s="183"/>
      <c r="J2499" s="183"/>
      <c r="L2499" s="183"/>
      <c r="M2499" s="183"/>
      <c r="N2499" s="183"/>
      <c r="O2499" s="183"/>
      <c r="P2499" s="183"/>
      <c r="Q2499" s="183"/>
      <c r="R2499" s="183"/>
      <c r="S2499" s="183"/>
      <c r="T2499" s="183"/>
      <c r="U2499" s="183"/>
      <c r="V2499" s="183"/>
      <c r="W2499" s="183"/>
      <c r="X2499" s="183"/>
      <c r="Y2499" s="183"/>
      <c r="Z2499" s="183"/>
    </row>
    <row r="2500" spans="2:26">
      <c r="B2500" s="191"/>
      <c r="D2500" s="183"/>
      <c r="I2500" s="183"/>
      <c r="J2500" s="183"/>
      <c r="L2500" s="183"/>
      <c r="M2500" s="183"/>
      <c r="N2500" s="183"/>
      <c r="O2500" s="183"/>
      <c r="P2500" s="183"/>
      <c r="Q2500" s="183"/>
      <c r="R2500" s="183"/>
      <c r="S2500" s="183"/>
      <c r="T2500" s="183"/>
      <c r="U2500" s="183"/>
      <c r="V2500" s="183"/>
      <c r="W2500" s="183"/>
      <c r="X2500" s="183"/>
      <c r="Y2500" s="183"/>
      <c r="Z2500" s="183"/>
    </row>
    <row r="2501" spans="2:26">
      <c r="B2501" s="191"/>
      <c r="D2501" s="183"/>
      <c r="I2501" s="183"/>
      <c r="J2501" s="183"/>
      <c r="L2501" s="183"/>
      <c r="M2501" s="183"/>
      <c r="N2501" s="183"/>
      <c r="O2501" s="183"/>
      <c r="P2501" s="183"/>
      <c r="Q2501" s="183"/>
      <c r="R2501" s="183"/>
      <c r="S2501" s="183"/>
      <c r="T2501" s="183"/>
      <c r="U2501" s="183"/>
      <c r="V2501" s="183"/>
      <c r="W2501" s="183"/>
      <c r="X2501" s="183"/>
      <c r="Y2501" s="183"/>
      <c r="Z2501" s="183"/>
    </row>
    <row r="2502" spans="2:26">
      <c r="B2502" s="191"/>
      <c r="D2502" s="183"/>
      <c r="I2502" s="183"/>
      <c r="J2502" s="183"/>
      <c r="L2502" s="183"/>
      <c r="M2502" s="183"/>
      <c r="N2502" s="183"/>
      <c r="O2502" s="183"/>
      <c r="P2502" s="183"/>
      <c r="Q2502" s="183"/>
      <c r="R2502" s="183"/>
      <c r="S2502" s="183"/>
      <c r="T2502" s="183"/>
      <c r="U2502" s="183"/>
      <c r="V2502" s="183"/>
      <c r="W2502" s="183"/>
      <c r="X2502" s="183"/>
      <c r="Y2502" s="183"/>
      <c r="Z2502" s="183"/>
    </row>
    <row r="2503" spans="2:26">
      <c r="B2503" s="191"/>
      <c r="D2503" s="183"/>
      <c r="I2503" s="183"/>
      <c r="J2503" s="183"/>
      <c r="L2503" s="183"/>
      <c r="M2503" s="183"/>
      <c r="N2503" s="183"/>
      <c r="O2503" s="183"/>
      <c r="P2503" s="183"/>
      <c r="Q2503" s="183"/>
      <c r="R2503" s="183"/>
      <c r="S2503" s="183"/>
      <c r="T2503" s="183"/>
      <c r="U2503" s="183"/>
      <c r="V2503" s="183"/>
      <c r="W2503" s="183"/>
      <c r="X2503" s="183"/>
      <c r="Y2503" s="183"/>
      <c r="Z2503" s="183"/>
    </row>
    <row r="2504" spans="2:26">
      <c r="B2504" s="191"/>
      <c r="D2504" s="183"/>
      <c r="I2504" s="183"/>
      <c r="J2504" s="183"/>
      <c r="L2504" s="183"/>
      <c r="M2504" s="183"/>
      <c r="N2504" s="183"/>
      <c r="O2504" s="183"/>
      <c r="P2504" s="183"/>
      <c r="Q2504" s="183"/>
      <c r="R2504" s="183"/>
      <c r="S2504" s="183"/>
      <c r="T2504" s="183"/>
      <c r="U2504" s="183"/>
      <c r="V2504" s="183"/>
      <c r="W2504" s="183"/>
      <c r="X2504" s="183"/>
      <c r="Y2504" s="183"/>
      <c r="Z2504" s="183"/>
    </row>
    <row r="2505" spans="2:26">
      <c r="B2505" s="191"/>
      <c r="D2505" s="183"/>
      <c r="I2505" s="183"/>
      <c r="J2505" s="183"/>
      <c r="L2505" s="183"/>
      <c r="M2505" s="183"/>
      <c r="N2505" s="183"/>
      <c r="O2505" s="183"/>
      <c r="P2505" s="183"/>
      <c r="Q2505" s="183"/>
      <c r="R2505" s="183"/>
      <c r="S2505" s="183"/>
      <c r="T2505" s="183"/>
      <c r="U2505" s="183"/>
      <c r="V2505" s="183"/>
      <c r="W2505" s="183"/>
      <c r="X2505" s="183"/>
      <c r="Y2505" s="183"/>
      <c r="Z2505" s="183"/>
    </row>
    <row r="2506" spans="2:26">
      <c r="B2506" s="191"/>
      <c r="D2506" s="183"/>
      <c r="I2506" s="183"/>
      <c r="J2506" s="183"/>
      <c r="L2506" s="183"/>
      <c r="M2506" s="183"/>
      <c r="N2506" s="183"/>
      <c r="O2506" s="183"/>
      <c r="P2506" s="183"/>
      <c r="Q2506" s="183"/>
      <c r="R2506" s="183"/>
      <c r="S2506" s="183"/>
      <c r="T2506" s="183"/>
      <c r="U2506" s="183"/>
      <c r="V2506" s="183"/>
      <c r="W2506" s="183"/>
      <c r="X2506" s="183"/>
      <c r="Y2506" s="183"/>
      <c r="Z2506" s="183"/>
    </row>
    <row r="2507" spans="2:26">
      <c r="B2507" s="191"/>
      <c r="D2507" s="183"/>
      <c r="I2507" s="183"/>
      <c r="J2507" s="183"/>
      <c r="L2507" s="183"/>
      <c r="M2507" s="183"/>
      <c r="N2507" s="183"/>
      <c r="O2507" s="183"/>
      <c r="P2507" s="183"/>
      <c r="Q2507" s="183"/>
      <c r="R2507" s="183"/>
      <c r="S2507" s="183"/>
      <c r="T2507" s="183"/>
      <c r="U2507" s="183"/>
      <c r="V2507" s="183"/>
      <c r="W2507" s="183"/>
      <c r="X2507" s="183"/>
      <c r="Y2507" s="183"/>
      <c r="Z2507" s="183"/>
    </row>
    <row r="2508" spans="2:26">
      <c r="B2508" s="191"/>
      <c r="D2508" s="183"/>
      <c r="I2508" s="183"/>
      <c r="J2508" s="183"/>
      <c r="L2508" s="183"/>
      <c r="M2508" s="183"/>
      <c r="N2508" s="183"/>
      <c r="O2508" s="183"/>
      <c r="P2508" s="183"/>
      <c r="Q2508" s="183"/>
      <c r="R2508" s="183"/>
      <c r="S2508" s="183"/>
      <c r="T2508" s="183"/>
      <c r="U2508" s="183"/>
      <c r="V2508" s="183"/>
      <c r="W2508" s="183"/>
      <c r="X2508" s="183"/>
      <c r="Y2508" s="183"/>
      <c r="Z2508" s="183"/>
    </row>
    <row r="2509" spans="2:26">
      <c r="B2509" s="191"/>
      <c r="D2509" s="183"/>
      <c r="I2509" s="183"/>
      <c r="J2509" s="183"/>
      <c r="L2509" s="183"/>
      <c r="M2509" s="183"/>
      <c r="N2509" s="183"/>
      <c r="O2509" s="183"/>
      <c r="P2509" s="183"/>
      <c r="Q2509" s="183"/>
      <c r="R2509" s="183"/>
      <c r="S2509" s="183"/>
      <c r="T2509" s="183"/>
      <c r="U2509" s="183"/>
      <c r="V2509" s="183"/>
      <c r="W2509" s="183"/>
      <c r="X2509" s="183"/>
      <c r="Y2509" s="183"/>
      <c r="Z2509" s="183"/>
    </row>
    <row r="2510" spans="2:26">
      <c r="B2510" s="191"/>
      <c r="D2510" s="183"/>
      <c r="I2510" s="183"/>
      <c r="J2510" s="183"/>
      <c r="L2510" s="183"/>
      <c r="M2510" s="183"/>
      <c r="N2510" s="183"/>
      <c r="O2510" s="183"/>
      <c r="P2510" s="183"/>
      <c r="Q2510" s="183"/>
      <c r="R2510" s="183"/>
      <c r="S2510" s="183"/>
      <c r="T2510" s="183"/>
      <c r="U2510" s="183"/>
      <c r="V2510" s="183"/>
      <c r="W2510" s="183"/>
      <c r="X2510" s="183"/>
      <c r="Y2510" s="183"/>
      <c r="Z2510" s="183"/>
    </row>
    <row r="2511" spans="2:26">
      <c r="B2511" s="191"/>
      <c r="D2511" s="183"/>
      <c r="I2511" s="183"/>
      <c r="J2511" s="183"/>
      <c r="L2511" s="183"/>
      <c r="M2511" s="183"/>
      <c r="N2511" s="183"/>
      <c r="O2511" s="183"/>
      <c r="P2511" s="183"/>
      <c r="Q2511" s="183"/>
      <c r="R2511" s="183"/>
      <c r="S2511" s="183"/>
      <c r="T2511" s="183"/>
      <c r="U2511" s="183"/>
      <c r="V2511" s="183"/>
      <c r="W2511" s="183"/>
      <c r="X2511" s="183"/>
      <c r="Y2511" s="183"/>
      <c r="Z2511" s="183"/>
    </row>
    <row r="2512" spans="2:26">
      <c r="B2512" s="191"/>
      <c r="D2512" s="183"/>
      <c r="I2512" s="183"/>
      <c r="J2512" s="183"/>
      <c r="L2512" s="183"/>
      <c r="M2512" s="183"/>
      <c r="N2512" s="183"/>
      <c r="O2512" s="183"/>
      <c r="P2512" s="183"/>
      <c r="Q2512" s="183"/>
      <c r="R2512" s="183"/>
      <c r="S2512" s="183"/>
      <c r="T2512" s="183"/>
      <c r="U2512" s="183"/>
      <c r="V2512" s="183"/>
      <c r="W2512" s="183"/>
      <c r="X2512" s="183"/>
      <c r="Y2512" s="183"/>
      <c r="Z2512" s="183"/>
    </row>
    <row r="2513" spans="2:26">
      <c r="B2513" s="191"/>
      <c r="D2513" s="183"/>
      <c r="I2513" s="183"/>
      <c r="J2513" s="183"/>
      <c r="L2513" s="183"/>
      <c r="M2513" s="183"/>
      <c r="N2513" s="183"/>
      <c r="O2513" s="183"/>
      <c r="P2513" s="183"/>
      <c r="Q2513" s="183"/>
      <c r="R2513" s="183"/>
      <c r="S2513" s="183"/>
      <c r="T2513" s="183"/>
      <c r="U2513" s="183"/>
      <c r="V2513" s="183"/>
      <c r="W2513" s="183"/>
      <c r="X2513" s="183"/>
      <c r="Y2513" s="183"/>
      <c r="Z2513" s="183"/>
    </row>
    <row r="2514" spans="2:26">
      <c r="B2514" s="191"/>
      <c r="D2514" s="183"/>
      <c r="I2514" s="183"/>
      <c r="J2514" s="183"/>
      <c r="L2514" s="183"/>
      <c r="M2514" s="183"/>
      <c r="N2514" s="183"/>
      <c r="O2514" s="183"/>
      <c r="P2514" s="183"/>
      <c r="Q2514" s="183"/>
      <c r="R2514" s="183"/>
      <c r="S2514" s="183"/>
      <c r="T2514" s="183"/>
      <c r="U2514" s="183"/>
      <c r="V2514" s="183"/>
      <c r="W2514" s="183"/>
      <c r="X2514" s="183"/>
      <c r="Y2514" s="183"/>
      <c r="Z2514" s="183"/>
    </row>
    <row r="2515" spans="2:26">
      <c r="B2515" s="191"/>
      <c r="D2515" s="183"/>
      <c r="I2515" s="183"/>
      <c r="J2515" s="183"/>
      <c r="L2515" s="183"/>
      <c r="M2515" s="183"/>
      <c r="N2515" s="183"/>
      <c r="O2515" s="183"/>
      <c r="P2515" s="183"/>
      <c r="Q2515" s="183"/>
      <c r="R2515" s="183"/>
      <c r="S2515" s="183"/>
      <c r="T2515" s="183"/>
      <c r="U2515" s="183"/>
      <c r="V2515" s="183"/>
      <c r="W2515" s="183"/>
      <c r="X2515" s="183"/>
      <c r="Y2515" s="183"/>
      <c r="Z2515" s="183"/>
    </row>
    <row r="2516" spans="2:26">
      <c r="B2516" s="191"/>
      <c r="D2516" s="183"/>
      <c r="I2516" s="183"/>
      <c r="J2516" s="183"/>
      <c r="L2516" s="183"/>
      <c r="M2516" s="183"/>
      <c r="N2516" s="183"/>
      <c r="O2516" s="183"/>
      <c r="P2516" s="183"/>
      <c r="Q2516" s="183"/>
      <c r="R2516" s="183"/>
      <c r="S2516" s="183"/>
      <c r="T2516" s="183"/>
      <c r="U2516" s="183"/>
      <c r="V2516" s="183"/>
      <c r="W2516" s="183"/>
      <c r="X2516" s="183"/>
      <c r="Y2516" s="183"/>
      <c r="Z2516" s="183"/>
    </row>
    <row r="2517" spans="2:26">
      <c r="B2517" s="191"/>
      <c r="D2517" s="183"/>
      <c r="I2517" s="183"/>
      <c r="J2517" s="183"/>
      <c r="L2517" s="183"/>
      <c r="M2517" s="183"/>
      <c r="N2517" s="183"/>
      <c r="O2517" s="183"/>
      <c r="P2517" s="183"/>
      <c r="Q2517" s="183"/>
      <c r="R2517" s="183"/>
      <c r="S2517" s="183"/>
      <c r="T2517" s="183"/>
      <c r="U2517" s="183"/>
      <c r="V2517" s="183"/>
      <c r="W2517" s="183"/>
      <c r="X2517" s="183"/>
      <c r="Y2517" s="183"/>
      <c r="Z2517" s="183"/>
    </row>
    <row r="2518" spans="2:26">
      <c r="B2518" s="191"/>
      <c r="D2518" s="183"/>
      <c r="I2518" s="183"/>
      <c r="J2518" s="183"/>
      <c r="L2518" s="183"/>
      <c r="M2518" s="183"/>
      <c r="N2518" s="183"/>
      <c r="O2518" s="183"/>
      <c r="P2518" s="183"/>
      <c r="Q2518" s="183"/>
      <c r="R2518" s="183"/>
      <c r="S2518" s="183"/>
      <c r="T2518" s="183"/>
      <c r="U2518" s="183"/>
      <c r="V2518" s="183"/>
      <c r="W2518" s="183"/>
      <c r="X2518" s="183"/>
      <c r="Y2518" s="183"/>
      <c r="Z2518" s="183"/>
    </row>
    <row r="2519" spans="2:26">
      <c r="B2519" s="191"/>
      <c r="D2519" s="183"/>
      <c r="I2519" s="183"/>
      <c r="J2519" s="183"/>
      <c r="L2519" s="183"/>
      <c r="M2519" s="183"/>
      <c r="N2519" s="183"/>
      <c r="O2519" s="183"/>
      <c r="P2519" s="183"/>
      <c r="Q2519" s="183"/>
      <c r="R2519" s="183"/>
      <c r="S2519" s="183"/>
      <c r="T2519" s="183"/>
      <c r="U2519" s="183"/>
      <c r="V2519" s="183"/>
      <c r="W2519" s="183"/>
      <c r="X2519" s="183"/>
      <c r="Y2519" s="183"/>
      <c r="Z2519" s="183"/>
    </row>
    <row r="2520" spans="2:26">
      <c r="B2520" s="191"/>
      <c r="D2520" s="183"/>
      <c r="I2520" s="183"/>
      <c r="J2520" s="183"/>
      <c r="L2520" s="183"/>
      <c r="M2520" s="183"/>
      <c r="N2520" s="183"/>
      <c r="O2520" s="183"/>
      <c r="P2520" s="183"/>
      <c r="Q2520" s="183"/>
      <c r="R2520" s="183"/>
      <c r="S2520" s="183"/>
      <c r="T2520" s="183"/>
      <c r="U2520" s="183"/>
      <c r="V2520" s="183"/>
      <c r="W2520" s="183"/>
      <c r="X2520" s="183"/>
      <c r="Y2520" s="183"/>
      <c r="Z2520" s="183"/>
    </row>
    <row r="2521" spans="2:26">
      <c r="B2521" s="191"/>
      <c r="D2521" s="183"/>
      <c r="I2521" s="183"/>
      <c r="J2521" s="183"/>
      <c r="L2521" s="183"/>
      <c r="M2521" s="183"/>
      <c r="N2521" s="183"/>
      <c r="O2521" s="183"/>
      <c r="P2521" s="183"/>
      <c r="Q2521" s="183"/>
      <c r="R2521" s="183"/>
      <c r="S2521" s="183"/>
      <c r="T2521" s="183"/>
      <c r="U2521" s="183"/>
      <c r="V2521" s="183"/>
      <c r="W2521" s="183"/>
      <c r="X2521" s="183"/>
      <c r="Y2521" s="183"/>
      <c r="Z2521" s="183"/>
    </row>
    <row r="2522" spans="2:26">
      <c r="B2522" s="191"/>
      <c r="D2522" s="183"/>
      <c r="I2522" s="183"/>
      <c r="J2522" s="183"/>
      <c r="L2522" s="183"/>
      <c r="M2522" s="183"/>
      <c r="N2522" s="183"/>
      <c r="O2522" s="183"/>
      <c r="P2522" s="183"/>
      <c r="Q2522" s="183"/>
      <c r="R2522" s="183"/>
      <c r="S2522" s="183"/>
      <c r="T2522" s="183"/>
      <c r="U2522" s="183"/>
      <c r="V2522" s="183"/>
      <c r="W2522" s="183"/>
      <c r="X2522" s="183"/>
      <c r="Y2522" s="183"/>
      <c r="Z2522" s="183"/>
    </row>
    <row r="2523" spans="2:26">
      <c r="B2523" s="191"/>
      <c r="D2523" s="183"/>
      <c r="I2523" s="183"/>
      <c r="J2523" s="183"/>
      <c r="L2523" s="183"/>
      <c r="M2523" s="183"/>
      <c r="N2523" s="183"/>
      <c r="O2523" s="183"/>
      <c r="P2523" s="183"/>
      <c r="Q2523" s="183"/>
      <c r="R2523" s="183"/>
      <c r="S2523" s="183"/>
      <c r="T2523" s="183"/>
      <c r="U2523" s="183"/>
      <c r="V2523" s="183"/>
      <c r="W2523" s="183"/>
      <c r="X2523" s="183"/>
      <c r="Y2523" s="183"/>
      <c r="Z2523" s="183"/>
    </row>
    <row r="2524" spans="2:26">
      <c r="B2524" s="191"/>
      <c r="D2524" s="183"/>
      <c r="I2524" s="183"/>
      <c r="J2524" s="183"/>
      <c r="L2524" s="183"/>
      <c r="M2524" s="183"/>
      <c r="N2524" s="183"/>
      <c r="O2524" s="183"/>
      <c r="P2524" s="183"/>
      <c r="Q2524" s="183"/>
      <c r="R2524" s="183"/>
      <c r="S2524" s="183"/>
      <c r="T2524" s="183"/>
      <c r="U2524" s="183"/>
      <c r="V2524" s="183"/>
      <c r="W2524" s="183"/>
      <c r="X2524" s="183"/>
      <c r="Y2524" s="183"/>
      <c r="Z2524" s="183"/>
    </row>
    <row r="2525" spans="2:26">
      <c r="B2525" s="191"/>
      <c r="D2525" s="183"/>
      <c r="I2525" s="183"/>
      <c r="J2525" s="183"/>
      <c r="L2525" s="183"/>
      <c r="M2525" s="183"/>
      <c r="N2525" s="183"/>
      <c r="O2525" s="183"/>
      <c r="P2525" s="183"/>
      <c r="Q2525" s="183"/>
      <c r="R2525" s="183"/>
      <c r="S2525" s="183"/>
      <c r="T2525" s="183"/>
      <c r="U2525" s="183"/>
      <c r="V2525" s="183"/>
      <c r="W2525" s="183"/>
      <c r="X2525" s="183"/>
      <c r="Y2525" s="183"/>
      <c r="Z2525" s="183"/>
    </row>
    <row r="2526" spans="2:26">
      <c r="B2526" s="191"/>
      <c r="D2526" s="183"/>
      <c r="I2526" s="183"/>
      <c r="J2526" s="183"/>
      <c r="L2526" s="183"/>
      <c r="M2526" s="183"/>
      <c r="N2526" s="183"/>
      <c r="O2526" s="183"/>
      <c r="P2526" s="183"/>
      <c r="Q2526" s="183"/>
      <c r="R2526" s="183"/>
      <c r="S2526" s="183"/>
      <c r="T2526" s="183"/>
      <c r="U2526" s="183"/>
      <c r="V2526" s="183"/>
      <c r="W2526" s="183"/>
      <c r="X2526" s="183"/>
      <c r="Y2526" s="183"/>
      <c r="Z2526" s="183"/>
    </row>
    <row r="2527" spans="2:26">
      <c r="B2527" s="191"/>
      <c r="D2527" s="183"/>
      <c r="I2527" s="183"/>
      <c r="J2527" s="183"/>
      <c r="L2527" s="183"/>
      <c r="M2527" s="183"/>
      <c r="N2527" s="183"/>
      <c r="O2527" s="183"/>
      <c r="P2527" s="183"/>
      <c r="Q2527" s="183"/>
      <c r="R2527" s="183"/>
      <c r="S2527" s="183"/>
      <c r="T2527" s="183"/>
      <c r="U2527" s="183"/>
      <c r="V2527" s="183"/>
      <c r="W2527" s="183"/>
      <c r="X2527" s="183"/>
      <c r="Y2527" s="183"/>
      <c r="Z2527" s="183"/>
    </row>
    <row r="2528" spans="2:26">
      <c r="B2528" s="191"/>
      <c r="D2528" s="183"/>
      <c r="I2528" s="183"/>
      <c r="J2528" s="183"/>
      <c r="L2528" s="183"/>
      <c r="M2528" s="183"/>
      <c r="N2528" s="183"/>
      <c r="O2528" s="183"/>
      <c r="P2528" s="183"/>
      <c r="Q2528" s="183"/>
      <c r="R2528" s="183"/>
      <c r="S2528" s="183"/>
      <c r="T2528" s="183"/>
      <c r="U2528" s="183"/>
      <c r="V2528" s="183"/>
      <c r="W2528" s="183"/>
      <c r="X2528" s="183"/>
      <c r="Y2528" s="183"/>
      <c r="Z2528" s="183"/>
    </row>
    <row r="2529" spans="2:26">
      <c r="B2529" s="191"/>
      <c r="D2529" s="183"/>
      <c r="I2529" s="183"/>
      <c r="J2529" s="183"/>
      <c r="L2529" s="183"/>
      <c r="M2529" s="183"/>
      <c r="N2529" s="183"/>
      <c r="O2529" s="183"/>
      <c r="P2529" s="183"/>
      <c r="Q2529" s="183"/>
      <c r="R2529" s="183"/>
      <c r="S2529" s="183"/>
      <c r="T2529" s="183"/>
      <c r="U2529" s="183"/>
      <c r="V2529" s="183"/>
      <c r="W2529" s="183"/>
      <c r="X2529" s="183"/>
      <c r="Y2529" s="183"/>
      <c r="Z2529" s="183"/>
    </row>
    <row r="2530" spans="2:26">
      <c r="B2530" s="191"/>
      <c r="D2530" s="183"/>
      <c r="I2530" s="183"/>
      <c r="J2530" s="183"/>
      <c r="L2530" s="183"/>
      <c r="M2530" s="183"/>
      <c r="N2530" s="183"/>
      <c r="O2530" s="183"/>
      <c r="P2530" s="183"/>
      <c r="Q2530" s="183"/>
      <c r="R2530" s="183"/>
      <c r="S2530" s="183"/>
      <c r="T2530" s="183"/>
      <c r="U2530" s="183"/>
      <c r="V2530" s="183"/>
      <c r="W2530" s="183"/>
      <c r="X2530" s="183"/>
      <c r="Y2530" s="183"/>
      <c r="Z2530" s="183"/>
    </row>
    <row r="2531" spans="2:26">
      <c r="B2531" s="191"/>
      <c r="D2531" s="183"/>
      <c r="I2531" s="183"/>
      <c r="J2531" s="183"/>
      <c r="L2531" s="183"/>
      <c r="M2531" s="183"/>
      <c r="N2531" s="183"/>
      <c r="O2531" s="183"/>
      <c r="P2531" s="183"/>
      <c r="Q2531" s="183"/>
      <c r="R2531" s="183"/>
      <c r="S2531" s="183"/>
      <c r="T2531" s="183"/>
      <c r="U2531" s="183"/>
      <c r="V2531" s="183"/>
      <c r="W2531" s="183"/>
      <c r="X2531" s="183"/>
      <c r="Y2531" s="183"/>
      <c r="Z2531" s="183"/>
    </row>
    <row r="2532" spans="2:26">
      <c r="B2532" s="191"/>
      <c r="D2532" s="183"/>
      <c r="I2532" s="183"/>
      <c r="J2532" s="183"/>
      <c r="L2532" s="183"/>
      <c r="M2532" s="183"/>
      <c r="N2532" s="183"/>
      <c r="O2532" s="183"/>
      <c r="P2532" s="183"/>
      <c r="Q2532" s="183"/>
      <c r="R2532" s="183"/>
      <c r="S2532" s="183"/>
      <c r="T2532" s="183"/>
      <c r="U2532" s="183"/>
      <c r="V2532" s="183"/>
      <c r="W2532" s="183"/>
      <c r="X2532" s="183"/>
      <c r="Y2532" s="183"/>
      <c r="Z2532" s="183"/>
    </row>
    <row r="2533" spans="2:26">
      <c r="B2533" s="191"/>
      <c r="D2533" s="183"/>
      <c r="I2533" s="183"/>
      <c r="J2533" s="183"/>
      <c r="L2533" s="183"/>
      <c r="M2533" s="183"/>
      <c r="N2533" s="183"/>
      <c r="O2533" s="183"/>
      <c r="P2533" s="183"/>
      <c r="Q2533" s="183"/>
      <c r="R2533" s="183"/>
      <c r="S2533" s="183"/>
      <c r="T2533" s="183"/>
      <c r="U2533" s="183"/>
      <c r="V2533" s="183"/>
      <c r="W2533" s="183"/>
      <c r="X2533" s="183"/>
      <c r="Y2533" s="183"/>
      <c r="Z2533" s="183"/>
    </row>
    <row r="2534" spans="2:26">
      <c r="B2534" s="191"/>
      <c r="D2534" s="183"/>
      <c r="I2534" s="183"/>
      <c r="J2534" s="183"/>
      <c r="L2534" s="183"/>
      <c r="M2534" s="183"/>
      <c r="N2534" s="183"/>
      <c r="O2534" s="183"/>
      <c r="P2534" s="183"/>
      <c r="Q2534" s="183"/>
      <c r="R2534" s="183"/>
      <c r="S2534" s="183"/>
      <c r="T2534" s="183"/>
      <c r="U2534" s="183"/>
      <c r="V2534" s="183"/>
      <c r="W2534" s="183"/>
      <c r="X2534" s="183"/>
      <c r="Y2534" s="183"/>
      <c r="Z2534" s="183"/>
    </row>
    <row r="2535" spans="2:26">
      <c r="B2535" s="191"/>
      <c r="D2535" s="183"/>
      <c r="I2535" s="183"/>
      <c r="J2535" s="183"/>
      <c r="L2535" s="183"/>
      <c r="M2535" s="183"/>
      <c r="N2535" s="183"/>
      <c r="O2535" s="183"/>
      <c r="P2535" s="183"/>
      <c r="Q2535" s="183"/>
      <c r="R2535" s="183"/>
      <c r="S2535" s="183"/>
      <c r="T2535" s="183"/>
      <c r="U2535" s="183"/>
      <c r="V2535" s="183"/>
      <c r="W2535" s="183"/>
      <c r="X2535" s="183"/>
      <c r="Y2535" s="183"/>
      <c r="Z2535" s="183"/>
    </row>
    <row r="2536" spans="2:26">
      <c r="B2536" s="191"/>
      <c r="D2536" s="183"/>
      <c r="I2536" s="183"/>
      <c r="J2536" s="183"/>
      <c r="L2536" s="183"/>
      <c r="M2536" s="183"/>
      <c r="N2536" s="183"/>
      <c r="O2536" s="183"/>
      <c r="P2536" s="183"/>
      <c r="Q2536" s="183"/>
      <c r="R2536" s="183"/>
      <c r="S2536" s="183"/>
      <c r="T2536" s="183"/>
      <c r="U2536" s="183"/>
      <c r="V2536" s="183"/>
      <c r="W2536" s="183"/>
      <c r="X2536" s="183"/>
      <c r="Y2536" s="183"/>
      <c r="Z2536" s="183"/>
    </row>
    <row r="2537" spans="2:26">
      <c r="B2537" s="191"/>
      <c r="D2537" s="183"/>
      <c r="I2537" s="183"/>
      <c r="J2537" s="183"/>
      <c r="L2537" s="183"/>
      <c r="M2537" s="183"/>
      <c r="N2537" s="183"/>
      <c r="O2537" s="183"/>
      <c r="P2537" s="183"/>
      <c r="Q2537" s="183"/>
      <c r="R2537" s="183"/>
      <c r="S2537" s="183"/>
      <c r="T2537" s="183"/>
      <c r="U2537" s="183"/>
      <c r="V2537" s="183"/>
      <c r="W2537" s="183"/>
      <c r="X2537" s="183"/>
      <c r="Y2537" s="183"/>
      <c r="Z2537" s="183"/>
    </row>
    <row r="2538" spans="2:26">
      <c r="B2538" s="191"/>
      <c r="D2538" s="183"/>
      <c r="I2538" s="183"/>
      <c r="J2538" s="183"/>
      <c r="L2538" s="183"/>
      <c r="M2538" s="183"/>
      <c r="N2538" s="183"/>
      <c r="O2538" s="183"/>
      <c r="P2538" s="183"/>
      <c r="Q2538" s="183"/>
      <c r="R2538" s="183"/>
      <c r="S2538" s="183"/>
      <c r="T2538" s="183"/>
      <c r="U2538" s="183"/>
      <c r="V2538" s="183"/>
      <c r="W2538" s="183"/>
      <c r="X2538" s="183"/>
      <c r="Y2538" s="183"/>
      <c r="Z2538" s="183"/>
    </row>
    <row r="2539" spans="2:26">
      <c r="B2539" s="191"/>
      <c r="D2539" s="183"/>
      <c r="I2539" s="183"/>
      <c r="J2539" s="183"/>
      <c r="L2539" s="183"/>
      <c r="M2539" s="183"/>
      <c r="N2539" s="183"/>
      <c r="O2539" s="183"/>
      <c r="P2539" s="183"/>
      <c r="Q2539" s="183"/>
      <c r="R2539" s="183"/>
      <c r="S2539" s="183"/>
      <c r="T2539" s="183"/>
      <c r="U2539" s="183"/>
      <c r="V2539" s="183"/>
      <c r="W2539" s="183"/>
      <c r="X2539" s="183"/>
      <c r="Y2539" s="183"/>
      <c r="Z2539" s="183"/>
    </row>
    <row r="2540" spans="2:26">
      <c r="B2540" s="191"/>
      <c r="D2540" s="183"/>
      <c r="I2540" s="183"/>
      <c r="J2540" s="183"/>
      <c r="L2540" s="183"/>
      <c r="M2540" s="183"/>
      <c r="N2540" s="183"/>
      <c r="O2540" s="183"/>
      <c r="P2540" s="183"/>
      <c r="Q2540" s="183"/>
      <c r="R2540" s="183"/>
      <c r="S2540" s="183"/>
      <c r="T2540" s="183"/>
      <c r="U2540" s="183"/>
      <c r="V2540" s="183"/>
      <c r="W2540" s="183"/>
      <c r="X2540" s="183"/>
      <c r="Y2540" s="183"/>
      <c r="Z2540" s="183"/>
    </row>
    <row r="2541" spans="2:26">
      <c r="B2541" s="191"/>
      <c r="D2541" s="183"/>
      <c r="I2541" s="183"/>
      <c r="J2541" s="183"/>
      <c r="L2541" s="183"/>
      <c r="M2541" s="183"/>
      <c r="N2541" s="183"/>
      <c r="O2541" s="183"/>
      <c r="P2541" s="183"/>
      <c r="Q2541" s="183"/>
      <c r="R2541" s="183"/>
      <c r="S2541" s="183"/>
      <c r="T2541" s="183"/>
      <c r="U2541" s="183"/>
      <c r="V2541" s="183"/>
      <c r="W2541" s="183"/>
      <c r="X2541" s="183"/>
      <c r="Y2541" s="183"/>
      <c r="Z2541" s="183"/>
    </row>
    <row r="2542" spans="2:26">
      <c r="B2542" s="191"/>
      <c r="D2542" s="183"/>
      <c r="I2542" s="183"/>
      <c r="J2542" s="183"/>
      <c r="L2542" s="183"/>
      <c r="M2542" s="183"/>
      <c r="N2542" s="183"/>
      <c r="O2542" s="183"/>
      <c r="P2542" s="183"/>
      <c r="Q2542" s="183"/>
      <c r="R2542" s="183"/>
      <c r="S2542" s="183"/>
      <c r="T2542" s="183"/>
      <c r="U2542" s="183"/>
      <c r="V2542" s="183"/>
      <c r="W2542" s="183"/>
      <c r="X2542" s="183"/>
      <c r="Y2542" s="183"/>
      <c r="Z2542" s="183"/>
    </row>
    <row r="2543" spans="2:26">
      <c r="B2543" s="191"/>
      <c r="D2543" s="183"/>
      <c r="I2543" s="183"/>
      <c r="J2543" s="183"/>
      <c r="L2543" s="183"/>
      <c r="M2543" s="183"/>
      <c r="N2543" s="183"/>
      <c r="O2543" s="183"/>
      <c r="P2543" s="183"/>
      <c r="Q2543" s="183"/>
      <c r="R2543" s="183"/>
      <c r="S2543" s="183"/>
      <c r="T2543" s="183"/>
      <c r="U2543" s="183"/>
      <c r="V2543" s="183"/>
      <c r="W2543" s="183"/>
      <c r="X2543" s="183"/>
      <c r="Y2543" s="183"/>
      <c r="Z2543" s="183"/>
    </row>
    <row r="2544" spans="2:26">
      <c r="B2544" s="191"/>
      <c r="D2544" s="183"/>
      <c r="I2544" s="183"/>
      <c r="J2544" s="183"/>
      <c r="L2544" s="183"/>
      <c r="M2544" s="183"/>
      <c r="N2544" s="183"/>
      <c r="O2544" s="183"/>
      <c r="P2544" s="183"/>
      <c r="Q2544" s="183"/>
      <c r="R2544" s="183"/>
      <c r="S2544" s="183"/>
      <c r="T2544" s="183"/>
      <c r="U2544" s="183"/>
      <c r="V2544" s="183"/>
      <c r="W2544" s="183"/>
      <c r="X2544" s="183"/>
      <c r="Y2544" s="183"/>
      <c r="Z2544" s="183"/>
    </row>
    <row r="2545" spans="2:26">
      <c r="B2545" s="191"/>
      <c r="D2545" s="183"/>
      <c r="I2545" s="183"/>
      <c r="J2545" s="183"/>
      <c r="L2545" s="183"/>
      <c r="M2545" s="183"/>
      <c r="N2545" s="183"/>
      <c r="O2545" s="183"/>
      <c r="P2545" s="183"/>
      <c r="Q2545" s="183"/>
      <c r="R2545" s="183"/>
      <c r="S2545" s="183"/>
      <c r="T2545" s="183"/>
      <c r="U2545" s="183"/>
      <c r="V2545" s="183"/>
      <c r="W2545" s="183"/>
      <c r="X2545" s="183"/>
      <c r="Y2545" s="183"/>
      <c r="Z2545" s="183"/>
    </row>
    <row r="2546" spans="2:26">
      <c r="B2546" s="191"/>
      <c r="D2546" s="183"/>
      <c r="I2546" s="183"/>
      <c r="J2546" s="183"/>
      <c r="L2546" s="183"/>
      <c r="M2546" s="183"/>
      <c r="N2546" s="183"/>
      <c r="O2546" s="183"/>
      <c r="P2546" s="183"/>
      <c r="Q2546" s="183"/>
      <c r="R2546" s="183"/>
      <c r="S2546" s="183"/>
      <c r="T2546" s="183"/>
      <c r="U2546" s="183"/>
      <c r="V2546" s="183"/>
      <c r="W2546" s="183"/>
      <c r="X2546" s="183"/>
      <c r="Y2546" s="183"/>
      <c r="Z2546" s="183"/>
    </row>
    <row r="2547" spans="2:26">
      <c r="B2547" s="191"/>
      <c r="D2547" s="183"/>
      <c r="I2547" s="183"/>
      <c r="J2547" s="183"/>
      <c r="L2547" s="183"/>
      <c r="M2547" s="183"/>
      <c r="N2547" s="183"/>
      <c r="O2547" s="183"/>
      <c r="P2547" s="183"/>
      <c r="Q2547" s="183"/>
      <c r="R2547" s="183"/>
      <c r="S2547" s="183"/>
      <c r="T2547" s="183"/>
      <c r="U2547" s="183"/>
      <c r="V2547" s="183"/>
      <c r="W2547" s="183"/>
      <c r="X2547" s="183"/>
      <c r="Y2547" s="183"/>
      <c r="Z2547" s="183"/>
    </row>
    <row r="2548" spans="2:26">
      <c r="B2548" s="191"/>
      <c r="D2548" s="183"/>
      <c r="I2548" s="183"/>
      <c r="J2548" s="183"/>
      <c r="L2548" s="183"/>
      <c r="M2548" s="183"/>
      <c r="N2548" s="183"/>
      <c r="O2548" s="183"/>
      <c r="P2548" s="183"/>
      <c r="Q2548" s="183"/>
      <c r="R2548" s="183"/>
      <c r="S2548" s="183"/>
      <c r="T2548" s="183"/>
      <c r="U2548" s="183"/>
      <c r="V2548" s="183"/>
      <c r="W2548" s="183"/>
      <c r="X2548" s="183"/>
      <c r="Y2548" s="183"/>
      <c r="Z2548" s="183"/>
    </row>
    <row r="2549" spans="2:26">
      <c r="B2549" s="191"/>
      <c r="D2549" s="183"/>
      <c r="I2549" s="183"/>
      <c r="J2549" s="183"/>
      <c r="L2549" s="183"/>
      <c r="M2549" s="183"/>
      <c r="N2549" s="183"/>
      <c r="O2549" s="183"/>
      <c r="P2549" s="183"/>
      <c r="Q2549" s="183"/>
      <c r="R2549" s="183"/>
      <c r="S2549" s="183"/>
      <c r="T2549" s="183"/>
      <c r="U2549" s="183"/>
      <c r="V2549" s="183"/>
      <c r="W2549" s="183"/>
      <c r="X2549" s="183"/>
      <c r="Y2549" s="183"/>
      <c r="Z2549" s="183"/>
    </row>
    <row r="2550" spans="2:26">
      <c r="B2550" s="191"/>
      <c r="D2550" s="183"/>
      <c r="I2550" s="183"/>
      <c r="J2550" s="183"/>
      <c r="L2550" s="183"/>
      <c r="M2550" s="183"/>
      <c r="N2550" s="183"/>
      <c r="O2550" s="183"/>
      <c r="P2550" s="183"/>
      <c r="Q2550" s="183"/>
      <c r="R2550" s="183"/>
      <c r="S2550" s="183"/>
      <c r="T2550" s="183"/>
      <c r="U2550" s="183"/>
      <c r="V2550" s="183"/>
      <c r="W2550" s="183"/>
      <c r="X2550" s="183"/>
      <c r="Y2550" s="183"/>
      <c r="Z2550" s="183"/>
    </row>
    <row r="2551" spans="2:26">
      <c r="B2551" s="191"/>
      <c r="D2551" s="183"/>
      <c r="I2551" s="183"/>
      <c r="J2551" s="183"/>
      <c r="L2551" s="183"/>
      <c r="M2551" s="183"/>
      <c r="N2551" s="183"/>
      <c r="O2551" s="183"/>
      <c r="P2551" s="183"/>
      <c r="Q2551" s="183"/>
      <c r="R2551" s="183"/>
      <c r="S2551" s="183"/>
      <c r="T2551" s="183"/>
      <c r="U2551" s="183"/>
      <c r="V2551" s="183"/>
      <c r="W2551" s="183"/>
      <c r="X2551" s="183"/>
      <c r="Y2551" s="183"/>
      <c r="Z2551" s="183"/>
    </row>
    <row r="2552" spans="2:26">
      <c r="B2552" s="191"/>
      <c r="D2552" s="183"/>
      <c r="I2552" s="183"/>
      <c r="J2552" s="183"/>
      <c r="L2552" s="183"/>
      <c r="M2552" s="183"/>
      <c r="N2552" s="183"/>
      <c r="O2552" s="183"/>
      <c r="P2552" s="183"/>
      <c r="Q2552" s="183"/>
      <c r="R2552" s="183"/>
      <c r="S2552" s="183"/>
      <c r="T2552" s="183"/>
      <c r="U2552" s="183"/>
      <c r="V2552" s="183"/>
      <c r="W2552" s="183"/>
      <c r="X2552" s="183"/>
      <c r="Y2552" s="183"/>
      <c r="Z2552" s="183"/>
    </row>
    <row r="2553" spans="2:26">
      <c r="B2553" s="191"/>
      <c r="D2553" s="183"/>
      <c r="I2553" s="183"/>
      <c r="J2553" s="183"/>
      <c r="L2553" s="183"/>
      <c r="M2553" s="183"/>
      <c r="N2553" s="183"/>
      <c r="O2553" s="183"/>
      <c r="P2553" s="183"/>
      <c r="Q2553" s="183"/>
      <c r="R2553" s="183"/>
      <c r="S2553" s="183"/>
      <c r="T2553" s="183"/>
      <c r="U2553" s="183"/>
      <c r="V2553" s="183"/>
      <c r="W2553" s="183"/>
      <c r="X2553" s="183"/>
      <c r="Y2553" s="183"/>
      <c r="Z2553" s="183"/>
    </row>
    <row r="2554" spans="2:26">
      <c r="B2554" s="191"/>
      <c r="D2554" s="183"/>
      <c r="I2554" s="183"/>
      <c r="J2554" s="183"/>
      <c r="L2554" s="183"/>
      <c r="M2554" s="183"/>
      <c r="N2554" s="183"/>
      <c r="O2554" s="183"/>
      <c r="P2554" s="183"/>
      <c r="Q2554" s="183"/>
      <c r="R2554" s="183"/>
      <c r="S2554" s="183"/>
      <c r="T2554" s="183"/>
      <c r="U2554" s="183"/>
      <c r="V2554" s="183"/>
      <c r="W2554" s="183"/>
      <c r="X2554" s="183"/>
      <c r="Y2554" s="183"/>
      <c r="Z2554" s="183"/>
    </row>
    <row r="2555" spans="2:26">
      <c r="B2555" s="191"/>
      <c r="D2555" s="183"/>
      <c r="I2555" s="183"/>
      <c r="J2555" s="183"/>
      <c r="L2555" s="183"/>
      <c r="M2555" s="183"/>
      <c r="N2555" s="183"/>
      <c r="O2555" s="183"/>
      <c r="P2555" s="183"/>
      <c r="Q2555" s="183"/>
      <c r="R2555" s="183"/>
      <c r="S2555" s="183"/>
      <c r="T2555" s="183"/>
      <c r="U2555" s="183"/>
      <c r="V2555" s="183"/>
      <c r="W2555" s="183"/>
      <c r="X2555" s="183"/>
      <c r="Y2555" s="183"/>
      <c r="Z2555" s="183"/>
    </row>
    <row r="2556" spans="2:26">
      <c r="B2556" s="191"/>
      <c r="D2556" s="183"/>
      <c r="I2556" s="183"/>
      <c r="J2556" s="183"/>
      <c r="L2556" s="183"/>
      <c r="M2556" s="183"/>
      <c r="N2556" s="183"/>
      <c r="O2556" s="183"/>
      <c r="P2556" s="183"/>
      <c r="Q2556" s="183"/>
      <c r="R2556" s="183"/>
      <c r="S2556" s="183"/>
      <c r="T2556" s="183"/>
      <c r="U2556" s="183"/>
      <c r="V2556" s="183"/>
      <c r="W2556" s="183"/>
      <c r="X2556" s="183"/>
      <c r="Y2556" s="183"/>
      <c r="Z2556" s="183"/>
    </row>
    <row r="2557" spans="2:26">
      <c r="B2557" s="191"/>
      <c r="D2557" s="183"/>
      <c r="I2557" s="183"/>
      <c r="J2557" s="183"/>
      <c r="L2557" s="183"/>
      <c r="M2557" s="183"/>
      <c r="N2557" s="183"/>
      <c r="O2557" s="183"/>
      <c r="P2557" s="183"/>
      <c r="Q2557" s="183"/>
      <c r="R2557" s="183"/>
      <c r="S2557" s="183"/>
      <c r="T2557" s="183"/>
      <c r="U2557" s="183"/>
      <c r="V2557" s="183"/>
      <c r="W2557" s="183"/>
      <c r="X2557" s="183"/>
      <c r="Y2557" s="183"/>
      <c r="Z2557" s="183"/>
    </row>
    <row r="2558" spans="2:26">
      <c r="B2558" s="191"/>
      <c r="D2558" s="183"/>
      <c r="I2558" s="183"/>
      <c r="J2558" s="183"/>
      <c r="L2558" s="183"/>
      <c r="M2558" s="183"/>
      <c r="N2558" s="183"/>
      <c r="O2558" s="183"/>
      <c r="P2558" s="183"/>
      <c r="Q2558" s="183"/>
      <c r="R2558" s="183"/>
      <c r="S2558" s="183"/>
      <c r="T2558" s="183"/>
      <c r="U2558" s="183"/>
      <c r="V2558" s="183"/>
      <c r="W2558" s="183"/>
      <c r="X2558" s="183"/>
      <c r="Y2558" s="183"/>
      <c r="Z2558" s="183"/>
    </row>
    <row r="2559" spans="2:26">
      <c r="B2559" s="191"/>
      <c r="D2559" s="183"/>
      <c r="I2559" s="183"/>
      <c r="J2559" s="183"/>
      <c r="L2559" s="183"/>
      <c r="M2559" s="183"/>
      <c r="N2559" s="183"/>
      <c r="O2559" s="183"/>
      <c r="P2559" s="183"/>
      <c r="Q2559" s="183"/>
      <c r="R2559" s="183"/>
      <c r="S2559" s="183"/>
      <c r="T2559" s="183"/>
      <c r="U2559" s="183"/>
      <c r="V2559" s="183"/>
      <c r="W2559" s="183"/>
      <c r="X2559" s="183"/>
      <c r="Y2559" s="183"/>
      <c r="Z2559" s="183"/>
    </row>
    <row r="2560" spans="2:26">
      <c r="B2560" s="191"/>
      <c r="D2560" s="183"/>
      <c r="I2560" s="183"/>
      <c r="J2560" s="183"/>
      <c r="L2560" s="183"/>
      <c r="M2560" s="183"/>
      <c r="N2560" s="183"/>
      <c r="O2560" s="183"/>
      <c r="P2560" s="183"/>
      <c r="Q2560" s="183"/>
      <c r="R2560" s="183"/>
      <c r="S2560" s="183"/>
      <c r="T2560" s="183"/>
      <c r="U2560" s="183"/>
      <c r="V2560" s="183"/>
      <c r="W2560" s="183"/>
      <c r="X2560" s="183"/>
      <c r="Y2560" s="183"/>
      <c r="Z2560" s="183"/>
    </row>
    <row r="2561" spans="2:26">
      <c r="B2561" s="191"/>
      <c r="D2561" s="183"/>
      <c r="I2561" s="183"/>
      <c r="J2561" s="183"/>
      <c r="L2561" s="183"/>
      <c r="M2561" s="183"/>
      <c r="N2561" s="183"/>
      <c r="O2561" s="183"/>
      <c r="P2561" s="183"/>
      <c r="Q2561" s="183"/>
      <c r="R2561" s="183"/>
      <c r="S2561" s="183"/>
      <c r="T2561" s="183"/>
      <c r="U2561" s="183"/>
      <c r="V2561" s="183"/>
      <c r="W2561" s="183"/>
      <c r="X2561" s="183"/>
      <c r="Y2561" s="183"/>
      <c r="Z2561" s="183"/>
    </row>
    <row r="2562" spans="2:26">
      <c r="B2562" s="191"/>
      <c r="D2562" s="183"/>
      <c r="I2562" s="183"/>
      <c r="J2562" s="183"/>
      <c r="L2562" s="183"/>
      <c r="M2562" s="183"/>
      <c r="N2562" s="183"/>
      <c r="O2562" s="183"/>
      <c r="P2562" s="183"/>
      <c r="Q2562" s="183"/>
      <c r="R2562" s="183"/>
      <c r="S2562" s="183"/>
      <c r="T2562" s="183"/>
      <c r="U2562" s="183"/>
      <c r="V2562" s="183"/>
      <c r="W2562" s="183"/>
      <c r="X2562" s="183"/>
      <c r="Y2562" s="183"/>
      <c r="Z2562" s="183"/>
    </row>
    <row r="2563" spans="2:26">
      <c r="B2563" s="191"/>
      <c r="D2563" s="183"/>
      <c r="I2563" s="183"/>
      <c r="J2563" s="183"/>
      <c r="L2563" s="183"/>
      <c r="M2563" s="183"/>
      <c r="N2563" s="183"/>
      <c r="O2563" s="183"/>
      <c r="P2563" s="183"/>
      <c r="Q2563" s="183"/>
      <c r="R2563" s="183"/>
      <c r="S2563" s="183"/>
      <c r="T2563" s="183"/>
      <c r="U2563" s="183"/>
      <c r="V2563" s="183"/>
      <c r="W2563" s="183"/>
      <c r="X2563" s="183"/>
      <c r="Y2563" s="183"/>
      <c r="Z2563" s="183"/>
    </row>
    <row r="2564" spans="2:26">
      <c r="B2564" s="191"/>
      <c r="D2564" s="183"/>
      <c r="I2564" s="183"/>
      <c r="J2564" s="183"/>
      <c r="L2564" s="183"/>
      <c r="M2564" s="183"/>
      <c r="N2564" s="183"/>
      <c r="O2564" s="183"/>
      <c r="P2564" s="183"/>
      <c r="Q2564" s="183"/>
      <c r="R2564" s="183"/>
      <c r="S2564" s="183"/>
      <c r="T2564" s="183"/>
      <c r="U2564" s="183"/>
      <c r="V2564" s="183"/>
      <c r="W2564" s="183"/>
      <c r="X2564" s="183"/>
      <c r="Y2564" s="183"/>
      <c r="Z2564" s="183"/>
    </row>
    <row r="2565" spans="2:26">
      <c r="B2565" s="191"/>
      <c r="D2565" s="183"/>
      <c r="I2565" s="183"/>
      <c r="J2565" s="183"/>
      <c r="L2565" s="183"/>
      <c r="M2565" s="183"/>
      <c r="N2565" s="183"/>
      <c r="O2565" s="183"/>
      <c r="P2565" s="183"/>
      <c r="Q2565" s="183"/>
      <c r="R2565" s="183"/>
      <c r="S2565" s="183"/>
      <c r="T2565" s="183"/>
      <c r="U2565" s="183"/>
      <c r="V2565" s="183"/>
      <c r="W2565" s="183"/>
      <c r="X2565" s="183"/>
      <c r="Y2565" s="183"/>
      <c r="Z2565" s="183"/>
    </row>
    <row r="2566" spans="2:26">
      <c r="B2566" s="191"/>
      <c r="D2566" s="183"/>
      <c r="I2566" s="183"/>
      <c r="J2566" s="183"/>
      <c r="L2566" s="183"/>
      <c r="M2566" s="183"/>
      <c r="N2566" s="183"/>
      <c r="O2566" s="183"/>
      <c r="P2566" s="183"/>
      <c r="Q2566" s="183"/>
      <c r="R2566" s="183"/>
      <c r="S2566" s="183"/>
      <c r="T2566" s="183"/>
      <c r="U2566" s="183"/>
      <c r="V2566" s="183"/>
      <c r="W2566" s="183"/>
      <c r="X2566" s="183"/>
      <c r="Y2566" s="183"/>
      <c r="Z2566" s="183"/>
    </row>
    <row r="2567" spans="2:26">
      <c r="B2567" s="191"/>
      <c r="D2567" s="183"/>
      <c r="I2567" s="183"/>
      <c r="J2567" s="183"/>
      <c r="L2567" s="183"/>
      <c r="M2567" s="183"/>
      <c r="N2567" s="183"/>
      <c r="O2567" s="183"/>
      <c r="P2567" s="183"/>
      <c r="Q2567" s="183"/>
      <c r="R2567" s="183"/>
      <c r="S2567" s="183"/>
      <c r="T2567" s="183"/>
      <c r="U2567" s="183"/>
      <c r="V2567" s="183"/>
      <c r="W2567" s="183"/>
      <c r="X2567" s="183"/>
      <c r="Y2567" s="183"/>
      <c r="Z2567" s="183"/>
    </row>
    <row r="2568" spans="2:26">
      <c r="B2568" s="191"/>
      <c r="D2568" s="183"/>
      <c r="I2568" s="183"/>
      <c r="J2568" s="183"/>
      <c r="L2568" s="183"/>
      <c r="M2568" s="183"/>
      <c r="N2568" s="183"/>
      <c r="O2568" s="183"/>
      <c r="P2568" s="183"/>
      <c r="Q2568" s="183"/>
      <c r="R2568" s="183"/>
      <c r="S2568" s="183"/>
      <c r="T2568" s="183"/>
      <c r="U2568" s="183"/>
      <c r="V2568" s="183"/>
      <c r="W2568" s="183"/>
      <c r="X2568" s="183"/>
      <c r="Y2568" s="183"/>
      <c r="Z2568" s="183"/>
    </row>
    <row r="2569" spans="2:26">
      <c r="B2569" s="191"/>
      <c r="D2569" s="183"/>
      <c r="I2569" s="183"/>
      <c r="J2569" s="183"/>
      <c r="L2569" s="183"/>
      <c r="M2569" s="183"/>
      <c r="N2569" s="183"/>
      <c r="O2569" s="183"/>
      <c r="P2569" s="183"/>
      <c r="Q2569" s="183"/>
      <c r="R2569" s="183"/>
      <c r="S2569" s="183"/>
      <c r="T2569" s="183"/>
      <c r="U2569" s="183"/>
      <c r="V2569" s="183"/>
      <c r="W2569" s="183"/>
      <c r="X2569" s="183"/>
      <c r="Y2569" s="183"/>
      <c r="Z2569" s="183"/>
    </row>
    <row r="2570" spans="2:26">
      <c r="B2570" s="191"/>
      <c r="D2570" s="183"/>
      <c r="I2570" s="183"/>
      <c r="J2570" s="183"/>
      <c r="L2570" s="183"/>
      <c r="M2570" s="183"/>
      <c r="N2570" s="183"/>
      <c r="O2570" s="183"/>
      <c r="P2570" s="183"/>
      <c r="Q2570" s="183"/>
      <c r="R2570" s="183"/>
      <c r="S2570" s="183"/>
      <c r="T2570" s="183"/>
      <c r="U2570" s="183"/>
      <c r="V2570" s="183"/>
      <c r="W2570" s="183"/>
      <c r="X2570" s="183"/>
      <c r="Y2570" s="183"/>
      <c r="Z2570" s="183"/>
    </row>
    <row r="2571" spans="2:26">
      <c r="B2571" s="191"/>
      <c r="D2571" s="183"/>
      <c r="I2571" s="183"/>
      <c r="J2571" s="183"/>
      <c r="L2571" s="183"/>
      <c r="M2571" s="183"/>
      <c r="N2571" s="183"/>
      <c r="O2571" s="183"/>
      <c r="P2571" s="183"/>
      <c r="Q2571" s="183"/>
      <c r="R2571" s="183"/>
      <c r="S2571" s="183"/>
      <c r="T2571" s="183"/>
      <c r="U2571" s="183"/>
      <c r="V2571" s="183"/>
      <c r="W2571" s="183"/>
      <c r="X2571" s="183"/>
      <c r="Y2571" s="183"/>
      <c r="Z2571" s="183"/>
    </row>
    <row r="2572" spans="2:26">
      <c r="B2572" s="191"/>
      <c r="D2572" s="183"/>
      <c r="I2572" s="183"/>
      <c r="J2572" s="183"/>
      <c r="L2572" s="183"/>
      <c r="M2572" s="183"/>
      <c r="N2572" s="183"/>
      <c r="O2572" s="183"/>
      <c r="P2572" s="183"/>
      <c r="Q2572" s="183"/>
      <c r="R2572" s="183"/>
      <c r="S2572" s="183"/>
      <c r="T2572" s="183"/>
      <c r="U2572" s="183"/>
      <c r="V2572" s="183"/>
      <c r="W2572" s="183"/>
      <c r="X2572" s="183"/>
      <c r="Y2572" s="183"/>
      <c r="Z2572" s="183"/>
    </row>
    <row r="2573" spans="2:26">
      <c r="B2573" s="191"/>
      <c r="D2573" s="183"/>
      <c r="I2573" s="183"/>
      <c r="J2573" s="183"/>
      <c r="L2573" s="183"/>
      <c r="M2573" s="183"/>
      <c r="N2573" s="183"/>
      <c r="O2573" s="183"/>
      <c r="P2573" s="183"/>
      <c r="Q2573" s="183"/>
      <c r="R2573" s="183"/>
      <c r="S2573" s="183"/>
      <c r="T2573" s="183"/>
      <c r="U2573" s="183"/>
      <c r="V2573" s="183"/>
      <c r="W2573" s="183"/>
      <c r="X2573" s="183"/>
      <c r="Y2573" s="183"/>
      <c r="Z2573" s="183"/>
    </row>
    <row r="2574" spans="2:26">
      <c r="B2574" s="191"/>
      <c r="D2574" s="183"/>
      <c r="I2574" s="183"/>
      <c r="J2574" s="183"/>
      <c r="L2574" s="183"/>
      <c r="M2574" s="183"/>
      <c r="N2574" s="183"/>
      <c r="O2574" s="183"/>
      <c r="P2574" s="183"/>
      <c r="Q2574" s="183"/>
      <c r="R2574" s="183"/>
      <c r="S2574" s="183"/>
      <c r="T2574" s="183"/>
      <c r="U2574" s="183"/>
      <c r="V2574" s="183"/>
      <c r="W2574" s="183"/>
      <c r="X2574" s="183"/>
      <c r="Y2574" s="183"/>
      <c r="Z2574" s="183"/>
    </row>
    <row r="2575" spans="2:26">
      <c r="B2575" s="191"/>
      <c r="D2575" s="183"/>
      <c r="I2575" s="183"/>
      <c r="J2575" s="183"/>
      <c r="L2575" s="183"/>
      <c r="M2575" s="183"/>
      <c r="N2575" s="183"/>
      <c r="O2575" s="183"/>
      <c r="P2575" s="183"/>
      <c r="Q2575" s="183"/>
      <c r="R2575" s="183"/>
      <c r="S2575" s="183"/>
      <c r="T2575" s="183"/>
      <c r="U2575" s="183"/>
      <c r="V2575" s="183"/>
      <c r="W2575" s="183"/>
      <c r="X2575" s="183"/>
      <c r="Y2575" s="183"/>
      <c r="Z2575" s="183"/>
    </row>
    <row r="2576" spans="2:26">
      <c r="B2576" s="191"/>
      <c r="D2576" s="183"/>
      <c r="I2576" s="183"/>
      <c r="J2576" s="183"/>
      <c r="L2576" s="183"/>
      <c r="M2576" s="183"/>
      <c r="N2576" s="183"/>
      <c r="O2576" s="183"/>
      <c r="P2576" s="183"/>
      <c r="Q2576" s="183"/>
      <c r="R2576" s="183"/>
      <c r="S2576" s="183"/>
      <c r="T2576" s="183"/>
      <c r="U2576" s="183"/>
      <c r="V2576" s="183"/>
      <c r="W2576" s="183"/>
      <c r="X2576" s="183"/>
      <c r="Y2576" s="183"/>
      <c r="Z2576" s="183"/>
    </row>
    <row r="2577" spans="2:26">
      <c r="B2577" s="191"/>
      <c r="D2577" s="183"/>
      <c r="I2577" s="183"/>
      <c r="J2577" s="183"/>
      <c r="L2577" s="183"/>
      <c r="M2577" s="183"/>
      <c r="N2577" s="183"/>
      <c r="O2577" s="183"/>
      <c r="P2577" s="183"/>
      <c r="Q2577" s="183"/>
      <c r="R2577" s="183"/>
      <c r="S2577" s="183"/>
      <c r="T2577" s="183"/>
      <c r="U2577" s="183"/>
      <c r="V2577" s="183"/>
      <c r="W2577" s="183"/>
      <c r="X2577" s="183"/>
      <c r="Y2577" s="183"/>
      <c r="Z2577" s="183"/>
    </row>
    <row r="2578" spans="2:26">
      <c r="B2578" s="191"/>
      <c r="D2578" s="183"/>
      <c r="I2578" s="183"/>
      <c r="J2578" s="183"/>
      <c r="L2578" s="183"/>
      <c r="M2578" s="183"/>
      <c r="N2578" s="183"/>
      <c r="O2578" s="183"/>
      <c r="P2578" s="183"/>
      <c r="Q2578" s="183"/>
      <c r="R2578" s="183"/>
      <c r="S2578" s="183"/>
      <c r="T2578" s="183"/>
      <c r="U2578" s="183"/>
      <c r="V2578" s="183"/>
      <c r="W2578" s="183"/>
      <c r="X2578" s="183"/>
      <c r="Y2578" s="183"/>
      <c r="Z2578" s="183"/>
    </row>
    <row r="2579" spans="2:26">
      <c r="B2579" s="191"/>
      <c r="D2579" s="183"/>
      <c r="I2579" s="183"/>
      <c r="J2579" s="183"/>
      <c r="L2579" s="183"/>
      <c r="M2579" s="183"/>
      <c r="N2579" s="183"/>
      <c r="O2579" s="183"/>
      <c r="P2579" s="183"/>
      <c r="Q2579" s="183"/>
      <c r="R2579" s="183"/>
      <c r="S2579" s="183"/>
      <c r="T2579" s="183"/>
      <c r="U2579" s="183"/>
      <c r="V2579" s="183"/>
      <c r="W2579" s="183"/>
      <c r="X2579" s="183"/>
      <c r="Y2579" s="183"/>
      <c r="Z2579" s="183"/>
    </row>
    <row r="2580" spans="2:26">
      <c r="B2580" s="191"/>
      <c r="D2580" s="183"/>
      <c r="I2580" s="183"/>
      <c r="J2580" s="183"/>
      <c r="L2580" s="183"/>
      <c r="M2580" s="183"/>
      <c r="N2580" s="183"/>
      <c r="O2580" s="183"/>
      <c r="P2580" s="183"/>
      <c r="Q2580" s="183"/>
      <c r="R2580" s="183"/>
      <c r="S2580" s="183"/>
      <c r="T2580" s="183"/>
      <c r="U2580" s="183"/>
      <c r="V2580" s="183"/>
      <c r="W2580" s="183"/>
      <c r="X2580" s="183"/>
      <c r="Y2580" s="183"/>
      <c r="Z2580" s="183"/>
    </row>
    <row r="2581" spans="2:26">
      <c r="B2581" s="191"/>
      <c r="D2581" s="183"/>
      <c r="I2581" s="183"/>
      <c r="J2581" s="183"/>
      <c r="L2581" s="183"/>
      <c r="M2581" s="183"/>
      <c r="N2581" s="183"/>
      <c r="O2581" s="183"/>
      <c r="P2581" s="183"/>
      <c r="Q2581" s="183"/>
      <c r="R2581" s="183"/>
      <c r="S2581" s="183"/>
      <c r="T2581" s="183"/>
      <c r="U2581" s="183"/>
      <c r="V2581" s="183"/>
      <c r="W2581" s="183"/>
      <c r="X2581" s="183"/>
      <c r="Y2581" s="183"/>
      <c r="Z2581" s="183"/>
    </row>
    <row r="2582" spans="2:26">
      <c r="B2582" s="191"/>
      <c r="D2582" s="183"/>
      <c r="I2582" s="183"/>
      <c r="J2582" s="183"/>
      <c r="L2582" s="183"/>
      <c r="M2582" s="183"/>
      <c r="N2582" s="183"/>
      <c r="O2582" s="183"/>
      <c r="P2582" s="183"/>
      <c r="Q2582" s="183"/>
      <c r="R2582" s="183"/>
      <c r="S2582" s="183"/>
      <c r="T2582" s="183"/>
      <c r="U2582" s="183"/>
      <c r="V2582" s="183"/>
      <c r="W2582" s="183"/>
      <c r="X2582" s="183"/>
      <c r="Y2582" s="183"/>
      <c r="Z2582" s="183"/>
    </row>
    <row r="2583" spans="2:26">
      <c r="B2583" s="191"/>
      <c r="D2583" s="183"/>
      <c r="I2583" s="183"/>
      <c r="J2583" s="183"/>
      <c r="L2583" s="183"/>
      <c r="M2583" s="183"/>
      <c r="N2583" s="183"/>
      <c r="O2583" s="183"/>
      <c r="P2583" s="183"/>
      <c r="Q2583" s="183"/>
      <c r="R2583" s="183"/>
      <c r="S2583" s="183"/>
      <c r="T2583" s="183"/>
      <c r="U2583" s="183"/>
      <c r="V2583" s="183"/>
      <c r="W2583" s="183"/>
      <c r="X2583" s="183"/>
      <c r="Y2583" s="183"/>
      <c r="Z2583" s="183"/>
    </row>
    <row r="2584" spans="2:26">
      <c r="B2584" s="191"/>
      <c r="D2584" s="183"/>
      <c r="I2584" s="183"/>
      <c r="J2584" s="183"/>
      <c r="L2584" s="183"/>
      <c r="M2584" s="183"/>
      <c r="N2584" s="183"/>
      <c r="O2584" s="183"/>
      <c r="P2584" s="183"/>
      <c r="Q2584" s="183"/>
      <c r="R2584" s="183"/>
      <c r="S2584" s="183"/>
      <c r="T2584" s="183"/>
      <c r="U2584" s="183"/>
      <c r="V2584" s="183"/>
      <c r="W2584" s="183"/>
      <c r="X2584" s="183"/>
      <c r="Y2584" s="183"/>
      <c r="Z2584" s="183"/>
    </row>
    <row r="2585" spans="2:26">
      <c r="B2585" s="191"/>
      <c r="D2585" s="183"/>
      <c r="I2585" s="183"/>
      <c r="J2585" s="183"/>
      <c r="L2585" s="183"/>
      <c r="M2585" s="183"/>
      <c r="N2585" s="183"/>
      <c r="O2585" s="183"/>
      <c r="P2585" s="183"/>
      <c r="Q2585" s="183"/>
      <c r="R2585" s="183"/>
      <c r="S2585" s="183"/>
      <c r="T2585" s="183"/>
      <c r="U2585" s="183"/>
      <c r="V2585" s="183"/>
      <c r="W2585" s="183"/>
      <c r="X2585" s="183"/>
      <c r="Y2585" s="183"/>
      <c r="Z2585" s="183"/>
    </row>
    <row r="2586" spans="2:26">
      <c r="B2586" s="191"/>
      <c r="D2586" s="183"/>
      <c r="I2586" s="183"/>
      <c r="J2586" s="183"/>
      <c r="L2586" s="183"/>
      <c r="M2586" s="183"/>
      <c r="N2586" s="183"/>
      <c r="O2586" s="183"/>
      <c r="P2586" s="183"/>
      <c r="Q2586" s="183"/>
      <c r="R2586" s="183"/>
      <c r="S2586" s="183"/>
      <c r="T2586" s="183"/>
      <c r="U2586" s="183"/>
      <c r="V2586" s="183"/>
      <c r="W2586" s="183"/>
      <c r="X2586" s="183"/>
      <c r="Y2586" s="183"/>
      <c r="Z2586" s="183"/>
    </row>
    <row r="2587" spans="2:26">
      <c r="B2587" s="191"/>
      <c r="D2587" s="183"/>
      <c r="I2587" s="183"/>
      <c r="J2587" s="183"/>
      <c r="L2587" s="183"/>
      <c r="M2587" s="183"/>
      <c r="N2587" s="183"/>
      <c r="O2587" s="183"/>
      <c r="P2587" s="183"/>
      <c r="Q2587" s="183"/>
      <c r="R2587" s="183"/>
      <c r="S2587" s="183"/>
      <c r="T2587" s="183"/>
      <c r="U2587" s="183"/>
      <c r="V2587" s="183"/>
      <c r="W2587" s="183"/>
      <c r="X2587" s="183"/>
      <c r="Y2587" s="183"/>
      <c r="Z2587" s="183"/>
    </row>
    <row r="2588" spans="2:26">
      <c r="B2588" s="191"/>
      <c r="D2588" s="183"/>
      <c r="I2588" s="183"/>
      <c r="J2588" s="183"/>
      <c r="L2588" s="183"/>
      <c r="M2588" s="183"/>
      <c r="N2588" s="183"/>
      <c r="O2588" s="183"/>
      <c r="P2588" s="183"/>
      <c r="Q2588" s="183"/>
      <c r="R2588" s="183"/>
      <c r="S2588" s="183"/>
      <c r="T2588" s="183"/>
      <c r="U2588" s="183"/>
      <c r="V2588" s="183"/>
      <c r="W2588" s="183"/>
      <c r="X2588" s="183"/>
      <c r="Y2588" s="183"/>
      <c r="Z2588" s="183"/>
    </row>
    <row r="2589" spans="2:26">
      <c r="B2589" s="191"/>
      <c r="D2589" s="183"/>
      <c r="I2589" s="183"/>
      <c r="J2589" s="183"/>
      <c r="L2589" s="183"/>
      <c r="M2589" s="183"/>
      <c r="N2589" s="183"/>
      <c r="O2589" s="183"/>
      <c r="P2589" s="183"/>
      <c r="Q2589" s="183"/>
      <c r="R2589" s="183"/>
      <c r="S2589" s="183"/>
      <c r="T2589" s="183"/>
      <c r="U2589" s="183"/>
      <c r="V2589" s="183"/>
      <c r="W2589" s="183"/>
      <c r="X2589" s="183"/>
      <c r="Y2589" s="183"/>
      <c r="Z2589" s="183"/>
    </row>
    <row r="2590" spans="2:26">
      <c r="B2590" s="191"/>
      <c r="D2590" s="183"/>
      <c r="I2590" s="183"/>
      <c r="J2590" s="183"/>
      <c r="L2590" s="183"/>
      <c r="M2590" s="183"/>
      <c r="N2590" s="183"/>
      <c r="O2590" s="183"/>
      <c r="P2590" s="183"/>
      <c r="Q2590" s="183"/>
      <c r="R2590" s="183"/>
      <c r="S2590" s="183"/>
      <c r="T2590" s="183"/>
      <c r="U2590" s="183"/>
      <c r="V2590" s="183"/>
      <c r="W2590" s="183"/>
      <c r="X2590" s="183"/>
      <c r="Y2590" s="183"/>
      <c r="Z2590" s="183"/>
    </row>
    <row r="2591" spans="2:26">
      <c r="B2591" s="191"/>
      <c r="D2591" s="183"/>
      <c r="I2591" s="183"/>
      <c r="J2591" s="183"/>
      <c r="L2591" s="183"/>
      <c r="M2591" s="183"/>
      <c r="N2591" s="183"/>
      <c r="O2591" s="183"/>
      <c r="P2591" s="183"/>
      <c r="Q2591" s="183"/>
      <c r="R2591" s="183"/>
      <c r="S2591" s="183"/>
      <c r="T2591" s="183"/>
      <c r="U2591" s="183"/>
      <c r="V2591" s="183"/>
      <c r="W2591" s="183"/>
      <c r="X2591" s="183"/>
      <c r="Y2591" s="183"/>
      <c r="Z2591" s="183"/>
    </row>
    <row r="2592" spans="2:26">
      <c r="B2592" s="191"/>
      <c r="D2592" s="183"/>
      <c r="I2592" s="183"/>
      <c r="J2592" s="183"/>
      <c r="L2592" s="183"/>
      <c r="M2592" s="183"/>
      <c r="N2592" s="183"/>
      <c r="O2592" s="183"/>
      <c r="P2592" s="183"/>
      <c r="Q2592" s="183"/>
      <c r="R2592" s="183"/>
      <c r="S2592" s="183"/>
      <c r="T2592" s="183"/>
      <c r="U2592" s="183"/>
      <c r="V2592" s="183"/>
      <c r="W2592" s="183"/>
      <c r="X2592" s="183"/>
      <c r="Y2592" s="183"/>
      <c r="Z2592" s="183"/>
    </row>
    <row r="2593" spans="2:26">
      <c r="B2593" s="191"/>
      <c r="D2593" s="183"/>
      <c r="I2593" s="183"/>
      <c r="J2593" s="183"/>
      <c r="L2593" s="183"/>
      <c r="M2593" s="183"/>
      <c r="N2593" s="183"/>
      <c r="O2593" s="183"/>
      <c r="P2593" s="183"/>
      <c r="Q2593" s="183"/>
      <c r="R2593" s="183"/>
      <c r="S2593" s="183"/>
      <c r="T2593" s="183"/>
      <c r="U2593" s="183"/>
      <c r="V2593" s="183"/>
      <c r="W2593" s="183"/>
      <c r="X2593" s="183"/>
      <c r="Y2593" s="183"/>
      <c r="Z2593" s="183"/>
    </row>
    <row r="2594" spans="2:26">
      <c r="B2594" s="191"/>
      <c r="D2594" s="183"/>
      <c r="I2594" s="183"/>
      <c r="J2594" s="183"/>
      <c r="L2594" s="183"/>
      <c r="M2594" s="183"/>
      <c r="N2594" s="183"/>
      <c r="O2594" s="183"/>
      <c r="P2594" s="183"/>
      <c r="Q2594" s="183"/>
      <c r="R2594" s="183"/>
      <c r="S2594" s="183"/>
      <c r="T2594" s="183"/>
      <c r="U2594" s="183"/>
      <c r="V2594" s="183"/>
      <c r="W2594" s="183"/>
      <c r="X2594" s="183"/>
      <c r="Y2594" s="183"/>
      <c r="Z2594" s="183"/>
    </row>
    <row r="2595" spans="2:26">
      <c r="B2595" s="191"/>
      <c r="D2595" s="183"/>
      <c r="I2595" s="183"/>
      <c r="J2595" s="183"/>
      <c r="L2595" s="183"/>
      <c r="M2595" s="183"/>
      <c r="N2595" s="183"/>
      <c r="O2595" s="183"/>
      <c r="P2595" s="183"/>
      <c r="Q2595" s="183"/>
      <c r="R2595" s="183"/>
      <c r="S2595" s="183"/>
      <c r="T2595" s="183"/>
      <c r="U2595" s="183"/>
      <c r="V2595" s="183"/>
      <c r="W2595" s="183"/>
      <c r="X2595" s="183"/>
      <c r="Y2595" s="183"/>
      <c r="Z2595" s="183"/>
    </row>
    <row r="2596" spans="2:26">
      <c r="B2596" s="191"/>
      <c r="D2596" s="183"/>
      <c r="I2596" s="183"/>
      <c r="J2596" s="183"/>
      <c r="L2596" s="183"/>
      <c r="M2596" s="183"/>
      <c r="N2596" s="183"/>
      <c r="O2596" s="183"/>
      <c r="P2596" s="183"/>
      <c r="Q2596" s="183"/>
      <c r="R2596" s="183"/>
      <c r="S2596" s="183"/>
      <c r="T2596" s="183"/>
      <c r="U2596" s="183"/>
      <c r="V2596" s="183"/>
      <c r="W2596" s="183"/>
      <c r="X2596" s="183"/>
      <c r="Y2596" s="183"/>
      <c r="Z2596" s="183"/>
    </row>
    <row r="2597" spans="2:26">
      <c r="B2597" s="191"/>
      <c r="D2597" s="183"/>
      <c r="I2597" s="183"/>
      <c r="J2597" s="183"/>
      <c r="L2597" s="183"/>
      <c r="M2597" s="183"/>
      <c r="N2597" s="183"/>
      <c r="O2597" s="183"/>
      <c r="P2597" s="183"/>
      <c r="Q2597" s="183"/>
      <c r="R2597" s="183"/>
      <c r="S2597" s="183"/>
      <c r="T2597" s="183"/>
      <c r="U2597" s="183"/>
      <c r="V2597" s="183"/>
      <c r="W2597" s="183"/>
      <c r="X2597" s="183"/>
      <c r="Y2597" s="183"/>
      <c r="Z2597" s="183"/>
    </row>
    <row r="2598" spans="2:26">
      <c r="B2598" s="191"/>
      <c r="D2598" s="183"/>
      <c r="I2598" s="183"/>
      <c r="J2598" s="183"/>
      <c r="L2598" s="183"/>
      <c r="M2598" s="183"/>
      <c r="N2598" s="183"/>
      <c r="O2598" s="183"/>
      <c r="P2598" s="183"/>
      <c r="Q2598" s="183"/>
      <c r="R2598" s="183"/>
      <c r="S2598" s="183"/>
      <c r="T2598" s="183"/>
      <c r="U2598" s="183"/>
      <c r="V2598" s="183"/>
      <c r="W2598" s="183"/>
      <c r="X2598" s="183"/>
      <c r="Y2598" s="183"/>
      <c r="Z2598" s="183"/>
    </row>
    <row r="2599" spans="2:26">
      <c r="B2599" s="191"/>
      <c r="D2599" s="183"/>
      <c r="I2599" s="183"/>
      <c r="J2599" s="183"/>
      <c r="L2599" s="183"/>
      <c r="M2599" s="183"/>
      <c r="N2599" s="183"/>
      <c r="O2599" s="183"/>
      <c r="P2599" s="183"/>
      <c r="Q2599" s="183"/>
      <c r="R2599" s="183"/>
      <c r="S2599" s="183"/>
      <c r="T2599" s="183"/>
      <c r="U2599" s="183"/>
      <c r="V2599" s="183"/>
      <c r="W2599" s="183"/>
      <c r="X2599" s="183"/>
      <c r="Y2599" s="183"/>
      <c r="Z2599" s="183"/>
    </row>
    <row r="2600" spans="2:26">
      <c r="B2600" s="191"/>
      <c r="D2600" s="183"/>
      <c r="I2600" s="183"/>
      <c r="J2600" s="183"/>
      <c r="L2600" s="183"/>
      <c r="M2600" s="183"/>
      <c r="N2600" s="183"/>
      <c r="O2600" s="183"/>
      <c r="P2600" s="183"/>
      <c r="Q2600" s="183"/>
      <c r="R2600" s="183"/>
      <c r="S2600" s="183"/>
      <c r="T2600" s="183"/>
      <c r="U2600" s="183"/>
      <c r="V2600" s="183"/>
      <c r="W2600" s="183"/>
      <c r="X2600" s="183"/>
      <c r="Y2600" s="183"/>
      <c r="Z2600" s="183"/>
    </row>
    <row r="2601" spans="2:26">
      <c r="B2601" s="191"/>
      <c r="D2601" s="183"/>
      <c r="I2601" s="183"/>
      <c r="J2601" s="183"/>
      <c r="L2601" s="183"/>
      <c r="M2601" s="183"/>
      <c r="N2601" s="183"/>
      <c r="O2601" s="183"/>
      <c r="P2601" s="183"/>
      <c r="Q2601" s="183"/>
      <c r="R2601" s="183"/>
      <c r="S2601" s="183"/>
      <c r="T2601" s="183"/>
      <c r="U2601" s="183"/>
      <c r="V2601" s="183"/>
      <c r="W2601" s="183"/>
      <c r="X2601" s="183"/>
      <c r="Y2601" s="183"/>
      <c r="Z2601" s="183"/>
    </row>
    <row r="2602" spans="2:26">
      <c r="B2602" s="191"/>
      <c r="D2602" s="183"/>
      <c r="I2602" s="183"/>
      <c r="J2602" s="183"/>
      <c r="L2602" s="183"/>
      <c r="M2602" s="183"/>
      <c r="N2602" s="183"/>
      <c r="O2602" s="183"/>
      <c r="P2602" s="183"/>
      <c r="Q2602" s="183"/>
      <c r="R2602" s="183"/>
      <c r="S2602" s="183"/>
      <c r="T2602" s="183"/>
      <c r="U2602" s="183"/>
      <c r="V2602" s="183"/>
      <c r="W2602" s="183"/>
      <c r="X2602" s="183"/>
      <c r="Y2602" s="183"/>
      <c r="Z2602" s="183"/>
    </row>
    <row r="2603" spans="2:26">
      <c r="B2603" s="191"/>
      <c r="D2603" s="183"/>
      <c r="I2603" s="183"/>
      <c r="J2603" s="183"/>
      <c r="L2603" s="183"/>
      <c r="M2603" s="183"/>
      <c r="N2603" s="183"/>
      <c r="O2603" s="183"/>
      <c r="P2603" s="183"/>
      <c r="Q2603" s="183"/>
      <c r="R2603" s="183"/>
      <c r="S2603" s="183"/>
      <c r="T2603" s="183"/>
      <c r="U2603" s="183"/>
      <c r="V2603" s="183"/>
      <c r="W2603" s="183"/>
      <c r="X2603" s="183"/>
      <c r="Y2603" s="183"/>
      <c r="Z2603" s="183"/>
    </row>
    <row r="2604" spans="2:26">
      <c r="B2604" s="191"/>
      <c r="D2604" s="183"/>
      <c r="I2604" s="183"/>
      <c r="J2604" s="183"/>
      <c r="L2604" s="183"/>
      <c r="M2604" s="183"/>
      <c r="N2604" s="183"/>
      <c r="O2604" s="183"/>
      <c r="P2604" s="183"/>
      <c r="Q2604" s="183"/>
      <c r="R2604" s="183"/>
      <c r="S2604" s="183"/>
      <c r="T2604" s="183"/>
      <c r="U2604" s="183"/>
      <c r="V2604" s="183"/>
      <c r="W2604" s="183"/>
      <c r="X2604" s="183"/>
      <c r="Y2604" s="183"/>
      <c r="Z2604" s="183"/>
    </row>
    <row r="2605" spans="2:26">
      <c r="B2605" s="191"/>
      <c r="D2605" s="183"/>
      <c r="I2605" s="183"/>
      <c r="J2605" s="183"/>
      <c r="L2605" s="183"/>
      <c r="M2605" s="183"/>
      <c r="N2605" s="183"/>
      <c r="O2605" s="183"/>
      <c r="P2605" s="183"/>
      <c r="Q2605" s="183"/>
      <c r="R2605" s="183"/>
      <c r="S2605" s="183"/>
      <c r="T2605" s="183"/>
      <c r="U2605" s="183"/>
      <c r="V2605" s="183"/>
      <c r="W2605" s="183"/>
      <c r="X2605" s="183"/>
      <c r="Y2605" s="183"/>
      <c r="Z2605" s="183"/>
    </row>
    <row r="2606" spans="2:26">
      <c r="B2606" s="191"/>
      <c r="D2606" s="183"/>
      <c r="I2606" s="183"/>
      <c r="J2606" s="183"/>
      <c r="L2606" s="183"/>
      <c r="M2606" s="183"/>
      <c r="N2606" s="183"/>
      <c r="O2606" s="183"/>
      <c r="P2606" s="183"/>
      <c r="Q2606" s="183"/>
      <c r="R2606" s="183"/>
      <c r="S2606" s="183"/>
      <c r="T2606" s="183"/>
      <c r="U2606" s="183"/>
      <c r="V2606" s="183"/>
      <c r="W2606" s="183"/>
      <c r="X2606" s="183"/>
      <c r="Y2606" s="183"/>
      <c r="Z2606" s="183"/>
    </row>
    <row r="2607" spans="2:26">
      <c r="B2607" s="191"/>
      <c r="D2607" s="183"/>
      <c r="I2607" s="183"/>
      <c r="J2607" s="183"/>
      <c r="L2607" s="183"/>
      <c r="M2607" s="183"/>
      <c r="N2607" s="183"/>
      <c r="O2607" s="183"/>
      <c r="P2607" s="183"/>
      <c r="Q2607" s="183"/>
      <c r="R2607" s="183"/>
      <c r="S2607" s="183"/>
      <c r="T2607" s="183"/>
      <c r="U2607" s="183"/>
      <c r="V2607" s="183"/>
      <c r="W2607" s="183"/>
      <c r="X2607" s="183"/>
      <c r="Y2607" s="183"/>
      <c r="Z2607" s="183"/>
    </row>
    <row r="2608" spans="2:26">
      <c r="B2608" s="191"/>
      <c r="D2608" s="183"/>
      <c r="I2608" s="183"/>
      <c r="J2608" s="183"/>
      <c r="L2608" s="183"/>
      <c r="M2608" s="183"/>
      <c r="N2608" s="183"/>
      <c r="O2608" s="183"/>
      <c r="P2608" s="183"/>
      <c r="Q2608" s="183"/>
      <c r="R2608" s="183"/>
      <c r="S2608" s="183"/>
      <c r="T2608" s="183"/>
      <c r="U2608" s="183"/>
      <c r="V2608" s="183"/>
      <c r="W2608" s="183"/>
      <c r="X2608" s="183"/>
      <c r="Y2608" s="183"/>
      <c r="Z2608" s="183"/>
    </row>
    <row r="2609" spans="2:26">
      <c r="B2609" s="191"/>
      <c r="D2609" s="183"/>
      <c r="I2609" s="183"/>
      <c r="J2609" s="183"/>
      <c r="L2609" s="183"/>
      <c r="M2609" s="183"/>
      <c r="N2609" s="183"/>
      <c r="O2609" s="183"/>
      <c r="P2609" s="183"/>
      <c r="Q2609" s="183"/>
      <c r="R2609" s="183"/>
      <c r="S2609" s="183"/>
      <c r="T2609" s="183"/>
      <c r="U2609" s="183"/>
      <c r="V2609" s="183"/>
      <c r="W2609" s="183"/>
      <c r="X2609" s="183"/>
      <c r="Y2609" s="183"/>
      <c r="Z2609" s="183"/>
    </row>
    <row r="2610" spans="2:26">
      <c r="B2610" s="191"/>
      <c r="D2610" s="183"/>
      <c r="I2610" s="183"/>
      <c r="J2610" s="183"/>
      <c r="L2610" s="183"/>
      <c r="M2610" s="183"/>
      <c r="N2610" s="183"/>
      <c r="O2610" s="183"/>
      <c r="P2610" s="183"/>
      <c r="Q2610" s="183"/>
      <c r="R2610" s="183"/>
      <c r="S2610" s="183"/>
      <c r="T2610" s="183"/>
      <c r="U2610" s="183"/>
      <c r="V2610" s="183"/>
      <c r="W2610" s="183"/>
      <c r="X2610" s="183"/>
      <c r="Y2610" s="183"/>
      <c r="Z2610" s="183"/>
    </row>
    <row r="2611" spans="2:26">
      <c r="B2611" s="191"/>
      <c r="D2611" s="183"/>
      <c r="I2611" s="183"/>
      <c r="J2611" s="183"/>
      <c r="L2611" s="183"/>
      <c r="M2611" s="183"/>
      <c r="N2611" s="183"/>
      <c r="O2611" s="183"/>
      <c r="P2611" s="183"/>
      <c r="Q2611" s="183"/>
      <c r="R2611" s="183"/>
      <c r="S2611" s="183"/>
      <c r="T2611" s="183"/>
      <c r="U2611" s="183"/>
      <c r="V2611" s="183"/>
      <c r="W2611" s="183"/>
      <c r="X2611" s="183"/>
      <c r="Y2611" s="183"/>
      <c r="Z2611" s="183"/>
    </row>
    <row r="2612" spans="2:26">
      <c r="B2612" s="191"/>
      <c r="D2612" s="183"/>
      <c r="I2612" s="183"/>
      <c r="J2612" s="183"/>
      <c r="L2612" s="183"/>
      <c r="M2612" s="183"/>
      <c r="N2612" s="183"/>
      <c r="O2612" s="183"/>
      <c r="P2612" s="183"/>
      <c r="Q2612" s="183"/>
      <c r="R2612" s="183"/>
      <c r="S2612" s="183"/>
      <c r="T2612" s="183"/>
      <c r="U2612" s="183"/>
      <c r="V2612" s="183"/>
      <c r="W2612" s="183"/>
      <c r="X2612" s="183"/>
      <c r="Y2612" s="183"/>
      <c r="Z2612" s="183"/>
    </row>
    <row r="2613" spans="2:26">
      <c r="B2613" s="191"/>
      <c r="D2613" s="183"/>
      <c r="I2613" s="183"/>
      <c r="J2613" s="183"/>
      <c r="L2613" s="183"/>
      <c r="M2613" s="183"/>
      <c r="N2613" s="183"/>
      <c r="O2613" s="183"/>
      <c r="P2613" s="183"/>
      <c r="Q2613" s="183"/>
      <c r="R2613" s="183"/>
      <c r="S2613" s="183"/>
      <c r="T2613" s="183"/>
      <c r="U2613" s="183"/>
      <c r="V2613" s="183"/>
      <c r="W2613" s="183"/>
      <c r="X2613" s="183"/>
      <c r="Y2613" s="183"/>
      <c r="Z2613" s="183"/>
    </row>
    <row r="2614" spans="2:26">
      <c r="B2614" s="191"/>
      <c r="D2614" s="183"/>
      <c r="I2614" s="183"/>
      <c r="J2614" s="183"/>
      <c r="L2614" s="183"/>
      <c r="M2614" s="183"/>
      <c r="N2614" s="183"/>
      <c r="O2614" s="183"/>
      <c r="P2614" s="183"/>
      <c r="Q2614" s="183"/>
      <c r="R2614" s="183"/>
      <c r="S2614" s="183"/>
      <c r="T2614" s="183"/>
      <c r="U2614" s="183"/>
      <c r="V2614" s="183"/>
      <c r="W2614" s="183"/>
      <c r="X2614" s="183"/>
      <c r="Y2614" s="183"/>
      <c r="Z2614" s="183"/>
    </row>
    <row r="2615" spans="2:26">
      <c r="B2615" s="191"/>
      <c r="D2615" s="183"/>
      <c r="I2615" s="183"/>
      <c r="J2615" s="183"/>
      <c r="L2615" s="183"/>
      <c r="M2615" s="183"/>
      <c r="N2615" s="183"/>
      <c r="O2615" s="183"/>
      <c r="P2615" s="183"/>
      <c r="Q2615" s="183"/>
      <c r="R2615" s="183"/>
      <c r="S2615" s="183"/>
      <c r="T2615" s="183"/>
      <c r="U2615" s="183"/>
      <c r="V2615" s="183"/>
      <c r="W2615" s="183"/>
      <c r="X2615" s="183"/>
      <c r="Y2615" s="183"/>
      <c r="Z2615" s="183"/>
    </row>
    <row r="2616" spans="2:26">
      <c r="B2616" s="191"/>
      <c r="D2616" s="183"/>
      <c r="I2616" s="183"/>
      <c r="J2616" s="183"/>
      <c r="L2616" s="183"/>
      <c r="M2616" s="183"/>
      <c r="N2616" s="183"/>
      <c r="O2616" s="183"/>
      <c r="P2616" s="183"/>
      <c r="Q2616" s="183"/>
      <c r="R2616" s="183"/>
      <c r="S2616" s="183"/>
      <c r="T2616" s="183"/>
      <c r="U2616" s="183"/>
      <c r="V2616" s="183"/>
      <c r="W2616" s="183"/>
      <c r="X2616" s="183"/>
      <c r="Y2616" s="183"/>
      <c r="Z2616" s="183"/>
    </row>
    <row r="2617" spans="2:26">
      <c r="B2617" s="191"/>
      <c r="D2617" s="183"/>
      <c r="I2617" s="183"/>
      <c r="J2617" s="183"/>
      <c r="L2617" s="183"/>
      <c r="M2617" s="183"/>
      <c r="N2617" s="183"/>
      <c r="O2617" s="183"/>
      <c r="P2617" s="183"/>
      <c r="Q2617" s="183"/>
      <c r="R2617" s="183"/>
      <c r="S2617" s="183"/>
      <c r="T2617" s="183"/>
      <c r="U2617" s="183"/>
      <c r="V2617" s="183"/>
      <c r="W2617" s="183"/>
      <c r="X2617" s="183"/>
      <c r="Y2617" s="183"/>
      <c r="Z2617" s="183"/>
    </row>
    <row r="2618" spans="2:26">
      <c r="B2618" s="191"/>
      <c r="D2618" s="183"/>
      <c r="I2618" s="183"/>
      <c r="J2618" s="183"/>
      <c r="L2618" s="183"/>
      <c r="M2618" s="183"/>
      <c r="N2618" s="183"/>
      <c r="O2618" s="183"/>
      <c r="P2618" s="183"/>
      <c r="Q2618" s="183"/>
      <c r="R2618" s="183"/>
      <c r="S2618" s="183"/>
      <c r="T2618" s="183"/>
      <c r="U2618" s="183"/>
      <c r="V2618" s="183"/>
      <c r="W2618" s="183"/>
      <c r="X2618" s="183"/>
      <c r="Y2618" s="183"/>
      <c r="Z2618" s="183"/>
    </row>
    <row r="2619" spans="2:26">
      <c r="B2619" s="191"/>
      <c r="D2619" s="183"/>
      <c r="I2619" s="183"/>
      <c r="J2619" s="183"/>
      <c r="L2619" s="183"/>
      <c r="M2619" s="183"/>
      <c r="N2619" s="183"/>
      <c r="O2619" s="183"/>
      <c r="P2619" s="183"/>
      <c r="Q2619" s="183"/>
      <c r="R2619" s="183"/>
      <c r="S2619" s="183"/>
      <c r="T2619" s="183"/>
      <c r="U2619" s="183"/>
      <c r="V2619" s="183"/>
      <c r="W2619" s="183"/>
      <c r="X2619" s="183"/>
      <c r="Y2619" s="183"/>
      <c r="Z2619" s="183"/>
    </row>
    <row r="2620" spans="2:26">
      <c r="B2620" s="191"/>
      <c r="D2620" s="183"/>
      <c r="I2620" s="183"/>
      <c r="J2620" s="183"/>
      <c r="L2620" s="183"/>
      <c r="M2620" s="183"/>
      <c r="N2620" s="183"/>
      <c r="O2620" s="183"/>
      <c r="P2620" s="183"/>
      <c r="Q2620" s="183"/>
      <c r="R2620" s="183"/>
      <c r="S2620" s="183"/>
      <c r="T2620" s="183"/>
      <c r="U2620" s="183"/>
      <c r="V2620" s="183"/>
      <c r="W2620" s="183"/>
      <c r="X2620" s="183"/>
      <c r="Y2620" s="183"/>
      <c r="Z2620" s="183"/>
    </row>
    <row r="2621" spans="2:26">
      <c r="B2621" s="191"/>
      <c r="D2621" s="183"/>
      <c r="I2621" s="183"/>
      <c r="J2621" s="183"/>
      <c r="L2621" s="183"/>
      <c r="M2621" s="183"/>
      <c r="N2621" s="183"/>
      <c r="O2621" s="183"/>
      <c r="P2621" s="183"/>
      <c r="Q2621" s="183"/>
      <c r="R2621" s="183"/>
      <c r="S2621" s="183"/>
      <c r="T2621" s="183"/>
      <c r="U2621" s="183"/>
      <c r="V2621" s="183"/>
      <c r="W2621" s="183"/>
      <c r="X2621" s="183"/>
      <c r="Y2621" s="183"/>
      <c r="Z2621" s="183"/>
    </row>
    <row r="2622" spans="2:26">
      <c r="B2622" s="191"/>
      <c r="D2622" s="183"/>
      <c r="I2622" s="183"/>
      <c r="J2622" s="183"/>
      <c r="L2622" s="183"/>
      <c r="M2622" s="183"/>
      <c r="N2622" s="183"/>
      <c r="O2622" s="183"/>
      <c r="P2622" s="183"/>
      <c r="Q2622" s="183"/>
      <c r="R2622" s="183"/>
      <c r="S2622" s="183"/>
      <c r="T2622" s="183"/>
      <c r="U2622" s="183"/>
      <c r="V2622" s="183"/>
      <c r="W2622" s="183"/>
      <c r="X2622" s="183"/>
      <c r="Y2622" s="183"/>
      <c r="Z2622" s="183"/>
    </row>
    <row r="2623" spans="2:26">
      <c r="B2623" s="191"/>
      <c r="D2623" s="183"/>
      <c r="I2623" s="183"/>
      <c r="J2623" s="183"/>
      <c r="L2623" s="183"/>
      <c r="M2623" s="183"/>
      <c r="N2623" s="183"/>
      <c r="O2623" s="183"/>
      <c r="P2623" s="183"/>
      <c r="Q2623" s="183"/>
      <c r="R2623" s="183"/>
      <c r="S2623" s="183"/>
      <c r="T2623" s="183"/>
      <c r="U2623" s="183"/>
      <c r="V2623" s="183"/>
      <c r="W2623" s="183"/>
      <c r="X2623" s="183"/>
      <c r="Y2623" s="183"/>
      <c r="Z2623" s="183"/>
    </row>
    <row r="2624" spans="2:26">
      <c r="B2624" s="191"/>
      <c r="D2624" s="183"/>
      <c r="I2624" s="183"/>
      <c r="J2624" s="183"/>
      <c r="L2624" s="183"/>
      <c r="M2624" s="183"/>
      <c r="N2624" s="183"/>
      <c r="O2624" s="183"/>
      <c r="P2624" s="183"/>
      <c r="Q2624" s="183"/>
      <c r="R2624" s="183"/>
      <c r="S2624" s="183"/>
      <c r="T2624" s="183"/>
      <c r="U2624" s="183"/>
      <c r="V2624" s="183"/>
      <c r="W2624" s="183"/>
      <c r="X2624" s="183"/>
      <c r="Y2624" s="183"/>
      <c r="Z2624" s="183"/>
    </row>
    <row r="2625" spans="2:26">
      <c r="B2625" s="191"/>
      <c r="D2625" s="183"/>
      <c r="I2625" s="183"/>
      <c r="J2625" s="183"/>
      <c r="L2625" s="183"/>
      <c r="M2625" s="183"/>
      <c r="N2625" s="183"/>
      <c r="O2625" s="183"/>
      <c r="P2625" s="183"/>
      <c r="Q2625" s="183"/>
      <c r="R2625" s="183"/>
      <c r="S2625" s="183"/>
      <c r="T2625" s="183"/>
      <c r="U2625" s="183"/>
      <c r="V2625" s="183"/>
      <c r="W2625" s="183"/>
      <c r="X2625" s="183"/>
      <c r="Y2625" s="183"/>
      <c r="Z2625" s="183"/>
    </row>
    <row r="2626" spans="2:26">
      <c r="B2626" s="191"/>
      <c r="D2626" s="183"/>
      <c r="I2626" s="183"/>
      <c r="J2626" s="183"/>
      <c r="L2626" s="183"/>
      <c r="M2626" s="183"/>
      <c r="N2626" s="183"/>
      <c r="O2626" s="183"/>
      <c r="P2626" s="183"/>
      <c r="Q2626" s="183"/>
      <c r="R2626" s="183"/>
      <c r="S2626" s="183"/>
      <c r="T2626" s="183"/>
      <c r="U2626" s="183"/>
      <c r="V2626" s="183"/>
      <c r="W2626" s="183"/>
      <c r="X2626" s="183"/>
      <c r="Y2626" s="183"/>
      <c r="Z2626" s="183"/>
    </row>
    <row r="2627" spans="2:26">
      <c r="B2627" s="191"/>
      <c r="D2627" s="183"/>
      <c r="I2627" s="183"/>
      <c r="J2627" s="183"/>
      <c r="L2627" s="183"/>
      <c r="M2627" s="183"/>
      <c r="N2627" s="183"/>
      <c r="O2627" s="183"/>
      <c r="P2627" s="183"/>
      <c r="Q2627" s="183"/>
      <c r="R2627" s="183"/>
      <c r="S2627" s="183"/>
      <c r="T2627" s="183"/>
      <c r="U2627" s="183"/>
      <c r="V2627" s="183"/>
      <c r="W2627" s="183"/>
      <c r="X2627" s="183"/>
      <c r="Y2627" s="183"/>
      <c r="Z2627" s="183"/>
    </row>
    <row r="2628" spans="2:26">
      <c r="B2628" s="191"/>
      <c r="D2628" s="183"/>
      <c r="I2628" s="183"/>
      <c r="J2628" s="183"/>
      <c r="L2628" s="183"/>
      <c r="M2628" s="183"/>
      <c r="N2628" s="183"/>
      <c r="O2628" s="183"/>
      <c r="P2628" s="183"/>
      <c r="Q2628" s="183"/>
      <c r="R2628" s="183"/>
      <c r="S2628" s="183"/>
      <c r="T2628" s="183"/>
      <c r="U2628" s="183"/>
      <c r="V2628" s="183"/>
      <c r="W2628" s="183"/>
      <c r="X2628" s="183"/>
      <c r="Y2628" s="183"/>
      <c r="Z2628" s="183"/>
    </row>
    <row r="2629" spans="2:26">
      <c r="B2629" s="191"/>
      <c r="D2629" s="183"/>
      <c r="I2629" s="183"/>
      <c r="J2629" s="183"/>
      <c r="L2629" s="183"/>
      <c r="M2629" s="183"/>
      <c r="N2629" s="183"/>
      <c r="O2629" s="183"/>
      <c r="P2629" s="183"/>
      <c r="Q2629" s="183"/>
      <c r="R2629" s="183"/>
      <c r="S2629" s="183"/>
      <c r="T2629" s="183"/>
      <c r="U2629" s="183"/>
      <c r="V2629" s="183"/>
      <c r="W2629" s="183"/>
      <c r="X2629" s="183"/>
      <c r="Y2629" s="183"/>
      <c r="Z2629" s="183"/>
    </row>
    <row r="2630" spans="2:26">
      <c r="B2630" s="191"/>
      <c r="D2630" s="183"/>
      <c r="I2630" s="183"/>
      <c r="J2630" s="183"/>
      <c r="L2630" s="183"/>
      <c r="M2630" s="183"/>
      <c r="N2630" s="183"/>
      <c r="O2630" s="183"/>
      <c r="P2630" s="183"/>
      <c r="Q2630" s="183"/>
      <c r="R2630" s="183"/>
      <c r="S2630" s="183"/>
      <c r="T2630" s="183"/>
      <c r="U2630" s="183"/>
      <c r="V2630" s="183"/>
      <c r="W2630" s="183"/>
      <c r="X2630" s="183"/>
      <c r="Y2630" s="183"/>
      <c r="Z2630" s="183"/>
    </row>
    <row r="2631" spans="2:26">
      <c r="B2631" s="191"/>
      <c r="D2631" s="183"/>
      <c r="I2631" s="183"/>
      <c r="J2631" s="183"/>
      <c r="L2631" s="183"/>
      <c r="M2631" s="183"/>
      <c r="N2631" s="183"/>
      <c r="O2631" s="183"/>
      <c r="P2631" s="183"/>
      <c r="Q2631" s="183"/>
      <c r="R2631" s="183"/>
      <c r="S2631" s="183"/>
      <c r="T2631" s="183"/>
      <c r="U2631" s="183"/>
      <c r="V2631" s="183"/>
      <c r="W2631" s="183"/>
      <c r="X2631" s="183"/>
      <c r="Y2631" s="183"/>
      <c r="Z2631" s="183"/>
    </row>
    <row r="2632" spans="2:26">
      <c r="B2632" s="191"/>
      <c r="D2632" s="183"/>
      <c r="I2632" s="183"/>
      <c r="J2632" s="183"/>
      <c r="L2632" s="183"/>
      <c r="M2632" s="183"/>
      <c r="N2632" s="183"/>
      <c r="O2632" s="183"/>
      <c r="P2632" s="183"/>
      <c r="Q2632" s="183"/>
      <c r="R2632" s="183"/>
      <c r="S2632" s="183"/>
      <c r="T2632" s="183"/>
      <c r="U2632" s="183"/>
      <c r="V2632" s="183"/>
      <c r="W2632" s="183"/>
      <c r="X2632" s="183"/>
      <c r="Y2632" s="183"/>
      <c r="Z2632" s="183"/>
    </row>
    <row r="2633" spans="2:26">
      <c r="B2633" s="191"/>
      <c r="D2633" s="183"/>
      <c r="I2633" s="183"/>
      <c r="J2633" s="183"/>
      <c r="L2633" s="183"/>
      <c r="M2633" s="183"/>
      <c r="N2633" s="183"/>
      <c r="O2633" s="183"/>
      <c r="P2633" s="183"/>
      <c r="Q2633" s="183"/>
      <c r="R2633" s="183"/>
      <c r="S2633" s="183"/>
      <c r="T2633" s="183"/>
      <c r="U2633" s="183"/>
      <c r="V2633" s="183"/>
      <c r="W2633" s="183"/>
      <c r="X2633" s="183"/>
      <c r="Y2633" s="183"/>
      <c r="Z2633" s="183"/>
    </row>
    <row r="2634" spans="2:26">
      <c r="B2634" s="191"/>
      <c r="D2634" s="183"/>
      <c r="I2634" s="183"/>
      <c r="J2634" s="183"/>
      <c r="L2634" s="183"/>
      <c r="M2634" s="183"/>
      <c r="N2634" s="183"/>
      <c r="O2634" s="183"/>
      <c r="P2634" s="183"/>
      <c r="Q2634" s="183"/>
      <c r="R2634" s="183"/>
      <c r="S2634" s="183"/>
      <c r="T2634" s="183"/>
      <c r="U2634" s="183"/>
      <c r="V2634" s="183"/>
      <c r="W2634" s="183"/>
      <c r="X2634" s="183"/>
      <c r="Y2634" s="183"/>
      <c r="Z2634" s="183"/>
    </row>
    <row r="2635" spans="2:26">
      <c r="B2635" s="191"/>
      <c r="D2635" s="183"/>
      <c r="I2635" s="183"/>
      <c r="J2635" s="183"/>
      <c r="L2635" s="183"/>
      <c r="M2635" s="183"/>
      <c r="N2635" s="183"/>
      <c r="O2635" s="183"/>
      <c r="P2635" s="183"/>
      <c r="Q2635" s="183"/>
      <c r="R2635" s="183"/>
      <c r="S2635" s="183"/>
      <c r="T2635" s="183"/>
      <c r="U2635" s="183"/>
      <c r="V2635" s="183"/>
      <c r="W2635" s="183"/>
      <c r="X2635" s="183"/>
      <c r="Y2635" s="183"/>
      <c r="Z2635" s="183"/>
    </row>
    <row r="2636" spans="2:26">
      <c r="B2636" s="191"/>
      <c r="D2636" s="183"/>
      <c r="I2636" s="183"/>
      <c r="J2636" s="183"/>
      <c r="L2636" s="183"/>
      <c r="M2636" s="183"/>
      <c r="N2636" s="183"/>
      <c r="O2636" s="183"/>
      <c r="P2636" s="183"/>
      <c r="Q2636" s="183"/>
      <c r="R2636" s="183"/>
      <c r="S2636" s="183"/>
      <c r="T2636" s="183"/>
      <c r="U2636" s="183"/>
      <c r="V2636" s="183"/>
      <c r="W2636" s="183"/>
      <c r="X2636" s="183"/>
      <c r="Y2636" s="183"/>
      <c r="Z2636" s="183"/>
    </row>
    <row r="2637" spans="2:26">
      <c r="B2637" s="191"/>
      <c r="D2637" s="183"/>
      <c r="I2637" s="183"/>
      <c r="J2637" s="183"/>
      <c r="L2637" s="183"/>
      <c r="M2637" s="183"/>
      <c r="N2637" s="183"/>
      <c r="O2637" s="183"/>
      <c r="P2637" s="183"/>
      <c r="Q2637" s="183"/>
      <c r="R2637" s="183"/>
      <c r="S2637" s="183"/>
      <c r="T2637" s="183"/>
      <c r="U2637" s="183"/>
      <c r="V2637" s="183"/>
      <c r="W2637" s="183"/>
      <c r="X2637" s="183"/>
      <c r="Y2637" s="183"/>
      <c r="Z2637" s="183"/>
    </row>
    <row r="2638" spans="2:26">
      <c r="B2638" s="191"/>
      <c r="D2638" s="183"/>
      <c r="I2638" s="183"/>
      <c r="J2638" s="183"/>
      <c r="L2638" s="183"/>
      <c r="M2638" s="183"/>
      <c r="N2638" s="183"/>
      <c r="O2638" s="183"/>
      <c r="P2638" s="183"/>
      <c r="Q2638" s="183"/>
      <c r="R2638" s="183"/>
      <c r="S2638" s="183"/>
      <c r="T2638" s="183"/>
      <c r="U2638" s="183"/>
      <c r="V2638" s="183"/>
      <c r="W2638" s="183"/>
      <c r="X2638" s="183"/>
      <c r="Y2638" s="183"/>
      <c r="Z2638" s="183"/>
    </row>
    <row r="2639" spans="2:26">
      <c r="B2639" s="191"/>
      <c r="D2639" s="183"/>
      <c r="I2639" s="183"/>
      <c r="J2639" s="183"/>
      <c r="L2639" s="183"/>
      <c r="M2639" s="183"/>
      <c r="N2639" s="183"/>
      <c r="O2639" s="183"/>
      <c r="P2639" s="183"/>
      <c r="Q2639" s="183"/>
      <c r="R2639" s="183"/>
      <c r="S2639" s="183"/>
      <c r="T2639" s="183"/>
      <c r="U2639" s="183"/>
      <c r="V2639" s="183"/>
      <c r="W2639" s="183"/>
      <c r="X2639" s="183"/>
      <c r="Y2639" s="183"/>
      <c r="Z2639" s="183"/>
    </row>
    <row r="2640" spans="2:26">
      <c r="B2640" s="191"/>
      <c r="D2640" s="183"/>
      <c r="I2640" s="183"/>
      <c r="J2640" s="183"/>
      <c r="L2640" s="183"/>
      <c r="M2640" s="183"/>
      <c r="N2640" s="183"/>
      <c r="O2640" s="183"/>
      <c r="P2640" s="183"/>
      <c r="Q2640" s="183"/>
      <c r="R2640" s="183"/>
      <c r="S2640" s="183"/>
      <c r="T2640" s="183"/>
      <c r="U2640" s="183"/>
      <c r="V2640" s="183"/>
      <c r="W2640" s="183"/>
      <c r="X2640" s="183"/>
      <c r="Y2640" s="183"/>
      <c r="Z2640" s="183"/>
    </row>
    <row r="2641" spans="2:26">
      <c r="B2641" s="191"/>
      <c r="D2641" s="183"/>
      <c r="I2641" s="183"/>
      <c r="J2641" s="183"/>
      <c r="L2641" s="183"/>
      <c r="M2641" s="183"/>
      <c r="N2641" s="183"/>
      <c r="O2641" s="183"/>
      <c r="P2641" s="183"/>
      <c r="Q2641" s="183"/>
      <c r="R2641" s="183"/>
      <c r="S2641" s="183"/>
      <c r="T2641" s="183"/>
      <c r="U2641" s="183"/>
      <c r="V2641" s="183"/>
      <c r="W2641" s="183"/>
      <c r="X2641" s="183"/>
      <c r="Y2641" s="183"/>
      <c r="Z2641" s="183"/>
    </row>
    <row r="2642" spans="2:26">
      <c r="B2642" s="191"/>
      <c r="D2642" s="183"/>
      <c r="I2642" s="183"/>
      <c r="J2642" s="183"/>
      <c r="L2642" s="183"/>
      <c r="M2642" s="183"/>
      <c r="N2642" s="183"/>
      <c r="O2642" s="183"/>
      <c r="P2642" s="183"/>
      <c r="Q2642" s="183"/>
      <c r="R2642" s="183"/>
      <c r="S2642" s="183"/>
      <c r="T2642" s="183"/>
      <c r="U2642" s="183"/>
      <c r="V2642" s="183"/>
      <c r="W2642" s="183"/>
      <c r="X2642" s="183"/>
      <c r="Y2642" s="183"/>
      <c r="Z2642" s="183"/>
    </row>
    <row r="2643" spans="2:26">
      <c r="B2643" s="191"/>
      <c r="D2643" s="183"/>
      <c r="I2643" s="183"/>
      <c r="J2643" s="183"/>
      <c r="L2643" s="183"/>
      <c r="M2643" s="183"/>
      <c r="N2643" s="183"/>
      <c r="O2643" s="183"/>
      <c r="P2643" s="183"/>
      <c r="Q2643" s="183"/>
      <c r="R2643" s="183"/>
      <c r="S2643" s="183"/>
      <c r="T2643" s="183"/>
      <c r="U2643" s="183"/>
      <c r="V2643" s="183"/>
      <c r="W2643" s="183"/>
      <c r="X2643" s="183"/>
      <c r="Y2643" s="183"/>
      <c r="Z2643" s="183"/>
    </row>
    <row r="2644" spans="2:26">
      <c r="B2644" s="191"/>
      <c r="D2644" s="183"/>
      <c r="I2644" s="183"/>
      <c r="J2644" s="183"/>
      <c r="L2644" s="183"/>
      <c r="M2644" s="183"/>
      <c r="N2644" s="183"/>
      <c r="O2644" s="183"/>
      <c r="P2644" s="183"/>
      <c r="Q2644" s="183"/>
      <c r="R2644" s="183"/>
      <c r="S2644" s="183"/>
      <c r="T2644" s="183"/>
      <c r="U2644" s="183"/>
      <c r="V2644" s="183"/>
      <c r="W2644" s="183"/>
      <c r="X2644" s="183"/>
      <c r="Y2644" s="183"/>
      <c r="Z2644" s="183"/>
    </row>
    <row r="2645" spans="2:26">
      <c r="B2645" s="191"/>
      <c r="D2645" s="183"/>
      <c r="I2645" s="183"/>
      <c r="J2645" s="183"/>
      <c r="L2645" s="183"/>
      <c r="M2645" s="183"/>
      <c r="N2645" s="183"/>
      <c r="O2645" s="183"/>
      <c r="P2645" s="183"/>
      <c r="Q2645" s="183"/>
      <c r="R2645" s="183"/>
      <c r="S2645" s="183"/>
      <c r="T2645" s="183"/>
      <c r="U2645" s="183"/>
      <c r="V2645" s="183"/>
      <c r="W2645" s="183"/>
      <c r="X2645" s="183"/>
      <c r="Y2645" s="183"/>
      <c r="Z2645" s="183"/>
    </row>
    <row r="2646" spans="2:26">
      <c r="B2646" s="191"/>
      <c r="D2646" s="183"/>
      <c r="I2646" s="183"/>
      <c r="J2646" s="183"/>
      <c r="L2646" s="183"/>
      <c r="M2646" s="183"/>
      <c r="N2646" s="183"/>
      <c r="O2646" s="183"/>
      <c r="P2646" s="183"/>
      <c r="Q2646" s="183"/>
      <c r="R2646" s="183"/>
      <c r="S2646" s="183"/>
      <c r="T2646" s="183"/>
      <c r="U2646" s="183"/>
      <c r="V2646" s="183"/>
      <c r="W2646" s="183"/>
      <c r="X2646" s="183"/>
      <c r="Y2646" s="183"/>
      <c r="Z2646" s="183"/>
    </row>
    <row r="2647" spans="2:26">
      <c r="B2647" s="191"/>
      <c r="D2647" s="183"/>
      <c r="I2647" s="183"/>
      <c r="J2647" s="183"/>
      <c r="L2647" s="183"/>
      <c r="M2647" s="183"/>
      <c r="N2647" s="183"/>
      <c r="O2647" s="183"/>
      <c r="P2647" s="183"/>
      <c r="Q2647" s="183"/>
      <c r="R2647" s="183"/>
      <c r="S2647" s="183"/>
      <c r="T2647" s="183"/>
      <c r="U2647" s="183"/>
      <c r="V2647" s="183"/>
      <c r="W2647" s="183"/>
      <c r="X2647" s="183"/>
      <c r="Y2647" s="183"/>
      <c r="Z2647" s="183"/>
    </row>
    <row r="2648" spans="2:26">
      <c r="B2648" s="191"/>
      <c r="D2648" s="183"/>
      <c r="I2648" s="183"/>
      <c r="J2648" s="183"/>
      <c r="L2648" s="183"/>
      <c r="M2648" s="183"/>
      <c r="N2648" s="183"/>
      <c r="O2648" s="183"/>
      <c r="P2648" s="183"/>
      <c r="Q2648" s="183"/>
      <c r="R2648" s="183"/>
      <c r="S2648" s="183"/>
      <c r="T2648" s="183"/>
      <c r="U2648" s="183"/>
      <c r="V2648" s="183"/>
      <c r="W2648" s="183"/>
      <c r="X2648" s="183"/>
      <c r="Y2648" s="183"/>
      <c r="Z2648" s="183"/>
    </row>
    <row r="2649" spans="2:26">
      <c r="B2649" s="191"/>
      <c r="D2649" s="183"/>
      <c r="I2649" s="183"/>
      <c r="J2649" s="183"/>
      <c r="L2649" s="183"/>
      <c r="M2649" s="183"/>
      <c r="N2649" s="183"/>
      <c r="O2649" s="183"/>
      <c r="P2649" s="183"/>
      <c r="Q2649" s="183"/>
      <c r="R2649" s="183"/>
      <c r="S2649" s="183"/>
      <c r="T2649" s="183"/>
      <c r="U2649" s="183"/>
      <c r="V2649" s="183"/>
      <c r="W2649" s="183"/>
      <c r="X2649" s="183"/>
      <c r="Y2649" s="183"/>
      <c r="Z2649" s="183"/>
    </row>
    <row r="2650" spans="2:26">
      <c r="B2650" s="191"/>
      <c r="D2650" s="183"/>
      <c r="I2650" s="183"/>
      <c r="J2650" s="183"/>
      <c r="L2650" s="183"/>
      <c r="M2650" s="183"/>
      <c r="N2650" s="183"/>
      <c r="O2650" s="183"/>
      <c r="P2650" s="183"/>
      <c r="Q2650" s="183"/>
      <c r="R2650" s="183"/>
      <c r="S2650" s="183"/>
      <c r="T2650" s="183"/>
      <c r="U2650" s="183"/>
      <c r="V2650" s="183"/>
      <c r="W2650" s="183"/>
      <c r="X2650" s="183"/>
      <c r="Y2650" s="183"/>
      <c r="Z2650" s="183"/>
    </row>
    <row r="2651" spans="2:26">
      <c r="B2651" s="191"/>
      <c r="D2651" s="183"/>
      <c r="I2651" s="183"/>
      <c r="J2651" s="183"/>
      <c r="L2651" s="183"/>
      <c r="M2651" s="183"/>
      <c r="N2651" s="183"/>
      <c r="O2651" s="183"/>
      <c r="P2651" s="183"/>
      <c r="Q2651" s="183"/>
      <c r="R2651" s="183"/>
      <c r="S2651" s="183"/>
      <c r="T2651" s="183"/>
      <c r="U2651" s="183"/>
      <c r="V2651" s="183"/>
      <c r="W2651" s="183"/>
      <c r="X2651" s="183"/>
      <c r="Y2651" s="183"/>
      <c r="Z2651" s="183"/>
    </row>
    <row r="2652" spans="2:26">
      <c r="B2652" s="191"/>
      <c r="D2652" s="183"/>
      <c r="I2652" s="183"/>
      <c r="J2652" s="183"/>
      <c r="L2652" s="183"/>
      <c r="M2652" s="183"/>
      <c r="N2652" s="183"/>
      <c r="O2652" s="183"/>
      <c r="P2652" s="183"/>
      <c r="Q2652" s="183"/>
      <c r="R2652" s="183"/>
      <c r="S2652" s="183"/>
      <c r="T2652" s="183"/>
      <c r="U2652" s="183"/>
      <c r="V2652" s="183"/>
      <c r="W2652" s="183"/>
      <c r="X2652" s="183"/>
      <c r="Y2652" s="183"/>
      <c r="Z2652" s="183"/>
    </row>
    <row r="2653" spans="2:26">
      <c r="B2653" s="191"/>
      <c r="D2653" s="183"/>
      <c r="I2653" s="183"/>
      <c r="J2653" s="183"/>
      <c r="L2653" s="183"/>
      <c r="M2653" s="183"/>
      <c r="N2653" s="183"/>
      <c r="O2653" s="183"/>
      <c r="P2653" s="183"/>
      <c r="Q2653" s="183"/>
      <c r="R2653" s="183"/>
      <c r="S2653" s="183"/>
      <c r="T2653" s="183"/>
      <c r="U2653" s="183"/>
      <c r="V2653" s="183"/>
      <c r="W2653" s="183"/>
      <c r="X2653" s="183"/>
      <c r="Y2653" s="183"/>
      <c r="Z2653" s="183"/>
    </row>
    <row r="2654" spans="2:26">
      <c r="B2654" s="191"/>
      <c r="D2654" s="183"/>
      <c r="I2654" s="183"/>
      <c r="J2654" s="183"/>
      <c r="L2654" s="183"/>
      <c r="M2654" s="183"/>
      <c r="N2654" s="183"/>
      <c r="O2654" s="183"/>
      <c r="P2654" s="183"/>
      <c r="Q2654" s="183"/>
      <c r="R2654" s="183"/>
      <c r="S2654" s="183"/>
      <c r="T2654" s="183"/>
      <c r="U2654" s="183"/>
      <c r="V2654" s="183"/>
      <c r="W2654" s="183"/>
      <c r="X2654" s="183"/>
      <c r="Y2654" s="183"/>
      <c r="Z2654" s="183"/>
    </row>
    <row r="2655" spans="2:26">
      <c r="B2655" s="191"/>
      <c r="D2655" s="183"/>
      <c r="I2655" s="183"/>
      <c r="J2655" s="183"/>
      <c r="L2655" s="183"/>
      <c r="M2655" s="183"/>
      <c r="N2655" s="183"/>
      <c r="O2655" s="183"/>
      <c r="P2655" s="183"/>
      <c r="Q2655" s="183"/>
      <c r="R2655" s="183"/>
      <c r="S2655" s="183"/>
      <c r="T2655" s="183"/>
      <c r="U2655" s="183"/>
      <c r="V2655" s="183"/>
      <c r="W2655" s="183"/>
      <c r="X2655" s="183"/>
      <c r="Y2655" s="183"/>
      <c r="Z2655" s="183"/>
    </row>
    <row r="2656" spans="2:26">
      <c r="B2656" s="191"/>
      <c r="D2656" s="183"/>
      <c r="I2656" s="183"/>
      <c r="J2656" s="183"/>
      <c r="L2656" s="183"/>
      <c r="M2656" s="183"/>
      <c r="N2656" s="183"/>
      <c r="O2656" s="183"/>
      <c r="P2656" s="183"/>
      <c r="Q2656" s="183"/>
      <c r="R2656" s="183"/>
      <c r="S2656" s="183"/>
      <c r="T2656" s="183"/>
      <c r="U2656" s="183"/>
      <c r="V2656" s="183"/>
      <c r="W2656" s="183"/>
      <c r="X2656" s="183"/>
      <c r="Y2656" s="183"/>
      <c r="Z2656" s="183"/>
    </row>
    <row r="2657" spans="2:26">
      <c r="B2657" s="191"/>
      <c r="D2657" s="183"/>
      <c r="I2657" s="183"/>
      <c r="J2657" s="183"/>
      <c r="L2657" s="183"/>
      <c r="M2657" s="183"/>
      <c r="N2657" s="183"/>
      <c r="O2657" s="183"/>
      <c r="P2657" s="183"/>
      <c r="Q2657" s="183"/>
      <c r="R2657" s="183"/>
      <c r="S2657" s="183"/>
      <c r="T2657" s="183"/>
      <c r="U2657" s="183"/>
      <c r="V2657" s="183"/>
      <c r="W2657" s="183"/>
      <c r="X2657" s="183"/>
      <c r="Y2657" s="183"/>
      <c r="Z2657" s="183"/>
    </row>
    <row r="2658" spans="2:26">
      <c r="B2658" s="191"/>
      <c r="D2658" s="183"/>
      <c r="I2658" s="183"/>
      <c r="J2658" s="183"/>
      <c r="L2658" s="183"/>
      <c r="M2658" s="183"/>
      <c r="N2658" s="183"/>
      <c r="O2658" s="183"/>
      <c r="P2658" s="183"/>
      <c r="Q2658" s="183"/>
      <c r="R2658" s="183"/>
      <c r="S2658" s="183"/>
      <c r="T2658" s="183"/>
      <c r="U2658" s="183"/>
      <c r="V2658" s="183"/>
      <c r="W2658" s="183"/>
      <c r="X2658" s="183"/>
      <c r="Y2658" s="183"/>
      <c r="Z2658" s="183"/>
    </row>
    <row r="2659" spans="2:26">
      <c r="B2659" s="191"/>
      <c r="D2659" s="183"/>
      <c r="I2659" s="183"/>
      <c r="J2659" s="183"/>
      <c r="L2659" s="183"/>
      <c r="M2659" s="183"/>
      <c r="N2659" s="183"/>
      <c r="O2659" s="183"/>
      <c r="P2659" s="183"/>
      <c r="Q2659" s="183"/>
      <c r="R2659" s="183"/>
      <c r="S2659" s="183"/>
      <c r="T2659" s="183"/>
      <c r="U2659" s="183"/>
      <c r="V2659" s="183"/>
      <c r="W2659" s="183"/>
      <c r="X2659" s="183"/>
      <c r="Y2659" s="183"/>
      <c r="Z2659" s="183"/>
    </row>
    <row r="2660" spans="2:26">
      <c r="B2660" s="191"/>
      <c r="D2660" s="183"/>
      <c r="I2660" s="183"/>
      <c r="J2660" s="183"/>
      <c r="L2660" s="183"/>
      <c r="M2660" s="183"/>
      <c r="N2660" s="183"/>
      <c r="O2660" s="183"/>
      <c r="P2660" s="183"/>
      <c r="Q2660" s="183"/>
      <c r="R2660" s="183"/>
      <c r="S2660" s="183"/>
      <c r="T2660" s="183"/>
      <c r="U2660" s="183"/>
      <c r="V2660" s="183"/>
      <c r="W2660" s="183"/>
      <c r="X2660" s="183"/>
      <c r="Y2660" s="183"/>
      <c r="Z2660" s="183"/>
    </row>
    <row r="2661" spans="2:26">
      <c r="B2661" s="191"/>
      <c r="D2661" s="183"/>
      <c r="I2661" s="183"/>
      <c r="J2661" s="183"/>
      <c r="L2661" s="183"/>
      <c r="M2661" s="183"/>
      <c r="N2661" s="183"/>
      <c r="O2661" s="183"/>
      <c r="P2661" s="183"/>
      <c r="Q2661" s="183"/>
      <c r="R2661" s="183"/>
      <c r="S2661" s="183"/>
      <c r="T2661" s="183"/>
      <c r="U2661" s="183"/>
      <c r="V2661" s="183"/>
      <c r="W2661" s="183"/>
      <c r="X2661" s="183"/>
      <c r="Y2661" s="183"/>
      <c r="Z2661" s="183"/>
    </row>
    <row r="2662" spans="2:26">
      <c r="B2662" s="191"/>
      <c r="D2662" s="183"/>
      <c r="I2662" s="183"/>
      <c r="J2662" s="183"/>
      <c r="L2662" s="183"/>
      <c r="M2662" s="183"/>
      <c r="N2662" s="183"/>
      <c r="O2662" s="183"/>
      <c r="P2662" s="183"/>
      <c r="Q2662" s="183"/>
      <c r="R2662" s="183"/>
      <c r="S2662" s="183"/>
      <c r="T2662" s="183"/>
      <c r="U2662" s="183"/>
      <c r="V2662" s="183"/>
      <c r="W2662" s="183"/>
      <c r="X2662" s="183"/>
      <c r="Y2662" s="183"/>
      <c r="Z2662" s="183"/>
    </row>
    <row r="2663" spans="2:26">
      <c r="B2663" s="191"/>
      <c r="D2663" s="183"/>
      <c r="I2663" s="183"/>
      <c r="J2663" s="183"/>
      <c r="L2663" s="183"/>
      <c r="M2663" s="183"/>
      <c r="N2663" s="183"/>
      <c r="O2663" s="183"/>
      <c r="P2663" s="183"/>
      <c r="Q2663" s="183"/>
      <c r="R2663" s="183"/>
      <c r="S2663" s="183"/>
      <c r="T2663" s="183"/>
      <c r="U2663" s="183"/>
      <c r="V2663" s="183"/>
      <c r="W2663" s="183"/>
      <c r="X2663" s="183"/>
      <c r="Y2663" s="183"/>
      <c r="Z2663" s="183"/>
    </row>
    <row r="2664" spans="2:26">
      <c r="B2664" s="191"/>
      <c r="D2664" s="183"/>
      <c r="I2664" s="183"/>
      <c r="J2664" s="183"/>
      <c r="L2664" s="183"/>
      <c r="M2664" s="183"/>
      <c r="N2664" s="183"/>
      <c r="O2664" s="183"/>
      <c r="P2664" s="183"/>
      <c r="Q2664" s="183"/>
      <c r="R2664" s="183"/>
      <c r="S2664" s="183"/>
      <c r="T2664" s="183"/>
      <c r="U2664" s="183"/>
      <c r="V2664" s="183"/>
      <c r="W2664" s="183"/>
      <c r="X2664" s="183"/>
      <c r="Y2664" s="183"/>
      <c r="Z2664" s="183"/>
    </row>
    <row r="2665" spans="2:26">
      <c r="B2665" s="191"/>
      <c r="D2665" s="183"/>
      <c r="I2665" s="183"/>
      <c r="J2665" s="183"/>
      <c r="L2665" s="183"/>
      <c r="M2665" s="183"/>
      <c r="N2665" s="183"/>
      <c r="O2665" s="183"/>
      <c r="P2665" s="183"/>
      <c r="Q2665" s="183"/>
      <c r="R2665" s="183"/>
      <c r="S2665" s="183"/>
      <c r="T2665" s="183"/>
      <c r="U2665" s="183"/>
      <c r="V2665" s="183"/>
      <c r="W2665" s="183"/>
      <c r="X2665" s="183"/>
      <c r="Y2665" s="183"/>
      <c r="Z2665" s="183"/>
    </row>
    <row r="2666" spans="2:26">
      <c r="B2666" s="191"/>
      <c r="D2666" s="183"/>
      <c r="I2666" s="183"/>
      <c r="J2666" s="183"/>
      <c r="L2666" s="183"/>
      <c r="M2666" s="183"/>
      <c r="N2666" s="183"/>
      <c r="O2666" s="183"/>
      <c r="P2666" s="183"/>
      <c r="Q2666" s="183"/>
      <c r="R2666" s="183"/>
      <c r="S2666" s="183"/>
      <c r="T2666" s="183"/>
      <c r="U2666" s="183"/>
      <c r="V2666" s="183"/>
      <c r="W2666" s="183"/>
      <c r="X2666" s="183"/>
      <c r="Y2666" s="183"/>
      <c r="Z2666" s="183"/>
    </row>
    <row r="2667" spans="2:26">
      <c r="B2667" s="191"/>
      <c r="D2667" s="183"/>
      <c r="I2667" s="183"/>
      <c r="J2667" s="183"/>
      <c r="L2667" s="183"/>
      <c r="M2667" s="183"/>
      <c r="N2667" s="183"/>
      <c r="O2667" s="183"/>
      <c r="P2667" s="183"/>
      <c r="Q2667" s="183"/>
      <c r="R2667" s="183"/>
      <c r="S2667" s="183"/>
      <c r="T2667" s="183"/>
      <c r="U2667" s="183"/>
      <c r="V2667" s="183"/>
      <c r="W2667" s="183"/>
      <c r="X2667" s="183"/>
      <c r="Y2667" s="183"/>
      <c r="Z2667" s="183"/>
    </row>
    <row r="2668" spans="2:26">
      <c r="B2668" s="191"/>
      <c r="D2668" s="183"/>
      <c r="I2668" s="183"/>
      <c r="J2668" s="183"/>
      <c r="L2668" s="183"/>
      <c r="M2668" s="183"/>
      <c r="N2668" s="183"/>
      <c r="O2668" s="183"/>
      <c r="P2668" s="183"/>
      <c r="Q2668" s="183"/>
      <c r="R2668" s="183"/>
      <c r="S2668" s="183"/>
      <c r="T2668" s="183"/>
      <c r="U2668" s="183"/>
      <c r="V2668" s="183"/>
      <c r="W2668" s="183"/>
      <c r="X2668" s="183"/>
      <c r="Y2668" s="183"/>
      <c r="Z2668" s="183"/>
    </row>
    <row r="2669" spans="2:26">
      <c r="B2669" s="191"/>
      <c r="D2669" s="183"/>
      <c r="I2669" s="183"/>
      <c r="J2669" s="183"/>
      <c r="L2669" s="183"/>
      <c r="M2669" s="183"/>
      <c r="N2669" s="183"/>
      <c r="O2669" s="183"/>
      <c r="P2669" s="183"/>
      <c r="Q2669" s="183"/>
      <c r="R2669" s="183"/>
      <c r="S2669" s="183"/>
      <c r="T2669" s="183"/>
      <c r="U2669" s="183"/>
      <c r="V2669" s="183"/>
      <c r="W2669" s="183"/>
      <c r="X2669" s="183"/>
      <c r="Y2669" s="183"/>
      <c r="Z2669" s="183"/>
    </row>
    <row r="2670" spans="2:26">
      <c r="B2670" s="191"/>
      <c r="D2670" s="183"/>
      <c r="I2670" s="183"/>
      <c r="J2670" s="183"/>
      <c r="L2670" s="183"/>
      <c r="M2670" s="183"/>
      <c r="N2670" s="183"/>
      <c r="O2670" s="183"/>
      <c r="P2670" s="183"/>
      <c r="Q2670" s="183"/>
      <c r="R2670" s="183"/>
      <c r="S2670" s="183"/>
      <c r="T2670" s="183"/>
      <c r="U2670" s="183"/>
      <c r="V2670" s="183"/>
      <c r="W2670" s="183"/>
      <c r="X2670" s="183"/>
      <c r="Y2670" s="183"/>
      <c r="Z2670" s="183"/>
    </row>
    <row r="2671" spans="2:26">
      <c r="B2671" s="191"/>
      <c r="D2671" s="183"/>
      <c r="I2671" s="183"/>
      <c r="J2671" s="183"/>
      <c r="L2671" s="183"/>
      <c r="M2671" s="183"/>
      <c r="N2671" s="183"/>
      <c r="O2671" s="183"/>
      <c r="P2671" s="183"/>
      <c r="Q2671" s="183"/>
      <c r="R2671" s="183"/>
      <c r="S2671" s="183"/>
      <c r="T2671" s="183"/>
      <c r="U2671" s="183"/>
      <c r="V2671" s="183"/>
      <c r="W2671" s="183"/>
      <c r="X2671" s="183"/>
      <c r="Y2671" s="183"/>
      <c r="Z2671" s="183"/>
    </row>
    <row r="2672" spans="2:26">
      <c r="B2672" s="191"/>
      <c r="D2672" s="183"/>
      <c r="I2672" s="183"/>
      <c r="J2672" s="183"/>
      <c r="L2672" s="183"/>
      <c r="M2672" s="183"/>
      <c r="N2672" s="183"/>
      <c r="O2672" s="183"/>
      <c r="P2672" s="183"/>
      <c r="Q2672" s="183"/>
      <c r="R2672" s="183"/>
      <c r="S2672" s="183"/>
      <c r="T2672" s="183"/>
      <c r="U2672" s="183"/>
      <c r="V2672" s="183"/>
      <c r="W2672" s="183"/>
      <c r="X2672" s="183"/>
      <c r="Y2672" s="183"/>
      <c r="Z2672" s="183"/>
    </row>
    <row r="2673" spans="2:26">
      <c r="B2673" s="191"/>
      <c r="D2673" s="183"/>
      <c r="I2673" s="183"/>
      <c r="J2673" s="183"/>
      <c r="L2673" s="183"/>
      <c r="M2673" s="183"/>
      <c r="N2673" s="183"/>
      <c r="O2673" s="183"/>
      <c r="P2673" s="183"/>
      <c r="Q2673" s="183"/>
      <c r="R2673" s="183"/>
      <c r="S2673" s="183"/>
      <c r="T2673" s="183"/>
      <c r="U2673" s="183"/>
      <c r="V2673" s="183"/>
      <c r="W2673" s="183"/>
      <c r="X2673" s="183"/>
      <c r="Y2673" s="183"/>
      <c r="Z2673" s="183"/>
    </row>
    <row r="2674" spans="2:26">
      <c r="B2674" s="191"/>
      <c r="D2674" s="183"/>
      <c r="I2674" s="183"/>
      <c r="J2674" s="183"/>
      <c r="L2674" s="183"/>
      <c r="M2674" s="183"/>
      <c r="N2674" s="183"/>
      <c r="O2674" s="183"/>
      <c r="P2674" s="183"/>
      <c r="Q2674" s="183"/>
      <c r="R2674" s="183"/>
      <c r="S2674" s="183"/>
      <c r="T2674" s="183"/>
      <c r="U2674" s="183"/>
      <c r="V2674" s="183"/>
      <c r="W2674" s="183"/>
      <c r="X2674" s="183"/>
      <c r="Y2674" s="183"/>
      <c r="Z2674" s="183"/>
    </row>
    <row r="2675" spans="2:26">
      <c r="B2675" s="191"/>
      <c r="D2675" s="183"/>
      <c r="I2675" s="183"/>
      <c r="J2675" s="183"/>
      <c r="L2675" s="183"/>
      <c r="M2675" s="183"/>
      <c r="N2675" s="183"/>
      <c r="O2675" s="183"/>
      <c r="P2675" s="183"/>
      <c r="Q2675" s="183"/>
      <c r="R2675" s="183"/>
      <c r="S2675" s="183"/>
      <c r="T2675" s="183"/>
      <c r="U2675" s="183"/>
      <c r="V2675" s="183"/>
      <c r="W2675" s="183"/>
      <c r="X2675" s="183"/>
      <c r="Y2675" s="183"/>
      <c r="Z2675" s="183"/>
    </row>
    <row r="2676" spans="2:26">
      <c r="B2676" s="191"/>
      <c r="D2676" s="183"/>
      <c r="I2676" s="183"/>
      <c r="J2676" s="183"/>
      <c r="L2676" s="183"/>
      <c r="M2676" s="183"/>
      <c r="N2676" s="183"/>
      <c r="O2676" s="183"/>
      <c r="P2676" s="183"/>
      <c r="Q2676" s="183"/>
      <c r="R2676" s="183"/>
      <c r="S2676" s="183"/>
      <c r="T2676" s="183"/>
      <c r="U2676" s="183"/>
      <c r="V2676" s="183"/>
      <c r="W2676" s="183"/>
      <c r="X2676" s="183"/>
      <c r="Y2676" s="183"/>
      <c r="Z2676" s="183"/>
    </row>
    <row r="2677" spans="2:26">
      <c r="B2677" s="191"/>
      <c r="D2677" s="183"/>
      <c r="I2677" s="183"/>
      <c r="J2677" s="183"/>
      <c r="L2677" s="183"/>
      <c r="M2677" s="183"/>
      <c r="N2677" s="183"/>
      <c r="O2677" s="183"/>
      <c r="P2677" s="183"/>
      <c r="Q2677" s="183"/>
      <c r="R2677" s="183"/>
      <c r="S2677" s="183"/>
      <c r="T2677" s="183"/>
      <c r="U2677" s="183"/>
      <c r="V2677" s="183"/>
      <c r="W2677" s="183"/>
      <c r="X2677" s="183"/>
      <c r="Y2677" s="183"/>
      <c r="Z2677" s="183"/>
    </row>
    <row r="2678" spans="2:26">
      <c r="B2678" s="191"/>
      <c r="D2678" s="183"/>
      <c r="I2678" s="183"/>
      <c r="J2678" s="183"/>
      <c r="L2678" s="183"/>
      <c r="M2678" s="183"/>
      <c r="N2678" s="183"/>
      <c r="O2678" s="183"/>
      <c r="P2678" s="183"/>
      <c r="Q2678" s="183"/>
      <c r="R2678" s="183"/>
      <c r="S2678" s="183"/>
      <c r="T2678" s="183"/>
      <c r="U2678" s="183"/>
      <c r="V2678" s="183"/>
      <c r="W2678" s="183"/>
      <c r="X2678" s="183"/>
      <c r="Y2678" s="183"/>
      <c r="Z2678" s="183"/>
    </row>
    <row r="2679" spans="2:26">
      <c r="B2679" s="191"/>
      <c r="D2679" s="183"/>
      <c r="I2679" s="183"/>
      <c r="J2679" s="183"/>
      <c r="L2679" s="183"/>
      <c r="M2679" s="183"/>
      <c r="N2679" s="183"/>
      <c r="O2679" s="183"/>
      <c r="P2679" s="183"/>
      <c r="Q2679" s="183"/>
      <c r="R2679" s="183"/>
      <c r="S2679" s="183"/>
      <c r="T2679" s="183"/>
      <c r="U2679" s="183"/>
      <c r="V2679" s="183"/>
      <c r="W2679" s="183"/>
      <c r="X2679" s="183"/>
      <c r="Y2679" s="183"/>
      <c r="Z2679" s="183"/>
    </row>
    <row r="2680" spans="2:26">
      <c r="B2680" s="191"/>
      <c r="D2680" s="183"/>
      <c r="I2680" s="183"/>
      <c r="J2680" s="183"/>
      <c r="L2680" s="183"/>
      <c r="M2680" s="183"/>
      <c r="N2680" s="183"/>
      <c r="O2680" s="183"/>
      <c r="P2680" s="183"/>
      <c r="Q2680" s="183"/>
      <c r="R2680" s="183"/>
      <c r="S2680" s="183"/>
      <c r="T2680" s="183"/>
      <c r="U2680" s="183"/>
      <c r="V2680" s="183"/>
      <c r="W2680" s="183"/>
      <c r="X2680" s="183"/>
      <c r="Y2680" s="183"/>
      <c r="Z2680" s="183"/>
    </row>
    <row r="2681" spans="2:26">
      <c r="B2681" s="191"/>
      <c r="D2681" s="183"/>
      <c r="I2681" s="183"/>
      <c r="J2681" s="183"/>
      <c r="L2681" s="183"/>
      <c r="M2681" s="183"/>
      <c r="N2681" s="183"/>
      <c r="O2681" s="183"/>
      <c r="P2681" s="183"/>
      <c r="Q2681" s="183"/>
      <c r="R2681" s="183"/>
      <c r="S2681" s="183"/>
      <c r="T2681" s="183"/>
      <c r="U2681" s="183"/>
      <c r="V2681" s="183"/>
      <c r="W2681" s="183"/>
      <c r="X2681" s="183"/>
      <c r="Y2681" s="183"/>
      <c r="Z2681" s="183"/>
    </row>
    <row r="2682" spans="2:26">
      <c r="B2682" s="191"/>
      <c r="D2682" s="183"/>
      <c r="I2682" s="183"/>
      <c r="J2682" s="183"/>
      <c r="L2682" s="183"/>
      <c r="M2682" s="183"/>
      <c r="N2682" s="183"/>
      <c r="O2682" s="183"/>
      <c r="P2682" s="183"/>
      <c r="Q2682" s="183"/>
      <c r="R2682" s="183"/>
      <c r="S2682" s="183"/>
      <c r="T2682" s="183"/>
      <c r="U2682" s="183"/>
      <c r="V2682" s="183"/>
      <c r="W2682" s="183"/>
      <c r="X2682" s="183"/>
      <c r="Y2682" s="183"/>
      <c r="Z2682" s="183"/>
    </row>
    <row r="2683" spans="2:26">
      <c r="B2683" s="191"/>
      <c r="D2683" s="183"/>
      <c r="I2683" s="183"/>
      <c r="J2683" s="183"/>
      <c r="L2683" s="183"/>
      <c r="M2683" s="183"/>
      <c r="N2683" s="183"/>
      <c r="O2683" s="183"/>
      <c r="P2683" s="183"/>
      <c r="Q2683" s="183"/>
      <c r="R2683" s="183"/>
      <c r="S2683" s="183"/>
      <c r="T2683" s="183"/>
      <c r="U2683" s="183"/>
      <c r="V2683" s="183"/>
      <c r="W2683" s="183"/>
      <c r="X2683" s="183"/>
      <c r="Y2683" s="183"/>
      <c r="Z2683" s="183"/>
    </row>
    <row r="2684" spans="2:26">
      <c r="B2684" s="191"/>
      <c r="D2684" s="183"/>
      <c r="I2684" s="183"/>
      <c r="J2684" s="183"/>
      <c r="L2684" s="183"/>
      <c r="M2684" s="183"/>
      <c r="N2684" s="183"/>
      <c r="O2684" s="183"/>
      <c r="P2684" s="183"/>
      <c r="Q2684" s="183"/>
      <c r="R2684" s="183"/>
      <c r="S2684" s="183"/>
      <c r="T2684" s="183"/>
      <c r="U2684" s="183"/>
      <c r="V2684" s="183"/>
      <c r="W2684" s="183"/>
      <c r="X2684" s="183"/>
      <c r="Y2684" s="183"/>
      <c r="Z2684" s="183"/>
    </row>
    <row r="2685" spans="2:26">
      <c r="B2685" s="191"/>
      <c r="D2685" s="183"/>
      <c r="I2685" s="183"/>
      <c r="J2685" s="183"/>
      <c r="L2685" s="183"/>
      <c r="M2685" s="183"/>
      <c r="N2685" s="183"/>
      <c r="O2685" s="183"/>
      <c r="P2685" s="183"/>
      <c r="Q2685" s="183"/>
      <c r="R2685" s="183"/>
      <c r="S2685" s="183"/>
      <c r="T2685" s="183"/>
      <c r="U2685" s="183"/>
      <c r="V2685" s="183"/>
      <c r="W2685" s="183"/>
      <c r="X2685" s="183"/>
      <c r="Y2685" s="183"/>
      <c r="Z2685" s="183"/>
    </row>
    <row r="2686" spans="2:26">
      <c r="B2686" s="191"/>
      <c r="D2686" s="183"/>
      <c r="I2686" s="183"/>
      <c r="J2686" s="183"/>
      <c r="L2686" s="183"/>
      <c r="M2686" s="183"/>
      <c r="N2686" s="183"/>
      <c r="O2686" s="183"/>
      <c r="P2686" s="183"/>
      <c r="Q2686" s="183"/>
      <c r="R2686" s="183"/>
      <c r="S2686" s="183"/>
      <c r="T2686" s="183"/>
      <c r="U2686" s="183"/>
      <c r="V2686" s="183"/>
      <c r="W2686" s="183"/>
      <c r="X2686" s="183"/>
      <c r="Y2686" s="183"/>
      <c r="Z2686" s="183"/>
    </row>
    <row r="2687" spans="2:26">
      <c r="B2687" s="191"/>
      <c r="D2687" s="183"/>
      <c r="I2687" s="183"/>
      <c r="J2687" s="183"/>
      <c r="L2687" s="183"/>
      <c r="M2687" s="183"/>
      <c r="N2687" s="183"/>
      <c r="O2687" s="183"/>
      <c r="P2687" s="183"/>
      <c r="Q2687" s="183"/>
      <c r="R2687" s="183"/>
      <c r="S2687" s="183"/>
      <c r="T2687" s="183"/>
      <c r="U2687" s="183"/>
      <c r="V2687" s="183"/>
      <c r="W2687" s="183"/>
      <c r="X2687" s="183"/>
      <c r="Y2687" s="183"/>
      <c r="Z2687" s="183"/>
    </row>
    <row r="2688" spans="2:26">
      <c r="B2688" s="191"/>
      <c r="D2688" s="183"/>
      <c r="I2688" s="183"/>
      <c r="J2688" s="183"/>
      <c r="L2688" s="183"/>
      <c r="M2688" s="183"/>
      <c r="N2688" s="183"/>
      <c r="O2688" s="183"/>
      <c r="P2688" s="183"/>
      <c r="Q2688" s="183"/>
      <c r="R2688" s="183"/>
      <c r="S2688" s="183"/>
      <c r="T2688" s="183"/>
      <c r="U2688" s="183"/>
      <c r="V2688" s="183"/>
      <c r="W2688" s="183"/>
      <c r="X2688" s="183"/>
      <c r="Y2688" s="183"/>
      <c r="Z2688" s="183"/>
    </row>
    <row r="2689" spans="2:26">
      <c r="B2689" s="191"/>
      <c r="D2689" s="183"/>
      <c r="I2689" s="183"/>
      <c r="J2689" s="183"/>
      <c r="L2689" s="183"/>
      <c r="M2689" s="183"/>
      <c r="N2689" s="183"/>
      <c r="O2689" s="183"/>
      <c r="P2689" s="183"/>
      <c r="Q2689" s="183"/>
      <c r="R2689" s="183"/>
      <c r="S2689" s="183"/>
      <c r="T2689" s="183"/>
      <c r="U2689" s="183"/>
      <c r="V2689" s="183"/>
      <c r="W2689" s="183"/>
      <c r="X2689" s="183"/>
      <c r="Y2689" s="183"/>
      <c r="Z2689" s="183"/>
    </row>
    <row r="2690" spans="2:26">
      <c r="B2690" s="191"/>
      <c r="D2690" s="183"/>
      <c r="I2690" s="183"/>
      <c r="J2690" s="183"/>
      <c r="L2690" s="183"/>
      <c r="M2690" s="183"/>
      <c r="N2690" s="183"/>
      <c r="O2690" s="183"/>
      <c r="P2690" s="183"/>
      <c r="Q2690" s="183"/>
      <c r="R2690" s="183"/>
      <c r="S2690" s="183"/>
      <c r="T2690" s="183"/>
      <c r="U2690" s="183"/>
      <c r="V2690" s="183"/>
      <c r="W2690" s="183"/>
      <c r="X2690" s="183"/>
      <c r="Y2690" s="183"/>
      <c r="Z2690" s="183"/>
    </row>
    <row r="2691" spans="2:26">
      <c r="B2691" s="191"/>
      <c r="D2691" s="183"/>
      <c r="I2691" s="183"/>
      <c r="J2691" s="183"/>
      <c r="L2691" s="183"/>
      <c r="M2691" s="183"/>
      <c r="N2691" s="183"/>
      <c r="O2691" s="183"/>
      <c r="P2691" s="183"/>
      <c r="Q2691" s="183"/>
      <c r="R2691" s="183"/>
      <c r="S2691" s="183"/>
      <c r="T2691" s="183"/>
      <c r="U2691" s="183"/>
      <c r="V2691" s="183"/>
      <c r="W2691" s="183"/>
      <c r="X2691" s="183"/>
      <c r="Y2691" s="183"/>
      <c r="Z2691" s="183"/>
    </row>
    <row r="2692" spans="2:26">
      <c r="B2692" s="191"/>
      <c r="D2692" s="183"/>
      <c r="I2692" s="183"/>
      <c r="J2692" s="183"/>
      <c r="L2692" s="183"/>
      <c r="M2692" s="183"/>
      <c r="N2692" s="183"/>
      <c r="O2692" s="183"/>
      <c r="P2692" s="183"/>
      <c r="Q2692" s="183"/>
      <c r="R2692" s="183"/>
      <c r="S2692" s="183"/>
      <c r="T2692" s="183"/>
      <c r="U2692" s="183"/>
      <c r="V2692" s="183"/>
      <c r="W2692" s="183"/>
      <c r="X2692" s="183"/>
      <c r="Y2692" s="183"/>
      <c r="Z2692" s="183"/>
    </row>
    <row r="2693" spans="2:26">
      <c r="B2693" s="191"/>
      <c r="D2693" s="183"/>
      <c r="I2693" s="183"/>
      <c r="J2693" s="183"/>
      <c r="L2693" s="183"/>
      <c r="M2693" s="183"/>
      <c r="N2693" s="183"/>
      <c r="O2693" s="183"/>
      <c r="P2693" s="183"/>
      <c r="Q2693" s="183"/>
      <c r="R2693" s="183"/>
      <c r="S2693" s="183"/>
      <c r="T2693" s="183"/>
      <c r="U2693" s="183"/>
      <c r="V2693" s="183"/>
      <c r="W2693" s="183"/>
      <c r="X2693" s="183"/>
      <c r="Y2693" s="183"/>
      <c r="Z2693" s="183"/>
    </row>
    <row r="2694" spans="2:26">
      <c r="B2694" s="191"/>
      <c r="D2694" s="183"/>
      <c r="I2694" s="183"/>
      <c r="J2694" s="183"/>
      <c r="L2694" s="183"/>
      <c r="M2694" s="183"/>
      <c r="N2694" s="183"/>
      <c r="O2694" s="183"/>
      <c r="P2694" s="183"/>
      <c r="Q2694" s="183"/>
      <c r="R2694" s="183"/>
      <c r="S2694" s="183"/>
      <c r="T2694" s="183"/>
      <c r="U2694" s="183"/>
      <c r="V2694" s="183"/>
      <c r="W2694" s="183"/>
      <c r="X2694" s="183"/>
      <c r="Y2694" s="183"/>
      <c r="Z2694" s="183"/>
    </row>
    <row r="2695" spans="2:26">
      <c r="B2695" s="191"/>
      <c r="D2695" s="183"/>
      <c r="I2695" s="183"/>
      <c r="J2695" s="183"/>
      <c r="L2695" s="183"/>
      <c r="M2695" s="183"/>
      <c r="N2695" s="183"/>
      <c r="O2695" s="183"/>
      <c r="P2695" s="183"/>
      <c r="Q2695" s="183"/>
      <c r="R2695" s="183"/>
      <c r="S2695" s="183"/>
      <c r="T2695" s="183"/>
      <c r="U2695" s="183"/>
      <c r="V2695" s="183"/>
      <c r="W2695" s="183"/>
      <c r="X2695" s="183"/>
      <c r="Y2695" s="183"/>
      <c r="Z2695" s="183"/>
    </row>
    <row r="2696" spans="2:26">
      <c r="B2696" s="191"/>
      <c r="D2696" s="183"/>
      <c r="I2696" s="183"/>
      <c r="J2696" s="183"/>
      <c r="L2696" s="183"/>
      <c r="M2696" s="183"/>
      <c r="N2696" s="183"/>
      <c r="O2696" s="183"/>
      <c r="P2696" s="183"/>
      <c r="Q2696" s="183"/>
      <c r="R2696" s="183"/>
      <c r="S2696" s="183"/>
      <c r="T2696" s="183"/>
      <c r="U2696" s="183"/>
      <c r="V2696" s="183"/>
      <c r="W2696" s="183"/>
      <c r="X2696" s="183"/>
      <c r="Y2696" s="183"/>
      <c r="Z2696" s="183"/>
    </row>
    <row r="2697" spans="2:26">
      <c r="B2697" s="191"/>
      <c r="D2697" s="183"/>
      <c r="I2697" s="183"/>
      <c r="J2697" s="183"/>
      <c r="L2697" s="183"/>
      <c r="M2697" s="183"/>
      <c r="N2697" s="183"/>
      <c r="O2697" s="183"/>
      <c r="P2697" s="183"/>
      <c r="Q2697" s="183"/>
      <c r="R2697" s="183"/>
      <c r="S2697" s="183"/>
      <c r="T2697" s="183"/>
      <c r="U2697" s="183"/>
      <c r="V2697" s="183"/>
      <c r="W2697" s="183"/>
      <c r="X2697" s="183"/>
      <c r="Y2697" s="183"/>
      <c r="Z2697" s="183"/>
    </row>
    <row r="2698" spans="2:26">
      <c r="B2698" s="191"/>
      <c r="D2698" s="183"/>
      <c r="I2698" s="183"/>
      <c r="J2698" s="183"/>
      <c r="L2698" s="183"/>
      <c r="M2698" s="183"/>
      <c r="N2698" s="183"/>
      <c r="O2698" s="183"/>
      <c r="P2698" s="183"/>
      <c r="Q2698" s="183"/>
      <c r="R2698" s="183"/>
      <c r="S2698" s="183"/>
      <c r="T2698" s="183"/>
      <c r="U2698" s="183"/>
      <c r="V2698" s="183"/>
      <c r="W2698" s="183"/>
      <c r="X2698" s="183"/>
      <c r="Y2698" s="183"/>
      <c r="Z2698" s="183"/>
    </row>
    <row r="2699" spans="2:26">
      <c r="B2699" s="191"/>
      <c r="D2699" s="183"/>
      <c r="I2699" s="183"/>
      <c r="J2699" s="183"/>
      <c r="L2699" s="183"/>
      <c r="M2699" s="183"/>
      <c r="N2699" s="183"/>
      <c r="O2699" s="183"/>
      <c r="P2699" s="183"/>
      <c r="Q2699" s="183"/>
      <c r="R2699" s="183"/>
      <c r="S2699" s="183"/>
      <c r="T2699" s="183"/>
      <c r="U2699" s="183"/>
      <c r="V2699" s="183"/>
      <c r="W2699" s="183"/>
      <c r="X2699" s="183"/>
      <c r="Y2699" s="183"/>
      <c r="Z2699" s="183"/>
    </row>
    <row r="2700" spans="2:26">
      <c r="B2700" s="191"/>
      <c r="D2700" s="183"/>
      <c r="I2700" s="183"/>
      <c r="J2700" s="183"/>
      <c r="L2700" s="183"/>
      <c r="M2700" s="183"/>
      <c r="N2700" s="183"/>
      <c r="O2700" s="183"/>
      <c r="P2700" s="183"/>
      <c r="Q2700" s="183"/>
      <c r="R2700" s="183"/>
      <c r="S2700" s="183"/>
      <c r="T2700" s="183"/>
      <c r="U2700" s="183"/>
      <c r="V2700" s="183"/>
      <c r="W2700" s="183"/>
      <c r="X2700" s="183"/>
      <c r="Y2700" s="183"/>
      <c r="Z2700" s="183"/>
    </row>
    <row r="2701" spans="2:26">
      <c r="B2701" s="191"/>
      <c r="D2701" s="183"/>
      <c r="I2701" s="183"/>
      <c r="J2701" s="183"/>
      <c r="L2701" s="183"/>
      <c r="M2701" s="183"/>
      <c r="N2701" s="183"/>
      <c r="O2701" s="183"/>
      <c r="P2701" s="183"/>
      <c r="Q2701" s="183"/>
      <c r="R2701" s="183"/>
      <c r="S2701" s="183"/>
      <c r="T2701" s="183"/>
      <c r="U2701" s="183"/>
      <c r="V2701" s="183"/>
      <c r="W2701" s="183"/>
      <c r="X2701" s="183"/>
      <c r="Y2701" s="183"/>
      <c r="Z2701" s="183"/>
    </row>
    <row r="2702" spans="2:26">
      <c r="B2702" s="191"/>
      <c r="D2702" s="183"/>
      <c r="I2702" s="183"/>
      <c r="J2702" s="183"/>
      <c r="L2702" s="183"/>
      <c r="M2702" s="183"/>
      <c r="N2702" s="183"/>
      <c r="O2702" s="183"/>
      <c r="P2702" s="183"/>
      <c r="Q2702" s="183"/>
      <c r="R2702" s="183"/>
      <c r="S2702" s="183"/>
      <c r="T2702" s="183"/>
      <c r="U2702" s="183"/>
      <c r="V2702" s="183"/>
      <c r="W2702" s="183"/>
      <c r="X2702" s="183"/>
      <c r="Y2702" s="183"/>
      <c r="Z2702" s="183"/>
    </row>
    <row r="2703" spans="2:26">
      <c r="B2703" s="191"/>
      <c r="D2703" s="183"/>
      <c r="I2703" s="183"/>
      <c r="J2703" s="183"/>
      <c r="L2703" s="183"/>
      <c r="M2703" s="183"/>
      <c r="N2703" s="183"/>
      <c r="O2703" s="183"/>
      <c r="P2703" s="183"/>
      <c r="Q2703" s="183"/>
      <c r="R2703" s="183"/>
      <c r="S2703" s="183"/>
      <c r="T2703" s="183"/>
      <c r="U2703" s="183"/>
      <c r="V2703" s="183"/>
      <c r="W2703" s="183"/>
      <c r="X2703" s="183"/>
      <c r="Y2703" s="183"/>
      <c r="Z2703" s="183"/>
    </row>
    <row r="2704" spans="2:26">
      <c r="B2704" s="191"/>
      <c r="D2704" s="183"/>
      <c r="I2704" s="183"/>
      <c r="J2704" s="183"/>
      <c r="L2704" s="183"/>
      <c r="M2704" s="183"/>
      <c r="N2704" s="183"/>
      <c r="O2704" s="183"/>
      <c r="P2704" s="183"/>
      <c r="Q2704" s="183"/>
      <c r="R2704" s="183"/>
      <c r="S2704" s="183"/>
      <c r="T2704" s="183"/>
      <c r="U2704" s="183"/>
      <c r="V2704" s="183"/>
      <c r="W2704" s="183"/>
      <c r="X2704" s="183"/>
      <c r="Y2704" s="183"/>
      <c r="Z2704" s="183"/>
    </row>
    <row r="2705" spans="2:26">
      <c r="B2705" s="191"/>
      <c r="D2705" s="183"/>
      <c r="I2705" s="183"/>
      <c r="J2705" s="183"/>
      <c r="L2705" s="183"/>
      <c r="M2705" s="183"/>
      <c r="N2705" s="183"/>
      <c r="O2705" s="183"/>
      <c r="P2705" s="183"/>
      <c r="Q2705" s="183"/>
      <c r="R2705" s="183"/>
      <c r="S2705" s="183"/>
      <c r="T2705" s="183"/>
      <c r="U2705" s="183"/>
      <c r="V2705" s="183"/>
      <c r="W2705" s="183"/>
      <c r="X2705" s="183"/>
      <c r="Y2705" s="183"/>
      <c r="Z2705" s="183"/>
    </row>
    <row r="2706" spans="2:26">
      <c r="B2706" s="191"/>
      <c r="D2706" s="183"/>
      <c r="I2706" s="183"/>
      <c r="J2706" s="183"/>
      <c r="L2706" s="183"/>
      <c r="M2706" s="183"/>
      <c r="N2706" s="183"/>
      <c r="O2706" s="183"/>
      <c r="P2706" s="183"/>
      <c r="Q2706" s="183"/>
      <c r="R2706" s="183"/>
      <c r="S2706" s="183"/>
      <c r="T2706" s="183"/>
      <c r="U2706" s="183"/>
      <c r="V2706" s="183"/>
      <c r="W2706" s="183"/>
      <c r="X2706" s="183"/>
      <c r="Y2706" s="183"/>
      <c r="Z2706" s="183"/>
    </row>
    <row r="2707" spans="2:26">
      <c r="B2707" s="191"/>
      <c r="D2707" s="183"/>
      <c r="I2707" s="183"/>
      <c r="J2707" s="183"/>
      <c r="L2707" s="183"/>
      <c r="M2707" s="183"/>
      <c r="N2707" s="183"/>
      <c r="O2707" s="183"/>
      <c r="P2707" s="183"/>
      <c r="Q2707" s="183"/>
      <c r="R2707" s="183"/>
      <c r="S2707" s="183"/>
      <c r="T2707" s="183"/>
      <c r="U2707" s="183"/>
      <c r="V2707" s="183"/>
      <c r="W2707" s="183"/>
      <c r="X2707" s="183"/>
      <c r="Y2707" s="183"/>
      <c r="Z2707" s="183"/>
    </row>
    <row r="2708" spans="2:26">
      <c r="B2708" s="191"/>
      <c r="D2708" s="183"/>
      <c r="I2708" s="183"/>
      <c r="J2708" s="183"/>
      <c r="L2708" s="183"/>
      <c r="M2708" s="183"/>
      <c r="N2708" s="183"/>
      <c r="O2708" s="183"/>
      <c r="P2708" s="183"/>
      <c r="Q2708" s="183"/>
      <c r="R2708" s="183"/>
      <c r="S2708" s="183"/>
      <c r="T2708" s="183"/>
      <c r="U2708" s="183"/>
      <c r="V2708" s="183"/>
      <c r="W2708" s="183"/>
      <c r="X2708" s="183"/>
      <c r="Y2708" s="183"/>
      <c r="Z2708" s="183"/>
    </row>
    <row r="2709" spans="2:26">
      <c r="B2709" s="191"/>
      <c r="D2709" s="183"/>
      <c r="I2709" s="183"/>
      <c r="J2709" s="183"/>
      <c r="L2709" s="183"/>
      <c r="M2709" s="183"/>
      <c r="N2709" s="183"/>
      <c r="O2709" s="183"/>
      <c r="P2709" s="183"/>
      <c r="Q2709" s="183"/>
      <c r="R2709" s="183"/>
      <c r="S2709" s="183"/>
      <c r="T2709" s="183"/>
      <c r="U2709" s="183"/>
      <c r="V2709" s="183"/>
      <c r="W2709" s="183"/>
      <c r="X2709" s="183"/>
      <c r="Y2709" s="183"/>
      <c r="Z2709" s="183"/>
    </row>
    <row r="2710" spans="2:26">
      <c r="B2710" s="191"/>
      <c r="D2710" s="183"/>
      <c r="I2710" s="183"/>
      <c r="J2710" s="183"/>
      <c r="L2710" s="183"/>
      <c r="M2710" s="183"/>
      <c r="N2710" s="183"/>
      <c r="O2710" s="183"/>
      <c r="P2710" s="183"/>
      <c r="Q2710" s="183"/>
      <c r="R2710" s="183"/>
      <c r="S2710" s="183"/>
      <c r="T2710" s="183"/>
      <c r="U2710" s="183"/>
      <c r="V2710" s="183"/>
      <c r="W2710" s="183"/>
      <c r="X2710" s="183"/>
      <c r="Y2710" s="183"/>
      <c r="Z2710" s="183"/>
    </row>
    <row r="2711" spans="2:26">
      <c r="B2711" s="191"/>
      <c r="D2711" s="183"/>
      <c r="I2711" s="183"/>
      <c r="J2711" s="183"/>
      <c r="L2711" s="183"/>
      <c r="M2711" s="183"/>
      <c r="N2711" s="183"/>
      <c r="O2711" s="183"/>
      <c r="P2711" s="183"/>
      <c r="Q2711" s="183"/>
      <c r="R2711" s="183"/>
      <c r="S2711" s="183"/>
      <c r="T2711" s="183"/>
      <c r="U2711" s="183"/>
      <c r="V2711" s="183"/>
      <c r="W2711" s="183"/>
      <c r="X2711" s="183"/>
      <c r="Y2711" s="183"/>
      <c r="Z2711" s="183"/>
    </row>
    <row r="2712" spans="2:26">
      <c r="B2712" s="191"/>
      <c r="D2712" s="183"/>
      <c r="I2712" s="183"/>
      <c r="J2712" s="183"/>
      <c r="L2712" s="183"/>
      <c r="M2712" s="183"/>
      <c r="N2712" s="183"/>
      <c r="O2712" s="183"/>
      <c r="P2712" s="183"/>
      <c r="Q2712" s="183"/>
      <c r="R2712" s="183"/>
      <c r="S2712" s="183"/>
      <c r="T2712" s="183"/>
      <c r="U2712" s="183"/>
      <c r="V2712" s="183"/>
      <c r="W2712" s="183"/>
      <c r="X2712" s="183"/>
      <c r="Y2712" s="183"/>
      <c r="Z2712" s="183"/>
    </row>
    <row r="2713" spans="2:26">
      <c r="B2713" s="191"/>
      <c r="D2713" s="183"/>
      <c r="I2713" s="183"/>
      <c r="J2713" s="183"/>
      <c r="L2713" s="183"/>
      <c r="M2713" s="183"/>
      <c r="N2713" s="183"/>
      <c r="O2713" s="183"/>
      <c r="P2713" s="183"/>
      <c r="Q2713" s="183"/>
      <c r="R2713" s="183"/>
      <c r="S2713" s="183"/>
      <c r="T2713" s="183"/>
      <c r="U2713" s="183"/>
      <c r="V2713" s="183"/>
      <c r="W2713" s="183"/>
      <c r="X2713" s="183"/>
      <c r="Y2713" s="183"/>
      <c r="Z2713" s="183"/>
    </row>
    <row r="2714" spans="2:26">
      <c r="B2714" s="191"/>
      <c r="D2714" s="183"/>
      <c r="I2714" s="183"/>
      <c r="J2714" s="183"/>
      <c r="L2714" s="183"/>
      <c r="M2714" s="183"/>
      <c r="N2714" s="183"/>
      <c r="O2714" s="183"/>
      <c r="P2714" s="183"/>
      <c r="Q2714" s="183"/>
      <c r="R2714" s="183"/>
      <c r="S2714" s="183"/>
      <c r="T2714" s="183"/>
      <c r="U2714" s="183"/>
      <c r="V2714" s="183"/>
      <c r="W2714" s="183"/>
      <c r="X2714" s="183"/>
      <c r="Y2714" s="183"/>
      <c r="Z2714" s="183"/>
    </row>
    <row r="2715" spans="2:26">
      <c r="B2715" s="191"/>
      <c r="D2715" s="183"/>
      <c r="I2715" s="183"/>
      <c r="J2715" s="183"/>
      <c r="L2715" s="183"/>
      <c r="M2715" s="183"/>
      <c r="N2715" s="183"/>
      <c r="O2715" s="183"/>
      <c r="P2715" s="183"/>
      <c r="Q2715" s="183"/>
      <c r="R2715" s="183"/>
      <c r="S2715" s="183"/>
      <c r="T2715" s="183"/>
      <c r="U2715" s="183"/>
      <c r="V2715" s="183"/>
      <c r="W2715" s="183"/>
      <c r="X2715" s="183"/>
      <c r="Y2715" s="183"/>
      <c r="Z2715" s="183"/>
    </row>
    <row r="2716" spans="2:26">
      <c r="B2716" s="191"/>
      <c r="D2716" s="183"/>
      <c r="I2716" s="183"/>
      <c r="J2716" s="183"/>
      <c r="L2716" s="183"/>
      <c r="M2716" s="183"/>
      <c r="N2716" s="183"/>
      <c r="O2716" s="183"/>
      <c r="P2716" s="183"/>
      <c r="Q2716" s="183"/>
      <c r="R2716" s="183"/>
      <c r="S2716" s="183"/>
      <c r="T2716" s="183"/>
      <c r="U2716" s="183"/>
      <c r="V2716" s="183"/>
      <c r="W2716" s="183"/>
      <c r="X2716" s="183"/>
      <c r="Y2716" s="183"/>
      <c r="Z2716" s="183"/>
    </row>
    <row r="2717" spans="2:26">
      <c r="B2717" s="191"/>
      <c r="D2717" s="183"/>
      <c r="I2717" s="183"/>
      <c r="J2717" s="183"/>
      <c r="L2717" s="183"/>
      <c r="M2717" s="183"/>
      <c r="N2717" s="183"/>
      <c r="O2717" s="183"/>
      <c r="P2717" s="183"/>
      <c r="Q2717" s="183"/>
      <c r="R2717" s="183"/>
      <c r="S2717" s="183"/>
      <c r="T2717" s="183"/>
      <c r="U2717" s="183"/>
      <c r="V2717" s="183"/>
      <c r="W2717" s="183"/>
      <c r="X2717" s="183"/>
      <c r="Y2717" s="183"/>
      <c r="Z2717" s="183"/>
    </row>
    <row r="2718" spans="2:26">
      <c r="B2718" s="191"/>
      <c r="D2718" s="183"/>
      <c r="I2718" s="183"/>
      <c r="J2718" s="183"/>
      <c r="L2718" s="183"/>
      <c r="M2718" s="183"/>
      <c r="N2718" s="183"/>
      <c r="O2718" s="183"/>
      <c r="P2718" s="183"/>
      <c r="Q2718" s="183"/>
      <c r="R2718" s="183"/>
      <c r="S2718" s="183"/>
      <c r="T2718" s="183"/>
      <c r="U2718" s="183"/>
      <c r="V2718" s="183"/>
      <c r="W2718" s="183"/>
      <c r="X2718" s="183"/>
      <c r="Y2718" s="183"/>
      <c r="Z2718" s="183"/>
    </row>
    <row r="2719" spans="2:26">
      <c r="B2719" s="191"/>
      <c r="D2719" s="183"/>
      <c r="I2719" s="183"/>
      <c r="J2719" s="183"/>
      <c r="L2719" s="183"/>
      <c r="M2719" s="183"/>
      <c r="N2719" s="183"/>
      <c r="O2719" s="183"/>
      <c r="P2719" s="183"/>
      <c r="Q2719" s="183"/>
      <c r="R2719" s="183"/>
      <c r="S2719" s="183"/>
      <c r="T2719" s="183"/>
      <c r="U2719" s="183"/>
      <c r="V2719" s="183"/>
      <c r="W2719" s="183"/>
      <c r="X2719" s="183"/>
      <c r="Y2719" s="183"/>
      <c r="Z2719" s="183"/>
    </row>
    <row r="2720" spans="2:26">
      <c r="B2720" s="191"/>
      <c r="D2720" s="183"/>
      <c r="I2720" s="183"/>
      <c r="J2720" s="183"/>
      <c r="L2720" s="183"/>
      <c r="M2720" s="183"/>
      <c r="N2720" s="183"/>
      <c r="O2720" s="183"/>
      <c r="P2720" s="183"/>
      <c r="Q2720" s="183"/>
      <c r="R2720" s="183"/>
      <c r="S2720" s="183"/>
      <c r="T2720" s="183"/>
      <c r="U2720" s="183"/>
      <c r="V2720" s="183"/>
      <c r="W2720" s="183"/>
      <c r="X2720" s="183"/>
      <c r="Y2720" s="183"/>
      <c r="Z2720" s="183"/>
    </row>
    <row r="2721" spans="2:26">
      <c r="B2721" s="191"/>
      <c r="D2721" s="183"/>
      <c r="I2721" s="183"/>
      <c r="J2721" s="183"/>
      <c r="L2721" s="183"/>
      <c r="M2721" s="183"/>
      <c r="N2721" s="183"/>
      <c r="O2721" s="183"/>
      <c r="P2721" s="183"/>
      <c r="Q2721" s="183"/>
      <c r="R2721" s="183"/>
      <c r="S2721" s="183"/>
      <c r="T2721" s="183"/>
      <c r="U2721" s="183"/>
      <c r="V2721" s="183"/>
      <c r="W2721" s="183"/>
      <c r="X2721" s="183"/>
      <c r="Y2721" s="183"/>
      <c r="Z2721" s="183"/>
    </row>
    <row r="2722" spans="2:26">
      <c r="B2722" s="191"/>
      <c r="D2722" s="183"/>
      <c r="I2722" s="183"/>
      <c r="J2722" s="183"/>
      <c r="L2722" s="183"/>
      <c r="M2722" s="183"/>
      <c r="N2722" s="183"/>
      <c r="O2722" s="183"/>
      <c r="P2722" s="183"/>
      <c r="Q2722" s="183"/>
      <c r="R2722" s="183"/>
      <c r="S2722" s="183"/>
      <c r="T2722" s="183"/>
      <c r="U2722" s="183"/>
      <c r="V2722" s="183"/>
      <c r="W2722" s="183"/>
      <c r="X2722" s="183"/>
      <c r="Y2722" s="183"/>
      <c r="Z2722" s="183"/>
    </row>
    <row r="2723" spans="2:26">
      <c r="B2723" s="191"/>
      <c r="D2723" s="183"/>
      <c r="I2723" s="183"/>
      <c r="J2723" s="183"/>
      <c r="L2723" s="183"/>
      <c r="M2723" s="183"/>
      <c r="N2723" s="183"/>
      <c r="O2723" s="183"/>
      <c r="P2723" s="183"/>
      <c r="Q2723" s="183"/>
      <c r="R2723" s="183"/>
      <c r="S2723" s="183"/>
      <c r="T2723" s="183"/>
      <c r="U2723" s="183"/>
      <c r="V2723" s="183"/>
      <c r="W2723" s="183"/>
      <c r="X2723" s="183"/>
      <c r="Y2723" s="183"/>
      <c r="Z2723" s="183"/>
    </row>
    <row r="2724" spans="2:26">
      <c r="B2724" s="191"/>
      <c r="D2724" s="183"/>
      <c r="I2724" s="183"/>
      <c r="J2724" s="183"/>
      <c r="L2724" s="183"/>
      <c r="M2724" s="183"/>
      <c r="N2724" s="183"/>
      <c r="O2724" s="183"/>
      <c r="P2724" s="183"/>
      <c r="Q2724" s="183"/>
      <c r="R2724" s="183"/>
      <c r="S2724" s="183"/>
      <c r="T2724" s="183"/>
      <c r="U2724" s="183"/>
      <c r="V2724" s="183"/>
      <c r="W2724" s="183"/>
      <c r="X2724" s="183"/>
      <c r="Y2724" s="183"/>
      <c r="Z2724" s="183"/>
    </row>
    <row r="2725" spans="2:26">
      <c r="B2725" s="191"/>
      <c r="D2725" s="183"/>
      <c r="I2725" s="183"/>
      <c r="J2725" s="183"/>
      <c r="L2725" s="183"/>
      <c r="M2725" s="183"/>
      <c r="N2725" s="183"/>
      <c r="O2725" s="183"/>
      <c r="P2725" s="183"/>
      <c r="Q2725" s="183"/>
      <c r="R2725" s="183"/>
      <c r="S2725" s="183"/>
      <c r="T2725" s="183"/>
      <c r="U2725" s="183"/>
      <c r="V2725" s="183"/>
      <c r="W2725" s="183"/>
      <c r="X2725" s="183"/>
      <c r="Y2725" s="183"/>
      <c r="Z2725" s="183"/>
    </row>
    <row r="2726" spans="2:26">
      <c r="B2726" s="191"/>
      <c r="D2726" s="183"/>
      <c r="I2726" s="183"/>
      <c r="J2726" s="183"/>
      <c r="L2726" s="183"/>
      <c r="M2726" s="183"/>
      <c r="N2726" s="183"/>
      <c r="O2726" s="183"/>
      <c r="P2726" s="183"/>
      <c r="Q2726" s="183"/>
      <c r="R2726" s="183"/>
      <c r="S2726" s="183"/>
      <c r="T2726" s="183"/>
      <c r="U2726" s="183"/>
      <c r="V2726" s="183"/>
      <c r="W2726" s="183"/>
      <c r="X2726" s="183"/>
      <c r="Y2726" s="183"/>
      <c r="Z2726" s="183"/>
    </row>
    <row r="2727" spans="2:26">
      <c r="B2727" s="191"/>
      <c r="D2727" s="183"/>
      <c r="I2727" s="183"/>
      <c r="J2727" s="183"/>
      <c r="L2727" s="183"/>
      <c r="M2727" s="183"/>
      <c r="N2727" s="183"/>
      <c r="O2727" s="183"/>
      <c r="P2727" s="183"/>
      <c r="Q2727" s="183"/>
      <c r="R2727" s="183"/>
      <c r="S2727" s="183"/>
      <c r="T2727" s="183"/>
      <c r="U2727" s="183"/>
      <c r="V2727" s="183"/>
      <c r="W2727" s="183"/>
      <c r="X2727" s="183"/>
      <c r="Y2727" s="183"/>
      <c r="Z2727" s="183"/>
    </row>
    <row r="2728" spans="2:26">
      <c r="B2728" s="191"/>
      <c r="D2728" s="183"/>
      <c r="I2728" s="183"/>
      <c r="J2728" s="183"/>
      <c r="L2728" s="183"/>
      <c r="M2728" s="183"/>
      <c r="N2728" s="183"/>
      <c r="O2728" s="183"/>
      <c r="P2728" s="183"/>
      <c r="Q2728" s="183"/>
      <c r="R2728" s="183"/>
      <c r="S2728" s="183"/>
      <c r="T2728" s="183"/>
      <c r="U2728" s="183"/>
      <c r="V2728" s="183"/>
      <c r="W2728" s="183"/>
      <c r="X2728" s="183"/>
      <c r="Y2728" s="183"/>
      <c r="Z2728" s="183"/>
    </row>
    <row r="2729" spans="2:26">
      <c r="B2729" s="191"/>
      <c r="D2729" s="183"/>
      <c r="I2729" s="183"/>
      <c r="J2729" s="183"/>
      <c r="L2729" s="183"/>
      <c r="M2729" s="183"/>
      <c r="N2729" s="183"/>
      <c r="O2729" s="183"/>
      <c r="P2729" s="183"/>
      <c r="Q2729" s="183"/>
      <c r="R2729" s="183"/>
      <c r="S2729" s="183"/>
      <c r="T2729" s="183"/>
      <c r="U2729" s="183"/>
      <c r="V2729" s="183"/>
      <c r="W2729" s="183"/>
      <c r="X2729" s="183"/>
      <c r="Y2729" s="183"/>
      <c r="Z2729" s="183"/>
    </row>
    <row r="2730" spans="2:26">
      <c r="B2730" s="191"/>
      <c r="D2730" s="183"/>
      <c r="I2730" s="183"/>
      <c r="J2730" s="183"/>
      <c r="L2730" s="183"/>
      <c r="M2730" s="183"/>
      <c r="N2730" s="183"/>
      <c r="O2730" s="183"/>
      <c r="P2730" s="183"/>
      <c r="Q2730" s="183"/>
      <c r="R2730" s="183"/>
      <c r="S2730" s="183"/>
      <c r="T2730" s="183"/>
      <c r="U2730" s="183"/>
      <c r="V2730" s="183"/>
      <c r="W2730" s="183"/>
      <c r="X2730" s="183"/>
      <c r="Y2730" s="183"/>
      <c r="Z2730" s="183"/>
    </row>
    <row r="2731" spans="2:26">
      <c r="B2731" s="191"/>
      <c r="D2731" s="183"/>
      <c r="I2731" s="183"/>
      <c r="J2731" s="183"/>
      <c r="L2731" s="183"/>
      <c r="M2731" s="183"/>
      <c r="N2731" s="183"/>
      <c r="O2731" s="183"/>
      <c r="P2731" s="183"/>
      <c r="Q2731" s="183"/>
      <c r="R2731" s="183"/>
      <c r="S2731" s="183"/>
      <c r="T2731" s="183"/>
      <c r="U2731" s="183"/>
      <c r="V2731" s="183"/>
      <c r="W2731" s="183"/>
      <c r="X2731" s="183"/>
      <c r="Y2731" s="183"/>
      <c r="Z2731" s="183"/>
    </row>
    <row r="2732" spans="2:26">
      <c r="B2732" s="191"/>
      <c r="D2732" s="183"/>
      <c r="I2732" s="183"/>
      <c r="J2732" s="183"/>
      <c r="L2732" s="183"/>
      <c r="M2732" s="183"/>
      <c r="N2732" s="183"/>
      <c r="O2732" s="183"/>
      <c r="P2732" s="183"/>
      <c r="Q2732" s="183"/>
      <c r="R2732" s="183"/>
      <c r="S2732" s="183"/>
      <c r="T2732" s="183"/>
      <c r="U2732" s="183"/>
      <c r="V2732" s="183"/>
      <c r="W2732" s="183"/>
      <c r="X2732" s="183"/>
      <c r="Y2732" s="183"/>
      <c r="Z2732" s="183"/>
    </row>
    <row r="2733" spans="2:26">
      <c r="B2733" s="191"/>
      <c r="D2733" s="183"/>
      <c r="I2733" s="183"/>
      <c r="J2733" s="183"/>
      <c r="L2733" s="183"/>
      <c r="M2733" s="183"/>
      <c r="N2733" s="183"/>
      <c r="O2733" s="183"/>
      <c r="P2733" s="183"/>
      <c r="Q2733" s="183"/>
      <c r="R2733" s="183"/>
      <c r="S2733" s="183"/>
      <c r="T2733" s="183"/>
      <c r="U2733" s="183"/>
      <c r="V2733" s="183"/>
      <c r="W2733" s="183"/>
      <c r="X2733" s="183"/>
      <c r="Y2733" s="183"/>
      <c r="Z2733" s="183"/>
    </row>
    <row r="2734" spans="2:26">
      <c r="B2734" s="191"/>
      <c r="D2734" s="183"/>
      <c r="I2734" s="183"/>
      <c r="J2734" s="183"/>
      <c r="L2734" s="183"/>
      <c r="M2734" s="183"/>
      <c r="N2734" s="183"/>
      <c r="O2734" s="183"/>
      <c r="P2734" s="183"/>
      <c r="Q2734" s="183"/>
      <c r="R2734" s="183"/>
      <c r="S2734" s="183"/>
      <c r="T2734" s="183"/>
      <c r="U2734" s="183"/>
      <c r="V2734" s="183"/>
      <c r="W2734" s="183"/>
      <c r="X2734" s="183"/>
      <c r="Y2734" s="183"/>
      <c r="Z2734" s="183"/>
    </row>
    <row r="2735" spans="2:26">
      <c r="B2735" s="191"/>
      <c r="D2735" s="183"/>
      <c r="I2735" s="183"/>
      <c r="J2735" s="183"/>
      <c r="L2735" s="183"/>
      <c r="M2735" s="183"/>
      <c r="N2735" s="183"/>
      <c r="O2735" s="183"/>
      <c r="P2735" s="183"/>
      <c r="Q2735" s="183"/>
      <c r="R2735" s="183"/>
      <c r="S2735" s="183"/>
      <c r="T2735" s="183"/>
      <c r="U2735" s="183"/>
      <c r="V2735" s="183"/>
      <c r="W2735" s="183"/>
      <c r="X2735" s="183"/>
      <c r="Y2735" s="183"/>
      <c r="Z2735" s="183"/>
    </row>
    <row r="2736" spans="2:26">
      <c r="B2736" s="191"/>
      <c r="D2736" s="183"/>
      <c r="I2736" s="183"/>
      <c r="J2736" s="183"/>
      <c r="L2736" s="183"/>
      <c r="M2736" s="183"/>
      <c r="N2736" s="183"/>
      <c r="O2736" s="183"/>
      <c r="P2736" s="183"/>
      <c r="Q2736" s="183"/>
      <c r="R2736" s="183"/>
      <c r="S2736" s="183"/>
      <c r="T2736" s="183"/>
      <c r="U2736" s="183"/>
      <c r="V2736" s="183"/>
      <c r="W2736" s="183"/>
      <c r="X2736" s="183"/>
      <c r="Y2736" s="183"/>
      <c r="Z2736" s="183"/>
    </row>
    <row r="2737" spans="2:26">
      <c r="B2737" s="191"/>
      <c r="D2737" s="183"/>
      <c r="I2737" s="183"/>
      <c r="J2737" s="183"/>
      <c r="L2737" s="183"/>
      <c r="M2737" s="183"/>
      <c r="N2737" s="183"/>
      <c r="O2737" s="183"/>
      <c r="P2737" s="183"/>
      <c r="Q2737" s="183"/>
      <c r="R2737" s="183"/>
      <c r="S2737" s="183"/>
      <c r="T2737" s="183"/>
      <c r="U2737" s="183"/>
      <c r="V2737" s="183"/>
      <c r="W2737" s="183"/>
      <c r="X2737" s="183"/>
      <c r="Y2737" s="183"/>
      <c r="Z2737" s="183"/>
    </row>
    <row r="2738" spans="2:26">
      <c r="B2738" s="191"/>
      <c r="D2738" s="183"/>
      <c r="I2738" s="183"/>
      <c r="J2738" s="183"/>
      <c r="L2738" s="183"/>
      <c r="M2738" s="183"/>
      <c r="N2738" s="183"/>
      <c r="O2738" s="183"/>
      <c r="P2738" s="183"/>
      <c r="Q2738" s="183"/>
      <c r="R2738" s="183"/>
      <c r="S2738" s="183"/>
      <c r="T2738" s="183"/>
      <c r="U2738" s="183"/>
      <c r="V2738" s="183"/>
      <c r="W2738" s="183"/>
      <c r="X2738" s="183"/>
      <c r="Y2738" s="183"/>
      <c r="Z2738" s="183"/>
    </row>
    <row r="2739" spans="2:26">
      <c r="B2739" s="191"/>
      <c r="D2739" s="183"/>
      <c r="I2739" s="183"/>
      <c r="J2739" s="183"/>
      <c r="L2739" s="183"/>
      <c r="M2739" s="183"/>
      <c r="N2739" s="183"/>
      <c r="O2739" s="183"/>
      <c r="P2739" s="183"/>
      <c r="Q2739" s="183"/>
      <c r="R2739" s="183"/>
      <c r="S2739" s="183"/>
      <c r="T2739" s="183"/>
      <c r="U2739" s="183"/>
      <c r="V2739" s="183"/>
      <c r="W2739" s="183"/>
      <c r="X2739" s="183"/>
      <c r="Y2739" s="183"/>
      <c r="Z2739" s="183"/>
    </row>
    <row r="2740" spans="2:26">
      <c r="B2740" s="191"/>
      <c r="D2740" s="183"/>
      <c r="I2740" s="183"/>
      <c r="J2740" s="183"/>
      <c r="L2740" s="183"/>
      <c r="M2740" s="183"/>
      <c r="N2740" s="183"/>
      <c r="O2740" s="183"/>
      <c r="P2740" s="183"/>
      <c r="Q2740" s="183"/>
      <c r="R2740" s="183"/>
      <c r="S2740" s="183"/>
      <c r="T2740" s="183"/>
      <c r="U2740" s="183"/>
      <c r="V2740" s="183"/>
      <c r="W2740" s="183"/>
      <c r="X2740" s="183"/>
      <c r="Y2740" s="183"/>
      <c r="Z2740" s="183"/>
    </row>
    <row r="2741" spans="2:26">
      <c r="B2741" s="191"/>
      <c r="D2741" s="183"/>
      <c r="I2741" s="183"/>
      <c r="J2741" s="183"/>
      <c r="L2741" s="183"/>
      <c r="M2741" s="183"/>
      <c r="N2741" s="183"/>
      <c r="O2741" s="183"/>
      <c r="P2741" s="183"/>
      <c r="Q2741" s="183"/>
      <c r="R2741" s="183"/>
      <c r="S2741" s="183"/>
      <c r="T2741" s="183"/>
      <c r="U2741" s="183"/>
      <c r="V2741" s="183"/>
      <c r="W2741" s="183"/>
      <c r="X2741" s="183"/>
      <c r="Y2741" s="183"/>
      <c r="Z2741" s="183"/>
    </row>
    <row r="2742" spans="2:26">
      <c r="B2742" s="191"/>
      <c r="D2742" s="183"/>
      <c r="I2742" s="183"/>
      <c r="J2742" s="183"/>
      <c r="L2742" s="183"/>
      <c r="M2742" s="183"/>
      <c r="N2742" s="183"/>
      <c r="O2742" s="183"/>
      <c r="P2742" s="183"/>
      <c r="Q2742" s="183"/>
      <c r="R2742" s="183"/>
      <c r="S2742" s="183"/>
      <c r="T2742" s="183"/>
      <c r="U2742" s="183"/>
      <c r="V2742" s="183"/>
      <c r="W2742" s="183"/>
      <c r="X2742" s="183"/>
      <c r="Y2742" s="183"/>
      <c r="Z2742" s="183"/>
    </row>
    <row r="2743" spans="2:26">
      <c r="B2743" s="191"/>
      <c r="D2743" s="183"/>
      <c r="I2743" s="183"/>
      <c r="J2743" s="183"/>
      <c r="L2743" s="183"/>
      <c r="M2743" s="183"/>
      <c r="N2743" s="183"/>
      <c r="O2743" s="183"/>
      <c r="P2743" s="183"/>
      <c r="Q2743" s="183"/>
      <c r="R2743" s="183"/>
      <c r="S2743" s="183"/>
      <c r="T2743" s="183"/>
      <c r="U2743" s="183"/>
      <c r="V2743" s="183"/>
      <c r="W2743" s="183"/>
      <c r="X2743" s="183"/>
      <c r="Y2743" s="183"/>
      <c r="Z2743" s="183"/>
    </row>
    <row r="2744" spans="2:26">
      <c r="B2744" s="191"/>
      <c r="D2744" s="183"/>
      <c r="I2744" s="183"/>
      <c r="J2744" s="183"/>
      <c r="L2744" s="183"/>
      <c r="M2744" s="183"/>
      <c r="N2744" s="183"/>
      <c r="O2744" s="183"/>
      <c r="P2744" s="183"/>
      <c r="Q2744" s="183"/>
      <c r="R2744" s="183"/>
      <c r="S2744" s="183"/>
      <c r="T2744" s="183"/>
      <c r="U2744" s="183"/>
      <c r="V2744" s="183"/>
      <c r="W2744" s="183"/>
      <c r="X2744" s="183"/>
      <c r="Y2744" s="183"/>
      <c r="Z2744" s="183"/>
    </row>
    <row r="2745" spans="2:26">
      <c r="B2745" s="191"/>
      <c r="D2745" s="183"/>
      <c r="I2745" s="183"/>
      <c r="J2745" s="183"/>
      <c r="L2745" s="183"/>
      <c r="M2745" s="183"/>
      <c r="N2745" s="183"/>
      <c r="O2745" s="183"/>
      <c r="P2745" s="183"/>
      <c r="Q2745" s="183"/>
      <c r="R2745" s="183"/>
      <c r="S2745" s="183"/>
      <c r="T2745" s="183"/>
      <c r="U2745" s="183"/>
      <c r="V2745" s="183"/>
      <c r="W2745" s="183"/>
      <c r="X2745" s="183"/>
      <c r="Y2745" s="183"/>
      <c r="Z2745" s="183"/>
    </row>
    <row r="2746" spans="2:26">
      <c r="B2746" s="191"/>
      <c r="D2746" s="183"/>
      <c r="I2746" s="183"/>
      <c r="J2746" s="183"/>
      <c r="L2746" s="183"/>
      <c r="M2746" s="183"/>
      <c r="N2746" s="183"/>
      <c r="O2746" s="183"/>
      <c r="P2746" s="183"/>
      <c r="Q2746" s="183"/>
      <c r="R2746" s="183"/>
      <c r="S2746" s="183"/>
      <c r="T2746" s="183"/>
      <c r="U2746" s="183"/>
      <c r="V2746" s="183"/>
      <c r="W2746" s="183"/>
      <c r="X2746" s="183"/>
      <c r="Y2746" s="183"/>
      <c r="Z2746" s="183"/>
    </row>
    <row r="2747" spans="2:26">
      <c r="B2747" s="191"/>
      <c r="D2747" s="183"/>
      <c r="I2747" s="183"/>
      <c r="J2747" s="183"/>
      <c r="L2747" s="183"/>
      <c r="M2747" s="183"/>
      <c r="N2747" s="183"/>
      <c r="O2747" s="183"/>
      <c r="P2747" s="183"/>
      <c r="Q2747" s="183"/>
      <c r="R2747" s="183"/>
      <c r="S2747" s="183"/>
      <c r="T2747" s="183"/>
      <c r="U2747" s="183"/>
      <c r="V2747" s="183"/>
      <c r="W2747" s="183"/>
      <c r="X2747" s="183"/>
      <c r="Y2747" s="183"/>
      <c r="Z2747" s="183"/>
    </row>
    <row r="2748" spans="2:26">
      <c r="B2748" s="191"/>
      <c r="D2748" s="183"/>
      <c r="I2748" s="183"/>
      <c r="J2748" s="183"/>
      <c r="L2748" s="183"/>
      <c r="M2748" s="183"/>
      <c r="N2748" s="183"/>
      <c r="O2748" s="183"/>
      <c r="P2748" s="183"/>
      <c r="Q2748" s="183"/>
      <c r="R2748" s="183"/>
      <c r="S2748" s="183"/>
      <c r="T2748" s="183"/>
      <c r="U2748" s="183"/>
      <c r="V2748" s="183"/>
      <c r="W2748" s="183"/>
      <c r="X2748" s="183"/>
      <c r="Y2748" s="183"/>
      <c r="Z2748" s="183"/>
    </row>
    <row r="2749" spans="2:26">
      <c r="B2749" s="191"/>
      <c r="D2749" s="183"/>
      <c r="I2749" s="183"/>
      <c r="J2749" s="183"/>
      <c r="L2749" s="183"/>
      <c r="M2749" s="183"/>
      <c r="N2749" s="183"/>
      <c r="O2749" s="183"/>
      <c r="P2749" s="183"/>
      <c r="Q2749" s="183"/>
      <c r="R2749" s="183"/>
      <c r="S2749" s="183"/>
      <c r="T2749" s="183"/>
      <c r="U2749" s="183"/>
      <c r="V2749" s="183"/>
      <c r="W2749" s="183"/>
      <c r="X2749" s="183"/>
      <c r="Y2749" s="183"/>
      <c r="Z2749" s="183"/>
    </row>
    <row r="2750" spans="2:26">
      <c r="B2750" s="191"/>
      <c r="D2750" s="183"/>
      <c r="I2750" s="183"/>
      <c r="J2750" s="183"/>
      <c r="L2750" s="183"/>
      <c r="M2750" s="183"/>
      <c r="N2750" s="183"/>
      <c r="O2750" s="183"/>
      <c r="P2750" s="183"/>
      <c r="Q2750" s="183"/>
      <c r="R2750" s="183"/>
      <c r="S2750" s="183"/>
      <c r="T2750" s="183"/>
      <c r="U2750" s="183"/>
      <c r="V2750" s="183"/>
      <c r="W2750" s="183"/>
      <c r="X2750" s="183"/>
      <c r="Y2750" s="183"/>
      <c r="Z2750" s="183"/>
    </row>
    <row r="2751" spans="2:26">
      <c r="B2751" s="191"/>
      <c r="D2751" s="183"/>
      <c r="I2751" s="183"/>
      <c r="J2751" s="183"/>
      <c r="L2751" s="183"/>
      <c r="M2751" s="183"/>
      <c r="N2751" s="183"/>
      <c r="O2751" s="183"/>
      <c r="P2751" s="183"/>
      <c r="Q2751" s="183"/>
      <c r="R2751" s="183"/>
      <c r="S2751" s="183"/>
      <c r="T2751" s="183"/>
      <c r="U2751" s="183"/>
      <c r="V2751" s="183"/>
      <c r="W2751" s="183"/>
      <c r="X2751" s="183"/>
      <c r="Y2751" s="183"/>
      <c r="Z2751" s="183"/>
    </row>
    <row r="2752" spans="2:26">
      <c r="B2752" s="191"/>
      <c r="D2752" s="183"/>
      <c r="I2752" s="183"/>
      <c r="J2752" s="183"/>
      <c r="L2752" s="183"/>
      <c r="M2752" s="183"/>
      <c r="N2752" s="183"/>
      <c r="O2752" s="183"/>
      <c r="P2752" s="183"/>
      <c r="Q2752" s="183"/>
      <c r="R2752" s="183"/>
      <c r="S2752" s="183"/>
      <c r="T2752" s="183"/>
      <c r="U2752" s="183"/>
      <c r="V2752" s="183"/>
      <c r="W2752" s="183"/>
      <c r="X2752" s="183"/>
      <c r="Y2752" s="183"/>
      <c r="Z2752" s="183"/>
    </row>
    <row r="2753" spans="2:26">
      <c r="B2753" s="191"/>
      <c r="D2753" s="183"/>
      <c r="I2753" s="183"/>
      <c r="J2753" s="183"/>
      <c r="L2753" s="183"/>
      <c r="M2753" s="183"/>
      <c r="N2753" s="183"/>
      <c r="O2753" s="183"/>
      <c r="P2753" s="183"/>
      <c r="Q2753" s="183"/>
      <c r="R2753" s="183"/>
      <c r="S2753" s="183"/>
      <c r="T2753" s="183"/>
      <c r="U2753" s="183"/>
      <c r="V2753" s="183"/>
      <c r="W2753" s="183"/>
      <c r="X2753" s="183"/>
      <c r="Y2753" s="183"/>
      <c r="Z2753" s="183"/>
    </row>
    <row r="2754" spans="2:26">
      <c r="B2754" s="191"/>
      <c r="D2754" s="183"/>
      <c r="I2754" s="183"/>
      <c r="J2754" s="183"/>
      <c r="L2754" s="183"/>
      <c r="M2754" s="183"/>
      <c r="N2754" s="183"/>
      <c r="O2754" s="183"/>
      <c r="P2754" s="183"/>
      <c r="Q2754" s="183"/>
      <c r="R2754" s="183"/>
      <c r="S2754" s="183"/>
      <c r="T2754" s="183"/>
      <c r="U2754" s="183"/>
      <c r="V2754" s="183"/>
      <c r="W2754" s="183"/>
      <c r="X2754" s="183"/>
      <c r="Y2754" s="183"/>
      <c r="Z2754" s="183"/>
    </row>
    <row r="2755" spans="2:26">
      <c r="B2755" s="191"/>
      <c r="D2755" s="183"/>
      <c r="I2755" s="183"/>
      <c r="J2755" s="183"/>
      <c r="L2755" s="183"/>
      <c r="M2755" s="183"/>
      <c r="N2755" s="183"/>
      <c r="O2755" s="183"/>
      <c r="P2755" s="183"/>
      <c r="Q2755" s="183"/>
      <c r="R2755" s="183"/>
      <c r="S2755" s="183"/>
      <c r="T2755" s="183"/>
      <c r="U2755" s="183"/>
      <c r="V2755" s="183"/>
      <c r="W2755" s="183"/>
      <c r="X2755" s="183"/>
      <c r="Y2755" s="183"/>
      <c r="Z2755" s="183"/>
    </row>
    <row r="2756" spans="2:26">
      <c r="B2756" s="191"/>
      <c r="D2756" s="183"/>
      <c r="I2756" s="183"/>
      <c r="J2756" s="183"/>
      <c r="L2756" s="183"/>
      <c r="M2756" s="183"/>
      <c r="N2756" s="183"/>
      <c r="O2756" s="183"/>
      <c r="P2756" s="183"/>
      <c r="Q2756" s="183"/>
      <c r="R2756" s="183"/>
      <c r="S2756" s="183"/>
      <c r="T2756" s="183"/>
      <c r="U2756" s="183"/>
      <c r="V2756" s="183"/>
      <c r="W2756" s="183"/>
      <c r="X2756" s="183"/>
      <c r="Y2756" s="183"/>
      <c r="Z2756" s="183"/>
    </row>
    <row r="2757" spans="2:26">
      <c r="B2757" s="191"/>
      <c r="D2757" s="183"/>
      <c r="I2757" s="183"/>
      <c r="J2757" s="183"/>
      <c r="L2757" s="183"/>
      <c r="M2757" s="183"/>
      <c r="N2757" s="183"/>
      <c r="O2757" s="183"/>
      <c r="P2757" s="183"/>
      <c r="Q2757" s="183"/>
      <c r="R2757" s="183"/>
      <c r="S2757" s="183"/>
      <c r="T2757" s="183"/>
      <c r="U2757" s="183"/>
      <c r="V2757" s="183"/>
      <c r="W2757" s="183"/>
      <c r="X2757" s="183"/>
      <c r="Y2757" s="183"/>
      <c r="Z2757" s="183"/>
    </row>
    <row r="2758" spans="2:26">
      <c r="B2758" s="191"/>
      <c r="D2758" s="183"/>
      <c r="I2758" s="183"/>
      <c r="J2758" s="183"/>
      <c r="L2758" s="183"/>
      <c r="M2758" s="183"/>
      <c r="N2758" s="183"/>
      <c r="O2758" s="183"/>
      <c r="P2758" s="183"/>
      <c r="Q2758" s="183"/>
      <c r="R2758" s="183"/>
      <c r="S2758" s="183"/>
      <c r="T2758" s="183"/>
      <c r="U2758" s="183"/>
      <c r="V2758" s="183"/>
      <c r="W2758" s="183"/>
      <c r="X2758" s="183"/>
      <c r="Y2758" s="183"/>
      <c r="Z2758" s="183"/>
    </row>
    <row r="2759" spans="2:26">
      <c r="B2759" s="191"/>
      <c r="D2759" s="183"/>
      <c r="I2759" s="183"/>
      <c r="J2759" s="183"/>
      <c r="L2759" s="183"/>
      <c r="M2759" s="183"/>
      <c r="N2759" s="183"/>
      <c r="O2759" s="183"/>
      <c r="P2759" s="183"/>
      <c r="Q2759" s="183"/>
      <c r="R2759" s="183"/>
      <c r="S2759" s="183"/>
      <c r="T2759" s="183"/>
      <c r="U2759" s="183"/>
      <c r="V2759" s="183"/>
      <c r="W2759" s="183"/>
      <c r="X2759" s="183"/>
      <c r="Y2759" s="183"/>
      <c r="Z2759" s="183"/>
    </row>
    <row r="2760" spans="2:26">
      <c r="B2760" s="191"/>
      <c r="D2760" s="183"/>
      <c r="I2760" s="183"/>
      <c r="J2760" s="183"/>
      <c r="L2760" s="183"/>
      <c r="M2760" s="183"/>
      <c r="N2760" s="183"/>
      <c r="O2760" s="183"/>
      <c r="P2760" s="183"/>
      <c r="Q2760" s="183"/>
      <c r="R2760" s="183"/>
      <c r="S2760" s="183"/>
      <c r="T2760" s="183"/>
      <c r="U2760" s="183"/>
      <c r="V2760" s="183"/>
      <c r="W2760" s="183"/>
      <c r="X2760" s="183"/>
      <c r="Y2760" s="183"/>
      <c r="Z2760" s="183"/>
    </row>
    <row r="2761" spans="2:26">
      <c r="B2761" s="191"/>
      <c r="D2761" s="183"/>
      <c r="I2761" s="183"/>
      <c r="J2761" s="183"/>
      <c r="L2761" s="183"/>
      <c r="M2761" s="183"/>
      <c r="N2761" s="183"/>
      <c r="O2761" s="183"/>
      <c r="P2761" s="183"/>
      <c r="Q2761" s="183"/>
      <c r="R2761" s="183"/>
      <c r="S2761" s="183"/>
      <c r="T2761" s="183"/>
      <c r="U2761" s="183"/>
      <c r="V2761" s="183"/>
      <c r="W2761" s="183"/>
      <c r="X2761" s="183"/>
      <c r="Y2761" s="183"/>
      <c r="Z2761" s="183"/>
    </row>
    <row r="2762" spans="2:26">
      <c r="B2762" s="191"/>
      <c r="D2762" s="183"/>
      <c r="I2762" s="183"/>
      <c r="J2762" s="183"/>
      <c r="L2762" s="183"/>
      <c r="M2762" s="183"/>
      <c r="N2762" s="183"/>
      <c r="O2762" s="183"/>
      <c r="P2762" s="183"/>
      <c r="Q2762" s="183"/>
      <c r="R2762" s="183"/>
      <c r="S2762" s="183"/>
      <c r="T2762" s="183"/>
      <c r="U2762" s="183"/>
      <c r="V2762" s="183"/>
      <c r="W2762" s="183"/>
      <c r="X2762" s="183"/>
      <c r="Y2762" s="183"/>
      <c r="Z2762" s="183"/>
    </row>
    <row r="2763" spans="2:26">
      <c r="B2763" s="191"/>
      <c r="D2763" s="183"/>
      <c r="I2763" s="183"/>
      <c r="J2763" s="183"/>
      <c r="L2763" s="183"/>
      <c r="M2763" s="183"/>
      <c r="N2763" s="183"/>
      <c r="O2763" s="183"/>
      <c r="P2763" s="183"/>
      <c r="Q2763" s="183"/>
      <c r="R2763" s="183"/>
      <c r="S2763" s="183"/>
      <c r="T2763" s="183"/>
      <c r="U2763" s="183"/>
      <c r="V2763" s="183"/>
      <c r="W2763" s="183"/>
      <c r="X2763" s="183"/>
      <c r="Y2763" s="183"/>
      <c r="Z2763" s="183"/>
    </row>
    <row r="2764" spans="2:26">
      <c r="B2764" s="191"/>
      <c r="D2764" s="183"/>
      <c r="I2764" s="183"/>
      <c r="J2764" s="183"/>
      <c r="L2764" s="183"/>
      <c r="M2764" s="183"/>
      <c r="N2764" s="183"/>
      <c r="O2764" s="183"/>
      <c r="P2764" s="183"/>
      <c r="Q2764" s="183"/>
      <c r="R2764" s="183"/>
      <c r="S2764" s="183"/>
      <c r="T2764" s="183"/>
      <c r="U2764" s="183"/>
      <c r="V2764" s="183"/>
      <c r="W2764" s="183"/>
      <c r="X2764" s="183"/>
      <c r="Y2764" s="183"/>
      <c r="Z2764" s="183"/>
    </row>
    <row r="2765" spans="2:26">
      <c r="B2765" s="191"/>
      <c r="D2765" s="183"/>
      <c r="I2765" s="183"/>
      <c r="J2765" s="183"/>
      <c r="L2765" s="183"/>
      <c r="M2765" s="183"/>
      <c r="N2765" s="183"/>
      <c r="O2765" s="183"/>
      <c r="P2765" s="183"/>
      <c r="Q2765" s="183"/>
      <c r="R2765" s="183"/>
      <c r="S2765" s="183"/>
      <c r="T2765" s="183"/>
      <c r="U2765" s="183"/>
      <c r="V2765" s="183"/>
      <c r="W2765" s="183"/>
      <c r="X2765" s="183"/>
      <c r="Y2765" s="183"/>
      <c r="Z2765" s="183"/>
    </row>
    <row r="2766" spans="2:26">
      <c r="B2766" s="191"/>
      <c r="D2766" s="183"/>
      <c r="I2766" s="183"/>
      <c r="J2766" s="183"/>
      <c r="L2766" s="183"/>
      <c r="M2766" s="183"/>
      <c r="N2766" s="183"/>
      <c r="O2766" s="183"/>
      <c r="P2766" s="183"/>
      <c r="Q2766" s="183"/>
      <c r="R2766" s="183"/>
      <c r="S2766" s="183"/>
      <c r="T2766" s="183"/>
      <c r="U2766" s="183"/>
      <c r="V2766" s="183"/>
      <c r="W2766" s="183"/>
      <c r="X2766" s="183"/>
      <c r="Y2766" s="183"/>
      <c r="Z2766" s="183"/>
    </row>
    <row r="2767" spans="2:26">
      <c r="B2767" s="191"/>
      <c r="D2767" s="183"/>
      <c r="I2767" s="183"/>
      <c r="J2767" s="183"/>
      <c r="L2767" s="183"/>
      <c r="M2767" s="183"/>
      <c r="N2767" s="183"/>
      <c r="O2767" s="183"/>
      <c r="P2767" s="183"/>
      <c r="Q2767" s="183"/>
      <c r="R2767" s="183"/>
      <c r="S2767" s="183"/>
      <c r="T2767" s="183"/>
      <c r="U2767" s="183"/>
      <c r="V2767" s="183"/>
      <c r="W2767" s="183"/>
      <c r="X2767" s="183"/>
      <c r="Y2767" s="183"/>
      <c r="Z2767" s="183"/>
    </row>
    <row r="2768" spans="2:26">
      <c r="B2768" s="191"/>
      <c r="D2768" s="183"/>
      <c r="I2768" s="183"/>
      <c r="J2768" s="183"/>
      <c r="L2768" s="183"/>
      <c r="M2768" s="183"/>
      <c r="N2768" s="183"/>
      <c r="O2768" s="183"/>
      <c r="P2768" s="183"/>
      <c r="Q2768" s="183"/>
      <c r="R2768" s="183"/>
      <c r="S2768" s="183"/>
      <c r="T2768" s="183"/>
      <c r="U2768" s="183"/>
      <c r="V2768" s="183"/>
      <c r="W2768" s="183"/>
      <c r="X2768" s="183"/>
      <c r="Y2768" s="183"/>
      <c r="Z2768" s="183"/>
    </row>
    <row r="2769" spans="2:26">
      <c r="B2769" s="191"/>
      <c r="D2769" s="183"/>
      <c r="I2769" s="183"/>
      <c r="J2769" s="183"/>
      <c r="L2769" s="183"/>
      <c r="M2769" s="183"/>
      <c r="N2769" s="183"/>
      <c r="O2769" s="183"/>
      <c r="P2769" s="183"/>
      <c r="Q2769" s="183"/>
      <c r="R2769" s="183"/>
      <c r="S2769" s="183"/>
      <c r="T2769" s="183"/>
      <c r="U2769" s="183"/>
      <c r="V2769" s="183"/>
      <c r="W2769" s="183"/>
      <c r="X2769" s="183"/>
      <c r="Y2769" s="183"/>
      <c r="Z2769" s="183"/>
    </row>
    <row r="2770" spans="2:26">
      <c r="B2770" s="191"/>
      <c r="D2770" s="183"/>
      <c r="I2770" s="183"/>
      <c r="J2770" s="183"/>
      <c r="L2770" s="183"/>
      <c r="M2770" s="183"/>
      <c r="N2770" s="183"/>
      <c r="O2770" s="183"/>
      <c r="P2770" s="183"/>
      <c r="Q2770" s="183"/>
      <c r="R2770" s="183"/>
      <c r="S2770" s="183"/>
      <c r="T2770" s="183"/>
      <c r="U2770" s="183"/>
      <c r="V2770" s="183"/>
      <c r="W2770" s="183"/>
      <c r="X2770" s="183"/>
      <c r="Y2770" s="183"/>
      <c r="Z2770" s="183"/>
    </row>
    <row r="2771" spans="2:26">
      <c r="B2771" s="191"/>
      <c r="D2771" s="183"/>
      <c r="I2771" s="183"/>
      <c r="J2771" s="183"/>
      <c r="L2771" s="183"/>
      <c r="M2771" s="183"/>
      <c r="N2771" s="183"/>
      <c r="O2771" s="183"/>
      <c r="P2771" s="183"/>
      <c r="Q2771" s="183"/>
      <c r="R2771" s="183"/>
      <c r="S2771" s="183"/>
      <c r="T2771" s="183"/>
      <c r="U2771" s="183"/>
      <c r="V2771" s="183"/>
      <c r="W2771" s="183"/>
      <c r="X2771" s="183"/>
      <c r="Y2771" s="183"/>
      <c r="Z2771" s="183"/>
    </row>
    <row r="2772" spans="2:26">
      <c r="B2772" s="191"/>
      <c r="D2772" s="183"/>
      <c r="I2772" s="183"/>
      <c r="J2772" s="183"/>
      <c r="L2772" s="183"/>
      <c r="M2772" s="183"/>
      <c r="N2772" s="183"/>
      <c r="O2772" s="183"/>
      <c r="P2772" s="183"/>
      <c r="Q2772" s="183"/>
      <c r="R2772" s="183"/>
      <c r="S2772" s="183"/>
      <c r="T2772" s="183"/>
      <c r="U2772" s="183"/>
      <c r="V2772" s="183"/>
      <c r="W2772" s="183"/>
      <c r="X2772" s="183"/>
      <c r="Y2772" s="183"/>
      <c r="Z2772" s="183"/>
    </row>
    <row r="2773" spans="2:26">
      <c r="B2773" s="191"/>
      <c r="D2773" s="183"/>
      <c r="I2773" s="183"/>
      <c r="J2773" s="183"/>
      <c r="L2773" s="183"/>
      <c r="M2773" s="183"/>
      <c r="N2773" s="183"/>
      <c r="O2773" s="183"/>
      <c r="P2773" s="183"/>
      <c r="Q2773" s="183"/>
      <c r="R2773" s="183"/>
      <c r="S2773" s="183"/>
      <c r="T2773" s="183"/>
      <c r="U2773" s="183"/>
      <c r="V2773" s="183"/>
      <c r="W2773" s="183"/>
      <c r="X2773" s="183"/>
      <c r="Y2773" s="183"/>
      <c r="Z2773" s="183"/>
    </row>
    <row r="2774" spans="2:26">
      <c r="B2774" s="191"/>
      <c r="D2774" s="183"/>
      <c r="I2774" s="183"/>
      <c r="J2774" s="183"/>
      <c r="L2774" s="183"/>
      <c r="M2774" s="183"/>
      <c r="N2774" s="183"/>
      <c r="O2774" s="183"/>
      <c r="P2774" s="183"/>
      <c r="Q2774" s="183"/>
      <c r="R2774" s="183"/>
      <c r="S2774" s="183"/>
      <c r="T2774" s="183"/>
      <c r="U2774" s="183"/>
      <c r="V2774" s="183"/>
      <c r="W2774" s="183"/>
      <c r="X2774" s="183"/>
      <c r="Y2774" s="183"/>
      <c r="Z2774" s="183"/>
    </row>
    <row r="2775" spans="2:26">
      <c r="B2775" s="191"/>
      <c r="D2775" s="183"/>
      <c r="I2775" s="183"/>
      <c r="J2775" s="183"/>
      <c r="L2775" s="183"/>
      <c r="M2775" s="183"/>
      <c r="N2775" s="183"/>
      <c r="O2775" s="183"/>
      <c r="P2775" s="183"/>
      <c r="Q2775" s="183"/>
      <c r="R2775" s="183"/>
      <c r="S2775" s="183"/>
      <c r="T2775" s="183"/>
      <c r="U2775" s="183"/>
      <c r="V2775" s="183"/>
      <c r="W2775" s="183"/>
      <c r="X2775" s="183"/>
      <c r="Y2775" s="183"/>
      <c r="Z2775" s="183"/>
    </row>
    <row r="2776" spans="2:26">
      <c r="B2776" s="191"/>
      <c r="D2776" s="183"/>
      <c r="I2776" s="183"/>
      <c r="J2776" s="183"/>
      <c r="L2776" s="183"/>
      <c r="M2776" s="183"/>
      <c r="N2776" s="183"/>
      <c r="O2776" s="183"/>
      <c r="P2776" s="183"/>
      <c r="Q2776" s="183"/>
      <c r="R2776" s="183"/>
      <c r="S2776" s="183"/>
      <c r="T2776" s="183"/>
      <c r="U2776" s="183"/>
      <c r="V2776" s="183"/>
      <c r="W2776" s="183"/>
      <c r="X2776" s="183"/>
      <c r="Y2776" s="183"/>
      <c r="Z2776" s="183"/>
    </row>
    <row r="2777" spans="2:26">
      <c r="B2777" s="191"/>
      <c r="D2777" s="183"/>
      <c r="I2777" s="183"/>
      <c r="J2777" s="183"/>
      <c r="L2777" s="183"/>
      <c r="M2777" s="183"/>
      <c r="N2777" s="183"/>
      <c r="O2777" s="183"/>
      <c r="P2777" s="183"/>
      <c r="Q2777" s="183"/>
      <c r="R2777" s="183"/>
      <c r="S2777" s="183"/>
      <c r="T2777" s="183"/>
      <c r="U2777" s="183"/>
      <c r="V2777" s="183"/>
      <c r="W2777" s="183"/>
      <c r="X2777" s="183"/>
      <c r="Y2777" s="183"/>
      <c r="Z2777" s="183"/>
    </row>
    <row r="2778" spans="2:26">
      <c r="B2778" s="191"/>
      <c r="D2778" s="183"/>
      <c r="I2778" s="183"/>
      <c r="J2778" s="183"/>
      <c r="L2778" s="183"/>
      <c r="M2778" s="183"/>
      <c r="N2778" s="183"/>
      <c r="O2778" s="183"/>
      <c r="P2778" s="183"/>
      <c r="Q2778" s="183"/>
      <c r="R2778" s="183"/>
      <c r="S2778" s="183"/>
      <c r="T2778" s="183"/>
      <c r="U2778" s="183"/>
      <c r="V2778" s="183"/>
      <c r="W2778" s="183"/>
      <c r="X2778" s="183"/>
      <c r="Y2778" s="183"/>
      <c r="Z2778" s="183"/>
    </row>
    <row r="2779" spans="2:26">
      <c r="B2779" s="191"/>
      <c r="D2779" s="183"/>
      <c r="I2779" s="183"/>
      <c r="J2779" s="183"/>
      <c r="L2779" s="183"/>
      <c r="M2779" s="183"/>
      <c r="N2779" s="183"/>
      <c r="O2779" s="183"/>
      <c r="P2779" s="183"/>
      <c r="Q2779" s="183"/>
      <c r="R2779" s="183"/>
      <c r="S2779" s="183"/>
      <c r="T2779" s="183"/>
      <c r="U2779" s="183"/>
      <c r="V2779" s="183"/>
      <c r="W2779" s="183"/>
      <c r="X2779" s="183"/>
      <c r="Y2779" s="183"/>
      <c r="Z2779" s="183"/>
    </row>
    <row r="2780" spans="2:26">
      <c r="B2780" s="191"/>
      <c r="D2780" s="183"/>
      <c r="I2780" s="183"/>
      <c r="J2780" s="183"/>
      <c r="L2780" s="183"/>
      <c r="M2780" s="183"/>
      <c r="N2780" s="183"/>
      <c r="O2780" s="183"/>
      <c r="P2780" s="183"/>
      <c r="Q2780" s="183"/>
      <c r="R2780" s="183"/>
      <c r="S2780" s="183"/>
      <c r="T2780" s="183"/>
      <c r="U2780" s="183"/>
      <c r="V2780" s="183"/>
      <c r="W2780" s="183"/>
      <c r="X2780" s="183"/>
      <c r="Y2780" s="183"/>
      <c r="Z2780" s="183"/>
    </row>
    <row r="2781" spans="2:26">
      <c r="B2781" s="191"/>
      <c r="D2781" s="183"/>
      <c r="I2781" s="183"/>
      <c r="J2781" s="183"/>
      <c r="L2781" s="183"/>
      <c r="M2781" s="183"/>
      <c r="N2781" s="183"/>
      <c r="O2781" s="183"/>
      <c r="P2781" s="183"/>
      <c r="Q2781" s="183"/>
      <c r="R2781" s="183"/>
      <c r="S2781" s="183"/>
      <c r="T2781" s="183"/>
      <c r="U2781" s="183"/>
      <c r="V2781" s="183"/>
      <c r="W2781" s="183"/>
      <c r="X2781" s="183"/>
      <c r="Y2781" s="183"/>
      <c r="Z2781" s="183"/>
    </row>
    <row r="2782" spans="2:26">
      <c r="B2782" s="191"/>
      <c r="D2782" s="183"/>
      <c r="I2782" s="183"/>
      <c r="J2782" s="183"/>
      <c r="L2782" s="183"/>
      <c r="M2782" s="183"/>
      <c r="N2782" s="183"/>
      <c r="O2782" s="183"/>
      <c r="P2782" s="183"/>
      <c r="Q2782" s="183"/>
      <c r="R2782" s="183"/>
      <c r="S2782" s="183"/>
      <c r="T2782" s="183"/>
      <c r="U2782" s="183"/>
      <c r="V2782" s="183"/>
      <c r="W2782" s="183"/>
      <c r="X2782" s="183"/>
      <c r="Y2782" s="183"/>
      <c r="Z2782" s="183"/>
    </row>
    <row r="2783" spans="2:26">
      <c r="B2783" s="191"/>
      <c r="D2783" s="183"/>
      <c r="I2783" s="183"/>
      <c r="J2783" s="183"/>
      <c r="L2783" s="183"/>
      <c r="M2783" s="183"/>
      <c r="N2783" s="183"/>
      <c r="O2783" s="183"/>
      <c r="P2783" s="183"/>
      <c r="Q2783" s="183"/>
      <c r="R2783" s="183"/>
      <c r="S2783" s="183"/>
      <c r="T2783" s="183"/>
      <c r="U2783" s="183"/>
      <c r="V2783" s="183"/>
      <c r="W2783" s="183"/>
      <c r="X2783" s="183"/>
      <c r="Y2783" s="183"/>
      <c r="Z2783" s="183"/>
    </row>
    <row r="2784" spans="2:26">
      <c r="B2784" s="191"/>
      <c r="D2784" s="183"/>
      <c r="I2784" s="183"/>
      <c r="J2784" s="183"/>
      <c r="L2784" s="183"/>
      <c r="M2784" s="183"/>
      <c r="N2784" s="183"/>
      <c r="O2784" s="183"/>
      <c r="P2784" s="183"/>
      <c r="Q2784" s="183"/>
      <c r="R2784" s="183"/>
      <c r="S2784" s="183"/>
      <c r="T2784" s="183"/>
      <c r="U2784" s="183"/>
      <c r="V2784" s="183"/>
      <c r="W2784" s="183"/>
      <c r="X2784" s="183"/>
      <c r="Y2784" s="183"/>
      <c r="Z2784" s="183"/>
    </row>
    <row r="2785" spans="2:26">
      <c r="B2785" s="191"/>
      <c r="D2785" s="183"/>
      <c r="I2785" s="183"/>
      <c r="J2785" s="183"/>
      <c r="L2785" s="183"/>
      <c r="M2785" s="183"/>
      <c r="N2785" s="183"/>
      <c r="O2785" s="183"/>
      <c r="P2785" s="183"/>
      <c r="Q2785" s="183"/>
      <c r="R2785" s="183"/>
      <c r="S2785" s="183"/>
      <c r="T2785" s="183"/>
      <c r="U2785" s="183"/>
      <c r="V2785" s="183"/>
      <c r="W2785" s="183"/>
      <c r="X2785" s="183"/>
      <c r="Y2785" s="183"/>
      <c r="Z2785" s="183"/>
    </row>
    <row r="2786" spans="2:26">
      <c r="B2786" s="191"/>
      <c r="D2786" s="183"/>
      <c r="I2786" s="183"/>
      <c r="J2786" s="183"/>
      <c r="L2786" s="183"/>
      <c r="M2786" s="183"/>
      <c r="N2786" s="183"/>
      <c r="O2786" s="183"/>
      <c r="P2786" s="183"/>
      <c r="Q2786" s="183"/>
      <c r="R2786" s="183"/>
      <c r="S2786" s="183"/>
      <c r="T2786" s="183"/>
      <c r="U2786" s="183"/>
      <c r="V2786" s="183"/>
      <c r="W2786" s="183"/>
      <c r="X2786" s="183"/>
      <c r="Y2786" s="183"/>
      <c r="Z2786" s="183"/>
    </row>
    <row r="2787" spans="2:26">
      <c r="B2787" s="191"/>
      <c r="D2787" s="183"/>
      <c r="I2787" s="183"/>
      <c r="J2787" s="183"/>
      <c r="L2787" s="183"/>
      <c r="M2787" s="183"/>
      <c r="N2787" s="183"/>
      <c r="O2787" s="183"/>
      <c r="P2787" s="183"/>
      <c r="Q2787" s="183"/>
      <c r="R2787" s="183"/>
      <c r="S2787" s="183"/>
      <c r="T2787" s="183"/>
      <c r="U2787" s="183"/>
      <c r="V2787" s="183"/>
      <c r="W2787" s="183"/>
      <c r="X2787" s="183"/>
      <c r="Y2787" s="183"/>
      <c r="Z2787" s="183"/>
    </row>
    <row r="2788" spans="2:26">
      <c r="B2788" s="191"/>
      <c r="D2788" s="183"/>
      <c r="I2788" s="183"/>
      <c r="J2788" s="183"/>
      <c r="L2788" s="183"/>
      <c r="M2788" s="183"/>
      <c r="N2788" s="183"/>
      <c r="O2788" s="183"/>
      <c r="P2788" s="183"/>
      <c r="Q2788" s="183"/>
      <c r="R2788" s="183"/>
      <c r="S2788" s="183"/>
      <c r="T2788" s="183"/>
      <c r="U2788" s="183"/>
      <c r="V2788" s="183"/>
      <c r="W2788" s="183"/>
      <c r="X2788" s="183"/>
      <c r="Y2788" s="183"/>
      <c r="Z2788" s="183"/>
    </row>
    <row r="2789" spans="2:26">
      <c r="B2789" s="191"/>
      <c r="D2789" s="183"/>
      <c r="I2789" s="183"/>
      <c r="J2789" s="183"/>
      <c r="L2789" s="183"/>
      <c r="M2789" s="183"/>
      <c r="N2789" s="183"/>
      <c r="O2789" s="183"/>
      <c r="P2789" s="183"/>
      <c r="Q2789" s="183"/>
      <c r="R2789" s="183"/>
      <c r="S2789" s="183"/>
      <c r="T2789" s="183"/>
      <c r="U2789" s="183"/>
      <c r="V2789" s="183"/>
      <c r="W2789" s="183"/>
      <c r="X2789" s="183"/>
      <c r="Y2789" s="183"/>
      <c r="Z2789" s="183"/>
    </row>
    <row r="2790" spans="2:26">
      <c r="B2790" s="191"/>
      <c r="D2790" s="183"/>
      <c r="I2790" s="183"/>
      <c r="J2790" s="183"/>
      <c r="L2790" s="183"/>
      <c r="M2790" s="183"/>
      <c r="N2790" s="183"/>
      <c r="O2790" s="183"/>
      <c r="P2790" s="183"/>
      <c r="Q2790" s="183"/>
      <c r="R2790" s="183"/>
      <c r="S2790" s="183"/>
      <c r="T2790" s="183"/>
      <c r="U2790" s="183"/>
      <c r="V2790" s="183"/>
      <c r="W2790" s="183"/>
      <c r="X2790" s="183"/>
      <c r="Y2790" s="183"/>
      <c r="Z2790" s="183"/>
    </row>
    <row r="2791" spans="2:26">
      <c r="B2791" s="191"/>
      <c r="D2791" s="183"/>
      <c r="I2791" s="183"/>
      <c r="J2791" s="183"/>
      <c r="L2791" s="183"/>
      <c r="M2791" s="183"/>
      <c r="N2791" s="183"/>
      <c r="O2791" s="183"/>
      <c r="P2791" s="183"/>
      <c r="Q2791" s="183"/>
      <c r="R2791" s="183"/>
      <c r="S2791" s="183"/>
      <c r="T2791" s="183"/>
      <c r="U2791" s="183"/>
      <c r="V2791" s="183"/>
      <c r="W2791" s="183"/>
      <c r="X2791" s="183"/>
      <c r="Y2791" s="183"/>
      <c r="Z2791" s="183"/>
    </row>
    <row r="2792" spans="2:26">
      <c r="B2792" s="191"/>
      <c r="D2792" s="183"/>
      <c r="I2792" s="183"/>
      <c r="J2792" s="183"/>
      <c r="L2792" s="183"/>
      <c r="M2792" s="183"/>
      <c r="N2792" s="183"/>
      <c r="O2792" s="183"/>
      <c r="P2792" s="183"/>
      <c r="Q2792" s="183"/>
      <c r="R2792" s="183"/>
      <c r="S2792" s="183"/>
      <c r="T2792" s="183"/>
      <c r="U2792" s="183"/>
      <c r="V2792" s="183"/>
      <c r="W2792" s="183"/>
      <c r="X2792" s="183"/>
      <c r="Y2792" s="183"/>
      <c r="Z2792" s="183"/>
    </row>
    <row r="2793" spans="2:26">
      <c r="B2793" s="191"/>
      <c r="D2793" s="183"/>
      <c r="I2793" s="183"/>
      <c r="J2793" s="183"/>
      <c r="L2793" s="183"/>
      <c r="M2793" s="183"/>
      <c r="N2793" s="183"/>
      <c r="O2793" s="183"/>
      <c r="P2793" s="183"/>
      <c r="Q2793" s="183"/>
      <c r="R2793" s="183"/>
      <c r="S2793" s="183"/>
      <c r="T2793" s="183"/>
      <c r="U2793" s="183"/>
      <c r="V2793" s="183"/>
      <c r="W2793" s="183"/>
      <c r="X2793" s="183"/>
      <c r="Y2793" s="183"/>
      <c r="Z2793" s="183"/>
    </row>
    <row r="2794" spans="2:26">
      <c r="B2794" s="191"/>
      <c r="D2794" s="183"/>
      <c r="I2794" s="183"/>
      <c r="J2794" s="183"/>
      <c r="L2794" s="183"/>
      <c r="M2794" s="183"/>
      <c r="N2794" s="183"/>
      <c r="O2794" s="183"/>
      <c r="P2794" s="183"/>
      <c r="Q2794" s="183"/>
      <c r="R2794" s="183"/>
      <c r="S2794" s="183"/>
      <c r="T2794" s="183"/>
      <c r="U2794" s="183"/>
      <c r="V2794" s="183"/>
      <c r="W2794" s="183"/>
      <c r="X2794" s="183"/>
      <c r="Y2794" s="183"/>
      <c r="Z2794" s="183"/>
    </row>
    <row r="2795" spans="2:26">
      <c r="B2795" s="191"/>
      <c r="D2795" s="183"/>
      <c r="I2795" s="183"/>
      <c r="J2795" s="183"/>
      <c r="L2795" s="183"/>
      <c r="M2795" s="183"/>
      <c r="N2795" s="183"/>
      <c r="O2795" s="183"/>
      <c r="P2795" s="183"/>
      <c r="Q2795" s="183"/>
      <c r="R2795" s="183"/>
      <c r="S2795" s="183"/>
      <c r="T2795" s="183"/>
      <c r="U2795" s="183"/>
      <c r="V2795" s="183"/>
      <c r="W2795" s="183"/>
      <c r="X2795" s="183"/>
      <c r="Y2795" s="183"/>
      <c r="Z2795" s="183"/>
    </row>
    <row r="2796" spans="2:26">
      <c r="B2796" s="191"/>
      <c r="D2796" s="183"/>
      <c r="I2796" s="183"/>
      <c r="J2796" s="183"/>
      <c r="L2796" s="183"/>
      <c r="M2796" s="183"/>
      <c r="N2796" s="183"/>
      <c r="O2796" s="183"/>
      <c r="P2796" s="183"/>
      <c r="Q2796" s="183"/>
      <c r="R2796" s="183"/>
      <c r="S2796" s="183"/>
      <c r="T2796" s="183"/>
      <c r="U2796" s="183"/>
      <c r="V2796" s="183"/>
      <c r="W2796" s="183"/>
      <c r="X2796" s="183"/>
      <c r="Y2796" s="183"/>
      <c r="Z2796" s="183"/>
    </row>
    <row r="2797" spans="2:26">
      <c r="B2797" s="191"/>
      <c r="D2797" s="183"/>
      <c r="I2797" s="183"/>
      <c r="J2797" s="183"/>
      <c r="L2797" s="183"/>
      <c r="M2797" s="183"/>
      <c r="N2797" s="183"/>
      <c r="O2797" s="183"/>
      <c r="P2797" s="183"/>
      <c r="Q2797" s="183"/>
      <c r="R2797" s="183"/>
      <c r="S2797" s="183"/>
      <c r="T2797" s="183"/>
      <c r="U2797" s="183"/>
      <c r="V2797" s="183"/>
      <c r="W2797" s="183"/>
      <c r="X2797" s="183"/>
      <c r="Y2797" s="183"/>
      <c r="Z2797" s="183"/>
    </row>
    <row r="2798" spans="2:26">
      <c r="B2798" s="191"/>
      <c r="D2798" s="183"/>
      <c r="I2798" s="183"/>
      <c r="J2798" s="183"/>
      <c r="L2798" s="183"/>
      <c r="M2798" s="183"/>
      <c r="N2798" s="183"/>
      <c r="O2798" s="183"/>
      <c r="P2798" s="183"/>
      <c r="Q2798" s="183"/>
      <c r="R2798" s="183"/>
      <c r="S2798" s="183"/>
      <c r="T2798" s="183"/>
      <c r="U2798" s="183"/>
      <c r="V2798" s="183"/>
      <c r="W2798" s="183"/>
      <c r="X2798" s="183"/>
      <c r="Y2798" s="183"/>
      <c r="Z2798" s="183"/>
    </row>
    <row r="2799" spans="2:26">
      <c r="B2799" s="191"/>
      <c r="D2799" s="183"/>
      <c r="I2799" s="183"/>
      <c r="J2799" s="183"/>
      <c r="L2799" s="183"/>
      <c r="M2799" s="183"/>
      <c r="N2799" s="183"/>
      <c r="O2799" s="183"/>
      <c r="P2799" s="183"/>
      <c r="Q2799" s="183"/>
      <c r="R2799" s="183"/>
      <c r="S2799" s="183"/>
      <c r="T2799" s="183"/>
      <c r="U2799" s="183"/>
      <c r="V2799" s="183"/>
      <c r="W2799" s="183"/>
      <c r="X2799" s="183"/>
      <c r="Y2799" s="183"/>
      <c r="Z2799" s="183"/>
    </row>
    <row r="2800" spans="2:26">
      <c r="B2800" s="191"/>
      <c r="D2800" s="183"/>
      <c r="I2800" s="183"/>
      <c r="J2800" s="183"/>
      <c r="L2800" s="183"/>
      <c r="M2800" s="183"/>
      <c r="N2800" s="183"/>
      <c r="O2800" s="183"/>
      <c r="P2800" s="183"/>
      <c r="Q2800" s="183"/>
      <c r="R2800" s="183"/>
      <c r="S2800" s="183"/>
      <c r="T2800" s="183"/>
      <c r="U2800" s="183"/>
      <c r="V2800" s="183"/>
      <c r="W2800" s="183"/>
      <c r="X2800" s="183"/>
      <c r="Y2800" s="183"/>
      <c r="Z2800" s="183"/>
    </row>
    <row r="2801" spans="2:26">
      <c r="B2801" s="191"/>
      <c r="D2801" s="183"/>
      <c r="I2801" s="183"/>
      <c r="J2801" s="183"/>
      <c r="L2801" s="183"/>
      <c r="M2801" s="183"/>
      <c r="N2801" s="183"/>
      <c r="O2801" s="183"/>
      <c r="P2801" s="183"/>
      <c r="Q2801" s="183"/>
      <c r="R2801" s="183"/>
      <c r="S2801" s="183"/>
      <c r="T2801" s="183"/>
      <c r="U2801" s="183"/>
      <c r="V2801" s="183"/>
      <c r="W2801" s="183"/>
      <c r="X2801" s="183"/>
      <c r="Y2801" s="183"/>
      <c r="Z2801" s="183"/>
    </row>
    <row r="2802" spans="2:26">
      <c r="B2802" s="191"/>
      <c r="D2802" s="183"/>
      <c r="I2802" s="183"/>
      <c r="J2802" s="183"/>
      <c r="L2802" s="183"/>
      <c r="M2802" s="183"/>
      <c r="N2802" s="183"/>
      <c r="O2802" s="183"/>
      <c r="P2802" s="183"/>
      <c r="Q2802" s="183"/>
      <c r="R2802" s="183"/>
      <c r="S2802" s="183"/>
      <c r="T2802" s="183"/>
      <c r="U2802" s="183"/>
      <c r="V2802" s="183"/>
      <c r="W2802" s="183"/>
      <c r="X2802" s="183"/>
      <c r="Y2802" s="183"/>
      <c r="Z2802" s="183"/>
    </row>
    <row r="2803" spans="2:26">
      <c r="B2803" s="191"/>
      <c r="D2803" s="183"/>
      <c r="I2803" s="183"/>
      <c r="J2803" s="183"/>
      <c r="L2803" s="183"/>
      <c r="M2803" s="183"/>
      <c r="N2803" s="183"/>
      <c r="O2803" s="183"/>
      <c r="P2803" s="183"/>
      <c r="Q2803" s="183"/>
      <c r="R2803" s="183"/>
      <c r="S2803" s="183"/>
      <c r="T2803" s="183"/>
      <c r="U2803" s="183"/>
      <c r="V2803" s="183"/>
      <c r="W2803" s="183"/>
      <c r="X2803" s="183"/>
      <c r="Y2803" s="183"/>
      <c r="Z2803" s="183"/>
    </row>
    <row r="2804" spans="2:26">
      <c r="B2804" s="191"/>
      <c r="D2804" s="183"/>
      <c r="I2804" s="183"/>
      <c r="J2804" s="183"/>
      <c r="L2804" s="183"/>
      <c r="M2804" s="183"/>
      <c r="N2804" s="183"/>
      <c r="O2804" s="183"/>
      <c r="P2804" s="183"/>
      <c r="Q2804" s="183"/>
      <c r="R2804" s="183"/>
      <c r="S2804" s="183"/>
      <c r="T2804" s="183"/>
      <c r="U2804" s="183"/>
      <c r="V2804" s="183"/>
      <c r="W2804" s="183"/>
      <c r="X2804" s="183"/>
      <c r="Y2804" s="183"/>
      <c r="Z2804" s="183"/>
    </row>
    <row r="2805" spans="2:26">
      <c r="B2805" s="191"/>
      <c r="D2805" s="183"/>
      <c r="I2805" s="183"/>
      <c r="J2805" s="183"/>
      <c r="L2805" s="183"/>
      <c r="M2805" s="183"/>
      <c r="N2805" s="183"/>
      <c r="O2805" s="183"/>
      <c r="P2805" s="183"/>
      <c r="Q2805" s="183"/>
      <c r="R2805" s="183"/>
      <c r="S2805" s="183"/>
      <c r="T2805" s="183"/>
      <c r="U2805" s="183"/>
      <c r="V2805" s="183"/>
      <c r="W2805" s="183"/>
      <c r="X2805" s="183"/>
      <c r="Y2805" s="183"/>
      <c r="Z2805" s="183"/>
    </row>
    <row r="2806" spans="2:26">
      <c r="B2806" s="191"/>
      <c r="D2806" s="183"/>
      <c r="I2806" s="183"/>
      <c r="J2806" s="183"/>
      <c r="L2806" s="183"/>
      <c r="M2806" s="183"/>
      <c r="N2806" s="183"/>
      <c r="O2806" s="183"/>
      <c r="P2806" s="183"/>
      <c r="Q2806" s="183"/>
      <c r="R2806" s="183"/>
      <c r="S2806" s="183"/>
      <c r="T2806" s="183"/>
      <c r="U2806" s="183"/>
      <c r="V2806" s="183"/>
      <c r="W2806" s="183"/>
      <c r="X2806" s="183"/>
      <c r="Y2806" s="183"/>
      <c r="Z2806" s="183"/>
    </row>
    <row r="2807" spans="2:26">
      <c r="B2807" s="191"/>
      <c r="D2807" s="183"/>
      <c r="I2807" s="183"/>
      <c r="J2807" s="183"/>
      <c r="L2807" s="183"/>
      <c r="M2807" s="183"/>
      <c r="N2807" s="183"/>
      <c r="O2807" s="183"/>
      <c r="P2807" s="183"/>
      <c r="Q2807" s="183"/>
      <c r="R2807" s="183"/>
      <c r="S2807" s="183"/>
      <c r="T2807" s="183"/>
      <c r="U2807" s="183"/>
      <c r="V2807" s="183"/>
      <c r="W2807" s="183"/>
      <c r="X2807" s="183"/>
      <c r="Y2807" s="183"/>
      <c r="Z2807" s="183"/>
    </row>
    <row r="2808" spans="2:26">
      <c r="B2808" s="191"/>
      <c r="D2808" s="183"/>
      <c r="I2808" s="183"/>
      <c r="J2808" s="183"/>
      <c r="L2808" s="183"/>
      <c r="M2808" s="183"/>
      <c r="N2808" s="183"/>
      <c r="O2808" s="183"/>
      <c r="P2808" s="183"/>
      <c r="Q2808" s="183"/>
      <c r="R2808" s="183"/>
      <c r="S2808" s="183"/>
      <c r="T2808" s="183"/>
      <c r="U2808" s="183"/>
      <c r="V2808" s="183"/>
      <c r="W2808" s="183"/>
      <c r="X2808" s="183"/>
      <c r="Y2808" s="183"/>
      <c r="Z2808" s="183"/>
    </row>
    <row r="2809" spans="2:26">
      <c r="B2809" s="191"/>
      <c r="D2809" s="183"/>
      <c r="I2809" s="183"/>
      <c r="J2809" s="183"/>
      <c r="L2809" s="183"/>
      <c r="M2809" s="183"/>
      <c r="N2809" s="183"/>
      <c r="O2809" s="183"/>
      <c r="P2809" s="183"/>
      <c r="Q2809" s="183"/>
      <c r="R2809" s="183"/>
      <c r="S2809" s="183"/>
      <c r="T2809" s="183"/>
      <c r="U2809" s="183"/>
      <c r="V2809" s="183"/>
      <c r="W2809" s="183"/>
      <c r="X2809" s="183"/>
      <c r="Y2809" s="183"/>
      <c r="Z2809" s="183"/>
    </row>
    <row r="2810" spans="2:26">
      <c r="B2810" s="191"/>
      <c r="D2810" s="183"/>
      <c r="I2810" s="183"/>
      <c r="J2810" s="183"/>
      <c r="L2810" s="183"/>
      <c r="M2810" s="183"/>
      <c r="N2810" s="183"/>
      <c r="O2810" s="183"/>
      <c r="P2810" s="183"/>
      <c r="Q2810" s="183"/>
      <c r="R2810" s="183"/>
      <c r="S2810" s="183"/>
      <c r="T2810" s="183"/>
      <c r="U2810" s="183"/>
      <c r="V2810" s="183"/>
      <c r="W2810" s="183"/>
      <c r="X2810" s="183"/>
      <c r="Y2810" s="183"/>
      <c r="Z2810" s="183"/>
    </row>
    <row r="2811" spans="2:26">
      <c r="B2811" s="191"/>
      <c r="D2811" s="183"/>
      <c r="I2811" s="183"/>
      <c r="J2811" s="183"/>
      <c r="L2811" s="183"/>
      <c r="M2811" s="183"/>
      <c r="N2811" s="183"/>
      <c r="O2811" s="183"/>
      <c r="P2811" s="183"/>
      <c r="Q2811" s="183"/>
      <c r="R2811" s="183"/>
      <c r="S2811" s="183"/>
      <c r="T2811" s="183"/>
      <c r="U2811" s="183"/>
      <c r="V2811" s="183"/>
      <c r="W2811" s="183"/>
      <c r="X2811" s="183"/>
      <c r="Y2811" s="183"/>
      <c r="Z2811" s="183"/>
    </row>
    <row r="2812" spans="2:26">
      <c r="B2812" s="191"/>
      <c r="D2812" s="183"/>
      <c r="I2812" s="183"/>
      <c r="J2812" s="183"/>
      <c r="L2812" s="183"/>
      <c r="M2812" s="183"/>
      <c r="N2812" s="183"/>
      <c r="O2812" s="183"/>
      <c r="P2812" s="183"/>
      <c r="Q2812" s="183"/>
      <c r="R2812" s="183"/>
      <c r="S2812" s="183"/>
      <c r="T2812" s="183"/>
      <c r="U2812" s="183"/>
      <c r="V2812" s="183"/>
      <c r="W2812" s="183"/>
      <c r="X2812" s="183"/>
      <c r="Y2812" s="183"/>
      <c r="Z2812" s="183"/>
    </row>
    <row r="2813" spans="2:26">
      <c r="B2813" s="191"/>
      <c r="D2813" s="183"/>
      <c r="I2813" s="183"/>
      <c r="J2813" s="183"/>
      <c r="L2813" s="183"/>
      <c r="M2813" s="183"/>
      <c r="N2813" s="183"/>
      <c r="O2813" s="183"/>
      <c r="P2813" s="183"/>
      <c r="Q2813" s="183"/>
      <c r="R2813" s="183"/>
      <c r="S2813" s="183"/>
      <c r="T2813" s="183"/>
      <c r="U2813" s="183"/>
      <c r="V2813" s="183"/>
      <c r="W2813" s="183"/>
      <c r="X2813" s="183"/>
      <c r="Y2813" s="183"/>
      <c r="Z2813" s="183"/>
    </row>
    <row r="2814" spans="2:26">
      <c r="B2814" s="191"/>
      <c r="D2814" s="183"/>
      <c r="I2814" s="183"/>
      <c r="J2814" s="183"/>
      <c r="L2814" s="183"/>
      <c r="M2814" s="183"/>
      <c r="N2814" s="183"/>
      <c r="O2814" s="183"/>
      <c r="P2814" s="183"/>
      <c r="Q2814" s="183"/>
      <c r="R2814" s="183"/>
      <c r="S2814" s="183"/>
      <c r="T2814" s="183"/>
      <c r="U2814" s="183"/>
      <c r="V2814" s="183"/>
      <c r="W2814" s="183"/>
      <c r="X2814" s="183"/>
      <c r="Y2814" s="183"/>
      <c r="Z2814" s="183"/>
    </row>
    <row r="2815" spans="2:26">
      <c r="B2815" s="191"/>
      <c r="D2815" s="183"/>
      <c r="I2815" s="183"/>
      <c r="J2815" s="183"/>
      <c r="L2815" s="183"/>
      <c r="M2815" s="183"/>
      <c r="N2815" s="183"/>
      <c r="O2815" s="183"/>
      <c r="P2815" s="183"/>
      <c r="Q2815" s="183"/>
      <c r="R2815" s="183"/>
      <c r="S2815" s="183"/>
      <c r="T2815" s="183"/>
      <c r="U2815" s="183"/>
      <c r="V2815" s="183"/>
      <c r="W2815" s="183"/>
      <c r="X2815" s="183"/>
      <c r="Y2815" s="183"/>
      <c r="Z2815" s="183"/>
    </row>
    <row r="2816" spans="2:26">
      <c r="B2816" s="191"/>
      <c r="D2816" s="183"/>
      <c r="I2816" s="183"/>
      <c r="J2816" s="183"/>
      <c r="L2816" s="183"/>
      <c r="M2816" s="183"/>
      <c r="N2816" s="183"/>
      <c r="O2816" s="183"/>
      <c r="P2816" s="183"/>
      <c r="Q2816" s="183"/>
      <c r="R2816" s="183"/>
      <c r="S2816" s="183"/>
      <c r="T2816" s="183"/>
      <c r="U2816" s="183"/>
      <c r="V2816" s="183"/>
      <c r="W2816" s="183"/>
      <c r="X2816" s="183"/>
      <c r="Y2816" s="183"/>
      <c r="Z2816" s="183"/>
    </row>
    <row r="2817" spans="2:26">
      <c r="B2817" s="191"/>
      <c r="D2817" s="183"/>
      <c r="I2817" s="183"/>
      <c r="J2817" s="183"/>
      <c r="L2817" s="183"/>
      <c r="M2817" s="183"/>
      <c r="N2817" s="183"/>
      <c r="O2817" s="183"/>
      <c r="P2817" s="183"/>
      <c r="Q2817" s="183"/>
      <c r="R2817" s="183"/>
      <c r="S2817" s="183"/>
      <c r="T2817" s="183"/>
      <c r="U2817" s="183"/>
      <c r="V2817" s="183"/>
      <c r="W2817" s="183"/>
      <c r="X2817" s="183"/>
      <c r="Y2817" s="183"/>
      <c r="Z2817" s="183"/>
    </row>
    <row r="2818" spans="2:26">
      <c r="B2818" s="191"/>
      <c r="D2818" s="183"/>
      <c r="I2818" s="183"/>
      <c r="J2818" s="183"/>
      <c r="L2818" s="183"/>
      <c r="M2818" s="183"/>
      <c r="N2818" s="183"/>
      <c r="O2818" s="183"/>
      <c r="P2818" s="183"/>
      <c r="Q2818" s="183"/>
      <c r="R2818" s="183"/>
      <c r="S2818" s="183"/>
      <c r="T2818" s="183"/>
      <c r="U2818" s="183"/>
      <c r="V2818" s="183"/>
      <c r="W2818" s="183"/>
      <c r="X2818" s="183"/>
      <c r="Y2818" s="183"/>
      <c r="Z2818" s="183"/>
    </row>
    <row r="2819" spans="2:26">
      <c r="B2819" s="191"/>
      <c r="D2819" s="183"/>
      <c r="I2819" s="183"/>
      <c r="J2819" s="183"/>
      <c r="L2819" s="183"/>
      <c r="M2819" s="183"/>
      <c r="N2819" s="183"/>
      <c r="O2819" s="183"/>
      <c r="P2819" s="183"/>
      <c r="Q2819" s="183"/>
      <c r="R2819" s="183"/>
      <c r="S2819" s="183"/>
      <c r="T2819" s="183"/>
      <c r="U2819" s="183"/>
      <c r="V2819" s="183"/>
      <c r="W2819" s="183"/>
      <c r="X2819" s="183"/>
      <c r="Y2819" s="183"/>
      <c r="Z2819" s="183"/>
    </row>
    <row r="2820" spans="2:26">
      <c r="B2820" s="191"/>
      <c r="D2820" s="183"/>
      <c r="I2820" s="183"/>
      <c r="J2820" s="183"/>
      <c r="L2820" s="183"/>
      <c r="M2820" s="183"/>
      <c r="N2820" s="183"/>
      <c r="O2820" s="183"/>
      <c r="P2820" s="183"/>
      <c r="Q2820" s="183"/>
      <c r="R2820" s="183"/>
      <c r="S2820" s="183"/>
      <c r="T2820" s="183"/>
      <c r="U2820" s="183"/>
      <c r="V2820" s="183"/>
      <c r="W2820" s="183"/>
      <c r="X2820" s="183"/>
      <c r="Y2820" s="183"/>
      <c r="Z2820" s="183"/>
    </row>
    <row r="2821" spans="2:26">
      <c r="B2821" s="191"/>
      <c r="D2821" s="183"/>
      <c r="I2821" s="183"/>
      <c r="J2821" s="183"/>
      <c r="L2821" s="183"/>
      <c r="M2821" s="183"/>
      <c r="N2821" s="183"/>
      <c r="O2821" s="183"/>
      <c r="P2821" s="183"/>
      <c r="Q2821" s="183"/>
      <c r="R2821" s="183"/>
      <c r="S2821" s="183"/>
      <c r="T2821" s="183"/>
      <c r="U2821" s="183"/>
      <c r="V2821" s="183"/>
      <c r="W2821" s="183"/>
      <c r="X2821" s="183"/>
      <c r="Y2821" s="183"/>
      <c r="Z2821" s="183"/>
    </row>
    <row r="2822" spans="2:26">
      <c r="B2822" s="191"/>
      <c r="D2822" s="183"/>
      <c r="I2822" s="183"/>
      <c r="J2822" s="183"/>
      <c r="L2822" s="183"/>
      <c r="M2822" s="183"/>
      <c r="N2822" s="183"/>
      <c r="O2822" s="183"/>
      <c r="P2822" s="183"/>
      <c r="Q2822" s="183"/>
      <c r="R2822" s="183"/>
      <c r="S2822" s="183"/>
      <c r="T2822" s="183"/>
      <c r="U2822" s="183"/>
      <c r="V2822" s="183"/>
      <c r="W2822" s="183"/>
      <c r="X2822" s="183"/>
      <c r="Y2822" s="183"/>
      <c r="Z2822" s="183"/>
    </row>
    <row r="2823" spans="2:26">
      <c r="B2823" s="191"/>
      <c r="D2823" s="183"/>
      <c r="I2823" s="183"/>
      <c r="J2823" s="183"/>
      <c r="L2823" s="183"/>
      <c r="M2823" s="183"/>
      <c r="N2823" s="183"/>
      <c r="O2823" s="183"/>
      <c r="P2823" s="183"/>
      <c r="Q2823" s="183"/>
      <c r="R2823" s="183"/>
      <c r="S2823" s="183"/>
      <c r="T2823" s="183"/>
      <c r="U2823" s="183"/>
      <c r="V2823" s="183"/>
      <c r="W2823" s="183"/>
      <c r="X2823" s="183"/>
      <c r="Y2823" s="183"/>
      <c r="Z2823" s="183"/>
    </row>
    <row r="2824" spans="2:26">
      <c r="B2824" s="191"/>
      <c r="D2824" s="183"/>
      <c r="I2824" s="183"/>
      <c r="J2824" s="183"/>
      <c r="L2824" s="183"/>
      <c r="M2824" s="183"/>
      <c r="N2824" s="183"/>
      <c r="O2824" s="183"/>
      <c r="P2824" s="183"/>
      <c r="Q2824" s="183"/>
      <c r="R2824" s="183"/>
      <c r="S2824" s="183"/>
      <c r="T2824" s="183"/>
      <c r="U2824" s="183"/>
      <c r="V2824" s="183"/>
      <c r="W2824" s="183"/>
      <c r="X2824" s="183"/>
      <c r="Y2824" s="183"/>
      <c r="Z2824" s="183"/>
    </row>
    <row r="2825" spans="2:26">
      <c r="B2825" s="191"/>
      <c r="D2825" s="183"/>
      <c r="I2825" s="183"/>
      <c r="J2825" s="183"/>
      <c r="L2825" s="183"/>
      <c r="M2825" s="183"/>
      <c r="N2825" s="183"/>
      <c r="O2825" s="183"/>
      <c r="P2825" s="183"/>
      <c r="Q2825" s="183"/>
      <c r="R2825" s="183"/>
      <c r="S2825" s="183"/>
      <c r="T2825" s="183"/>
      <c r="U2825" s="183"/>
      <c r="V2825" s="183"/>
      <c r="W2825" s="183"/>
      <c r="X2825" s="183"/>
      <c r="Y2825" s="183"/>
      <c r="Z2825" s="183"/>
    </row>
    <row r="2826" spans="2:26">
      <c r="B2826" s="191"/>
      <c r="D2826" s="183"/>
      <c r="I2826" s="183"/>
      <c r="J2826" s="183"/>
      <c r="L2826" s="183"/>
      <c r="M2826" s="183"/>
      <c r="N2826" s="183"/>
      <c r="O2826" s="183"/>
      <c r="P2826" s="183"/>
      <c r="Q2826" s="183"/>
      <c r="R2826" s="183"/>
      <c r="S2826" s="183"/>
      <c r="T2826" s="183"/>
      <c r="U2826" s="183"/>
      <c r="V2826" s="183"/>
      <c r="W2826" s="183"/>
      <c r="X2826" s="183"/>
      <c r="Y2826" s="183"/>
      <c r="Z2826" s="183"/>
    </row>
    <row r="2827" spans="2:26">
      <c r="B2827" s="191"/>
      <c r="D2827" s="183"/>
      <c r="I2827" s="183"/>
      <c r="J2827" s="183"/>
      <c r="L2827" s="183"/>
      <c r="M2827" s="183"/>
      <c r="N2827" s="183"/>
      <c r="O2827" s="183"/>
      <c r="P2827" s="183"/>
      <c r="Q2827" s="183"/>
      <c r="R2827" s="183"/>
      <c r="S2827" s="183"/>
      <c r="T2827" s="183"/>
      <c r="U2827" s="183"/>
      <c r="V2827" s="183"/>
      <c r="W2827" s="183"/>
      <c r="X2827" s="183"/>
      <c r="Y2827" s="183"/>
      <c r="Z2827" s="183"/>
    </row>
    <row r="2828" spans="2:26">
      <c r="B2828" s="191"/>
      <c r="D2828" s="183"/>
      <c r="I2828" s="183"/>
      <c r="J2828" s="183"/>
      <c r="L2828" s="183"/>
      <c r="M2828" s="183"/>
      <c r="N2828" s="183"/>
      <c r="O2828" s="183"/>
      <c r="P2828" s="183"/>
      <c r="Q2828" s="183"/>
      <c r="R2828" s="183"/>
      <c r="S2828" s="183"/>
      <c r="T2828" s="183"/>
      <c r="U2828" s="183"/>
      <c r="V2828" s="183"/>
      <c r="W2828" s="183"/>
      <c r="X2828" s="183"/>
      <c r="Y2828" s="183"/>
      <c r="Z2828" s="183"/>
    </row>
    <row r="2829" spans="2:26">
      <c r="B2829" s="191"/>
      <c r="D2829" s="183"/>
      <c r="I2829" s="183"/>
      <c r="J2829" s="183"/>
      <c r="L2829" s="183"/>
      <c r="M2829" s="183"/>
      <c r="N2829" s="183"/>
      <c r="O2829" s="183"/>
      <c r="P2829" s="183"/>
      <c r="Q2829" s="183"/>
      <c r="R2829" s="183"/>
      <c r="S2829" s="183"/>
      <c r="T2829" s="183"/>
      <c r="U2829" s="183"/>
      <c r="V2829" s="183"/>
      <c r="W2829" s="183"/>
      <c r="X2829" s="183"/>
      <c r="Y2829" s="183"/>
      <c r="Z2829" s="183"/>
    </row>
    <row r="2830" spans="2:26">
      <c r="B2830" s="191"/>
      <c r="D2830" s="183"/>
      <c r="I2830" s="183"/>
      <c r="J2830" s="183"/>
      <c r="L2830" s="183"/>
      <c r="M2830" s="183"/>
      <c r="N2830" s="183"/>
      <c r="O2830" s="183"/>
      <c r="P2830" s="183"/>
      <c r="Q2830" s="183"/>
      <c r="R2830" s="183"/>
      <c r="S2830" s="183"/>
      <c r="T2830" s="183"/>
      <c r="U2830" s="183"/>
      <c r="V2830" s="183"/>
      <c r="W2830" s="183"/>
      <c r="X2830" s="183"/>
      <c r="Y2830" s="183"/>
      <c r="Z2830" s="183"/>
    </row>
    <row r="2831" spans="2:26">
      <c r="B2831" s="191"/>
      <c r="D2831" s="183"/>
      <c r="I2831" s="183"/>
      <c r="J2831" s="183"/>
      <c r="L2831" s="183"/>
      <c r="M2831" s="183"/>
      <c r="N2831" s="183"/>
      <c r="O2831" s="183"/>
      <c r="P2831" s="183"/>
      <c r="Q2831" s="183"/>
      <c r="R2831" s="183"/>
      <c r="S2831" s="183"/>
      <c r="T2831" s="183"/>
      <c r="U2831" s="183"/>
      <c r="V2831" s="183"/>
      <c r="W2831" s="183"/>
      <c r="X2831" s="183"/>
      <c r="Y2831" s="183"/>
      <c r="Z2831" s="183"/>
    </row>
    <row r="2832" spans="2:26">
      <c r="B2832" s="191"/>
      <c r="D2832" s="183"/>
      <c r="I2832" s="183"/>
      <c r="J2832" s="183"/>
      <c r="L2832" s="183"/>
      <c r="M2832" s="183"/>
      <c r="N2832" s="183"/>
      <c r="O2832" s="183"/>
      <c r="P2832" s="183"/>
      <c r="Q2832" s="183"/>
      <c r="R2832" s="183"/>
      <c r="S2832" s="183"/>
      <c r="T2832" s="183"/>
      <c r="U2832" s="183"/>
      <c r="V2832" s="183"/>
      <c r="W2832" s="183"/>
      <c r="X2832" s="183"/>
      <c r="Y2832" s="183"/>
      <c r="Z2832" s="183"/>
    </row>
    <row r="2833" spans="2:26">
      <c r="B2833" s="191"/>
      <c r="D2833" s="183"/>
      <c r="I2833" s="183"/>
      <c r="J2833" s="183"/>
      <c r="L2833" s="183"/>
      <c r="M2833" s="183"/>
      <c r="N2833" s="183"/>
      <c r="O2833" s="183"/>
      <c r="P2833" s="183"/>
      <c r="Q2833" s="183"/>
      <c r="R2833" s="183"/>
      <c r="S2833" s="183"/>
      <c r="T2833" s="183"/>
      <c r="U2833" s="183"/>
      <c r="V2833" s="183"/>
      <c r="W2833" s="183"/>
      <c r="X2833" s="183"/>
      <c r="Y2833" s="183"/>
      <c r="Z2833" s="183"/>
    </row>
    <row r="2834" spans="2:26">
      <c r="B2834" s="191"/>
      <c r="D2834" s="183"/>
      <c r="I2834" s="183"/>
      <c r="J2834" s="183"/>
      <c r="L2834" s="183"/>
      <c r="M2834" s="183"/>
      <c r="N2834" s="183"/>
      <c r="O2834" s="183"/>
      <c r="P2834" s="183"/>
      <c r="Q2834" s="183"/>
      <c r="R2834" s="183"/>
      <c r="S2834" s="183"/>
      <c r="T2834" s="183"/>
      <c r="U2834" s="183"/>
      <c r="V2834" s="183"/>
      <c r="W2834" s="183"/>
      <c r="X2834" s="183"/>
      <c r="Y2834" s="183"/>
      <c r="Z2834" s="183"/>
    </row>
    <row r="2835" spans="2:26">
      <c r="B2835" s="191"/>
      <c r="D2835" s="183"/>
      <c r="I2835" s="183"/>
      <c r="J2835" s="183"/>
      <c r="L2835" s="183"/>
      <c r="M2835" s="183"/>
      <c r="N2835" s="183"/>
      <c r="O2835" s="183"/>
      <c r="P2835" s="183"/>
      <c r="Q2835" s="183"/>
      <c r="R2835" s="183"/>
      <c r="S2835" s="183"/>
      <c r="T2835" s="183"/>
      <c r="U2835" s="183"/>
      <c r="V2835" s="183"/>
      <c r="W2835" s="183"/>
      <c r="X2835" s="183"/>
      <c r="Y2835" s="183"/>
      <c r="Z2835" s="183"/>
    </row>
    <row r="2836" spans="2:26">
      <c r="B2836" s="191"/>
      <c r="D2836" s="183"/>
      <c r="I2836" s="183"/>
      <c r="J2836" s="183"/>
      <c r="L2836" s="183"/>
      <c r="M2836" s="183"/>
      <c r="N2836" s="183"/>
      <c r="O2836" s="183"/>
      <c r="P2836" s="183"/>
      <c r="Q2836" s="183"/>
      <c r="R2836" s="183"/>
      <c r="S2836" s="183"/>
      <c r="T2836" s="183"/>
      <c r="U2836" s="183"/>
      <c r="V2836" s="183"/>
      <c r="W2836" s="183"/>
      <c r="X2836" s="183"/>
      <c r="Y2836" s="183"/>
      <c r="Z2836" s="183"/>
    </row>
    <row r="2837" spans="2:26">
      <c r="B2837" s="191"/>
      <c r="D2837" s="183"/>
      <c r="I2837" s="183"/>
      <c r="J2837" s="183"/>
      <c r="L2837" s="183"/>
      <c r="M2837" s="183"/>
      <c r="N2837" s="183"/>
      <c r="O2837" s="183"/>
      <c r="P2837" s="183"/>
      <c r="Q2837" s="183"/>
      <c r="R2837" s="183"/>
      <c r="S2837" s="183"/>
      <c r="T2837" s="183"/>
      <c r="U2837" s="183"/>
      <c r="V2837" s="183"/>
      <c r="W2837" s="183"/>
      <c r="X2837" s="183"/>
      <c r="Y2837" s="183"/>
      <c r="Z2837" s="183"/>
    </row>
    <row r="2838" spans="2:26">
      <c r="B2838" s="191"/>
      <c r="D2838" s="183"/>
      <c r="I2838" s="183"/>
      <c r="J2838" s="183"/>
      <c r="L2838" s="183"/>
      <c r="M2838" s="183"/>
      <c r="N2838" s="183"/>
      <c r="O2838" s="183"/>
      <c r="P2838" s="183"/>
      <c r="Q2838" s="183"/>
      <c r="R2838" s="183"/>
      <c r="S2838" s="183"/>
      <c r="T2838" s="183"/>
      <c r="U2838" s="183"/>
      <c r="V2838" s="183"/>
      <c r="W2838" s="183"/>
      <c r="X2838" s="183"/>
      <c r="Y2838" s="183"/>
      <c r="Z2838" s="183"/>
    </row>
    <row r="2839" spans="2:26">
      <c r="B2839" s="191"/>
      <c r="D2839" s="183"/>
      <c r="I2839" s="183"/>
      <c r="J2839" s="183"/>
      <c r="L2839" s="183"/>
      <c r="M2839" s="183"/>
      <c r="N2839" s="183"/>
      <c r="O2839" s="183"/>
      <c r="P2839" s="183"/>
      <c r="Q2839" s="183"/>
      <c r="R2839" s="183"/>
      <c r="S2839" s="183"/>
      <c r="T2839" s="183"/>
      <c r="U2839" s="183"/>
      <c r="V2839" s="183"/>
      <c r="W2839" s="183"/>
      <c r="X2839" s="183"/>
      <c r="Y2839" s="183"/>
      <c r="Z2839" s="183"/>
    </row>
    <row r="2840" spans="2:26">
      <c r="B2840" s="191"/>
      <c r="D2840" s="183"/>
      <c r="I2840" s="183"/>
      <c r="J2840" s="183"/>
      <c r="L2840" s="183"/>
      <c r="M2840" s="183"/>
      <c r="N2840" s="183"/>
      <c r="O2840" s="183"/>
      <c r="P2840" s="183"/>
      <c r="Q2840" s="183"/>
      <c r="R2840" s="183"/>
      <c r="S2840" s="183"/>
      <c r="T2840" s="183"/>
      <c r="U2840" s="183"/>
      <c r="V2840" s="183"/>
      <c r="W2840" s="183"/>
      <c r="X2840" s="183"/>
      <c r="Y2840" s="183"/>
      <c r="Z2840" s="183"/>
    </row>
    <row r="2841" spans="2:26">
      <c r="B2841" s="191"/>
      <c r="D2841" s="183"/>
      <c r="I2841" s="183"/>
      <c r="J2841" s="183"/>
      <c r="L2841" s="183"/>
      <c r="M2841" s="183"/>
      <c r="N2841" s="183"/>
      <c r="O2841" s="183"/>
      <c r="P2841" s="183"/>
      <c r="Q2841" s="183"/>
      <c r="R2841" s="183"/>
      <c r="S2841" s="183"/>
      <c r="T2841" s="183"/>
      <c r="U2841" s="183"/>
      <c r="V2841" s="183"/>
      <c r="W2841" s="183"/>
      <c r="X2841" s="183"/>
      <c r="Y2841" s="183"/>
      <c r="Z2841" s="183"/>
    </row>
    <row r="2842" spans="2:26">
      <c r="B2842" s="191"/>
      <c r="D2842" s="183"/>
      <c r="I2842" s="183"/>
      <c r="J2842" s="183"/>
      <c r="L2842" s="183"/>
      <c r="M2842" s="183"/>
      <c r="N2842" s="183"/>
      <c r="O2842" s="183"/>
      <c r="P2842" s="183"/>
      <c r="Q2842" s="183"/>
      <c r="R2842" s="183"/>
      <c r="S2842" s="183"/>
      <c r="T2842" s="183"/>
      <c r="U2842" s="183"/>
      <c r="V2842" s="183"/>
      <c r="W2842" s="183"/>
      <c r="X2842" s="183"/>
      <c r="Y2842" s="183"/>
      <c r="Z2842" s="183"/>
    </row>
    <row r="2843" spans="2:26">
      <c r="B2843" s="191"/>
      <c r="D2843" s="183"/>
      <c r="I2843" s="183"/>
      <c r="J2843" s="183"/>
      <c r="L2843" s="183"/>
      <c r="M2843" s="183"/>
      <c r="N2843" s="183"/>
      <c r="O2843" s="183"/>
      <c r="P2843" s="183"/>
      <c r="Q2843" s="183"/>
      <c r="R2843" s="183"/>
      <c r="S2843" s="183"/>
      <c r="T2843" s="183"/>
      <c r="U2843" s="183"/>
      <c r="V2843" s="183"/>
      <c r="W2843" s="183"/>
      <c r="X2843" s="183"/>
      <c r="Y2843" s="183"/>
      <c r="Z2843" s="183"/>
    </row>
    <row r="2844" spans="2:26">
      <c r="B2844" s="191"/>
      <c r="D2844" s="183"/>
      <c r="I2844" s="183"/>
      <c r="J2844" s="183"/>
      <c r="L2844" s="183"/>
      <c r="M2844" s="183"/>
      <c r="N2844" s="183"/>
      <c r="O2844" s="183"/>
      <c r="P2844" s="183"/>
      <c r="Q2844" s="183"/>
      <c r="R2844" s="183"/>
      <c r="S2844" s="183"/>
      <c r="T2844" s="183"/>
      <c r="U2844" s="183"/>
      <c r="V2844" s="183"/>
      <c r="W2844" s="183"/>
      <c r="X2844" s="183"/>
      <c r="Y2844" s="183"/>
      <c r="Z2844" s="183"/>
    </row>
    <row r="2845" spans="2:26">
      <c r="B2845" s="191"/>
      <c r="D2845" s="183"/>
      <c r="I2845" s="183"/>
      <c r="J2845" s="183"/>
      <c r="L2845" s="183"/>
      <c r="M2845" s="183"/>
      <c r="N2845" s="183"/>
      <c r="O2845" s="183"/>
      <c r="P2845" s="183"/>
      <c r="Q2845" s="183"/>
      <c r="R2845" s="183"/>
      <c r="S2845" s="183"/>
      <c r="T2845" s="183"/>
      <c r="U2845" s="183"/>
      <c r="V2845" s="183"/>
      <c r="W2845" s="183"/>
      <c r="X2845" s="183"/>
      <c r="Y2845" s="183"/>
      <c r="Z2845" s="183"/>
    </row>
    <row r="2846" spans="2:26">
      <c r="B2846" s="191"/>
      <c r="D2846" s="183"/>
      <c r="I2846" s="183"/>
      <c r="J2846" s="183"/>
      <c r="L2846" s="183"/>
      <c r="M2846" s="183"/>
      <c r="N2846" s="183"/>
      <c r="O2846" s="183"/>
      <c r="P2846" s="183"/>
      <c r="Q2846" s="183"/>
      <c r="R2846" s="183"/>
      <c r="S2846" s="183"/>
      <c r="T2846" s="183"/>
      <c r="U2846" s="183"/>
      <c r="V2846" s="183"/>
      <c r="W2846" s="183"/>
      <c r="X2846" s="183"/>
      <c r="Y2846" s="183"/>
      <c r="Z2846" s="183"/>
    </row>
    <row r="2847" spans="2:26">
      <c r="B2847" s="191"/>
      <c r="D2847" s="183"/>
      <c r="I2847" s="183"/>
      <c r="J2847" s="183"/>
      <c r="L2847" s="183"/>
      <c r="M2847" s="183"/>
      <c r="N2847" s="183"/>
      <c r="O2847" s="183"/>
      <c r="P2847" s="183"/>
      <c r="Q2847" s="183"/>
      <c r="R2847" s="183"/>
      <c r="S2847" s="183"/>
      <c r="T2847" s="183"/>
      <c r="U2847" s="183"/>
      <c r="V2847" s="183"/>
      <c r="W2847" s="183"/>
      <c r="X2847" s="183"/>
      <c r="Y2847" s="183"/>
      <c r="Z2847" s="183"/>
    </row>
    <row r="2848" spans="2:26">
      <c r="B2848" s="191"/>
      <c r="D2848" s="183"/>
      <c r="I2848" s="183"/>
      <c r="J2848" s="183"/>
      <c r="L2848" s="183"/>
      <c r="M2848" s="183"/>
      <c r="N2848" s="183"/>
      <c r="O2848" s="183"/>
      <c r="P2848" s="183"/>
      <c r="Q2848" s="183"/>
      <c r="R2848" s="183"/>
      <c r="S2848" s="183"/>
      <c r="T2848" s="183"/>
      <c r="U2848" s="183"/>
      <c r="V2848" s="183"/>
      <c r="W2848" s="183"/>
      <c r="X2848" s="183"/>
      <c r="Y2848" s="183"/>
      <c r="Z2848" s="183"/>
    </row>
    <row r="2849" spans="2:26">
      <c r="B2849" s="191"/>
      <c r="D2849" s="183"/>
      <c r="I2849" s="183"/>
      <c r="J2849" s="183"/>
      <c r="L2849" s="183"/>
      <c r="M2849" s="183"/>
      <c r="N2849" s="183"/>
      <c r="O2849" s="183"/>
      <c r="P2849" s="183"/>
      <c r="Q2849" s="183"/>
      <c r="R2849" s="183"/>
      <c r="S2849" s="183"/>
      <c r="T2849" s="183"/>
      <c r="U2849" s="183"/>
      <c r="V2849" s="183"/>
      <c r="W2849" s="183"/>
      <c r="X2849" s="183"/>
      <c r="Y2849" s="183"/>
      <c r="Z2849" s="183"/>
    </row>
    <row r="2850" spans="2:26">
      <c r="B2850" s="191"/>
      <c r="D2850" s="183"/>
      <c r="I2850" s="183"/>
      <c r="J2850" s="183"/>
      <c r="L2850" s="183"/>
      <c r="M2850" s="183"/>
      <c r="N2850" s="183"/>
      <c r="O2850" s="183"/>
      <c r="P2850" s="183"/>
      <c r="Q2850" s="183"/>
      <c r="R2850" s="183"/>
      <c r="S2850" s="183"/>
      <c r="T2850" s="183"/>
      <c r="U2850" s="183"/>
      <c r="V2850" s="183"/>
      <c r="W2850" s="183"/>
      <c r="X2850" s="183"/>
      <c r="Y2850" s="183"/>
      <c r="Z2850" s="183"/>
    </row>
    <row r="2851" spans="2:26">
      <c r="B2851" s="191"/>
      <c r="D2851" s="183"/>
      <c r="I2851" s="183"/>
      <c r="J2851" s="183"/>
      <c r="L2851" s="183"/>
      <c r="M2851" s="183"/>
      <c r="N2851" s="183"/>
      <c r="O2851" s="183"/>
      <c r="P2851" s="183"/>
      <c r="Q2851" s="183"/>
      <c r="R2851" s="183"/>
      <c r="S2851" s="183"/>
      <c r="T2851" s="183"/>
      <c r="U2851" s="183"/>
      <c r="V2851" s="183"/>
      <c r="W2851" s="183"/>
      <c r="X2851" s="183"/>
      <c r="Y2851" s="183"/>
      <c r="Z2851" s="183"/>
    </row>
    <row r="2852" spans="2:26">
      <c r="B2852" s="191"/>
      <c r="D2852" s="183"/>
      <c r="I2852" s="183"/>
      <c r="J2852" s="183"/>
      <c r="L2852" s="183"/>
      <c r="M2852" s="183"/>
      <c r="N2852" s="183"/>
      <c r="O2852" s="183"/>
      <c r="P2852" s="183"/>
      <c r="Q2852" s="183"/>
      <c r="R2852" s="183"/>
      <c r="S2852" s="183"/>
      <c r="T2852" s="183"/>
      <c r="U2852" s="183"/>
      <c r="V2852" s="183"/>
      <c r="W2852" s="183"/>
      <c r="X2852" s="183"/>
      <c r="Y2852" s="183"/>
      <c r="Z2852" s="183"/>
    </row>
    <row r="2853" spans="2:26">
      <c r="B2853" s="191"/>
      <c r="D2853" s="183"/>
      <c r="I2853" s="183"/>
      <c r="J2853" s="183"/>
      <c r="L2853" s="183"/>
      <c r="M2853" s="183"/>
      <c r="N2853" s="183"/>
      <c r="O2853" s="183"/>
      <c r="P2853" s="183"/>
      <c r="Q2853" s="183"/>
      <c r="R2853" s="183"/>
      <c r="S2853" s="183"/>
      <c r="T2853" s="183"/>
      <c r="U2853" s="183"/>
      <c r="V2853" s="183"/>
      <c r="W2853" s="183"/>
      <c r="X2853" s="183"/>
      <c r="Y2853" s="183"/>
      <c r="Z2853" s="183"/>
    </row>
    <row r="2854" spans="2:26">
      <c r="B2854" s="191"/>
      <c r="D2854" s="183"/>
      <c r="I2854" s="183"/>
      <c r="J2854" s="183"/>
      <c r="L2854" s="183"/>
      <c r="M2854" s="183"/>
      <c r="N2854" s="183"/>
      <c r="O2854" s="183"/>
      <c r="P2854" s="183"/>
      <c r="Q2854" s="183"/>
      <c r="R2854" s="183"/>
      <c r="S2854" s="183"/>
      <c r="T2854" s="183"/>
      <c r="U2854" s="183"/>
      <c r="V2854" s="183"/>
      <c r="W2854" s="183"/>
      <c r="X2854" s="183"/>
      <c r="Y2854" s="183"/>
      <c r="Z2854" s="183"/>
    </row>
    <row r="2855" spans="2:26">
      <c r="B2855" s="191"/>
      <c r="D2855" s="183"/>
      <c r="I2855" s="183"/>
      <c r="J2855" s="183"/>
      <c r="L2855" s="183"/>
      <c r="M2855" s="183"/>
      <c r="N2855" s="183"/>
      <c r="O2855" s="183"/>
      <c r="P2855" s="183"/>
      <c r="Q2855" s="183"/>
      <c r="R2855" s="183"/>
      <c r="S2855" s="183"/>
      <c r="T2855" s="183"/>
      <c r="U2855" s="183"/>
      <c r="V2855" s="183"/>
      <c r="W2855" s="183"/>
      <c r="X2855" s="183"/>
      <c r="Y2855" s="183"/>
      <c r="Z2855" s="183"/>
    </row>
    <row r="2856" spans="2:26">
      <c r="B2856" s="191"/>
      <c r="D2856" s="183"/>
      <c r="I2856" s="183"/>
      <c r="J2856" s="183"/>
      <c r="L2856" s="183"/>
      <c r="M2856" s="183"/>
      <c r="N2856" s="183"/>
      <c r="O2856" s="183"/>
      <c r="P2856" s="183"/>
      <c r="Q2856" s="183"/>
      <c r="R2856" s="183"/>
      <c r="S2856" s="183"/>
      <c r="T2856" s="183"/>
      <c r="U2856" s="183"/>
      <c r="V2856" s="183"/>
      <c r="W2856" s="183"/>
      <c r="X2856" s="183"/>
      <c r="Y2856" s="183"/>
      <c r="Z2856" s="183"/>
    </row>
    <row r="2857" spans="2:26">
      <c r="B2857" s="191"/>
      <c r="D2857" s="183"/>
      <c r="I2857" s="183"/>
      <c r="J2857" s="183"/>
      <c r="L2857" s="183"/>
      <c r="M2857" s="183"/>
      <c r="N2857" s="183"/>
      <c r="O2857" s="183"/>
      <c r="P2857" s="183"/>
      <c r="Q2857" s="183"/>
      <c r="R2857" s="183"/>
      <c r="S2857" s="183"/>
      <c r="T2857" s="183"/>
      <c r="U2857" s="183"/>
      <c r="V2857" s="183"/>
      <c r="W2857" s="183"/>
      <c r="X2857" s="183"/>
      <c r="Y2857" s="183"/>
      <c r="Z2857" s="183"/>
    </row>
    <row r="2858" spans="2:26">
      <c r="B2858" s="191"/>
      <c r="D2858" s="183"/>
      <c r="I2858" s="183"/>
      <c r="J2858" s="183"/>
      <c r="L2858" s="183"/>
      <c r="M2858" s="183"/>
      <c r="N2858" s="183"/>
      <c r="O2858" s="183"/>
      <c r="P2858" s="183"/>
      <c r="Q2858" s="183"/>
      <c r="R2858" s="183"/>
      <c r="S2858" s="183"/>
      <c r="T2858" s="183"/>
      <c r="U2858" s="183"/>
      <c r="V2858" s="183"/>
      <c r="W2858" s="183"/>
      <c r="X2858" s="183"/>
      <c r="Y2858" s="183"/>
      <c r="Z2858" s="183"/>
    </row>
    <row r="2859" spans="2:26">
      <c r="B2859" s="191"/>
      <c r="D2859" s="183"/>
      <c r="I2859" s="183"/>
      <c r="J2859" s="183"/>
      <c r="L2859" s="183"/>
      <c r="M2859" s="183"/>
      <c r="N2859" s="183"/>
      <c r="O2859" s="183"/>
      <c r="P2859" s="183"/>
      <c r="Q2859" s="183"/>
      <c r="R2859" s="183"/>
      <c r="S2859" s="183"/>
      <c r="T2859" s="183"/>
      <c r="U2859" s="183"/>
      <c r="V2859" s="183"/>
      <c r="W2859" s="183"/>
      <c r="X2859" s="183"/>
      <c r="Y2859" s="183"/>
      <c r="Z2859" s="183"/>
    </row>
    <row r="2860" spans="2:26">
      <c r="B2860" s="191"/>
      <c r="D2860" s="183"/>
      <c r="I2860" s="183"/>
      <c r="J2860" s="183"/>
      <c r="L2860" s="183"/>
      <c r="M2860" s="183"/>
      <c r="N2860" s="183"/>
      <c r="O2860" s="183"/>
      <c r="P2860" s="183"/>
      <c r="Q2860" s="183"/>
      <c r="R2860" s="183"/>
      <c r="S2860" s="183"/>
      <c r="T2860" s="183"/>
      <c r="U2860" s="183"/>
      <c r="V2860" s="183"/>
      <c r="W2860" s="183"/>
      <c r="X2860" s="183"/>
      <c r="Y2860" s="183"/>
      <c r="Z2860" s="183"/>
    </row>
    <row r="2861" spans="2:26">
      <c r="B2861" s="191"/>
      <c r="D2861" s="183"/>
      <c r="I2861" s="183"/>
      <c r="J2861" s="183"/>
      <c r="L2861" s="183"/>
      <c r="M2861" s="183"/>
      <c r="N2861" s="183"/>
      <c r="O2861" s="183"/>
      <c r="P2861" s="183"/>
      <c r="Q2861" s="183"/>
      <c r="R2861" s="183"/>
      <c r="S2861" s="183"/>
      <c r="T2861" s="183"/>
      <c r="U2861" s="183"/>
      <c r="V2861" s="183"/>
      <c r="W2861" s="183"/>
      <c r="X2861" s="183"/>
      <c r="Y2861" s="183"/>
      <c r="Z2861" s="183"/>
    </row>
    <row r="2862" spans="2:26">
      <c r="B2862" s="191"/>
      <c r="D2862" s="183"/>
      <c r="I2862" s="183"/>
      <c r="J2862" s="183"/>
      <c r="L2862" s="183"/>
      <c r="M2862" s="183"/>
      <c r="N2862" s="183"/>
      <c r="O2862" s="183"/>
      <c r="P2862" s="183"/>
      <c r="Q2862" s="183"/>
      <c r="R2862" s="183"/>
      <c r="S2862" s="183"/>
      <c r="T2862" s="183"/>
      <c r="U2862" s="183"/>
      <c r="V2862" s="183"/>
      <c r="W2862" s="183"/>
      <c r="X2862" s="183"/>
      <c r="Y2862" s="183"/>
      <c r="Z2862" s="183"/>
    </row>
    <row r="2863" spans="2:26">
      <c r="B2863" s="191"/>
      <c r="D2863" s="183"/>
      <c r="I2863" s="183"/>
      <c r="J2863" s="183"/>
      <c r="L2863" s="183"/>
      <c r="M2863" s="183"/>
      <c r="N2863" s="183"/>
      <c r="O2863" s="183"/>
      <c r="P2863" s="183"/>
      <c r="Q2863" s="183"/>
      <c r="R2863" s="183"/>
      <c r="S2863" s="183"/>
      <c r="T2863" s="183"/>
      <c r="U2863" s="183"/>
      <c r="V2863" s="183"/>
      <c r="W2863" s="183"/>
      <c r="X2863" s="183"/>
      <c r="Y2863" s="183"/>
      <c r="Z2863" s="183"/>
    </row>
    <row r="2864" spans="2:26">
      <c r="B2864" s="191"/>
      <c r="D2864" s="183"/>
      <c r="I2864" s="183"/>
      <c r="J2864" s="183"/>
      <c r="L2864" s="183"/>
      <c r="M2864" s="183"/>
      <c r="N2864" s="183"/>
      <c r="O2864" s="183"/>
      <c r="P2864" s="183"/>
      <c r="Q2864" s="183"/>
      <c r="R2864" s="183"/>
      <c r="S2864" s="183"/>
      <c r="T2864" s="183"/>
      <c r="U2864" s="183"/>
      <c r="V2864" s="183"/>
      <c r="W2864" s="183"/>
      <c r="X2864" s="183"/>
      <c r="Y2864" s="183"/>
      <c r="Z2864" s="183"/>
    </row>
    <row r="2865" spans="2:26">
      <c r="B2865" s="191"/>
      <c r="D2865" s="183"/>
      <c r="I2865" s="183"/>
      <c r="J2865" s="183"/>
      <c r="L2865" s="183"/>
      <c r="M2865" s="183"/>
      <c r="N2865" s="183"/>
      <c r="O2865" s="183"/>
      <c r="P2865" s="183"/>
      <c r="Q2865" s="183"/>
      <c r="R2865" s="183"/>
      <c r="S2865" s="183"/>
      <c r="T2865" s="183"/>
      <c r="U2865" s="183"/>
      <c r="V2865" s="183"/>
      <c r="W2865" s="183"/>
      <c r="X2865" s="183"/>
      <c r="Y2865" s="183"/>
      <c r="Z2865" s="183"/>
    </row>
    <row r="2866" spans="2:26">
      <c r="B2866" s="191"/>
      <c r="D2866" s="183"/>
      <c r="I2866" s="183"/>
      <c r="J2866" s="183"/>
      <c r="L2866" s="183"/>
      <c r="M2866" s="183"/>
      <c r="N2866" s="183"/>
      <c r="O2866" s="183"/>
      <c r="P2866" s="183"/>
      <c r="Q2866" s="183"/>
      <c r="R2866" s="183"/>
      <c r="S2866" s="183"/>
      <c r="T2866" s="183"/>
      <c r="U2866" s="183"/>
      <c r="V2866" s="183"/>
      <c r="W2866" s="183"/>
      <c r="X2866" s="183"/>
      <c r="Y2866" s="183"/>
      <c r="Z2866" s="183"/>
    </row>
    <row r="2867" spans="2:26">
      <c r="B2867" s="191"/>
      <c r="D2867" s="183"/>
      <c r="I2867" s="183"/>
      <c r="J2867" s="183"/>
      <c r="L2867" s="183"/>
      <c r="M2867" s="183"/>
      <c r="N2867" s="183"/>
      <c r="O2867" s="183"/>
      <c r="P2867" s="183"/>
      <c r="Q2867" s="183"/>
      <c r="R2867" s="183"/>
      <c r="S2867" s="183"/>
      <c r="T2867" s="183"/>
      <c r="U2867" s="183"/>
      <c r="V2867" s="183"/>
      <c r="W2867" s="183"/>
      <c r="X2867" s="183"/>
      <c r="Y2867" s="183"/>
      <c r="Z2867" s="183"/>
    </row>
    <row r="2868" spans="2:26">
      <c r="B2868" s="191"/>
      <c r="D2868" s="183"/>
      <c r="I2868" s="183"/>
      <c r="J2868" s="183"/>
      <c r="L2868" s="183"/>
      <c r="M2868" s="183"/>
      <c r="N2868" s="183"/>
      <c r="O2868" s="183"/>
      <c r="P2868" s="183"/>
      <c r="Q2868" s="183"/>
      <c r="R2868" s="183"/>
      <c r="S2868" s="183"/>
      <c r="T2868" s="183"/>
      <c r="U2868" s="183"/>
      <c r="V2868" s="183"/>
      <c r="W2868" s="183"/>
      <c r="X2868" s="183"/>
      <c r="Y2868" s="183"/>
      <c r="Z2868" s="183"/>
    </row>
    <row r="2869" spans="2:26">
      <c r="B2869" s="191"/>
      <c r="D2869" s="183"/>
      <c r="I2869" s="183"/>
      <c r="J2869" s="183"/>
      <c r="L2869" s="183"/>
      <c r="M2869" s="183"/>
      <c r="N2869" s="183"/>
      <c r="O2869" s="183"/>
      <c r="P2869" s="183"/>
      <c r="Q2869" s="183"/>
      <c r="R2869" s="183"/>
      <c r="S2869" s="183"/>
      <c r="T2869" s="183"/>
      <c r="U2869" s="183"/>
      <c r="V2869" s="183"/>
      <c r="W2869" s="183"/>
      <c r="X2869" s="183"/>
      <c r="Y2869" s="183"/>
      <c r="Z2869" s="183"/>
    </row>
    <row r="2870" spans="2:26">
      <c r="B2870" s="191"/>
      <c r="D2870" s="183"/>
      <c r="I2870" s="183"/>
      <c r="J2870" s="183"/>
      <c r="L2870" s="183"/>
      <c r="M2870" s="183"/>
      <c r="N2870" s="183"/>
      <c r="O2870" s="183"/>
      <c r="P2870" s="183"/>
      <c r="Q2870" s="183"/>
      <c r="R2870" s="183"/>
      <c r="S2870" s="183"/>
      <c r="T2870" s="183"/>
      <c r="U2870" s="183"/>
      <c r="V2870" s="183"/>
      <c r="W2870" s="183"/>
      <c r="X2870" s="183"/>
      <c r="Y2870" s="183"/>
      <c r="Z2870" s="183"/>
    </row>
    <row r="2871" spans="2:26">
      <c r="B2871" s="191"/>
      <c r="D2871" s="183"/>
      <c r="I2871" s="183"/>
      <c r="J2871" s="183"/>
      <c r="L2871" s="183"/>
      <c r="M2871" s="183"/>
      <c r="N2871" s="183"/>
      <c r="O2871" s="183"/>
      <c r="P2871" s="183"/>
      <c r="Q2871" s="183"/>
      <c r="R2871" s="183"/>
      <c r="S2871" s="183"/>
      <c r="T2871" s="183"/>
      <c r="U2871" s="183"/>
      <c r="V2871" s="183"/>
      <c r="W2871" s="183"/>
      <c r="X2871" s="183"/>
      <c r="Y2871" s="183"/>
      <c r="Z2871" s="183"/>
    </row>
    <row r="2872" spans="2:26">
      <c r="B2872" s="191"/>
      <c r="D2872" s="183"/>
      <c r="I2872" s="183"/>
      <c r="J2872" s="183"/>
      <c r="L2872" s="183"/>
      <c r="M2872" s="183"/>
      <c r="N2872" s="183"/>
      <c r="O2872" s="183"/>
      <c r="P2872" s="183"/>
      <c r="Q2872" s="183"/>
      <c r="R2872" s="183"/>
      <c r="S2872" s="183"/>
      <c r="T2872" s="183"/>
      <c r="U2872" s="183"/>
      <c r="V2872" s="183"/>
      <c r="W2872" s="183"/>
      <c r="X2872" s="183"/>
      <c r="Y2872" s="183"/>
      <c r="Z2872" s="183"/>
    </row>
    <row r="2873" spans="2:26">
      <c r="B2873" s="191"/>
      <c r="D2873" s="183"/>
      <c r="I2873" s="183"/>
      <c r="J2873" s="183"/>
      <c r="L2873" s="183"/>
      <c r="M2873" s="183"/>
      <c r="N2873" s="183"/>
      <c r="O2873" s="183"/>
      <c r="P2873" s="183"/>
      <c r="Q2873" s="183"/>
      <c r="R2873" s="183"/>
      <c r="S2873" s="183"/>
      <c r="T2873" s="183"/>
      <c r="U2873" s="183"/>
      <c r="V2873" s="183"/>
      <c r="W2873" s="183"/>
      <c r="X2873" s="183"/>
      <c r="Y2873" s="183"/>
      <c r="Z2873" s="183"/>
    </row>
    <row r="2874" spans="2:26">
      <c r="B2874" s="191"/>
      <c r="D2874" s="183"/>
      <c r="I2874" s="183"/>
      <c r="J2874" s="183"/>
      <c r="L2874" s="183"/>
      <c r="M2874" s="183"/>
      <c r="N2874" s="183"/>
      <c r="O2874" s="183"/>
      <c r="P2874" s="183"/>
      <c r="Q2874" s="183"/>
      <c r="R2874" s="183"/>
      <c r="S2874" s="183"/>
      <c r="T2874" s="183"/>
      <c r="U2874" s="183"/>
      <c r="V2874" s="183"/>
      <c r="W2874" s="183"/>
      <c r="X2874" s="183"/>
      <c r="Y2874" s="183"/>
      <c r="Z2874" s="183"/>
    </row>
    <row r="2875" spans="2:26">
      <c r="B2875" s="191"/>
      <c r="D2875" s="183"/>
      <c r="I2875" s="183"/>
      <c r="J2875" s="183"/>
      <c r="L2875" s="183"/>
      <c r="M2875" s="183"/>
      <c r="N2875" s="183"/>
      <c r="O2875" s="183"/>
      <c r="P2875" s="183"/>
      <c r="Q2875" s="183"/>
      <c r="R2875" s="183"/>
      <c r="S2875" s="183"/>
      <c r="T2875" s="183"/>
      <c r="U2875" s="183"/>
      <c r="V2875" s="183"/>
      <c r="W2875" s="183"/>
      <c r="X2875" s="183"/>
      <c r="Y2875" s="183"/>
      <c r="Z2875" s="183"/>
    </row>
    <row r="2876" spans="2:26">
      <c r="B2876" s="191"/>
      <c r="D2876" s="183"/>
      <c r="I2876" s="183"/>
      <c r="J2876" s="183"/>
      <c r="L2876" s="183"/>
      <c r="M2876" s="183"/>
      <c r="N2876" s="183"/>
      <c r="O2876" s="183"/>
      <c r="P2876" s="183"/>
      <c r="Q2876" s="183"/>
      <c r="R2876" s="183"/>
      <c r="S2876" s="183"/>
      <c r="T2876" s="183"/>
      <c r="U2876" s="183"/>
      <c r="V2876" s="183"/>
      <c r="W2876" s="183"/>
      <c r="X2876" s="183"/>
      <c r="Y2876" s="183"/>
      <c r="Z2876" s="183"/>
    </row>
    <row r="2877" spans="2:26">
      <c r="B2877" s="191"/>
      <c r="D2877" s="183"/>
      <c r="I2877" s="183"/>
      <c r="J2877" s="183"/>
      <c r="L2877" s="183"/>
      <c r="M2877" s="183"/>
      <c r="N2877" s="183"/>
      <c r="O2877" s="183"/>
      <c r="P2877" s="183"/>
      <c r="Q2877" s="183"/>
      <c r="R2877" s="183"/>
      <c r="S2877" s="183"/>
      <c r="T2877" s="183"/>
      <c r="U2877" s="183"/>
      <c r="V2877" s="183"/>
      <c r="W2877" s="183"/>
      <c r="X2877" s="183"/>
      <c r="Y2877" s="183"/>
      <c r="Z2877" s="183"/>
    </row>
    <row r="2878" spans="2:26">
      <c r="B2878" s="191"/>
      <c r="D2878" s="183"/>
      <c r="I2878" s="183"/>
      <c r="J2878" s="183"/>
      <c r="L2878" s="183"/>
      <c r="M2878" s="183"/>
      <c r="N2878" s="183"/>
      <c r="O2878" s="183"/>
      <c r="P2878" s="183"/>
      <c r="Q2878" s="183"/>
      <c r="R2878" s="183"/>
      <c r="S2878" s="183"/>
      <c r="T2878" s="183"/>
      <c r="U2878" s="183"/>
      <c r="V2878" s="183"/>
      <c r="W2878" s="183"/>
      <c r="X2878" s="183"/>
      <c r="Y2878" s="183"/>
      <c r="Z2878" s="183"/>
    </row>
    <row r="2879" spans="2:26">
      <c r="B2879" s="191"/>
      <c r="D2879" s="183"/>
      <c r="I2879" s="183"/>
      <c r="J2879" s="183"/>
      <c r="L2879" s="183"/>
      <c r="M2879" s="183"/>
      <c r="N2879" s="183"/>
      <c r="O2879" s="183"/>
      <c r="P2879" s="183"/>
      <c r="Q2879" s="183"/>
      <c r="R2879" s="183"/>
      <c r="S2879" s="183"/>
      <c r="T2879" s="183"/>
      <c r="U2879" s="183"/>
      <c r="V2879" s="183"/>
      <c r="W2879" s="183"/>
      <c r="X2879" s="183"/>
      <c r="Y2879" s="183"/>
      <c r="Z2879" s="183"/>
    </row>
    <row r="2880" spans="2:26">
      <c r="B2880" s="191"/>
      <c r="D2880" s="183"/>
      <c r="I2880" s="183"/>
      <c r="J2880" s="183"/>
      <c r="L2880" s="183"/>
      <c r="M2880" s="183"/>
      <c r="N2880" s="183"/>
      <c r="O2880" s="183"/>
      <c r="P2880" s="183"/>
      <c r="Q2880" s="183"/>
      <c r="R2880" s="183"/>
      <c r="S2880" s="183"/>
      <c r="T2880" s="183"/>
      <c r="U2880" s="183"/>
      <c r="V2880" s="183"/>
      <c r="W2880" s="183"/>
      <c r="X2880" s="183"/>
      <c r="Y2880" s="183"/>
      <c r="Z2880" s="183"/>
    </row>
    <row r="2881" spans="2:26">
      <c r="B2881" s="191"/>
      <c r="D2881" s="183"/>
      <c r="I2881" s="183"/>
      <c r="J2881" s="183"/>
      <c r="L2881" s="183"/>
      <c r="M2881" s="183"/>
      <c r="N2881" s="183"/>
      <c r="O2881" s="183"/>
      <c r="P2881" s="183"/>
      <c r="Q2881" s="183"/>
      <c r="R2881" s="183"/>
      <c r="S2881" s="183"/>
      <c r="T2881" s="183"/>
      <c r="U2881" s="183"/>
      <c r="V2881" s="183"/>
      <c r="W2881" s="183"/>
      <c r="X2881" s="183"/>
      <c r="Y2881" s="183"/>
      <c r="Z2881" s="183"/>
    </row>
    <row r="2882" spans="2:26">
      <c r="B2882" s="191"/>
      <c r="D2882" s="183"/>
      <c r="I2882" s="183"/>
      <c r="J2882" s="183"/>
      <c r="L2882" s="183"/>
      <c r="M2882" s="183"/>
      <c r="N2882" s="183"/>
      <c r="O2882" s="183"/>
      <c r="P2882" s="183"/>
      <c r="Q2882" s="183"/>
      <c r="R2882" s="183"/>
      <c r="S2882" s="183"/>
      <c r="T2882" s="183"/>
      <c r="U2882" s="183"/>
      <c r="V2882" s="183"/>
      <c r="W2882" s="183"/>
      <c r="X2882" s="183"/>
      <c r="Y2882" s="183"/>
      <c r="Z2882" s="183"/>
    </row>
    <row r="2883" spans="2:26">
      <c r="B2883" s="191"/>
      <c r="D2883" s="183"/>
      <c r="I2883" s="183"/>
      <c r="J2883" s="183"/>
      <c r="L2883" s="183"/>
      <c r="M2883" s="183"/>
      <c r="N2883" s="183"/>
      <c r="O2883" s="183"/>
      <c r="P2883" s="183"/>
      <c r="Q2883" s="183"/>
      <c r="R2883" s="183"/>
      <c r="S2883" s="183"/>
      <c r="T2883" s="183"/>
      <c r="U2883" s="183"/>
      <c r="V2883" s="183"/>
      <c r="W2883" s="183"/>
      <c r="X2883" s="183"/>
      <c r="Y2883" s="183"/>
      <c r="Z2883" s="183"/>
    </row>
    <row r="2884" spans="2:26">
      <c r="B2884" s="191"/>
      <c r="D2884" s="183"/>
      <c r="I2884" s="183"/>
      <c r="J2884" s="183"/>
      <c r="L2884" s="183"/>
      <c r="M2884" s="183"/>
      <c r="N2884" s="183"/>
      <c r="O2884" s="183"/>
      <c r="P2884" s="183"/>
      <c r="Q2884" s="183"/>
      <c r="R2884" s="183"/>
      <c r="S2884" s="183"/>
      <c r="T2884" s="183"/>
      <c r="U2884" s="183"/>
      <c r="V2884" s="183"/>
      <c r="W2884" s="183"/>
      <c r="X2884" s="183"/>
      <c r="Y2884" s="183"/>
      <c r="Z2884" s="183"/>
    </row>
    <row r="2885" spans="2:26">
      <c r="B2885" s="191"/>
      <c r="D2885" s="183"/>
      <c r="I2885" s="183"/>
      <c r="J2885" s="183"/>
      <c r="L2885" s="183"/>
      <c r="M2885" s="183"/>
      <c r="N2885" s="183"/>
      <c r="O2885" s="183"/>
      <c r="P2885" s="183"/>
      <c r="Q2885" s="183"/>
      <c r="R2885" s="183"/>
      <c r="S2885" s="183"/>
      <c r="T2885" s="183"/>
      <c r="U2885" s="183"/>
      <c r="V2885" s="183"/>
      <c r="W2885" s="183"/>
      <c r="X2885" s="183"/>
      <c r="Y2885" s="183"/>
      <c r="Z2885" s="183"/>
    </row>
    <row r="2886" spans="2:26">
      <c r="B2886" s="191"/>
      <c r="D2886" s="183"/>
      <c r="I2886" s="183"/>
      <c r="J2886" s="183"/>
      <c r="L2886" s="183"/>
      <c r="M2886" s="183"/>
      <c r="N2886" s="183"/>
      <c r="O2886" s="183"/>
      <c r="P2886" s="183"/>
      <c r="Q2886" s="183"/>
      <c r="R2886" s="183"/>
      <c r="S2886" s="183"/>
      <c r="T2886" s="183"/>
      <c r="U2886" s="183"/>
      <c r="V2886" s="183"/>
      <c r="W2886" s="183"/>
      <c r="X2886" s="183"/>
      <c r="Y2886" s="183"/>
      <c r="Z2886" s="183"/>
    </row>
    <row r="2887" spans="2:26">
      <c r="B2887" s="191"/>
      <c r="D2887" s="183"/>
      <c r="I2887" s="183"/>
      <c r="J2887" s="183"/>
      <c r="L2887" s="183"/>
      <c r="M2887" s="183"/>
      <c r="N2887" s="183"/>
      <c r="O2887" s="183"/>
      <c r="P2887" s="183"/>
      <c r="Q2887" s="183"/>
      <c r="R2887" s="183"/>
      <c r="S2887" s="183"/>
      <c r="T2887" s="183"/>
      <c r="U2887" s="183"/>
      <c r="V2887" s="183"/>
      <c r="W2887" s="183"/>
      <c r="X2887" s="183"/>
      <c r="Y2887" s="183"/>
      <c r="Z2887" s="183"/>
    </row>
    <row r="2888" spans="2:26">
      <c r="B2888" s="191"/>
      <c r="D2888" s="183"/>
      <c r="I2888" s="183"/>
      <c r="J2888" s="183"/>
      <c r="L2888" s="183"/>
      <c r="M2888" s="183"/>
      <c r="N2888" s="183"/>
      <c r="O2888" s="183"/>
      <c r="P2888" s="183"/>
      <c r="Q2888" s="183"/>
      <c r="R2888" s="183"/>
      <c r="S2888" s="183"/>
      <c r="T2888" s="183"/>
      <c r="U2888" s="183"/>
      <c r="V2888" s="183"/>
      <c r="W2888" s="183"/>
      <c r="X2888" s="183"/>
      <c r="Y2888" s="183"/>
      <c r="Z2888" s="183"/>
    </row>
    <row r="2889" spans="2:26">
      <c r="B2889" s="191"/>
      <c r="D2889" s="183"/>
      <c r="I2889" s="183"/>
      <c r="J2889" s="183"/>
      <c r="L2889" s="183"/>
      <c r="M2889" s="183"/>
      <c r="N2889" s="183"/>
      <c r="O2889" s="183"/>
      <c r="P2889" s="183"/>
      <c r="Q2889" s="183"/>
      <c r="R2889" s="183"/>
      <c r="S2889" s="183"/>
      <c r="T2889" s="183"/>
      <c r="U2889" s="183"/>
      <c r="V2889" s="183"/>
      <c r="W2889" s="183"/>
      <c r="X2889" s="183"/>
      <c r="Y2889" s="183"/>
      <c r="Z2889" s="183"/>
    </row>
    <row r="2890" spans="2:26">
      <c r="B2890" s="191"/>
      <c r="D2890" s="183"/>
      <c r="I2890" s="183"/>
      <c r="J2890" s="183"/>
      <c r="L2890" s="183"/>
      <c r="M2890" s="183"/>
      <c r="N2890" s="183"/>
      <c r="O2890" s="183"/>
      <c r="P2890" s="183"/>
      <c r="Q2890" s="183"/>
      <c r="R2890" s="183"/>
      <c r="S2890" s="183"/>
      <c r="T2890" s="183"/>
      <c r="U2890" s="183"/>
      <c r="V2890" s="183"/>
      <c r="W2890" s="183"/>
      <c r="X2890" s="183"/>
      <c r="Y2890" s="183"/>
      <c r="Z2890" s="183"/>
    </row>
    <row r="2891" spans="2:26">
      <c r="B2891" s="191"/>
      <c r="D2891" s="183"/>
      <c r="I2891" s="183"/>
      <c r="J2891" s="183"/>
      <c r="L2891" s="183"/>
      <c r="M2891" s="183"/>
      <c r="N2891" s="183"/>
      <c r="O2891" s="183"/>
      <c r="P2891" s="183"/>
      <c r="Q2891" s="183"/>
      <c r="R2891" s="183"/>
      <c r="S2891" s="183"/>
      <c r="T2891" s="183"/>
      <c r="U2891" s="183"/>
      <c r="V2891" s="183"/>
      <c r="W2891" s="183"/>
      <c r="X2891" s="183"/>
      <c r="Y2891" s="183"/>
      <c r="Z2891" s="183"/>
    </row>
    <row r="2892" spans="2:26">
      <c r="B2892" s="191"/>
      <c r="D2892" s="183"/>
      <c r="I2892" s="183"/>
      <c r="J2892" s="183"/>
      <c r="L2892" s="183"/>
      <c r="M2892" s="183"/>
      <c r="N2892" s="183"/>
      <c r="O2892" s="183"/>
      <c r="P2892" s="183"/>
      <c r="Q2892" s="183"/>
      <c r="R2892" s="183"/>
      <c r="S2892" s="183"/>
      <c r="T2892" s="183"/>
      <c r="U2892" s="183"/>
      <c r="V2892" s="183"/>
      <c r="W2892" s="183"/>
      <c r="X2892" s="183"/>
      <c r="Y2892" s="183"/>
      <c r="Z2892" s="183"/>
    </row>
    <row r="2893" spans="2:26">
      <c r="B2893" s="191"/>
      <c r="D2893" s="183"/>
      <c r="I2893" s="183"/>
      <c r="J2893" s="183"/>
      <c r="L2893" s="183"/>
      <c r="M2893" s="183"/>
      <c r="N2893" s="183"/>
      <c r="O2893" s="183"/>
      <c r="P2893" s="183"/>
      <c r="Q2893" s="183"/>
      <c r="R2893" s="183"/>
      <c r="S2893" s="183"/>
      <c r="T2893" s="183"/>
      <c r="U2893" s="183"/>
      <c r="V2893" s="183"/>
      <c r="W2893" s="183"/>
      <c r="X2893" s="183"/>
      <c r="Y2893" s="183"/>
      <c r="Z2893" s="183"/>
    </row>
    <row r="2894" spans="2:26">
      <c r="B2894" s="191"/>
      <c r="D2894" s="183"/>
      <c r="I2894" s="183"/>
      <c r="J2894" s="183"/>
      <c r="L2894" s="183"/>
      <c r="M2894" s="183"/>
      <c r="N2894" s="183"/>
      <c r="O2894" s="183"/>
      <c r="P2894" s="183"/>
      <c r="Q2894" s="183"/>
      <c r="R2894" s="183"/>
      <c r="S2894" s="183"/>
      <c r="T2894" s="183"/>
      <c r="U2894" s="183"/>
      <c r="V2894" s="183"/>
      <c r="W2894" s="183"/>
      <c r="X2894" s="183"/>
      <c r="Y2894" s="183"/>
      <c r="Z2894" s="183"/>
    </row>
    <row r="2895" spans="2:26">
      <c r="B2895" s="191"/>
      <c r="D2895" s="183"/>
      <c r="I2895" s="183"/>
      <c r="J2895" s="183"/>
      <c r="L2895" s="183"/>
      <c r="M2895" s="183"/>
      <c r="N2895" s="183"/>
      <c r="O2895" s="183"/>
      <c r="P2895" s="183"/>
      <c r="Q2895" s="183"/>
      <c r="R2895" s="183"/>
      <c r="S2895" s="183"/>
      <c r="T2895" s="183"/>
      <c r="U2895" s="183"/>
      <c r="V2895" s="183"/>
      <c r="W2895" s="183"/>
      <c r="X2895" s="183"/>
      <c r="Y2895" s="183"/>
      <c r="Z2895" s="183"/>
    </row>
    <row r="2896" spans="2:26">
      <c r="B2896" s="191"/>
      <c r="D2896" s="183"/>
      <c r="I2896" s="183"/>
      <c r="J2896" s="183"/>
      <c r="L2896" s="183"/>
      <c r="M2896" s="183"/>
      <c r="N2896" s="183"/>
      <c r="O2896" s="183"/>
      <c r="P2896" s="183"/>
      <c r="Q2896" s="183"/>
      <c r="R2896" s="183"/>
      <c r="S2896" s="183"/>
      <c r="T2896" s="183"/>
      <c r="U2896" s="183"/>
      <c r="V2896" s="183"/>
      <c r="W2896" s="183"/>
      <c r="X2896" s="183"/>
      <c r="Y2896" s="183"/>
      <c r="Z2896" s="183"/>
    </row>
    <row r="2897" spans="2:26">
      <c r="B2897" s="191"/>
      <c r="D2897" s="183"/>
      <c r="I2897" s="183"/>
      <c r="J2897" s="183"/>
      <c r="L2897" s="183"/>
      <c r="M2897" s="183"/>
      <c r="N2897" s="183"/>
      <c r="O2897" s="183"/>
      <c r="P2897" s="183"/>
      <c r="Q2897" s="183"/>
      <c r="R2897" s="183"/>
      <c r="S2897" s="183"/>
      <c r="T2897" s="183"/>
      <c r="U2897" s="183"/>
      <c r="V2897" s="183"/>
      <c r="W2897" s="183"/>
      <c r="X2897" s="183"/>
      <c r="Y2897" s="183"/>
      <c r="Z2897" s="183"/>
    </row>
    <row r="2898" spans="2:26">
      <c r="B2898" s="191"/>
      <c r="D2898" s="183"/>
      <c r="I2898" s="183"/>
      <c r="J2898" s="183"/>
      <c r="L2898" s="183"/>
      <c r="M2898" s="183"/>
      <c r="N2898" s="183"/>
      <c r="O2898" s="183"/>
      <c r="P2898" s="183"/>
      <c r="Q2898" s="183"/>
      <c r="R2898" s="183"/>
      <c r="S2898" s="183"/>
      <c r="T2898" s="183"/>
      <c r="U2898" s="183"/>
      <c r="V2898" s="183"/>
      <c r="W2898" s="183"/>
      <c r="X2898" s="183"/>
      <c r="Y2898" s="183"/>
      <c r="Z2898" s="183"/>
    </row>
    <row r="2899" spans="2:26">
      <c r="B2899" s="191"/>
      <c r="D2899" s="183"/>
      <c r="I2899" s="183"/>
      <c r="J2899" s="183"/>
      <c r="L2899" s="183"/>
      <c r="M2899" s="183"/>
      <c r="N2899" s="183"/>
      <c r="O2899" s="183"/>
      <c r="P2899" s="183"/>
      <c r="Q2899" s="183"/>
      <c r="R2899" s="183"/>
      <c r="S2899" s="183"/>
      <c r="T2899" s="183"/>
      <c r="U2899" s="183"/>
      <c r="V2899" s="183"/>
      <c r="W2899" s="183"/>
      <c r="X2899" s="183"/>
      <c r="Y2899" s="183"/>
      <c r="Z2899" s="183"/>
    </row>
    <row r="2900" spans="2:26">
      <c r="B2900" s="191"/>
      <c r="D2900" s="183"/>
      <c r="I2900" s="183"/>
      <c r="J2900" s="183"/>
      <c r="L2900" s="183"/>
      <c r="M2900" s="183"/>
      <c r="N2900" s="183"/>
      <c r="O2900" s="183"/>
      <c r="P2900" s="183"/>
      <c r="Q2900" s="183"/>
      <c r="R2900" s="183"/>
      <c r="S2900" s="183"/>
      <c r="T2900" s="183"/>
      <c r="U2900" s="183"/>
      <c r="V2900" s="183"/>
      <c r="W2900" s="183"/>
      <c r="X2900" s="183"/>
      <c r="Y2900" s="183"/>
      <c r="Z2900" s="183"/>
    </row>
    <row r="2901" spans="2:26">
      <c r="B2901" s="191"/>
      <c r="D2901" s="183"/>
      <c r="I2901" s="183"/>
      <c r="J2901" s="183"/>
      <c r="L2901" s="183"/>
      <c r="M2901" s="183"/>
      <c r="N2901" s="183"/>
      <c r="O2901" s="183"/>
      <c r="P2901" s="183"/>
      <c r="Q2901" s="183"/>
      <c r="R2901" s="183"/>
      <c r="S2901" s="183"/>
      <c r="T2901" s="183"/>
      <c r="U2901" s="183"/>
      <c r="V2901" s="183"/>
      <c r="W2901" s="183"/>
      <c r="X2901" s="183"/>
      <c r="Y2901" s="183"/>
      <c r="Z2901" s="183"/>
    </row>
    <row r="2902" spans="2:26">
      <c r="B2902" s="191"/>
      <c r="D2902" s="183"/>
      <c r="I2902" s="183"/>
      <c r="J2902" s="183"/>
      <c r="L2902" s="183"/>
      <c r="M2902" s="183"/>
      <c r="N2902" s="183"/>
      <c r="O2902" s="183"/>
      <c r="P2902" s="183"/>
      <c r="Q2902" s="183"/>
      <c r="R2902" s="183"/>
      <c r="S2902" s="183"/>
      <c r="T2902" s="183"/>
      <c r="U2902" s="183"/>
      <c r="V2902" s="183"/>
      <c r="W2902" s="183"/>
      <c r="X2902" s="183"/>
      <c r="Y2902" s="183"/>
      <c r="Z2902" s="183"/>
    </row>
    <row r="2903" spans="2:26">
      <c r="B2903" s="191"/>
      <c r="D2903" s="183"/>
      <c r="I2903" s="183"/>
      <c r="J2903" s="183"/>
      <c r="L2903" s="183"/>
      <c r="M2903" s="183"/>
      <c r="N2903" s="183"/>
      <c r="O2903" s="183"/>
      <c r="P2903" s="183"/>
      <c r="Q2903" s="183"/>
      <c r="R2903" s="183"/>
      <c r="S2903" s="183"/>
      <c r="T2903" s="183"/>
      <c r="U2903" s="183"/>
      <c r="V2903" s="183"/>
      <c r="W2903" s="183"/>
      <c r="X2903" s="183"/>
      <c r="Y2903" s="183"/>
      <c r="Z2903" s="183"/>
    </row>
    <row r="2904" spans="2:26">
      <c r="B2904" s="191"/>
      <c r="D2904" s="183"/>
      <c r="I2904" s="183"/>
      <c r="J2904" s="183"/>
      <c r="L2904" s="183"/>
      <c r="M2904" s="183"/>
      <c r="N2904" s="183"/>
      <c r="O2904" s="183"/>
      <c r="P2904" s="183"/>
      <c r="Q2904" s="183"/>
      <c r="R2904" s="183"/>
      <c r="S2904" s="183"/>
      <c r="T2904" s="183"/>
      <c r="U2904" s="183"/>
      <c r="V2904" s="183"/>
      <c r="W2904" s="183"/>
      <c r="X2904" s="183"/>
      <c r="Y2904" s="183"/>
      <c r="Z2904" s="183"/>
    </row>
    <row r="2905" spans="2:26">
      <c r="B2905" s="191"/>
      <c r="D2905" s="183"/>
      <c r="I2905" s="183"/>
      <c r="J2905" s="183"/>
      <c r="L2905" s="183"/>
      <c r="M2905" s="183"/>
      <c r="N2905" s="183"/>
      <c r="O2905" s="183"/>
      <c r="P2905" s="183"/>
      <c r="Q2905" s="183"/>
      <c r="R2905" s="183"/>
      <c r="S2905" s="183"/>
      <c r="T2905" s="183"/>
      <c r="U2905" s="183"/>
      <c r="V2905" s="183"/>
      <c r="W2905" s="183"/>
      <c r="X2905" s="183"/>
      <c r="Y2905" s="183"/>
      <c r="Z2905" s="183"/>
    </row>
    <row r="2906" spans="2:26">
      <c r="B2906" s="191"/>
      <c r="D2906" s="183"/>
      <c r="I2906" s="183"/>
      <c r="J2906" s="183"/>
      <c r="L2906" s="183"/>
      <c r="M2906" s="183"/>
      <c r="N2906" s="183"/>
      <c r="O2906" s="183"/>
      <c r="P2906" s="183"/>
      <c r="Q2906" s="183"/>
      <c r="R2906" s="183"/>
      <c r="S2906" s="183"/>
      <c r="T2906" s="183"/>
      <c r="U2906" s="183"/>
      <c r="V2906" s="183"/>
      <c r="W2906" s="183"/>
      <c r="X2906" s="183"/>
      <c r="Y2906" s="183"/>
      <c r="Z2906" s="183"/>
    </row>
    <row r="2907" spans="2:26">
      <c r="B2907" s="191"/>
      <c r="D2907" s="183"/>
      <c r="I2907" s="183"/>
      <c r="J2907" s="183"/>
      <c r="L2907" s="183"/>
      <c r="M2907" s="183"/>
      <c r="N2907" s="183"/>
      <c r="O2907" s="183"/>
      <c r="P2907" s="183"/>
      <c r="Q2907" s="183"/>
      <c r="R2907" s="183"/>
      <c r="S2907" s="183"/>
      <c r="T2907" s="183"/>
      <c r="U2907" s="183"/>
      <c r="V2907" s="183"/>
      <c r="W2907" s="183"/>
      <c r="X2907" s="183"/>
      <c r="Y2907" s="183"/>
      <c r="Z2907" s="183"/>
    </row>
    <row r="2908" spans="2:26">
      <c r="B2908" s="191"/>
      <c r="D2908" s="183"/>
      <c r="I2908" s="183"/>
      <c r="J2908" s="183"/>
      <c r="L2908" s="183"/>
      <c r="M2908" s="183"/>
      <c r="N2908" s="183"/>
      <c r="O2908" s="183"/>
      <c r="P2908" s="183"/>
      <c r="Q2908" s="183"/>
      <c r="R2908" s="183"/>
      <c r="S2908" s="183"/>
      <c r="T2908" s="183"/>
      <c r="U2908" s="183"/>
      <c r="V2908" s="183"/>
      <c r="W2908" s="183"/>
      <c r="X2908" s="183"/>
      <c r="Y2908" s="183"/>
      <c r="Z2908" s="183"/>
    </row>
    <row r="2909" spans="2:26">
      <c r="B2909" s="191"/>
      <c r="D2909" s="183"/>
      <c r="I2909" s="183"/>
      <c r="J2909" s="183"/>
      <c r="L2909" s="183"/>
      <c r="M2909" s="183"/>
      <c r="N2909" s="183"/>
      <c r="O2909" s="183"/>
      <c r="P2909" s="183"/>
      <c r="Q2909" s="183"/>
      <c r="R2909" s="183"/>
      <c r="S2909" s="183"/>
      <c r="T2909" s="183"/>
      <c r="U2909" s="183"/>
      <c r="V2909" s="183"/>
      <c r="W2909" s="183"/>
      <c r="X2909" s="183"/>
      <c r="Y2909" s="183"/>
      <c r="Z2909" s="183"/>
    </row>
    <row r="2910" spans="2:26">
      <c r="B2910" s="191"/>
      <c r="D2910" s="183"/>
      <c r="I2910" s="183"/>
      <c r="J2910" s="183"/>
      <c r="L2910" s="183"/>
      <c r="M2910" s="183"/>
      <c r="N2910" s="183"/>
      <c r="O2910" s="183"/>
      <c r="P2910" s="183"/>
      <c r="Q2910" s="183"/>
      <c r="R2910" s="183"/>
      <c r="S2910" s="183"/>
      <c r="T2910" s="183"/>
      <c r="U2910" s="183"/>
      <c r="V2910" s="183"/>
      <c r="W2910" s="183"/>
      <c r="X2910" s="183"/>
      <c r="Y2910" s="183"/>
      <c r="Z2910" s="183"/>
    </row>
    <row r="2911" spans="2:26">
      <c r="B2911" s="191"/>
      <c r="D2911" s="183"/>
      <c r="I2911" s="183"/>
      <c r="J2911" s="183"/>
      <c r="L2911" s="183"/>
      <c r="M2911" s="183"/>
      <c r="N2911" s="183"/>
      <c r="O2911" s="183"/>
      <c r="P2911" s="183"/>
      <c r="Q2911" s="183"/>
      <c r="R2911" s="183"/>
      <c r="S2911" s="183"/>
      <c r="T2911" s="183"/>
      <c r="U2911" s="183"/>
      <c r="V2911" s="183"/>
      <c r="W2911" s="183"/>
      <c r="X2911" s="183"/>
      <c r="Y2911" s="183"/>
      <c r="Z2911" s="183"/>
    </row>
    <row r="2912" spans="2:26">
      <c r="B2912" s="191"/>
      <c r="D2912" s="183"/>
      <c r="I2912" s="183"/>
      <c r="J2912" s="183"/>
      <c r="L2912" s="183"/>
      <c r="M2912" s="183"/>
      <c r="N2912" s="183"/>
      <c r="O2912" s="183"/>
      <c r="P2912" s="183"/>
      <c r="Q2912" s="183"/>
      <c r="R2912" s="183"/>
      <c r="S2912" s="183"/>
      <c r="T2912" s="183"/>
      <c r="U2912" s="183"/>
      <c r="V2912" s="183"/>
      <c r="W2912" s="183"/>
      <c r="X2912" s="183"/>
      <c r="Y2912" s="183"/>
      <c r="Z2912" s="183"/>
    </row>
    <row r="2913" spans="2:26">
      <c r="B2913" s="191"/>
      <c r="D2913" s="183"/>
      <c r="I2913" s="183"/>
      <c r="J2913" s="183"/>
      <c r="L2913" s="183"/>
      <c r="M2913" s="183"/>
      <c r="N2913" s="183"/>
      <c r="O2913" s="183"/>
      <c r="P2913" s="183"/>
      <c r="Q2913" s="183"/>
      <c r="R2913" s="183"/>
      <c r="S2913" s="183"/>
      <c r="T2913" s="183"/>
      <c r="U2913" s="183"/>
      <c r="V2913" s="183"/>
      <c r="W2913" s="183"/>
      <c r="X2913" s="183"/>
      <c r="Y2913" s="183"/>
      <c r="Z2913" s="183"/>
    </row>
    <row r="2914" spans="2:26">
      <c r="B2914" s="191"/>
      <c r="D2914" s="183"/>
      <c r="I2914" s="183"/>
      <c r="J2914" s="183"/>
      <c r="L2914" s="183"/>
      <c r="M2914" s="183"/>
      <c r="N2914" s="183"/>
      <c r="O2914" s="183"/>
      <c r="P2914" s="183"/>
      <c r="Q2914" s="183"/>
      <c r="R2914" s="183"/>
      <c r="S2914" s="183"/>
      <c r="T2914" s="183"/>
      <c r="U2914" s="183"/>
      <c r="V2914" s="183"/>
      <c r="W2914" s="183"/>
      <c r="X2914" s="183"/>
      <c r="Y2914" s="183"/>
      <c r="Z2914" s="183"/>
    </row>
    <row r="2915" spans="2:26">
      <c r="B2915" s="191"/>
      <c r="D2915" s="183"/>
      <c r="I2915" s="183"/>
      <c r="J2915" s="183"/>
      <c r="L2915" s="183"/>
      <c r="M2915" s="183"/>
      <c r="N2915" s="183"/>
      <c r="O2915" s="183"/>
      <c r="P2915" s="183"/>
      <c r="Q2915" s="183"/>
      <c r="R2915" s="183"/>
      <c r="S2915" s="183"/>
      <c r="T2915" s="183"/>
      <c r="U2915" s="183"/>
      <c r="V2915" s="183"/>
      <c r="W2915" s="183"/>
      <c r="X2915" s="183"/>
      <c r="Y2915" s="183"/>
      <c r="Z2915" s="183"/>
    </row>
    <row r="2916" spans="2:26">
      <c r="B2916" s="191"/>
      <c r="D2916" s="183"/>
      <c r="I2916" s="183"/>
      <c r="J2916" s="183"/>
      <c r="L2916" s="183"/>
      <c r="M2916" s="183"/>
      <c r="N2916" s="183"/>
      <c r="O2916" s="183"/>
      <c r="P2916" s="183"/>
      <c r="Q2916" s="183"/>
      <c r="R2916" s="183"/>
      <c r="S2916" s="183"/>
      <c r="T2916" s="183"/>
      <c r="U2916" s="183"/>
      <c r="V2916" s="183"/>
      <c r="W2916" s="183"/>
      <c r="X2916" s="183"/>
      <c r="Y2916" s="183"/>
      <c r="Z2916" s="183"/>
    </row>
    <row r="2917" spans="2:26">
      <c r="B2917" s="191"/>
      <c r="D2917" s="183"/>
      <c r="I2917" s="183"/>
      <c r="J2917" s="183"/>
      <c r="L2917" s="183"/>
      <c r="M2917" s="183"/>
      <c r="N2917" s="183"/>
      <c r="O2917" s="183"/>
      <c r="P2917" s="183"/>
      <c r="Q2917" s="183"/>
      <c r="R2917" s="183"/>
      <c r="S2917" s="183"/>
      <c r="T2917" s="183"/>
      <c r="U2917" s="183"/>
      <c r="V2917" s="183"/>
      <c r="W2917" s="183"/>
      <c r="X2917" s="183"/>
      <c r="Y2917" s="183"/>
      <c r="Z2917" s="183"/>
    </row>
    <row r="2918" spans="2:26">
      <c r="B2918" s="191"/>
      <c r="D2918" s="183"/>
      <c r="I2918" s="183"/>
      <c r="J2918" s="183"/>
      <c r="L2918" s="183"/>
      <c r="M2918" s="183"/>
      <c r="N2918" s="183"/>
      <c r="O2918" s="183"/>
      <c r="P2918" s="183"/>
      <c r="Q2918" s="183"/>
      <c r="R2918" s="183"/>
      <c r="S2918" s="183"/>
      <c r="T2918" s="183"/>
      <c r="U2918" s="183"/>
      <c r="V2918" s="183"/>
      <c r="W2918" s="183"/>
      <c r="X2918" s="183"/>
      <c r="Y2918" s="183"/>
      <c r="Z2918" s="183"/>
    </row>
    <row r="2919" spans="2:26">
      <c r="B2919" s="191"/>
      <c r="D2919" s="183"/>
      <c r="I2919" s="183"/>
      <c r="J2919" s="183"/>
      <c r="L2919" s="183"/>
      <c r="M2919" s="183"/>
      <c r="N2919" s="183"/>
      <c r="O2919" s="183"/>
      <c r="P2919" s="183"/>
      <c r="Q2919" s="183"/>
      <c r="R2919" s="183"/>
      <c r="S2919" s="183"/>
      <c r="T2919" s="183"/>
      <c r="U2919" s="183"/>
      <c r="V2919" s="183"/>
      <c r="W2919" s="183"/>
      <c r="X2919" s="183"/>
      <c r="Y2919" s="183"/>
      <c r="Z2919" s="183"/>
    </row>
    <row r="2920" spans="2:26">
      <c r="B2920" s="191"/>
      <c r="D2920" s="183"/>
      <c r="I2920" s="183"/>
      <c r="J2920" s="183"/>
      <c r="L2920" s="183"/>
      <c r="M2920" s="183"/>
      <c r="N2920" s="183"/>
      <c r="O2920" s="183"/>
      <c r="P2920" s="183"/>
      <c r="Q2920" s="183"/>
      <c r="R2920" s="183"/>
      <c r="S2920" s="183"/>
      <c r="T2920" s="183"/>
      <c r="U2920" s="183"/>
      <c r="V2920" s="183"/>
      <c r="W2920" s="183"/>
      <c r="X2920" s="183"/>
      <c r="Y2920" s="183"/>
      <c r="Z2920" s="183"/>
    </row>
    <row r="2921" spans="2:26">
      <c r="B2921" s="191"/>
      <c r="D2921" s="183"/>
      <c r="I2921" s="183"/>
      <c r="J2921" s="183"/>
      <c r="L2921" s="183"/>
      <c r="M2921" s="183"/>
      <c r="N2921" s="183"/>
      <c r="O2921" s="183"/>
      <c r="P2921" s="183"/>
      <c r="Q2921" s="183"/>
      <c r="R2921" s="183"/>
      <c r="S2921" s="183"/>
      <c r="T2921" s="183"/>
      <c r="U2921" s="183"/>
      <c r="V2921" s="183"/>
      <c r="W2921" s="183"/>
      <c r="X2921" s="183"/>
      <c r="Y2921" s="183"/>
      <c r="Z2921" s="183"/>
    </row>
    <row r="2922" spans="2:26">
      <c r="B2922" s="191"/>
      <c r="D2922" s="183"/>
      <c r="I2922" s="183"/>
      <c r="J2922" s="183"/>
      <c r="L2922" s="183"/>
      <c r="M2922" s="183"/>
      <c r="N2922" s="183"/>
      <c r="O2922" s="183"/>
      <c r="P2922" s="183"/>
      <c r="Q2922" s="183"/>
      <c r="R2922" s="183"/>
      <c r="S2922" s="183"/>
      <c r="T2922" s="183"/>
      <c r="U2922" s="183"/>
      <c r="V2922" s="183"/>
      <c r="W2922" s="183"/>
      <c r="X2922" s="183"/>
      <c r="Y2922" s="183"/>
      <c r="Z2922" s="183"/>
    </row>
    <row r="2923" spans="2:26">
      <c r="B2923" s="191"/>
      <c r="D2923" s="183"/>
      <c r="I2923" s="183"/>
      <c r="J2923" s="183"/>
      <c r="L2923" s="183"/>
      <c r="M2923" s="183"/>
      <c r="N2923" s="183"/>
      <c r="O2923" s="183"/>
      <c r="P2923" s="183"/>
      <c r="Q2923" s="183"/>
      <c r="R2923" s="183"/>
      <c r="S2923" s="183"/>
      <c r="T2923" s="183"/>
      <c r="U2923" s="183"/>
      <c r="V2923" s="183"/>
      <c r="W2923" s="183"/>
      <c r="X2923" s="183"/>
      <c r="Y2923" s="183"/>
      <c r="Z2923" s="183"/>
    </row>
    <row r="2924" spans="2:26">
      <c r="B2924" s="191"/>
      <c r="D2924" s="183"/>
      <c r="I2924" s="183"/>
      <c r="J2924" s="183"/>
      <c r="L2924" s="183"/>
      <c r="M2924" s="183"/>
      <c r="N2924" s="183"/>
      <c r="O2924" s="183"/>
      <c r="P2924" s="183"/>
      <c r="Q2924" s="183"/>
      <c r="R2924" s="183"/>
      <c r="S2924" s="183"/>
      <c r="T2924" s="183"/>
      <c r="U2924" s="183"/>
      <c r="V2924" s="183"/>
      <c r="W2924" s="183"/>
      <c r="X2924" s="183"/>
      <c r="Y2924" s="183"/>
      <c r="Z2924" s="183"/>
    </row>
    <row r="2925" spans="2:26">
      <c r="B2925" s="191"/>
      <c r="D2925" s="183"/>
      <c r="I2925" s="183"/>
      <c r="J2925" s="183"/>
      <c r="L2925" s="183"/>
      <c r="M2925" s="183"/>
      <c r="N2925" s="183"/>
      <c r="O2925" s="183"/>
      <c r="P2925" s="183"/>
      <c r="Q2925" s="183"/>
      <c r="R2925" s="183"/>
      <c r="S2925" s="183"/>
      <c r="T2925" s="183"/>
      <c r="U2925" s="183"/>
      <c r="V2925" s="183"/>
      <c r="W2925" s="183"/>
      <c r="X2925" s="183"/>
      <c r="Y2925" s="183"/>
      <c r="Z2925" s="183"/>
    </row>
    <row r="2926" spans="2:26">
      <c r="B2926" s="191"/>
      <c r="D2926" s="183"/>
      <c r="I2926" s="183"/>
      <c r="J2926" s="183"/>
      <c r="L2926" s="183"/>
      <c r="M2926" s="183"/>
      <c r="N2926" s="183"/>
      <c r="O2926" s="183"/>
      <c r="P2926" s="183"/>
      <c r="Q2926" s="183"/>
      <c r="R2926" s="183"/>
      <c r="S2926" s="183"/>
      <c r="T2926" s="183"/>
      <c r="U2926" s="183"/>
      <c r="V2926" s="183"/>
      <c r="W2926" s="183"/>
      <c r="X2926" s="183"/>
      <c r="Y2926" s="183"/>
      <c r="Z2926" s="183"/>
    </row>
    <row r="2927" spans="2:26">
      <c r="B2927" s="191"/>
      <c r="D2927" s="183"/>
      <c r="I2927" s="183"/>
      <c r="J2927" s="183"/>
      <c r="L2927" s="183"/>
      <c r="M2927" s="183"/>
      <c r="N2927" s="183"/>
      <c r="O2927" s="183"/>
      <c r="P2927" s="183"/>
      <c r="Q2927" s="183"/>
      <c r="R2927" s="183"/>
      <c r="S2927" s="183"/>
      <c r="T2927" s="183"/>
      <c r="U2927" s="183"/>
      <c r="V2927" s="183"/>
      <c r="W2927" s="183"/>
      <c r="X2927" s="183"/>
      <c r="Y2927" s="183"/>
      <c r="Z2927" s="183"/>
    </row>
    <row r="2928" spans="2:26">
      <c r="B2928" s="191"/>
      <c r="D2928" s="183"/>
      <c r="I2928" s="183"/>
      <c r="J2928" s="183"/>
      <c r="L2928" s="183"/>
      <c r="M2928" s="183"/>
      <c r="N2928" s="183"/>
      <c r="O2928" s="183"/>
      <c r="P2928" s="183"/>
      <c r="Q2928" s="183"/>
      <c r="R2928" s="183"/>
      <c r="S2928" s="183"/>
      <c r="T2928" s="183"/>
      <c r="U2928" s="183"/>
      <c r="V2928" s="183"/>
      <c r="W2928" s="183"/>
      <c r="X2928" s="183"/>
      <c r="Y2928" s="183"/>
      <c r="Z2928" s="183"/>
    </row>
    <row r="2929" spans="2:26">
      <c r="B2929" s="191"/>
      <c r="D2929" s="183"/>
      <c r="I2929" s="183"/>
      <c r="J2929" s="183"/>
      <c r="L2929" s="183"/>
      <c r="M2929" s="183"/>
      <c r="N2929" s="183"/>
      <c r="O2929" s="183"/>
      <c r="P2929" s="183"/>
      <c r="Q2929" s="183"/>
      <c r="R2929" s="183"/>
      <c r="S2929" s="183"/>
      <c r="T2929" s="183"/>
      <c r="U2929" s="183"/>
      <c r="V2929" s="183"/>
      <c r="W2929" s="183"/>
      <c r="X2929" s="183"/>
      <c r="Y2929" s="183"/>
      <c r="Z2929" s="183"/>
    </row>
    <row r="2930" spans="2:26">
      <c r="B2930" s="191"/>
      <c r="D2930" s="183"/>
      <c r="I2930" s="183"/>
      <c r="J2930" s="183"/>
      <c r="L2930" s="183"/>
      <c r="M2930" s="183"/>
      <c r="N2930" s="183"/>
      <c r="O2930" s="183"/>
      <c r="P2930" s="183"/>
      <c r="Q2930" s="183"/>
      <c r="R2930" s="183"/>
      <c r="S2930" s="183"/>
      <c r="T2930" s="183"/>
      <c r="U2930" s="183"/>
      <c r="V2930" s="183"/>
      <c r="W2930" s="183"/>
      <c r="X2930" s="183"/>
      <c r="Y2930" s="183"/>
      <c r="Z2930" s="183"/>
    </row>
    <row r="2931" spans="2:26">
      <c r="B2931" s="191"/>
      <c r="D2931" s="183"/>
      <c r="I2931" s="183"/>
      <c r="J2931" s="183"/>
      <c r="L2931" s="183"/>
      <c r="M2931" s="183"/>
      <c r="N2931" s="183"/>
      <c r="O2931" s="183"/>
      <c r="P2931" s="183"/>
      <c r="Q2931" s="183"/>
      <c r="R2931" s="183"/>
      <c r="S2931" s="183"/>
      <c r="T2931" s="183"/>
      <c r="U2931" s="183"/>
      <c r="V2931" s="183"/>
      <c r="W2931" s="183"/>
      <c r="X2931" s="183"/>
      <c r="Y2931" s="183"/>
      <c r="Z2931" s="183"/>
    </row>
    <row r="2932" spans="2:26">
      <c r="B2932" s="191"/>
      <c r="D2932" s="183"/>
      <c r="I2932" s="183"/>
      <c r="J2932" s="183"/>
      <c r="L2932" s="183"/>
      <c r="M2932" s="183"/>
      <c r="N2932" s="183"/>
      <c r="O2932" s="183"/>
      <c r="P2932" s="183"/>
      <c r="Q2932" s="183"/>
      <c r="R2932" s="183"/>
      <c r="S2932" s="183"/>
      <c r="T2932" s="183"/>
      <c r="U2932" s="183"/>
      <c r="V2932" s="183"/>
      <c r="W2932" s="183"/>
      <c r="X2932" s="183"/>
      <c r="Y2932" s="183"/>
      <c r="Z2932" s="183"/>
    </row>
    <row r="2933" spans="2:26">
      <c r="B2933" s="191"/>
      <c r="D2933" s="183"/>
      <c r="I2933" s="183"/>
      <c r="J2933" s="183"/>
      <c r="L2933" s="183"/>
      <c r="M2933" s="183"/>
      <c r="N2933" s="183"/>
      <c r="O2933" s="183"/>
      <c r="P2933" s="183"/>
      <c r="Q2933" s="183"/>
      <c r="R2933" s="183"/>
      <c r="S2933" s="183"/>
      <c r="T2933" s="183"/>
      <c r="U2933" s="183"/>
      <c r="V2933" s="183"/>
      <c r="W2933" s="183"/>
      <c r="X2933" s="183"/>
      <c r="Y2933" s="183"/>
      <c r="Z2933" s="183"/>
    </row>
    <row r="2934" spans="2:26">
      <c r="B2934" s="191"/>
      <c r="D2934" s="183"/>
      <c r="I2934" s="183"/>
      <c r="J2934" s="183"/>
      <c r="L2934" s="183"/>
      <c r="M2934" s="183"/>
      <c r="N2934" s="183"/>
      <c r="O2934" s="183"/>
      <c r="P2934" s="183"/>
      <c r="Q2934" s="183"/>
      <c r="R2934" s="183"/>
      <c r="S2934" s="183"/>
      <c r="T2934" s="183"/>
      <c r="U2934" s="183"/>
      <c r="V2934" s="183"/>
      <c r="W2934" s="183"/>
      <c r="X2934" s="183"/>
      <c r="Y2934" s="183"/>
      <c r="Z2934" s="183"/>
    </row>
    <row r="2935" spans="2:26">
      <c r="B2935" s="191"/>
      <c r="D2935" s="183"/>
      <c r="I2935" s="183"/>
      <c r="J2935" s="183"/>
      <c r="L2935" s="183"/>
      <c r="M2935" s="183"/>
      <c r="N2935" s="183"/>
      <c r="O2935" s="183"/>
      <c r="P2935" s="183"/>
      <c r="Q2935" s="183"/>
      <c r="R2935" s="183"/>
      <c r="S2935" s="183"/>
      <c r="T2935" s="183"/>
      <c r="U2935" s="183"/>
      <c r="V2935" s="183"/>
      <c r="W2935" s="183"/>
      <c r="X2935" s="183"/>
      <c r="Y2935" s="183"/>
      <c r="Z2935" s="183"/>
    </row>
    <row r="2936" spans="2:26">
      <c r="B2936" s="191"/>
      <c r="D2936" s="183"/>
      <c r="I2936" s="183"/>
      <c r="J2936" s="183"/>
      <c r="L2936" s="183"/>
      <c r="M2936" s="183"/>
      <c r="N2936" s="183"/>
      <c r="O2936" s="183"/>
      <c r="P2936" s="183"/>
      <c r="Q2936" s="183"/>
      <c r="R2936" s="183"/>
      <c r="S2936" s="183"/>
      <c r="T2936" s="183"/>
      <c r="U2936" s="183"/>
      <c r="V2936" s="183"/>
      <c r="W2936" s="183"/>
      <c r="X2936" s="183"/>
      <c r="Y2936" s="183"/>
      <c r="Z2936" s="183"/>
    </row>
    <row r="2937" spans="2:26">
      <c r="B2937" s="191"/>
      <c r="D2937" s="183"/>
      <c r="I2937" s="183"/>
      <c r="J2937" s="183"/>
      <c r="L2937" s="183"/>
      <c r="M2937" s="183"/>
      <c r="N2937" s="183"/>
      <c r="O2937" s="183"/>
      <c r="P2937" s="183"/>
      <c r="Q2937" s="183"/>
      <c r="R2937" s="183"/>
      <c r="S2937" s="183"/>
      <c r="T2937" s="183"/>
      <c r="U2937" s="183"/>
      <c r="V2937" s="183"/>
      <c r="W2937" s="183"/>
      <c r="X2937" s="183"/>
      <c r="Y2937" s="183"/>
      <c r="Z2937" s="183"/>
    </row>
    <row r="2938" spans="2:26">
      <c r="B2938" s="191"/>
      <c r="D2938" s="183"/>
      <c r="I2938" s="183"/>
      <c r="J2938" s="183"/>
      <c r="L2938" s="183"/>
      <c r="M2938" s="183"/>
      <c r="N2938" s="183"/>
      <c r="O2938" s="183"/>
      <c r="P2938" s="183"/>
      <c r="Q2938" s="183"/>
      <c r="R2938" s="183"/>
      <c r="S2938" s="183"/>
      <c r="T2938" s="183"/>
      <c r="U2938" s="183"/>
      <c r="V2938" s="183"/>
      <c r="W2938" s="183"/>
      <c r="X2938" s="183"/>
      <c r="Y2938" s="183"/>
      <c r="Z2938" s="183"/>
    </row>
    <row r="2939" spans="2:26">
      <c r="B2939" s="191"/>
      <c r="D2939" s="183"/>
      <c r="I2939" s="183"/>
      <c r="J2939" s="183"/>
      <c r="L2939" s="183"/>
      <c r="M2939" s="183"/>
      <c r="N2939" s="183"/>
      <c r="O2939" s="183"/>
      <c r="P2939" s="183"/>
      <c r="Q2939" s="183"/>
      <c r="R2939" s="183"/>
      <c r="S2939" s="183"/>
      <c r="T2939" s="183"/>
      <c r="U2939" s="183"/>
      <c r="V2939" s="183"/>
      <c r="W2939" s="183"/>
      <c r="X2939" s="183"/>
      <c r="Y2939" s="183"/>
      <c r="Z2939" s="183"/>
    </row>
    <row r="2940" spans="2:26">
      <c r="B2940" s="191"/>
      <c r="D2940" s="183"/>
      <c r="I2940" s="183"/>
      <c r="J2940" s="183"/>
      <c r="L2940" s="183"/>
      <c r="M2940" s="183"/>
      <c r="N2940" s="183"/>
      <c r="O2940" s="183"/>
      <c r="P2940" s="183"/>
      <c r="Q2940" s="183"/>
      <c r="R2940" s="183"/>
      <c r="S2940" s="183"/>
      <c r="T2940" s="183"/>
      <c r="U2940" s="183"/>
      <c r="V2940" s="183"/>
      <c r="W2940" s="183"/>
      <c r="X2940" s="183"/>
      <c r="Y2940" s="183"/>
      <c r="Z2940" s="183"/>
    </row>
    <row r="2941" spans="2:26">
      <c r="B2941" s="191"/>
      <c r="D2941" s="183"/>
      <c r="I2941" s="183"/>
      <c r="J2941" s="183"/>
      <c r="L2941" s="183"/>
      <c r="M2941" s="183"/>
      <c r="N2941" s="183"/>
      <c r="O2941" s="183"/>
      <c r="P2941" s="183"/>
      <c r="Q2941" s="183"/>
      <c r="R2941" s="183"/>
      <c r="S2941" s="183"/>
      <c r="T2941" s="183"/>
      <c r="U2941" s="183"/>
      <c r="V2941" s="183"/>
      <c r="W2941" s="183"/>
      <c r="X2941" s="183"/>
      <c r="Y2941" s="183"/>
      <c r="Z2941" s="183"/>
    </row>
    <row r="2942" spans="2:26">
      <c r="B2942" s="191"/>
      <c r="D2942" s="183"/>
      <c r="I2942" s="183"/>
      <c r="J2942" s="183"/>
      <c r="L2942" s="183"/>
      <c r="M2942" s="183"/>
      <c r="N2942" s="183"/>
      <c r="O2942" s="183"/>
      <c r="P2942" s="183"/>
      <c r="Q2942" s="183"/>
      <c r="R2942" s="183"/>
      <c r="S2942" s="183"/>
      <c r="T2942" s="183"/>
      <c r="U2942" s="183"/>
      <c r="V2942" s="183"/>
      <c r="W2942" s="183"/>
      <c r="X2942" s="183"/>
      <c r="Y2942" s="183"/>
      <c r="Z2942" s="183"/>
    </row>
    <row r="2943" spans="2:26">
      <c r="B2943" s="191"/>
      <c r="D2943" s="183"/>
      <c r="I2943" s="183"/>
      <c r="J2943" s="183"/>
      <c r="L2943" s="183"/>
      <c r="M2943" s="183"/>
      <c r="N2943" s="183"/>
      <c r="O2943" s="183"/>
      <c r="P2943" s="183"/>
      <c r="Q2943" s="183"/>
      <c r="R2943" s="183"/>
      <c r="S2943" s="183"/>
      <c r="T2943" s="183"/>
      <c r="U2943" s="183"/>
      <c r="V2943" s="183"/>
      <c r="W2943" s="183"/>
      <c r="X2943" s="183"/>
      <c r="Y2943" s="183"/>
      <c r="Z2943" s="183"/>
    </row>
    <row r="2944" spans="2:26">
      <c r="B2944" s="191"/>
      <c r="D2944" s="183"/>
      <c r="I2944" s="183"/>
      <c r="J2944" s="183"/>
      <c r="L2944" s="183"/>
      <c r="M2944" s="183"/>
      <c r="N2944" s="183"/>
      <c r="O2944" s="183"/>
      <c r="P2944" s="183"/>
      <c r="Q2944" s="183"/>
      <c r="R2944" s="183"/>
      <c r="S2944" s="183"/>
      <c r="T2944" s="183"/>
      <c r="U2944" s="183"/>
      <c r="V2944" s="183"/>
      <c r="W2944" s="183"/>
      <c r="X2944" s="183"/>
      <c r="Y2944" s="183"/>
      <c r="Z2944" s="183"/>
    </row>
    <row r="2945" spans="2:26">
      <c r="B2945" s="191"/>
      <c r="D2945" s="183"/>
      <c r="I2945" s="183"/>
      <c r="J2945" s="183"/>
      <c r="L2945" s="183"/>
      <c r="M2945" s="183"/>
      <c r="N2945" s="183"/>
      <c r="O2945" s="183"/>
      <c r="P2945" s="183"/>
      <c r="Q2945" s="183"/>
      <c r="R2945" s="183"/>
      <c r="S2945" s="183"/>
      <c r="T2945" s="183"/>
      <c r="U2945" s="183"/>
      <c r="V2945" s="183"/>
      <c r="W2945" s="183"/>
      <c r="X2945" s="183"/>
      <c r="Y2945" s="183"/>
      <c r="Z2945" s="183"/>
    </row>
    <row r="2946" spans="2:26">
      <c r="B2946" s="191"/>
      <c r="D2946" s="183"/>
      <c r="I2946" s="183"/>
      <c r="J2946" s="183"/>
      <c r="L2946" s="183"/>
      <c r="M2946" s="183"/>
      <c r="N2946" s="183"/>
      <c r="O2946" s="183"/>
      <c r="P2946" s="183"/>
      <c r="Q2946" s="183"/>
      <c r="R2946" s="183"/>
      <c r="S2946" s="183"/>
      <c r="T2946" s="183"/>
      <c r="U2946" s="183"/>
      <c r="V2946" s="183"/>
      <c r="W2946" s="183"/>
      <c r="X2946" s="183"/>
      <c r="Y2946" s="183"/>
      <c r="Z2946" s="183"/>
    </row>
    <row r="2947" spans="2:26">
      <c r="B2947" s="191"/>
      <c r="D2947" s="183"/>
      <c r="I2947" s="183"/>
      <c r="J2947" s="183"/>
      <c r="L2947" s="183"/>
      <c r="M2947" s="183"/>
      <c r="N2947" s="183"/>
      <c r="O2947" s="183"/>
      <c r="P2947" s="183"/>
      <c r="Q2947" s="183"/>
      <c r="R2947" s="183"/>
      <c r="S2947" s="183"/>
      <c r="T2947" s="183"/>
      <c r="U2947" s="183"/>
      <c r="V2947" s="183"/>
      <c r="W2947" s="183"/>
      <c r="X2947" s="183"/>
      <c r="Y2947" s="183"/>
      <c r="Z2947" s="183"/>
    </row>
    <row r="2948" spans="2:26">
      <c r="B2948" s="191"/>
      <c r="D2948" s="183"/>
      <c r="I2948" s="183"/>
      <c r="J2948" s="183"/>
      <c r="L2948" s="183"/>
      <c r="M2948" s="183"/>
      <c r="N2948" s="183"/>
      <c r="O2948" s="183"/>
      <c r="P2948" s="183"/>
      <c r="Q2948" s="183"/>
      <c r="R2948" s="183"/>
      <c r="S2948" s="183"/>
      <c r="T2948" s="183"/>
      <c r="U2948" s="183"/>
      <c r="V2948" s="183"/>
      <c r="W2948" s="183"/>
      <c r="X2948" s="183"/>
      <c r="Y2948" s="183"/>
      <c r="Z2948" s="183"/>
    </row>
    <row r="2949" spans="2:26">
      <c r="B2949" s="191"/>
      <c r="D2949" s="183"/>
      <c r="I2949" s="183"/>
      <c r="J2949" s="183"/>
      <c r="L2949" s="183"/>
      <c r="M2949" s="183"/>
      <c r="N2949" s="183"/>
      <c r="O2949" s="183"/>
      <c r="P2949" s="183"/>
      <c r="Q2949" s="183"/>
      <c r="R2949" s="183"/>
      <c r="S2949" s="183"/>
      <c r="T2949" s="183"/>
      <c r="U2949" s="183"/>
      <c r="V2949" s="183"/>
      <c r="W2949" s="183"/>
      <c r="X2949" s="183"/>
      <c r="Y2949" s="183"/>
      <c r="Z2949" s="183"/>
    </row>
    <row r="2950" spans="2:26">
      <c r="B2950" s="191"/>
      <c r="D2950" s="183"/>
      <c r="I2950" s="183"/>
      <c r="J2950" s="183"/>
      <c r="L2950" s="183"/>
      <c r="M2950" s="183"/>
      <c r="N2950" s="183"/>
      <c r="O2950" s="183"/>
      <c r="P2950" s="183"/>
      <c r="Q2950" s="183"/>
      <c r="R2950" s="183"/>
      <c r="S2950" s="183"/>
      <c r="T2950" s="183"/>
      <c r="U2950" s="183"/>
      <c r="V2950" s="183"/>
      <c r="W2950" s="183"/>
      <c r="X2950" s="183"/>
      <c r="Y2950" s="183"/>
      <c r="Z2950" s="183"/>
    </row>
    <row r="2951" spans="2:26">
      <c r="B2951" s="191"/>
      <c r="D2951" s="183"/>
      <c r="I2951" s="183"/>
      <c r="J2951" s="183"/>
      <c r="L2951" s="183"/>
      <c r="M2951" s="183"/>
      <c r="N2951" s="183"/>
      <c r="O2951" s="183"/>
      <c r="P2951" s="183"/>
      <c r="Q2951" s="183"/>
      <c r="R2951" s="183"/>
      <c r="S2951" s="183"/>
      <c r="T2951" s="183"/>
      <c r="U2951" s="183"/>
      <c r="V2951" s="183"/>
      <c r="W2951" s="183"/>
      <c r="X2951" s="183"/>
      <c r="Y2951" s="183"/>
      <c r="Z2951" s="183"/>
    </row>
    <row r="2952" spans="2:26">
      <c r="B2952" s="191"/>
      <c r="D2952" s="183"/>
      <c r="I2952" s="183"/>
      <c r="J2952" s="183"/>
      <c r="L2952" s="183"/>
      <c r="M2952" s="183"/>
      <c r="N2952" s="183"/>
      <c r="O2952" s="183"/>
      <c r="P2952" s="183"/>
      <c r="Q2952" s="183"/>
      <c r="R2952" s="183"/>
      <c r="S2952" s="183"/>
      <c r="T2952" s="183"/>
      <c r="U2952" s="183"/>
      <c r="V2952" s="183"/>
      <c r="W2952" s="183"/>
      <c r="X2952" s="183"/>
      <c r="Y2952" s="183"/>
      <c r="Z2952" s="183"/>
    </row>
    <row r="2953" spans="2:26">
      <c r="B2953" s="191"/>
      <c r="D2953" s="183"/>
      <c r="I2953" s="183"/>
      <c r="J2953" s="183"/>
      <c r="L2953" s="183"/>
      <c r="M2953" s="183"/>
      <c r="N2953" s="183"/>
      <c r="O2953" s="183"/>
      <c r="P2953" s="183"/>
      <c r="Q2953" s="183"/>
      <c r="R2953" s="183"/>
      <c r="S2953" s="183"/>
      <c r="T2953" s="183"/>
      <c r="U2953" s="183"/>
      <c r="V2953" s="183"/>
      <c r="W2953" s="183"/>
      <c r="X2953" s="183"/>
      <c r="Y2953" s="183"/>
      <c r="Z2953" s="183"/>
    </row>
    <row r="2954" spans="2:26">
      <c r="B2954" s="191"/>
      <c r="D2954" s="183"/>
      <c r="I2954" s="183"/>
      <c r="J2954" s="183"/>
      <c r="L2954" s="183"/>
      <c r="M2954" s="183"/>
      <c r="N2954" s="183"/>
      <c r="O2954" s="183"/>
      <c r="P2954" s="183"/>
      <c r="Q2954" s="183"/>
      <c r="R2954" s="183"/>
      <c r="S2954" s="183"/>
      <c r="T2954" s="183"/>
      <c r="U2954" s="183"/>
      <c r="V2954" s="183"/>
      <c r="W2954" s="183"/>
      <c r="X2954" s="183"/>
      <c r="Y2954" s="183"/>
      <c r="Z2954" s="183"/>
    </row>
    <row r="2955" spans="2:26">
      <c r="B2955" s="191"/>
      <c r="D2955" s="183"/>
      <c r="I2955" s="183"/>
      <c r="J2955" s="183"/>
      <c r="L2955" s="183"/>
      <c r="M2955" s="183"/>
      <c r="N2955" s="183"/>
      <c r="O2955" s="183"/>
      <c r="P2955" s="183"/>
      <c r="Q2955" s="183"/>
      <c r="R2955" s="183"/>
      <c r="S2955" s="183"/>
      <c r="T2955" s="183"/>
      <c r="U2955" s="183"/>
      <c r="V2955" s="183"/>
      <c r="W2955" s="183"/>
      <c r="X2955" s="183"/>
      <c r="Y2955" s="183"/>
      <c r="Z2955" s="183"/>
    </row>
    <row r="2956" spans="2:26">
      <c r="B2956" s="191"/>
      <c r="D2956" s="183"/>
      <c r="I2956" s="183"/>
      <c r="J2956" s="183"/>
      <c r="L2956" s="183"/>
      <c r="M2956" s="183"/>
      <c r="N2956" s="183"/>
      <c r="O2956" s="183"/>
      <c r="P2956" s="183"/>
      <c r="Q2956" s="183"/>
      <c r="R2956" s="183"/>
      <c r="S2956" s="183"/>
      <c r="T2956" s="183"/>
      <c r="U2956" s="183"/>
      <c r="V2956" s="183"/>
      <c r="W2956" s="183"/>
      <c r="X2956" s="183"/>
      <c r="Y2956" s="183"/>
      <c r="Z2956" s="183"/>
    </row>
    <row r="2957" spans="2:26">
      <c r="B2957" s="191"/>
      <c r="D2957" s="183"/>
      <c r="I2957" s="183"/>
      <c r="J2957" s="183"/>
      <c r="L2957" s="183"/>
      <c r="M2957" s="183"/>
      <c r="N2957" s="183"/>
      <c r="O2957" s="183"/>
      <c r="P2957" s="183"/>
      <c r="Q2957" s="183"/>
      <c r="R2957" s="183"/>
      <c r="S2957" s="183"/>
      <c r="T2957" s="183"/>
      <c r="U2957" s="183"/>
      <c r="V2957" s="183"/>
      <c r="W2957" s="183"/>
      <c r="X2957" s="183"/>
      <c r="Y2957" s="183"/>
      <c r="Z2957" s="183"/>
    </row>
    <row r="2958" spans="2:26">
      <c r="B2958" s="191"/>
      <c r="D2958" s="183"/>
      <c r="I2958" s="183"/>
      <c r="J2958" s="183"/>
      <c r="L2958" s="183"/>
      <c r="M2958" s="183"/>
      <c r="N2958" s="183"/>
      <c r="O2958" s="183"/>
      <c r="P2958" s="183"/>
      <c r="Q2958" s="183"/>
      <c r="R2958" s="183"/>
      <c r="S2958" s="183"/>
      <c r="T2958" s="183"/>
      <c r="U2958" s="183"/>
      <c r="V2958" s="183"/>
      <c r="W2958" s="183"/>
      <c r="X2958" s="183"/>
      <c r="Y2958" s="183"/>
      <c r="Z2958" s="183"/>
    </row>
    <row r="2959" spans="2:26">
      <c r="B2959" s="191"/>
      <c r="D2959" s="183"/>
      <c r="I2959" s="183"/>
      <c r="J2959" s="183"/>
      <c r="L2959" s="183"/>
      <c r="M2959" s="183"/>
      <c r="N2959" s="183"/>
      <c r="O2959" s="183"/>
      <c r="P2959" s="183"/>
      <c r="Q2959" s="183"/>
      <c r="R2959" s="183"/>
      <c r="S2959" s="183"/>
      <c r="T2959" s="183"/>
      <c r="U2959" s="183"/>
      <c r="V2959" s="183"/>
      <c r="W2959" s="183"/>
      <c r="X2959" s="183"/>
      <c r="Y2959" s="183"/>
      <c r="Z2959" s="183"/>
    </row>
    <row r="2960" spans="2:26">
      <c r="B2960" s="191"/>
      <c r="D2960" s="183"/>
      <c r="I2960" s="183"/>
      <c r="J2960" s="183"/>
      <c r="L2960" s="183"/>
      <c r="M2960" s="183"/>
      <c r="N2960" s="183"/>
      <c r="O2960" s="183"/>
      <c r="P2960" s="183"/>
      <c r="Q2960" s="183"/>
      <c r="R2960" s="183"/>
      <c r="S2960" s="183"/>
      <c r="T2960" s="183"/>
      <c r="U2960" s="183"/>
      <c r="V2960" s="183"/>
      <c r="W2960" s="183"/>
      <c r="X2960" s="183"/>
      <c r="Y2960" s="183"/>
      <c r="Z2960" s="183"/>
    </row>
    <row r="2961" spans="2:26">
      <c r="B2961" s="191"/>
      <c r="D2961" s="183"/>
      <c r="I2961" s="183"/>
      <c r="J2961" s="183"/>
      <c r="L2961" s="183"/>
      <c r="M2961" s="183"/>
      <c r="N2961" s="183"/>
      <c r="O2961" s="183"/>
      <c r="P2961" s="183"/>
      <c r="Q2961" s="183"/>
      <c r="R2961" s="183"/>
      <c r="S2961" s="183"/>
      <c r="T2961" s="183"/>
      <c r="U2961" s="183"/>
      <c r="V2961" s="183"/>
      <c r="W2961" s="183"/>
      <c r="X2961" s="183"/>
      <c r="Y2961" s="183"/>
      <c r="Z2961" s="183"/>
    </row>
    <row r="2962" spans="2:26">
      <c r="B2962" s="191"/>
      <c r="D2962" s="183"/>
      <c r="I2962" s="183"/>
      <c r="J2962" s="183"/>
      <c r="L2962" s="183"/>
      <c r="M2962" s="183"/>
      <c r="N2962" s="183"/>
      <c r="O2962" s="183"/>
      <c r="P2962" s="183"/>
      <c r="Q2962" s="183"/>
      <c r="R2962" s="183"/>
      <c r="S2962" s="183"/>
      <c r="T2962" s="183"/>
      <c r="U2962" s="183"/>
      <c r="V2962" s="183"/>
      <c r="W2962" s="183"/>
      <c r="X2962" s="183"/>
      <c r="Y2962" s="183"/>
      <c r="Z2962" s="183"/>
    </row>
    <row r="2963" spans="2:26">
      <c r="B2963" s="191"/>
      <c r="D2963" s="183"/>
      <c r="I2963" s="183"/>
      <c r="J2963" s="183"/>
      <c r="L2963" s="183"/>
      <c r="M2963" s="183"/>
      <c r="N2963" s="183"/>
      <c r="O2963" s="183"/>
      <c r="P2963" s="183"/>
      <c r="Q2963" s="183"/>
      <c r="R2963" s="183"/>
      <c r="S2963" s="183"/>
      <c r="T2963" s="183"/>
      <c r="U2963" s="183"/>
      <c r="V2963" s="183"/>
      <c r="W2963" s="183"/>
      <c r="X2963" s="183"/>
      <c r="Y2963" s="183"/>
      <c r="Z2963" s="183"/>
    </row>
    <row r="2964" spans="2:26">
      <c r="B2964" s="191"/>
      <c r="D2964" s="183"/>
      <c r="I2964" s="183"/>
      <c r="J2964" s="183"/>
      <c r="L2964" s="183"/>
      <c r="M2964" s="183"/>
      <c r="N2964" s="183"/>
      <c r="O2964" s="183"/>
      <c r="P2964" s="183"/>
      <c r="Q2964" s="183"/>
      <c r="R2964" s="183"/>
      <c r="S2964" s="183"/>
      <c r="T2964" s="183"/>
      <c r="U2964" s="183"/>
      <c r="V2964" s="183"/>
      <c r="W2964" s="183"/>
      <c r="X2964" s="183"/>
      <c r="Y2964" s="183"/>
      <c r="Z2964" s="183"/>
    </row>
    <row r="2965" spans="2:26">
      <c r="B2965" s="191"/>
      <c r="D2965" s="183"/>
      <c r="I2965" s="183"/>
      <c r="J2965" s="183"/>
      <c r="L2965" s="183"/>
      <c r="M2965" s="183"/>
      <c r="N2965" s="183"/>
      <c r="O2965" s="183"/>
      <c r="P2965" s="183"/>
      <c r="Q2965" s="183"/>
      <c r="R2965" s="183"/>
      <c r="S2965" s="183"/>
      <c r="T2965" s="183"/>
      <c r="U2965" s="183"/>
      <c r="V2965" s="183"/>
      <c r="W2965" s="183"/>
      <c r="X2965" s="183"/>
      <c r="Y2965" s="183"/>
      <c r="Z2965" s="183"/>
    </row>
    <row r="2966" spans="2:26">
      <c r="B2966" s="191"/>
      <c r="D2966" s="183"/>
      <c r="I2966" s="183"/>
      <c r="J2966" s="183"/>
      <c r="L2966" s="183"/>
      <c r="M2966" s="183"/>
      <c r="N2966" s="183"/>
      <c r="O2966" s="183"/>
      <c r="P2966" s="183"/>
      <c r="Q2966" s="183"/>
      <c r="R2966" s="183"/>
      <c r="S2966" s="183"/>
      <c r="T2966" s="183"/>
      <c r="U2966" s="183"/>
      <c r="V2966" s="183"/>
      <c r="W2966" s="183"/>
      <c r="X2966" s="183"/>
      <c r="Y2966" s="183"/>
      <c r="Z2966" s="183"/>
    </row>
    <row r="2967" spans="2:26">
      <c r="B2967" s="191"/>
      <c r="D2967" s="183"/>
      <c r="I2967" s="183"/>
      <c r="J2967" s="183"/>
      <c r="L2967" s="183"/>
      <c r="M2967" s="183"/>
      <c r="N2967" s="183"/>
      <c r="O2967" s="183"/>
      <c r="P2967" s="183"/>
      <c r="Q2967" s="183"/>
      <c r="R2967" s="183"/>
      <c r="S2967" s="183"/>
      <c r="T2967" s="183"/>
      <c r="U2967" s="183"/>
      <c r="V2967" s="183"/>
      <c r="W2967" s="183"/>
      <c r="X2967" s="183"/>
      <c r="Y2967" s="183"/>
      <c r="Z2967" s="183"/>
    </row>
    <row r="2968" spans="2:26">
      <c r="B2968" s="191"/>
      <c r="D2968" s="183"/>
      <c r="I2968" s="183"/>
      <c r="J2968" s="183"/>
      <c r="L2968" s="183"/>
      <c r="M2968" s="183"/>
      <c r="N2968" s="183"/>
      <c r="O2968" s="183"/>
      <c r="P2968" s="183"/>
      <c r="Q2968" s="183"/>
      <c r="R2968" s="183"/>
      <c r="S2968" s="183"/>
      <c r="T2968" s="183"/>
      <c r="U2968" s="183"/>
      <c r="V2968" s="183"/>
      <c r="W2968" s="183"/>
      <c r="X2968" s="183"/>
      <c r="Y2968" s="183"/>
      <c r="Z2968" s="183"/>
    </row>
    <row r="2969" spans="2:26">
      <c r="B2969" s="191"/>
      <c r="D2969" s="183"/>
      <c r="I2969" s="183"/>
      <c r="J2969" s="183"/>
      <c r="L2969" s="183"/>
      <c r="M2969" s="183"/>
      <c r="N2969" s="183"/>
      <c r="O2969" s="183"/>
      <c r="P2969" s="183"/>
      <c r="Q2969" s="183"/>
      <c r="R2969" s="183"/>
      <c r="S2969" s="183"/>
      <c r="T2969" s="183"/>
      <c r="U2969" s="183"/>
      <c r="V2969" s="183"/>
      <c r="W2969" s="183"/>
      <c r="X2969" s="183"/>
      <c r="Y2969" s="183"/>
      <c r="Z2969" s="183"/>
    </row>
    <row r="2970" spans="2:26">
      <c r="B2970" s="191"/>
      <c r="D2970" s="183"/>
      <c r="I2970" s="183"/>
      <c r="J2970" s="183"/>
      <c r="L2970" s="183"/>
      <c r="M2970" s="183"/>
      <c r="N2970" s="183"/>
      <c r="O2970" s="183"/>
      <c r="P2970" s="183"/>
      <c r="Q2970" s="183"/>
      <c r="R2970" s="183"/>
      <c r="S2970" s="183"/>
      <c r="T2970" s="183"/>
      <c r="U2970" s="183"/>
      <c r="V2970" s="183"/>
      <c r="W2970" s="183"/>
      <c r="X2970" s="183"/>
      <c r="Y2970" s="183"/>
      <c r="Z2970" s="183"/>
    </row>
    <row r="2971" spans="2:26">
      <c r="B2971" s="191"/>
      <c r="D2971" s="183"/>
      <c r="I2971" s="183"/>
      <c r="J2971" s="183"/>
      <c r="L2971" s="183"/>
      <c r="M2971" s="183"/>
      <c r="N2971" s="183"/>
      <c r="O2971" s="183"/>
      <c r="P2971" s="183"/>
      <c r="Q2971" s="183"/>
      <c r="R2971" s="183"/>
      <c r="S2971" s="183"/>
      <c r="T2971" s="183"/>
      <c r="U2971" s="183"/>
      <c r="V2971" s="183"/>
      <c r="W2971" s="183"/>
      <c r="X2971" s="183"/>
      <c r="Y2971" s="183"/>
      <c r="Z2971" s="183"/>
    </row>
    <row r="2972" spans="2:26">
      <c r="B2972" s="191"/>
      <c r="D2972" s="183"/>
      <c r="I2972" s="183"/>
      <c r="J2972" s="183"/>
      <c r="L2972" s="183"/>
      <c r="M2972" s="183"/>
      <c r="N2972" s="183"/>
      <c r="O2972" s="183"/>
      <c r="P2972" s="183"/>
      <c r="Q2972" s="183"/>
      <c r="R2972" s="183"/>
      <c r="S2972" s="183"/>
      <c r="T2972" s="183"/>
      <c r="U2972" s="183"/>
      <c r="V2972" s="183"/>
      <c r="W2972" s="183"/>
      <c r="X2972" s="183"/>
      <c r="Y2972" s="183"/>
      <c r="Z2972" s="183"/>
    </row>
    <row r="2973" spans="2:26">
      <c r="B2973" s="191"/>
      <c r="D2973" s="183"/>
      <c r="I2973" s="183"/>
      <c r="J2973" s="183"/>
      <c r="L2973" s="183"/>
      <c r="M2973" s="183"/>
      <c r="N2973" s="183"/>
      <c r="O2973" s="183"/>
      <c r="P2973" s="183"/>
      <c r="Q2973" s="183"/>
      <c r="R2973" s="183"/>
      <c r="S2973" s="183"/>
      <c r="T2973" s="183"/>
      <c r="U2973" s="183"/>
      <c r="V2973" s="183"/>
      <c r="W2973" s="183"/>
      <c r="X2973" s="183"/>
      <c r="Y2973" s="183"/>
      <c r="Z2973" s="183"/>
    </row>
    <row r="2974" spans="2:26">
      <c r="B2974" s="191"/>
      <c r="D2974" s="183"/>
      <c r="I2974" s="183"/>
      <c r="J2974" s="183"/>
      <c r="L2974" s="183"/>
      <c r="M2974" s="183"/>
      <c r="N2974" s="183"/>
      <c r="O2974" s="183"/>
      <c r="P2974" s="183"/>
      <c r="Q2974" s="183"/>
      <c r="R2974" s="183"/>
      <c r="S2974" s="183"/>
      <c r="T2974" s="183"/>
      <c r="U2974" s="183"/>
      <c r="V2974" s="183"/>
      <c r="W2974" s="183"/>
      <c r="X2974" s="183"/>
      <c r="Y2974" s="183"/>
      <c r="Z2974" s="183"/>
    </row>
    <row r="2975" spans="2:26">
      <c r="B2975" s="191"/>
      <c r="D2975" s="183"/>
      <c r="I2975" s="183"/>
      <c r="J2975" s="183"/>
      <c r="L2975" s="183"/>
      <c r="M2975" s="183"/>
      <c r="N2975" s="183"/>
      <c r="O2975" s="183"/>
      <c r="P2975" s="183"/>
      <c r="Q2975" s="183"/>
      <c r="R2975" s="183"/>
      <c r="S2975" s="183"/>
      <c r="T2975" s="183"/>
      <c r="U2975" s="183"/>
      <c r="V2975" s="183"/>
      <c r="W2975" s="183"/>
      <c r="X2975" s="183"/>
      <c r="Y2975" s="183"/>
      <c r="Z2975" s="183"/>
    </row>
    <row r="2976" spans="2:26">
      <c r="B2976" s="191"/>
      <c r="D2976" s="183"/>
      <c r="I2976" s="183"/>
      <c r="J2976" s="183"/>
      <c r="L2976" s="183"/>
      <c r="M2976" s="183"/>
      <c r="N2976" s="183"/>
      <c r="O2976" s="183"/>
      <c r="P2976" s="183"/>
      <c r="Q2976" s="183"/>
      <c r="R2976" s="183"/>
      <c r="S2976" s="183"/>
      <c r="T2976" s="183"/>
      <c r="U2976" s="183"/>
      <c r="V2976" s="183"/>
      <c r="W2976" s="183"/>
      <c r="X2976" s="183"/>
      <c r="Y2976" s="183"/>
      <c r="Z2976" s="183"/>
    </row>
    <row r="2977" spans="2:26">
      <c r="B2977" s="191"/>
      <c r="D2977" s="183"/>
      <c r="I2977" s="183"/>
      <c r="J2977" s="183"/>
      <c r="L2977" s="183"/>
      <c r="M2977" s="183"/>
      <c r="N2977" s="183"/>
      <c r="O2977" s="183"/>
      <c r="P2977" s="183"/>
      <c r="Q2977" s="183"/>
      <c r="R2977" s="183"/>
      <c r="S2977" s="183"/>
      <c r="T2977" s="183"/>
      <c r="U2977" s="183"/>
      <c r="V2977" s="183"/>
      <c r="W2977" s="183"/>
      <c r="X2977" s="183"/>
      <c r="Y2977" s="183"/>
      <c r="Z2977" s="183"/>
    </row>
    <row r="2978" spans="2:26">
      <c r="B2978" s="191"/>
      <c r="D2978" s="183"/>
      <c r="I2978" s="183"/>
      <c r="J2978" s="183"/>
      <c r="L2978" s="183"/>
      <c r="M2978" s="183"/>
      <c r="N2978" s="183"/>
      <c r="O2978" s="183"/>
      <c r="P2978" s="183"/>
      <c r="Q2978" s="183"/>
      <c r="R2978" s="183"/>
      <c r="S2978" s="183"/>
      <c r="T2978" s="183"/>
      <c r="U2978" s="183"/>
      <c r="V2978" s="183"/>
      <c r="W2978" s="183"/>
      <c r="X2978" s="183"/>
      <c r="Y2978" s="183"/>
      <c r="Z2978" s="183"/>
    </row>
    <row r="2979" spans="2:26">
      <c r="B2979" s="191"/>
      <c r="D2979" s="183"/>
      <c r="I2979" s="183"/>
      <c r="J2979" s="183"/>
      <c r="L2979" s="183"/>
      <c r="M2979" s="183"/>
      <c r="N2979" s="183"/>
      <c r="O2979" s="183"/>
      <c r="P2979" s="183"/>
      <c r="Q2979" s="183"/>
      <c r="R2979" s="183"/>
      <c r="S2979" s="183"/>
      <c r="T2979" s="183"/>
      <c r="U2979" s="183"/>
      <c r="V2979" s="183"/>
      <c r="W2979" s="183"/>
      <c r="X2979" s="183"/>
      <c r="Y2979" s="183"/>
      <c r="Z2979" s="183"/>
    </row>
    <row r="2980" spans="2:26">
      <c r="B2980" s="191"/>
      <c r="D2980" s="183"/>
      <c r="I2980" s="183"/>
      <c r="J2980" s="183"/>
      <c r="L2980" s="183"/>
      <c r="M2980" s="183"/>
      <c r="N2980" s="183"/>
      <c r="O2980" s="183"/>
      <c r="P2980" s="183"/>
      <c r="Q2980" s="183"/>
      <c r="R2980" s="183"/>
      <c r="S2980" s="183"/>
      <c r="T2980" s="183"/>
      <c r="U2980" s="183"/>
      <c r="V2980" s="183"/>
      <c r="W2980" s="183"/>
      <c r="X2980" s="183"/>
      <c r="Y2980" s="183"/>
      <c r="Z2980" s="183"/>
    </row>
    <row r="2981" spans="2:26">
      <c r="B2981" s="191"/>
      <c r="D2981" s="183"/>
      <c r="I2981" s="183"/>
      <c r="J2981" s="183"/>
      <c r="L2981" s="183"/>
      <c r="M2981" s="183"/>
      <c r="N2981" s="183"/>
      <c r="O2981" s="183"/>
      <c r="P2981" s="183"/>
      <c r="Q2981" s="183"/>
      <c r="R2981" s="183"/>
      <c r="S2981" s="183"/>
      <c r="T2981" s="183"/>
      <c r="U2981" s="183"/>
      <c r="V2981" s="183"/>
      <c r="W2981" s="183"/>
      <c r="X2981" s="183"/>
      <c r="Y2981" s="183"/>
      <c r="Z2981" s="183"/>
    </row>
    <row r="2982" spans="2:26">
      <c r="B2982" s="191"/>
      <c r="D2982" s="183"/>
      <c r="I2982" s="183"/>
      <c r="J2982" s="183"/>
      <c r="L2982" s="183"/>
      <c r="M2982" s="183"/>
      <c r="N2982" s="183"/>
      <c r="O2982" s="183"/>
      <c r="P2982" s="183"/>
      <c r="Q2982" s="183"/>
      <c r="R2982" s="183"/>
      <c r="S2982" s="183"/>
      <c r="T2982" s="183"/>
      <c r="U2982" s="183"/>
      <c r="V2982" s="183"/>
      <c r="W2982" s="183"/>
      <c r="X2982" s="183"/>
      <c r="Y2982" s="183"/>
      <c r="Z2982" s="183"/>
    </row>
    <row r="2983" spans="2:26">
      <c r="B2983" s="191"/>
      <c r="D2983" s="183"/>
      <c r="I2983" s="183"/>
      <c r="J2983" s="183"/>
      <c r="L2983" s="183"/>
      <c r="M2983" s="183"/>
      <c r="N2983" s="183"/>
      <c r="O2983" s="183"/>
      <c r="P2983" s="183"/>
      <c r="Q2983" s="183"/>
      <c r="R2983" s="183"/>
      <c r="S2983" s="183"/>
      <c r="T2983" s="183"/>
      <c r="U2983" s="183"/>
      <c r="V2983" s="183"/>
      <c r="W2983" s="183"/>
      <c r="X2983" s="183"/>
      <c r="Y2983" s="183"/>
      <c r="Z2983" s="183"/>
    </row>
    <row r="2984" spans="2:26">
      <c r="B2984" s="191"/>
      <c r="D2984" s="183"/>
      <c r="I2984" s="183"/>
      <c r="J2984" s="183"/>
      <c r="L2984" s="183"/>
      <c r="M2984" s="183"/>
      <c r="N2984" s="183"/>
      <c r="O2984" s="183"/>
      <c r="P2984" s="183"/>
      <c r="Q2984" s="183"/>
      <c r="R2984" s="183"/>
      <c r="S2984" s="183"/>
      <c r="T2984" s="183"/>
      <c r="U2984" s="183"/>
      <c r="V2984" s="183"/>
      <c r="W2984" s="183"/>
      <c r="X2984" s="183"/>
      <c r="Y2984" s="183"/>
      <c r="Z2984" s="183"/>
    </row>
    <row r="2985" spans="2:26">
      <c r="B2985" s="191"/>
      <c r="D2985" s="183"/>
      <c r="I2985" s="183"/>
      <c r="J2985" s="183"/>
      <c r="L2985" s="183"/>
      <c r="M2985" s="183"/>
      <c r="N2985" s="183"/>
      <c r="O2985" s="183"/>
      <c r="P2985" s="183"/>
      <c r="Q2985" s="183"/>
      <c r="R2985" s="183"/>
      <c r="S2985" s="183"/>
      <c r="T2985" s="183"/>
      <c r="U2985" s="183"/>
      <c r="V2985" s="183"/>
      <c r="W2985" s="183"/>
      <c r="X2985" s="183"/>
      <c r="Y2985" s="183"/>
      <c r="Z2985" s="183"/>
    </row>
    <row r="2986" spans="2:26">
      <c r="B2986" s="191"/>
      <c r="D2986" s="183"/>
      <c r="I2986" s="183"/>
      <c r="J2986" s="183"/>
      <c r="L2986" s="183"/>
      <c r="M2986" s="183"/>
      <c r="N2986" s="183"/>
      <c r="O2986" s="183"/>
      <c r="P2986" s="183"/>
      <c r="Q2986" s="183"/>
      <c r="R2986" s="183"/>
      <c r="S2986" s="183"/>
      <c r="T2986" s="183"/>
      <c r="U2986" s="183"/>
      <c r="V2986" s="183"/>
      <c r="W2986" s="183"/>
      <c r="X2986" s="183"/>
      <c r="Y2986" s="183"/>
      <c r="Z2986" s="183"/>
    </row>
    <row r="2987" spans="2:26">
      <c r="B2987" s="191"/>
      <c r="D2987" s="183"/>
      <c r="I2987" s="183"/>
      <c r="J2987" s="183"/>
      <c r="L2987" s="183"/>
      <c r="M2987" s="183"/>
      <c r="N2987" s="183"/>
      <c r="O2987" s="183"/>
      <c r="P2987" s="183"/>
      <c r="Q2987" s="183"/>
      <c r="R2987" s="183"/>
      <c r="S2987" s="183"/>
      <c r="T2987" s="183"/>
      <c r="U2987" s="183"/>
      <c r="V2987" s="183"/>
      <c r="W2987" s="183"/>
      <c r="X2987" s="183"/>
      <c r="Y2987" s="183"/>
      <c r="Z2987" s="183"/>
    </row>
    <row r="2988" spans="2:26">
      <c r="B2988" s="191"/>
      <c r="D2988" s="183"/>
      <c r="I2988" s="183"/>
      <c r="J2988" s="183"/>
      <c r="L2988" s="183"/>
      <c r="M2988" s="183"/>
      <c r="N2988" s="183"/>
      <c r="O2988" s="183"/>
      <c r="P2988" s="183"/>
      <c r="Q2988" s="183"/>
      <c r="R2988" s="183"/>
      <c r="S2988" s="183"/>
      <c r="T2988" s="183"/>
      <c r="U2988" s="183"/>
      <c r="V2988" s="183"/>
      <c r="W2988" s="183"/>
      <c r="X2988" s="183"/>
      <c r="Y2988" s="183"/>
      <c r="Z2988" s="183"/>
    </row>
    <row r="2989" spans="2:26">
      <c r="B2989" s="191"/>
      <c r="D2989" s="183"/>
      <c r="I2989" s="183"/>
      <c r="J2989" s="183"/>
      <c r="L2989" s="183"/>
      <c r="M2989" s="183"/>
      <c r="N2989" s="183"/>
      <c r="O2989" s="183"/>
      <c r="P2989" s="183"/>
      <c r="Q2989" s="183"/>
      <c r="R2989" s="183"/>
      <c r="S2989" s="183"/>
      <c r="T2989" s="183"/>
      <c r="U2989" s="183"/>
      <c r="V2989" s="183"/>
      <c r="W2989" s="183"/>
      <c r="X2989" s="183"/>
      <c r="Y2989" s="183"/>
      <c r="Z2989" s="183"/>
    </row>
    <row r="2990" spans="2:26">
      <c r="B2990" s="191"/>
      <c r="D2990" s="183"/>
      <c r="I2990" s="183"/>
      <c r="J2990" s="183"/>
      <c r="L2990" s="183"/>
      <c r="M2990" s="183"/>
      <c r="N2990" s="183"/>
      <c r="O2990" s="183"/>
      <c r="P2990" s="183"/>
      <c r="Q2990" s="183"/>
      <c r="R2990" s="183"/>
      <c r="S2990" s="183"/>
      <c r="T2990" s="183"/>
      <c r="U2990" s="183"/>
      <c r="V2990" s="183"/>
      <c r="W2990" s="183"/>
      <c r="X2990" s="183"/>
      <c r="Y2990" s="183"/>
      <c r="Z2990" s="183"/>
    </row>
    <row r="2991" spans="2:26">
      <c r="B2991" s="191"/>
      <c r="D2991" s="183"/>
      <c r="I2991" s="183"/>
      <c r="J2991" s="183"/>
      <c r="L2991" s="183"/>
      <c r="M2991" s="183"/>
      <c r="N2991" s="183"/>
      <c r="O2991" s="183"/>
      <c r="P2991" s="183"/>
      <c r="Q2991" s="183"/>
      <c r="R2991" s="183"/>
      <c r="S2991" s="183"/>
      <c r="T2991" s="183"/>
      <c r="U2991" s="183"/>
      <c r="V2991" s="183"/>
      <c r="W2991" s="183"/>
      <c r="X2991" s="183"/>
      <c r="Y2991" s="183"/>
      <c r="Z2991" s="183"/>
    </row>
    <row r="2992" spans="2:26">
      <c r="B2992" s="191"/>
      <c r="D2992" s="183"/>
      <c r="I2992" s="183"/>
      <c r="J2992" s="183"/>
      <c r="L2992" s="183"/>
      <c r="M2992" s="183"/>
      <c r="N2992" s="183"/>
      <c r="O2992" s="183"/>
      <c r="P2992" s="183"/>
      <c r="Q2992" s="183"/>
      <c r="R2992" s="183"/>
      <c r="S2992" s="183"/>
      <c r="T2992" s="183"/>
      <c r="U2992" s="183"/>
      <c r="V2992" s="183"/>
      <c r="W2992" s="183"/>
      <c r="X2992" s="183"/>
      <c r="Y2992" s="183"/>
      <c r="Z2992" s="183"/>
    </row>
    <row r="2993" spans="2:26">
      <c r="B2993" s="191"/>
      <c r="D2993" s="183"/>
      <c r="I2993" s="183"/>
      <c r="J2993" s="183"/>
      <c r="L2993" s="183"/>
      <c r="M2993" s="183"/>
      <c r="N2993" s="183"/>
      <c r="O2993" s="183"/>
      <c r="P2993" s="183"/>
      <c r="Q2993" s="183"/>
      <c r="R2993" s="183"/>
      <c r="S2993" s="183"/>
      <c r="T2993" s="183"/>
      <c r="U2993" s="183"/>
      <c r="V2993" s="183"/>
      <c r="W2993" s="183"/>
      <c r="X2993" s="183"/>
      <c r="Y2993" s="183"/>
      <c r="Z2993" s="183"/>
    </row>
    <row r="2994" spans="2:26">
      <c r="B2994" s="191"/>
      <c r="D2994" s="183"/>
      <c r="I2994" s="183"/>
      <c r="J2994" s="183"/>
      <c r="L2994" s="183"/>
      <c r="M2994" s="183"/>
      <c r="N2994" s="183"/>
      <c r="O2994" s="183"/>
      <c r="P2994" s="183"/>
      <c r="Q2994" s="183"/>
      <c r="R2994" s="183"/>
      <c r="S2994" s="183"/>
      <c r="T2994" s="183"/>
      <c r="U2994" s="183"/>
      <c r="V2994" s="183"/>
      <c r="W2994" s="183"/>
      <c r="X2994" s="183"/>
      <c r="Y2994" s="183"/>
      <c r="Z2994" s="183"/>
    </row>
    <row r="2995" spans="2:26">
      <c r="B2995" s="191"/>
      <c r="D2995" s="183"/>
      <c r="I2995" s="183"/>
      <c r="J2995" s="183"/>
      <c r="L2995" s="183"/>
      <c r="M2995" s="183"/>
      <c r="N2995" s="183"/>
      <c r="O2995" s="183"/>
      <c r="P2995" s="183"/>
      <c r="Q2995" s="183"/>
      <c r="R2995" s="183"/>
      <c r="S2995" s="183"/>
      <c r="T2995" s="183"/>
      <c r="U2995" s="183"/>
      <c r="V2995" s="183"/>
      <c r="W2995" s="183"/>
      <c r="X2995" s="183"/>
      <c r="Y2995" s="183"/>
      <c r="Z2995" s="183"/>
    </row>
    <row r="2996" spans="2:26">
      <c r="B2996" s="191"/>
      <c r="D2996" s="183"/>
      <c r="I2996" s="183"/>
      <c r="J2996" s="183"/>
      <c r="L2996" s="183"/>
      <c r="M2996" s="183"/>
      <c r="N2996" s="183"/>
      <c r="O2996" s="183"/>
      <c r="P2996" s="183"/>
      <c r="Q2996" s="183"/>
      <c r="R2996" s="183"/>
      <c r="S2996" s="183"/>
      <c r="T2996" s="183"/>
      <c r="U2996" s="183"/>
      <c r="V2996" s="183"/>
      <c r="W2996" s="183"/>
      <c r="X2996" s="183"/>
      <c r="Y2996" s="183"/>
      <c r="Z2996" s="183"/>
    </row>
    <row r="2997" spans="2:26">
      <c r="B2997" s="191"/>
      <c r="D2997" s="183"/>
      <c r="I2997" s="183"/>
      <c r="J2997" s="183"/>
      <c r="L2997" s="183"/>
      <c r="M2997" s="183"/>
      <c r="N2997" s="183"/>
      <c r="O2997" s="183"/>
      <c r="P2997" s="183"/>
      <c r="Q2997" s="183"/>
      <c r="R2997" s="183"/>
      <c r="S2997" s="183"/>
      <c r="T2997" s="183"/>
      <c r="U2997" s="183"/>
      <c r="V2997" s="183"/>
      <c r="W2997" s="183"/>
      <c r="X2997" s="183"/>
      <c r="Y2997" s="183"/>
      <c r="Z2997" s="183"/>
    </row>
    <row r="2998" spans="2:26">
      <c r="B2998" s="191"/>
      <c r="D2998" s="183"/>
      <c r="I2998" s="183"/>
      <c r="J2998" s="183"/>
      <c r="L2998" s="183"/>
      <c r="M2998" s="183"/>
      <c r="N2998" s="183"/>
      <c r="O2998" s="183"/>
      <c r="P2998" s="183"/>
      <c r="Q2998" s="183"/>
      <c r="R2998" s="183"/>
      <c r="S2998" s="183"/>
      <c r="T2998" s="183"/>
      <c r="U2998" s="183"/>
      <c r="V2998" s="183"/>
      <c r="W2998" s="183"/>
      <c r="X2998" s="183"/>
      <c r="Y2998" s="183"/>
      <c r="Z2998" s="183"/>
    </row>
    <row r="2999" spans="2:26">
      <c r="B2999" s="191"/>
      <c r="D2999" s="183"/>
      <c r="I2999" s="183"/>
      <c r="J2999" s="183"/>
      <c r="L2999" s="183"/>
      <c r="M2999" s="183"/>
      <c r="N2999" s="183"/>
      <c r="O2999" s="183"/>
      <c r="P2999" s="183"/>
      <c r="Q2999" s="183"/>
      <c r="R2999" s="183"/>
      <c r="S2999" s="183"/>
      <c r="T2999" s="183"/>
      <c r="U2999" s="183"/>
      <c r="V2999" s="183"/>
      <c r="W2999" s="183"/>
      <c r="X2999" s="183"/>
      <c r="Y2999" s="183"/>
      <c r="Z2999" s="183"/>
    </row>
    <row r="3000" spans="2:26">
      <c r="B3000" s="191"/>
      <c r="D3000" s="183"/>
      <c r="I3000" s="183"/>
      <c r="J3000" s="183"/>
      <c r="L3000" s="183"/>
      <c r="M3000" s="183"/>
      <c r="N3000" s="183"/>
      <c r="O3000" s="183"/>
      <c r="P3000" s="183"/>
      <c r="Q3000" s="183"/>
      <c r="R3000" s="183"/>
      <c r="S3000" s="183"/>
      <c r="T3000" s="183"/>
      <c r="U3000" s="183"/>
      <c r="V3000" s="183"/>
      <c r="W3000" s="183"/>
      <c r="X3000" s="183"/>
      <c r="Y3000" s="183"/>
      <c r="Z3000" s="183"/>
    </row>
    <row r="3001" spans="2:26">
      <c r="B3001" s="191"/>
      <c r="D3001" s="183"/>
      <c r="I3001" s="183"/>
      <c r="J3001" s="183"/>
      <c r="L3001" s="183"/>
      <c r="M3001" s="183"/>
      <c r="N3001" s="183"/>
      <c r="O3001" s="183"/>
      <c r="P3001" s="183"/>
      <c r="Q3001" s="183"/>
      <c r="R3001" s="183"/>
      <c r="S3001" s="183"/>
      <c r="T3001" s="183"/>
      <c r="U3001" s="183"/>
      <c r="V3001" s="183"/>
      <c r="W3001" s="183"/>
      <c r="X3001" s="183"/>
      <c r="Y3001" s="183"/>
      <c r="Z3001" s="183"/>
    </row>
    <row r="3002" spans="2:26">
      <c r="B3002" s="191"/>
      <c r="D3002" s="183"/>
      <c r="I3002" s="183"/>
      <c r="J3002" s="183"/>
      <c r="L3002" s="183"/>
      <c r="M3002" s="183"/>
      <c r="N3002" s="183"/>
      <c r="O3002" s="183"/>
      <c r="P3002" s="183"/>
      <c r="Q3002" s="183"/>
      <c r="R3002" s="183"/>
      <c r="S3002" s="183"/>
      <c r="T3002" s="183"/>
      <c r="U3002" s="183"/>
      <c r="V3002" s="183"/>
      <c r="W3002" s="183"/>
      <c r="X3002" s="183"/>
      <c r="Y3002" s="183"/>
      <c r="Z3002" s="183"/>
    </row>
    <row r="3003" spans="2:26">
      <c r="B3003" s="191"/>
      <c r="D3003" s="183"/>
      <c r="I3003" s="183"/>
      <c r="J3003" s="183"/>
      <c r="L3003" s="183"/>
      <c r="M3003" s="183"/>
      <c r="N3003" s="183"/>
      <c r="O3003" s="183"/>
      <c r="P3003" s="183"/>
      <c r="Q3003" s="183"/>
      <c r="R3003" s="183"/>
      <c r="S3003" s="183"/>
      <c r="T3003" s="183"/>
      <c r="U3003" s="183"/>
      <c r="V3003" s="183"/>
      <c r="W3003" s="183"/>
      <c r="X3003" s="183"/>
      <c r="Y3003" s="183"/>
      <c r="Z3003" s="183"/>
    </row>
    <row r="3004" spans="2:26">
      <c r="B3004" s="191"/>
      <c r="D3004" s="183"/>
      <c r="I3004" s="183"/>
      <c r="J3004" s="183"/>
      <c r="L3004" s="183"/>
      <c r="M3004" s="183"/>
      <c r="N3004" s="183"/>
      <c r="O3004" s="183"/>
      <c r="P3004" s="183"/>
      <c r="Q3004" s="183"/>
      <c r="R3004" s="183"/>
      <c r="S3004" s="183"/>
      <c r="T3004" s="183"/>
      <c r="U3004" s="183"/>
      <c r="V3004" s="183"/>
      <c r="W3004" s="183"/>
      <c r="X3004" s="183"/>
      <c r="Y3004" s="183"/>
      <c r="Z3004" s="183"/>
    </row>
    <row r="3005" spans="2:26">
      <c r="B3005" s="191"/>
      <c r="D3005" s="183"/>
      <c r="I3005" s="183"/>
      <c r="J3005" s="183"/>
      <c r="L3005" s="183"/>
      <c r="M3005" s="183"/>
      <c r="N3005" s="183"/>
      <c r="O3005" s="183"/>
      <c r="P3005" s="183"/>
      <c r="Q3005" s="183"/>
      <c r="R3005" s="183"/>
      <c r="S3005" s="183"/>
      <c r="T3005" s="183"/>
      <c r="U3005" s="183"/>
      <c r="V3005" s="183"/>
      <c r="W3005" s="183"/>
      <c r="X3005" s="183"/>
      <c r="Y3005" s="183"/>
      <c r="Z3005" s="183"/>
    </row>
    <row r="3006" spans="2:26">
      <c r="B3006" s="191"/>
      <c r="D3006" s="183"/>
      <c r="I3006" s="183"/>
      <c r="J3006" s="183"/>
      <c r="L3006" s="183"/>
      <c r="M3006" s="183"/>
      <c r="N3006" s="183"/>
      <c r="O3006" s="183"/>
      <c r="P3006" s="183"/>
      <c r="Q3006" s="183"/>
      <c r="R3006" s="183"/>
      <c r="S3006" s="183"/>
      <c r="T3006" s="183"/>
      <c r="U3006" s="183"/>
      <c r="V3006" s="183"/>
      <c r="W3006" s="183"/>
      <c r="X3006" s="183"/>
      <c r="Y3006" s="183"/>
      <c r="Z3006" s="183"/>
    </row>
    <row r="3007" spans="2:26">
      <c r="B3007" s="191"/>
      <c r="D3007" s="183"/>
      <c r="I3007" s="183"/>
      <c r="J3007" s="183"/>
      <c r="L3007" s="183"/>
      <c r="M3007" s="183"/>
      <c r="N3007" s="183"/>
      <c r="O3007" s="183"/>
      <c r="P3007" s="183"/>
      <c r="Q3007" s="183"/>
      <c r="R3007" s="183"/>
      <c r="S3007" s="183"/>
      <c r="T3007" s="183"/>
      <c r="U3007" s="183"/>
      <c r="V3007" s="183"/>
      <c r="W3007" s="183"/>
      <c r="X3007" s="183"/>
      <c r="Y3007" s="183"/>
      <c r="Z3007" s="183"/>
    </row>
    <row r="3008" spans="2:26">
      <c r="B3008" s="191"/>
      <c r="D3008" s="183"/>
      <c r="I3008" s="183"/>
      <c r="J3008" s="183"/>
      <c r="L3008" s="183"/>
      <c r="M3008" s="183"/>
      <c r="N3008" s="183"/>
      <c r="O3008" s="183"/>
      <c r="P3008" s="183"/>
      <c r="Q3008" s="183"/>
      <c r="R3008" s="183"/>
      <c r="S3008" s="183"/>
      <c r="T3008" s="183"/>
      <c r="U3008" s="183"/>
      <c r="V3008" s="183"/>
      <c r="W3008" s="183"/>
      <c r="X3008" s="183"/>
      <c r="Y3008" s="183"/>
      <c r="Z3008" s="183"/>
    </row>
    <row r="3009" spans="2:26">
      <c r="B3009" s="191"/>
      <c r="D3009" s="183"/>
      <c r="I3009" s="183"/>
      <c r="J3009" s="183"/>
      <c r="L3009" s="183"/>
      <c r="M3009" s="183"/>
      <c r="N3009" s="183"/>
      <c r="O3009" s="183"/>
      <c r="P3009" s="183"/>
      <c r="Q3009" s="183"/>
      <c r="R3009" s="183"/>
      <c r="S3009" s="183"/>
      <c r="T3009" s="183"/>
      <c r="U3009" s="183"/>
      <c r="V3009" s="183"/>
      <c r="W3009" s="183"/>
      <c r="X3009" s="183"/>
      <c r="Y3009" s="183"/>
      <c r="Z3009" s="183"/>
    </row>
    <row r="3010" spans="2:26">
      <c r="B3010" s="191"/>
      <c r="D3010" s="183"/>
      <c r="I3010" s="183"/>
      <c r="J3010" s="183"/>
      <c r="L3010" s="183"/>
      <c r="M3010" s="183"/>
      <c r="N3010" s="183"/>
      <c r="O3010" s="183"/>
      <c r="P3010" s="183"/>
      <c r="Q3010" s="183"/>
      <c r="R3010" s="183"/>
      <c r="S3010" s="183"/>
      <c r="T3010" s="183"/>
      <c r="U3010" s="183"/>
      <c r="V3010" s="183"/>
      <c r="W3010" s="183"/>
      <c r="X3010" s="183"/>
      <c r="Y3010" s="183"/>
      <c r="Z3010" s="183"/>
    </row>
    <row r="3011" spans="2:26">
      <c r="B3011" s="191"/>
      <c r="D3011" s="183"/>
      <c r="I3011" s="183"/>
      <c r="J3011" s="183"/>
      <c r="L3011" s="183"/>
      <c r="M3011" s="183"/>
      <c r="N3011" s="183"/>
      <c r="O3011" s="183"/>
      <c r="P3011" s="183"/>
      <c r="Q3011" s="183"/>
      <c r="R3011" s="183"/>
      <c r="S3011" s="183"/>
      <c r="T3011" s="183"/>
      <c r="U3011" s="183"/>
      <c r="V3011" s="183"/>
      <c r="W3011" s="183"/>
      <c r="X3011" s="183"/>
      <c r="Y3011" s="183"/>
      <c r="Z3011" s="183"/>
    </row>
    <row r="3012" spans="2:26">
      <c r="B3012" s="191"/>
      <c r="D3012" s="183"/>
      <c r="I3012" s="183"/>
      <c r="J3012" s="183"/>
      <c r="L3012" s="183"/>
      <c r="M3012" s="183"/>
      <c r="N3012" s="183"/>
      <c r="O3012" s="183"/>
      <c r="P3012" s="183"/>
      <c r="Q3012" s="183"/>
      <c r="R3012" s="183"/>
      <c r="S3012" s="183"/>
      <c r="T3012" s="183"/>
      <c r="U3012" s="183"/>
      <c r="V3012" s="183"/>
      <c r="W3012" s="183"/>
      <c r="X3012" s="183"/>
      <c r="Y3012" s="183"/>
      <c r="Z3012" s="183"/>
    </row>
    <row r="3013" spans="2:26">
      <c r="B3013" s="191"/>
      <c r="D3013" s="183"/>
      <c r="I3013" s="183"/>
      <c r="J3013" s="183"/>
      <c r="L3013" s="183"/>
      <c r="M3013" s="183"/>
      <c r="N3013" s="183"/>
      <c r="O3013" s="183"/>
      <c r="P3013" s="183"/>
      <c r="Q3013" s="183"/>
      <c r="R3013" s="183"/>
      <c r="S3013" s="183"/>
      <c r="T3013" s="183"/>
      <c r="U3013" s="183"/>
      <c r="V3013" s="183"/>
      <c r="W3013" s="183"/>
      <c r="X3013" s="183"/>
      <c r="Y3013" s="183"/>
      <c r="Z3013" s="183"/>
    </row>
    <row r="3014" spans="2:26">
      <c r="B3014" s="191"/>
      <c r="D3014" s="183"/>
      <c r="I3014" s="183"/>
      <c r="J3014" s="183"/>
      <c r="L3014" s="183"/>
      <c r="M3014" s="183"/>
      <c r="N3014" s="183"/>
      <c r="O3014" s="183"/>
      <c r="P3014" s="183"/>
      <c r="Q3014" s="183"/>
      <c r="R3014" s="183"/>
      <c r="S3014" s="183"/>
      <c r="T3014" s="183"/>
      <c r="U3014" s="183"/>
      <c r="V3014" s="183"/>
      <c r="W3014" s="183"/>
      <c r="X3014" s="183"/>
      <c r="Y3014" s="183"/>
      <c r="Z3014" s="183"/>
    </row>
    <row r="3015" spans="2:26">
      <c r="B3015" s="191"/>
      <c r="D3015" s="183"/>
      <c r="I3015" s="183"/>
      <c r="J3015" s="183"/>
      <c r="L3015" s="183"/>
      <c r="M3015" s="183"/>
      <c r="N3015" s="183"/>
      <c r="O3015" s="183"/>
      <c r="P3015" s="183"/>
      <c r="Q3015" s="183"/>
      <c r="R3015" s="183"/>
      <c r="S3015" s="183"/>
      <c r="T3015" s="183"/>
      <c r="U3015" s="183"/>
      <c r="V3015" s="183"/>
      <c r="W3015" s="183"/>
      <c r="X3015" s="183"/>
      <c r="Y3015" s="183"/>
      <c r="Z3015" s="183"/>
    </row>
    <row r="3016" spans="2:26">
      <c r="B3016" s="191"/>
      <c r="D3016" s="183"/>
      <c r="I3016" s="183"/>
      <c r="J3016" s="183"/>
      <c r="L3016" s="183"/>
      <c r="M3016" s="183"/>
      <c r="N3016" s="183"/>
      <c r="O3016" s="183"/>
      <c r="P3016" s="183"/>
      <c r="Q3016" s="183"/>
      <c r="R3016" s="183"/>
      <c r="S3016" s="183"/>
      <c r="T3016" s="183"/>
      <c r="U3016" s="183"/>
      <c r="V3016" s="183"/>
      <c r="W3016" s="183"/>
      <c r="X3016" s="183"/>
      <c r="Y3016" s="183"/>
      <c r="Z3016" s="183"/>
    </row>
    <row r="3017" spans="2:26">
      <c r="B3017" s="191"/>
      <c r="D3017" s="183"/>
      <c r="I3017" s="183"/>
      <c r="J3017" s="183"/>
      <c r="L3017" s="183"/>
      <c r="M3017" s="183"/>
      <c r="N3017" s="183"/>
      <c r="O3017" s="183"/>
      <c r="P3017" s="183"/>
      <c r="Q3017" s="183"/>
      <c r="R3017" s="183"/>
      <c r="S3017" s="183"/>
      <c r="T3017" s="183"/>
      <c r="U3017" s="183"/>
      <c r="V3017" s="183"/>
      <c r="W3017" s="183"/>
      <c r="X3017" s="183"/>
      <c r="Y3017" s="183"/>
      <c r="Z3017" s="183"/>
    </row>
    <row r="3018" spans="2:26">
      <c r="B3018" s="191"/>
      <c r="D3018" s="183"/>
      <c r="I3018" s="183"/>
      <c r="J3018" s="183"/>
      <c r="L3018" s="183"/>
      <c r="M3018" s="183"/>
      <c r="N3018" s="183"/>
      <c r="O3018" s="183"/>
      <c r="P3018" s="183"/>
      <c r="Q3018" s="183"/>
      <c r="R3018" s="183"/>
      <c r="S3018" s="183"/>
      <c r="T3018" s="183"/>
      <c r="U3018" s="183"/>
      <c r="V3018" s="183"/>
      <c r="W3018" s="183"/>
      <c r="X3018" s="183"/>
      <c r="Y3018" s="183"/>
      <c r="Z3018" s="183"/>
    </row>
    <row r="3019" spans="2:26">
      <c r="B3019" s="191"/>
      <c r="D3019" s="183"/>
      <c r="I3019" s="183"/>
      <c r="J3019" s="183"/>
      <c r="L3019" s="183"/>
      <c r="M3019" s="183"/>
      <c r="N3019" s="183"/>
      <c r="O3019" s="183"/>
      <c r="P3019" s="183"/>
      <c r="Q3019" s="183"/>
      <c r="R3019" s="183"/>
      <c r="S3019" s="183"/>
      <c r="T3019" s="183"/>
      <c r="U3019" s="183"/>
      <c r="V3019" s="183"/>
      <c r="W3019" s="183"/>
      <c r="X3019" s="183"/>
      <c r="Y3019" s="183"/>
      <c r="Z3019" s="183"/>
    </row>
    <row r="3020" spans="2:26">
      <c r="B3020" s="191"/>
      <c r="D3020" s="183"/>
      <c r="I3020" s="183"/>
      <c r="J3020" s="183"/>
      <c r="L3020" s="183"/>
      <c r="M3020" s="183"/>
      <c r="N3020" s="183"/>
      <c r="O3020" s="183"/>
      <c r="P3020" s="183"/>
      <c r="Q3020" s="183"/>
      <c r="R3020" s="183"/>
      <c r="S3020" s="183"/>
      <c r="T3020" s="183"/>
      <c r="U3020" s="183"/>
      <c r="V3020" s="183"/>
      <c r="W3020" s="183"/>
      <c r="X3020" s="183"/>
      <c r="Y3020" s="183"/>
      <c r="Z3020" s="183"/>
    </row>
    <row r="3021" spans="2:26">
      <c r="B3021" s="191"/>
      <c r="D3021" s="183"/>
      <c r="I3021" s="183"/>
      <c r="J3021" s="183"/>
      <c r="L3021" s="183"/>
      <c r="M3021" s="183"/>
      <c r="N3021" s="183"/>
      <c r="O3021" s="183"/>
      <c r="P3021" s="183"/>
      <c r="Q3021" s="183"/>
      <c r="R3021" s="183"/>
      <c r="S3021" s="183"/>
      <c r="T3021" s="183"/>
      <c r="U3021" s="183"/>
      <c r="V3021" s="183"/>
      <c r="W3021" s="183"/>
      <c r="X3021" s="183"/>
      <c r="Y3021" s="183"/>
      <c r="Z3021" s="183"/>
    </row>
    <row r="3022" spans="2:26">
      <c r="B3022" s="191"/>
      <c r="D3022" s="183"/>
      <c r="I3022" s="183"/>
      <c r="J3022" s="183"/>
      <c r="L3022" s="183"/>
      <c r="M3022" s="183"/>
      <c r="N3022" s="183"/>
      <c r="O3022" s="183"/>
      <c r="P3022" s="183"/>
      <c r="Q3022" s="183"/>
      <c r="R3022" s="183"/>
      <c r="S3022" s="183"/>
      <c r="T3022" s="183"/>
      <c r="U3022" s="183"/>
      <c r="V3022" s="183"/>
      <c r="W3022" s="183"/>
      <c r="X3022" s="183"/>
      <c r="Y3022" s="183"/>
      <c r="Z3022" s="183"/>
    </row>
    <row r="3023" spans="2:26">
      <c r="B3023" s="191"/>
      <c r="D3023" s="183"/>
      <c r="I3023" s="183"/>
      <c r="J3023" s="183"/>
      <c r="L3023" s="183"/>
      <c r="M3023" s="183"/>
      <c r="N3023" s="183"/>
      <c r="O3023" s="183"/>
      <c r="P3023" s="183"/>
      <c r="Q3023" s="183"/>
      <c r="R3023" s="183"/>
      <c r="S3023" s="183"/>
      <c r="T3023" s="183"/>
      <c r="U3023" s="183"/>
      <c r="V3023" s="183"/>
      <c r="W3023" s="183"/>
      <c r="X3023" s="183"/>
      <c r="Y3023" s="183"/>
      <c r="Z3023" s="183"/>
    </row>
    <row r="3024" spans="2:26">
      <c r="B3024" s="191"/>
      <c r="D3024" s="183"/>
      <c r="I3024" s="183"/>
      <c r="J3024" s="183"/>
      <c r="L3024" s="183"/>
      <c r="M3024" s="183"/>
      <c r="N3024" s="183"/>
      <c r="O3024" s="183"/>
      <c r="P3024" s="183"/>
      <c r="Q3024" s="183"/>
      <c r="R3024" s="183"/>
      <c r="S3024" s="183"/>
      <c r="T3024" s="183"/>
      <c r="U3024" s="183"/>
      <c r="V3024" s="183"/>
      <c r="W3024" s="183"/>
      <c r="X3024" s="183"/>
      <c r="Y3024" s="183"/>
      <c r="Z3024" s="183"/>
    </row>
    <row r="3025" spans="2:26">
      <c r="B3025" s="191"/>
      <c r="D3025" s="183"/>
      <c r="I3025" s="183"/>
      <c r="J3025" s="183"/>
      <c r="L3025" s="183"/>
      <c r="M3025" s="183"/>
      <c r="N3025" s="183"/>
      <c r="O3025" s="183"/>
      <c r="P3025" s="183"/>
      <c r="Q3025" s="183"/>
      <c r="R3025" s="183"/>
      <c r="S3025" s="183"/>
      <c r="T3025" s="183"/>
      <c r="U3025" s="183"/>
      <c r="V3025" s="183"/>
      <c r="W3025" s="183"/>
      <c r="X3025" s="183"/>
      <c r="Y3025" s="183"/>
      <c r="Z3025" s="183"/>
    </row>
    <row r="3026" spans="2:26">
      <c r="B3026" s="191"/>
      <c r="D3026" s="183"/>
      <c r="I3026" s="183"/>
      <c r="J3026" s="183"/>
      <c r="L3026" s="183"/>
      <c r="M3026" s="183"/>
      <c r="N3026" s="183"/>
      <c r="O3026" s="183"/>
      <c r="P3026" s="183"/>
      <c r="Q3026" s="183"/>
      <c r="R3026" s="183"/>
      <c r="S3026" s="183"/>
      <c r="T3026" s="183"/>
      <c r="U3026" s="183"/>
      <c r="V3026" s="183"/>
      <c r="W3026" s="183"/>
      <c r="X3026" s="183"/>
      <c r="Y3026" s="183"/>
      <c r="Z3026" s="183"/>
    </row>
    <row r="3027" spans="2:26">
      <c r="B3027" s="191"/>
      <c r="D3027" s="183"/>
      <c r="I3027" s="183"/>
      <c r="J3027" s="183"/>
      <c r="L3027" s="183"/>
      <c r="M3027" s="183"/>
      <c r="N3027" s="183"/>
      <c r="O3027" s="183"/>
      <c r="P3027" s="183"/>
      <c r="Q3027" s="183"/>
      <c r="R3027" s="183"/>
      <c r="S3027" s="183"/>
      <c r="T3027" s="183"/>
      <c r="U3027" s="183"/>
      <c r="V3027" s="183"/>
      <c r="W3027" s="183"/>
      <c r="X3027" s="183"/>
      <c r="Y3027" s="183"/>
      <c r="Z3027" s="183"/>
    </row>
    <row r="3028" spans="2:26">
      <c r="B3028" s="191"/>
      <c r="D3028" s="183"/>
      <c r="I3028" s="183"/>
      <c r="J3028" s="183"/>
      <c r="L3028" s="183"/>
      <c r="M3028" s="183"/>
      <c r="N3028" s="183"/>
      <c r="O3028" s="183"/>
      <c r="P3028" s="183"/>
      <c r="Q3028" s="183"/>
      <c r="R3028" s="183"/>
      <c r="S3028" s="183"/>
      <c r="T3028" s="183"/>
      <c r="U3028" s="183"/>
      <c r="V3028" s="183"/>
      <c r="W3028" s="183"/>
      <c r="X3028" s="183"/>
      <c r="Y3028" s="183"/>
      <c r="Z3028" s="183"/>
    </row>
    <row r="3029" spans="2:26">
      <c r="B3029" s="191"/>
      <c r="D3029" s="183"/>
      <c r="I3029" s="183"/>
      <c r="J3029" s="183"/>
      <c r="L3029" s="183"/>
      <c r="M3029" s="183"/>
      <c r="N3029" s="183"/>
      <c r="O3029" s="183"/>
      <c r="P3029" s="183"/>
      <c r="Q3029" s="183"/>
      <c r="R3029" s="183"/>
      <c r="S3029" s="183"/>
      <c r="T3029" s="183"/>
      <c r="U3029" s="183"/>
      <c r="V3029" s="183"/>
      <c r="W3029" s="183"/>
      <c r="X3029" s="183"/>
      <c r="Y3029" s="183"/>
      <c r="Z3029" s="183"/>
    </row>
    <row r="3030" spans="2:26">
      <c r="B3030" s="191"/>
      <c r="D3030" s="183"/>
      <c r="I3030" s="183"/>
      <c r="J3030" s="183"/>
      <c r="L3030" s="183"/>
      <c r="M3030" s="183"/>
      <c r="N3030" s="183"/>
      <c r="O3030" s="183"/>
      <c r="P3030" s="183"/>
      <c r="Q3030" s="183"/>
      <c r="R3030" s="183"/>
      <c r="S3030" s="183"/>
      <c r="T3030" s="183"/>
      <c r="U3030" s="183"/>
      <c r="V3030" s="183"/>
      <c r="W3030" s="183"/>
      <c r="X3030" s="183"/>
      <c r="Y3030" s="183"/>
      <c r="Z3030" s="183"/>
    </row>
    <row r="3031" spans="2:26">
      <c r="B3031" s="191"/>
      <c r="D3031" s="183"/>
      <c r="I3031" s="183"/>
      <c r="J3031" s="183"/>
      <c r="L3031" s="183"/>
      <c r="M3031" s="183"/>
      <c r="N3031" s="183"/>
      <c r="O3031" s="183"/>
      <c r="P3031" s="183"/>
      <c r="Q3031" s="183"/>
      <c r="R3031" s="183"/>
      <c r="S3031" s="183"/>
      <c r="T3031" s="183"/>
      <c r="U3031" s="183"/>
      <c r="V3031" s="183"/>
      <c r="W3031" s="183"/>
      <c r="X3031" s="183"/>
      <c r="Y3031" s="183"/>
      <c r="Z3031" s="183"/>
    </row>
    <row r="3032" spans="2:26">
      <c r="B3032" s="191"/>
      <c r="D3032" s="183"/>
      <c r="I3032" s="183"/>
      <c r="J3032" s="183"/>
      <c r="L3032" s="183"/>
      <c r="M3032" s="183"/>
      <c r="N3032" s="183"/>
      <c r="O3032" s="183"/>
      <c r="P3032" s="183"/>
      <c r="Q3032" s="183"/>
      <c r="R3032" s="183"/>
      <c r="S3032" s="183"/>
      <c r="T3032" s="183"/>
      <c r="U3032" s="183"/>
      <c r="V3032" s="183"/>
      <c r="W3032" s="183"/>
      <c r="X3032" s="183"/>
      <c r="Y3032" s="183"/>
      <c r="Z3032" s="183"/>
    </row>
    <row r="3033" spans="2:26">
      <c r="B3033" s="191"/>
      <c r="D3033" s="183"/>
      <c r="I3033" s="183"/>
      <c r="J3033" s="183"/>
      <c r="L3033" s="183"/>
      <c r="M3033" s="183"/>
      <c r="N3033" s="183"/>
      <c r="O3033" s="183"/>
      <c r="P3033" s="183"/>
      <c r="Q3033" s="183"/>
      <c r="R3033" s="183"/>
      <c r="S3033" s="183"/>
      <c r="T3033" s="183"/>
      <c r="U3033" s="183"/>
      <c r="V3033" s="183"/>
      <c r="W3033" s="183"/>
      <c r="X3033" s="183"/>
      <c r="Y3033" s="183"/>
      <c r="Z3033" s="183"/>
    </row>
    <row r="3034" spans="2:26">
      <c r="B3034" s="191"/>
      <c r="D3034" s="183"/>
      <c r="I3034" s="183"/>
      <c r="J3034" s="183"/>
      <c r="L3034" s="183"/>
      <c r="M3034" s="183"/>
      <c r="N3034" s="183"/>
      <c r="O3034" s="183"/>
      <c r="P3034" s="183"/>
      <c r="Q3034" s="183"/>
      <c r="R3034" s="183"/>
      <c r="S3034" s="183"/>
      <c r="T3034" s="183"/>
      <c r="U3034" s="183"/>
      <c r="V3034" s="183"/>
      <c r="W3034" s="183"/>
      <c r="X3034" s="183"/>
      <c r="Y3034" s="183"/>
      <c r="Z3034" s="183"/>
    </row>
    <row r="3035" spans="2:26">
      <c r="B3035" s="191"/>
      <c r="D3035" s="183"/>
      <c r="I3035" s="183"/>
      <c r="J3035" s="183"/>
      <c r="L3035" s="183"/>
      <c r="M3035" s="183"/>
      <c r="N3035" s="183"/>
      <c r="O3035" s="183"/>
      <c r="P3035" s="183"/>
      <c r="Q3035" s="183"/>
      <c r="R3035" s="183"/>
      <c r="S3035" s="183"/>
      <c r="T3035" s="183"/>
      <c r="U3035" s="183"/>
      <c r="V3035" s="183"/>
      <c r="W3035" s="183"/>
      <c r="X3035" s="183"/>
      <c r="Y3035" s="183"/>
      <c r="Z3035" s="183"/>
    </row>
    <row r="3036" spans="2:26">
      <c r="B3036" s="191"/>
      <c r="D3036" s="183"/>
      <c r="I3036" s="183"/>
      <c r="J3036" s="183"/>
      <c r="L3036" s="183"/>
      <c r="M3036" s="183"/>
      <c r="N3036" s="183"/>
      <c r="O3036" s="183"/>
      <c r="P3036" s="183"/>
      <c r="Q3036" s="183"/>
      <c r="R3036" s="183"/>
      <c r="S3036" s="183"/>
      <c r="T3036" s="183"/>
      <c r="U3036" s="183"/>
      <c r="V3036" s="183"/>
      <c r="W3036" s="183"/>
      <c r="X3036" s="183"/>
      <c r="Y3036" s="183"/>
      <c r="Z3036" s="183"/>
    </row>
    <row r="3037" spans="2:26">
      <c r="B3037" s="191"/>
      <c r="D3037" s="183"/>
      <c r="I3037" s="183"/>
      <c r="J3037" s="183"/>
      <c r="L3037" s="183"/>
      <c r="M3037" s="183"/>
      <c r="N3037" s="183"/>
      <c r="O3037" s="183"/>
      <c r="P3037" s="183"/>
      <c r="Q3037" s="183"/>
      <c r="R3037" s="183"/>
      <c r="S3037" s="183"/>
      <c r="T3037" s="183"/>
      <c r="U3037" s="183"/>
      <c r="V3037" s="183"/>
      <c r="W3037" s="183"/>
      <c r="X3037" s="183"/>
      <c r="Y3037" s="183"/>
      <c r="Z3037" s="183"/>
    </row>
    <row r="3038" spans="2:26">
      <c r="B3038" s="191"/>
      <c r="D3038" s="183"/>
      <c r="I3038" s="183"/>
      <c r="J3038" s="183"/>
      <c r="L3038" s="183"/>
      <c r="M3038" s="183"/>
      <c r="N3038" s="183"/>
      <c r="O3038" s="183"/>
      <c r="P3038" s="183"/>
      <c r="Q3038" s="183"/>
      <c r="R3038" s="183"/>
      <c r="S3038" s="183"/>
      <c r="T3038" s="183"/>
      <c r="U3038" s="183"/>
      <c r="V3038" s="183"/>
      <c r="W3038" s="183"/>
      <c r="X3038" s="183"/>
      <c r="Y3038" s="183"/>
      <c r="Z3038" s="183"/>
    </row>
    <row r="3039" spans="2:26">
      <c r="B3039" s="191"/>
      <c r="D3039" s="183"/>
      <c r="I3039" s="183"/>
      <c r="J3039" s="183"/>
      <c r="L3039" s="183"/>
      <c r="M3039" s="183"/>
      <c r="N3039" s="183"/>
      <c r="O3039" s="183"/>
      <c r="P3039" s="183"/>
      <c r="Q3039" s="183"/>
      <c r="R3039" s="183"/>
      <c r="S3039" s="183"/>
      <c r="T3039" s="183"/>
      <c r="U3039" s="183"/>
      <c r="V3039" s="183"/>
      <c r="W3039" s="183"/>
      <c r="X3039" s="183"/>
      <c r="Y3039" s="183"/>
      <c r="Z3039" s="183"/>
    </row>
    <row r="3040" spans="2:26">
      <c r="B3040" s="191"/>
      <c r="D3040" s="183"/>
      <c r="I3040" s="183"/>
      <c r="J3040" s="183"/>
      <c r="L3040" s="183"/>
      <c r="M3040" s="183"/>
      <c r="N3040" s="183"/>
      <c r="O3040" s="183"/>
      <c r="P3040" s="183"/>
      <c r="Q3040" s="183"/>
      <c r="R3040" s="183"/>
      <c r="S3040" s="183"/>
      <c r="T3040" s="183"/>
      <c r="U3040" s="183"/>
      <c r="V3040" s="183"/>
      <c r="W3040" s="183"/>
      <c r="X3040" s="183"/>
      <c r="Y3040" s="183"/>
      <c r="Z3040" s="183"/>
    </row>
    <row r="3041" spans="2:26">
      <c r="B3041" s="191"/>
      <c r="D3041" s="183"/>
      <c r="I3041" s="183"/>
      <c r="J3041" s="183"/>
      <c r="L3041" s="183"/>
      <c r="M3041" s="183"/>
      <c r="N3041" s="183"/>
      <c r="O3041" s="183"/>
      <c r="P3041" s="183"/>
      <c r="Q3041" s="183"/>
      <c r="R3041" s="183"/>
      <c r="S3041" s="183"/>
      <c r="T3041" s="183"/>
      <c r="U3041" s="183"/>
      <c r="V3041" s="183"/>
      <c r="W3041" s="183"/>
      <c r="X3041" s="183"/>
      <c r="Y3041" s="183"/>
      <c r="Z3041" s="183"/>
    </row>
    <row r="3042" spans="2:26">
      <c r="B3042" s="191"/>
      <c r="D3042" s="183"/>
      <c r="I3042" s="183"/>
      <c r="J3042" s="183"/>
      <c r="L3042" s="183"/>
      <c r="M3042" s="183"/>
      <c r="N3042" s="183"/>
      <c r="O3042" s="183"/>
      <c r="P3042" s="183"/>
      <c r="Q3042" s="183"/>
      <c r="R3042" s="183"/>
      <c r="S3042" s="183"/>
      <c r="T3042" s="183"/>
      <c r="U3042" s="183"/>
      <c r="V3042" s="183"/>
      <c r="W3042" s="183"/>
      <c r="X3042" s="183"/>
      <c r="Y3042" s="183"/>
      <c r="Z3042" s="183"/>
    </row>
    <row r="3043" spans="2:26">
      <c r="B3043" s="191"/>
      <c r="D3043" s="183"/>
      <c r="I3043" s="183"/>
      <c r="J3043" s="183"/>
      <c r="L3043" s="183"/>
      <c r="M3043" s="183"/>
      <c r="N3043" s="183"/>
      <c r="O3043" s="183"/>
      <c r="P3043" s="183"/>
      <c r="Q3043" s="183"/>
      <c r="R3043" s="183"/>
      <c r="S3043" s="183"/>
      <c r="T3043" s="183"/>
      <c r="U3043" s="183"/>
      <c r="V3043" s="183"/>
      <c r="W3043" s="183"/>
      <c r="X3043" s="183"/>
      <c r="Y3043" s="183"/>
      <c r="Z3043" s="183"/>
    </row>
    <row r="3044" spans="2:26">
      <c r="B3044" s="191"/>
      <c r="D3044" s="183"/>
      <c r="I3044" s="183"/>
      <c r="J3044" s="183"/>
      <c r="L3044" s="183"/>
      <c r="M3044" s="183"/>
      <c r="N3044" s="183"/>
      <c r="O3044" s="183"/>
      <c r="P3044" s="183"/>
      <c r="Q3044" s="183"/>
      <c r="R3044" s="183"/>
      <c r="S3044" s="183"/>
      <c r="T3044" s="183"/>
      <c r="U3044" s="183"/>
      <c r="V3044" s="183"/>
      <c r="W3044" s="183"/>
      <c r="X3044" s="183"/>
      <c r="Y3044" s="183"/>
      <c r="Z3044" s="183"/>
    </row>
    <row r="3045" spans="2:26">
      <c r="B3045" s="191"/>
      <c r="D3045" s="183"/>
      <c r="I3045" s="183"/>
      <c r="J3045" s="183"/>
      <c r="L3045" s="183"/>
      <c r="M3045" s="183"/>
      <c r="N3045" s="183"/>
      <c r="O3045" s="183"/>
      <c r="P3045" s="183"/>
      <c r="Q3045" s="183"/>
      <c r="R3045" s="183"/>
      <c r="S3045" s="183"/>
      <c r="T3045" s="183"/>
      <c r="U3045" s="183"/>
      <c r="V3045" s="183"/>
      <c r="W3045" s="183"/>
      <c r="X3045" s="183"/>
      <c r="Y3045" s="183"/>
      <c r="Z3045" s="183"/>
    </row>
    <row r="3046" spans="2:26">
      <c r="B3046" s="191"/>
      <c r="D3046" s="183"/>
      <c r="I3046" s="183"/>
      <c r="J3046" s="183"/>
      <c r="L3046" s="183"/>
      <c r="M3046" s="183"/>
      <c r="N3046" s="183"/>
      <c r="O3046" s="183"/>
      <c r="P3046" s="183"/>
      <c r="Q3046" s="183"/>
      <c r="R3046" s="183"/>
      <c r="S3046" s="183"/>
      <c r="T3046" s="183"/>
      <c r="U3046" s="183"/>
      <c r="V3046" s="183"/>
      <c r="W3046" s="183"/>
      <c r="X3046" s="183"/>
      <c r="Y3046" s="183"/>
      <c r="Z3046" s="183"/>
    </row>
    <row r="3047" spans="2:26">
      <c r="B3047" s="191"/>
      <c r="D3047" s="183"/>
      <c r="I3047" s="183"/>
      <c r="J3047" s="183"/>
      <c r="L3047" s="183"/>
      <c r="M3047" s="183"/>
      <c r="N3047" s="183"/>
      <c r="O3047" s="183"/>
      <c r="P3047" s="183"/>
      <c r="Q3047" s="183"/>
      <c r="R3047" s="183"/>
      <c r="S3047" s="183"/>
      <c r="T3047" s="183"/>
      <c r="U3047" s="183"/>
      <c r="V3047" s="183"/>
      <c r="W3047" s="183"/>
      <c r="X3047" s="183"/>
      <c r="Y3047" s="183"/>
      <c r="Z3047" s="183"/>
    </row>
    <row r="3048" spans="2:26">
      <c r="B3048" s="191"/>
      <c r="D3048" s="183"/>
      <c r="I3048" s="183"/>
      <c r="J3048" s="183"/>
      <c r="L3048" s="183"/>
      <c r="M3048" s="183"/>
      <c r="N3048" s="183"/>
      <c r="O3048" s="183"/>
      <c r="P3048" s="183"/>
      <c r="Q3048" s="183"/>
      <c r="R3048" s="183"/>
      <c r="S3048" s="183"/>
      <c r="T3048" s="183"/>
      <c r="U3048" s="183"/>
      <c r="V3048" s="183"/>
      <c r="W3048" s="183"/>
      <c r="X3048" s="183"/>
      <c r="Y3048" s="183"/>
      <c r="Z3048" s="183"/>
    </row>
    <row r="3049" spans="2:26">
      <c r="B3049" s="191"/>
      <c r="D3049" s="183"/>
      <c r="I3049" s="183"/>
      <c r="J3049" s="183"/>
      <c r="L3049" s="183"/>
      <c r="M3049" s="183"/>
      <c r="N3049" s="183"/>
      <c r="O3049" s="183"/>
      <c r="P3049" s="183"/>
      <c r="Q3049" s="183"/>
      <c r="R3049" s="183"/>
      <c r="S3049" s="183"/>
      <c r="T3049" s="183"/>
      <c r="U3049" s="183"/>
      <c r="V3049" s="183"/>
      <c r="W3049" s="183"/>
      <c r="X3049" s="183"/>
      <c r="Y3049" s="183"/>
      <c r="Z3049" s="183"/>
    </row>
    <row r="3050" spans="2:26">
      <c r="B3050" s="191"/>
      <c r="D3050" s="183"/>
      <c r="I3050" s="183"/>
      <c r="J3050" s="183"/>
      <c r="L3050" s="183"/>
      <c r="M3050" s="183"/>
      <c r="N3050" s="183"/>
      <c r="O3050" s="183"/>
      <c r="P3050" s="183"/>
      <c r="Q3050" s="183"/>
      <c r="R3050" s="183"/>
      <c r="S3050" s="183"/>
      <c r="T3050" s="183"/>
      <c r="U3050" s="183"/>
      <c r="V3050" s="183"/>
      <c r="W3050" s="183"/>
      <c r="X3050" s="183"/>
      <c r="Y3050" s="183"/>
      <c r="Z3050" s="183"/>
    </row>
    <row r="3051" spans="2:26">
      <c r="B3051" s="191"/>
      <c r="D3051" s="183"/>
      <c r="I3051" s="183"/>
      <c r="J3051" s="183"/>
      <c r="L3051" s="183"/>
      <c r="M3051" s="183"/>
      <c r="N3051" s="183"/>
      <c r="O3051" s="183"/>
      <c r="P3051" s="183"/>
      <c r="Q3051" s="183"/>
      <c r="R3051" s="183"/>
      <c r="S3051" s="183"/>
      <c r="T3051" s="183"/>
      <c r="U3051" s="183"/>
      <c r="V3051" s="183"/>
      <c r="W3051" s="183"/>
      <c r="X3051" s="183"/>
      <c r="Y3051" s="183"/>
      <c r="Z3051" s="183"/>
    </row>
    <row r="3052" spans="2:26">
      <c r="B3052" s="191"/>
      <c r="D3052" s="183"/>
      <c r="I3052" s="183"/>
      <c r="J3052" s="183"/>
      <c r="L3052" s="183"/>
      <c r="M3052" s="183"/>
      <c r="N3052" s="183"/>
      <c r="O3052" s="183"/>
      <c r="P3052" s="183"/>
      <c r="Q3052" s="183"/>
      <c r="R3052" s="183"/>
      <c r="S3052" s="183"/>
      <c r="T3052" s="183"/>
      <c r="U3052" s="183"/>
      <c r="V3052" s="183"/>
      <c r="W3052" s="183"/>
      <c r="X3052" s="183"/>
      <c r="Y3052" s="183"/>
      <c r="Z3052" s="183"/>
    </row>
    <row r="3053" spans="2:26">
      <c r="B3053" s="191"/>
      <c r="D3053" s="183"/>
      <c r="I3053" s="183"/>
      <c r="J3053" s="183"/>
      <c r="L3053" s="183"/>
      <c r="M3053" s="183"/>
      <c r="N3053" s="183"/>
      <c r="O3053" s="183"/>
      <c r="P3053" s="183"/>
      <c r="Q3053" s="183"/>
      <c r="R3053" s="183"/>
      <c r="S3053" s="183"/>
      <c r="T3053" s="183"/>
      <c r="U3053" s="183"/>
      <c r="V3053" s="183"/>
      <c r="W3053" s="183"/>
      <c r="X3053" s="183"/>
      <c r="Y3053" s="183"/>
      <c r="Z3053" s="183"/>
    </row>
    <row r="3054" spans="2:26">
      <c r="B3054" s="191"/>
      <c r="D3054" s="183"/>
      <c r="I3054" s="183"/>
      <c r="J3054" s="183"/>
      <c r="L3054" s="183"/>
      <c r="M3054" s="183"/>
      <c r="N3054" s="183"/>
      <c r="O3054" s="183"/>
      <c r="P3054" s="183"/>
      <c r="Q3054" s="183"/>
      <c r="R3054" s="183"/>
      <c r="S3054" s="183"/>
      <c r="T3054" s="183"/>
      <c r="U3054" s="183"/>
      <c r="V3054" s="183"/>
      <c r="W3054" s="183"/>
      <c r="X3054" s="183"/>
      <c r="Y3054" s="183"/>
      <c r="Z3054" s="183"/>
    </row>
    <row r="3055" spans="2:26">
      <c r="B3055" s="191"/>
      <c r="D3055" s="183"/>
      <c r="I3055" s="183"/>
      <c r="J3055" s="183"/>
      <c r="L3055" s="183"/>
      <c r="M3055" s="183"/>
      <c r="N3055" s="183"/>
      <c r="O3055" s="183"/>
      <c r="P3055" s="183"/>
      <c r="Q3055" s="183"/>
      <c r="R3055" s="183"/>
      <c r="S3055" s="183"/>
      <c r="T3055" s="183"/>
      <c r="U3055" s="183"/>
      <c r="V3055" s="183"/>
      <c r="W3055" s="183"/>
      <c r="X3055" s="183"/>
      <c r="Y3055" s="183"/>
      <c r="Z3055" s="183"/>
    </row>
    <row r="3056" spans="2:26">
      <c r="B3056" s="191"/>
      <c r="D3056" s="183"/>
      <c r="I3056" s="183"/>
      <c r="J3056" s="183"/>
      <c r="L3056" s="183"/>
      <c r="M3056" s="183"/>
      <c r="N3056" s="183"/>
      <c r="O3056" s="183"/>
      <c r="P3056" s="183"/>
      <c r="Q3056" s="183"/>
      <c r="R3056" s="183"/>
      <c r="S3056" s="183"/>
      <c r="T3056" s="183"/>
      <c r="U3056" s="183"/>
      <c r="V3056" s="183"/>
      <c r="W3056" s="183"/>
      <c r="X3056" s="183"/>
      <c r="Y3056" s="183"/>
      <c r="Z3056" s="183"/>
    </row>
    <row r="3057" spans="2:26">
      <c r="B3057" s="191"/>
      <c r="D3057" s="183"/>
      <c r="I3057" s="183"/>
      <c r="J3057" s="183"/>
      <c r="L3057" s="183"/>
      <c r="M3057" s="183"/>
      <c r="N3057" s="183"/>
      <c r="O3057" s="183"/>
      <c r="P3057" s="183"/>
      <c r="Q3057" s="183"/>
      <c r="R3057" s="183"/>
      <c r="S3057" s="183"/>
      <c r="T3057" s="183"/>
      <c r="U3057" s="183"/>
      <c r="V3057" s="183"/>
      <c r="W3057" s="183"/>
      <c r="X3057" s="183"/>
      <c r="Y3057" s="183"/>
      <c r="Z3057" s="183"/>
    </row>
    <row r="3058" spans="2:26">
      <c r="B3058" s="191"/>
      <c r="D3058" s="183"/>
      <c r="I3058" s="183"/>
      <c r="J3058" s="183"/>
      <c r="L3058" s="183"/>
      <c r="M3058" s="183"/>
      <c r="N3058" s="183"/>
      <c r="O3058" s="183"/>
      <c r="P3058" s="183"/>
      <c r="Q3058" s="183"/>
      <c r="R3058" s="183"/>
      <c r="S3058" s="183"/>
      <c r="T3058" s="183"/>
      <c r="U3058" s="183"/>
      <c r="V3058" s="183"/>
      <c r="W3058" s="183"/>
      <c r="X3058" s="183"/>
      <c r="Y3058" s="183"/>
      <c r="Z3058" s="183"/>
    </row>
    <row r="3059" spans="2:26">
      <c r="B3059" s="191"/>
      <c r="D3059" s="183"/>
      <c r="I3059" s="183"/>
      <c r="J3059" s="183"/>
      <c r="L3059" s="183"/>
      <c r="M3059" s="183"/>
      <c r="N3059" s="183"/>
      <c r="O3059" s="183"/>
      <c r="P3059" s="183"/>
      <c r="Q3059" s="183"/>
      <c r="R3059" s="183"/>
      <c r="S3059" s="183"/>
      <c r="T3059" s="183"/>
      <c r="U3059" s="183"/>
      <c r="V3059" s="183"/>
      <c r="W3059" s="183"/>
      <c r="X3059" s="183"/>
      <c r="Y3059" s="183"/>
      <c r="Z3059" s="183"/>
    </row>
    <row r="3060" spans="2:26">
      <c r="B3060" s="191"/>
      <c r="D3060" s="183"/>
      <c r="I3060" s="183"/>
      <c r="J3060" s="183"/>
      <c r="L3060" s="183"/>
      <c r="M3060" s="183"/>
      <c r="N3060" s="183"/>
      <c r="O3060" s="183"/>
      <c r="P3060" s="183"/>
      <c r="Q3060" s="183"/>
      <c r="R3060" s="183"/>
      <c r="S3060" s="183"/>
      <c r="T3060" s="183"/>
      <c r="U3060" s="183"/>
      <c r="V3060" s="183"/>
      <c r="W3060" s="183"/>
      <c r="X3060" s="183"/>
      <c r="Y3060" s="183"/>
      <c r="Z3060" s="183"/>
    </row>
    <row r="3061" spans="2:26">
      <c r="B3061" s="191"/>
      <c r="D3061" s="183"/>
      <c r="I3061" s="183"/>
      <c r="J3061" s="183"/>
      <c r="L3061" s="183"/>
      <c r="M3061" s="183"/>
      <c r="N3061" s="183"/>
      <c r="O3061" s="183"/>
      <c r="P3061" s="183"/>
      <c r="Q3061" s="183"/>
      <c r="R3061" s="183"/>
      <c r="S3061" s="183"/>
      <c r="T3061" s="183"/>
      <c r="U3061" s="183"/>
      <c r="V3061" s="183"/>
      <c r="W3061" s="183"/>
      <c r="X3061" s="183"/>
      <c r="Y3061" s="183"/>
      <c r="Z3061" s="183"/>
    </row>
    <row r="3062" spans="2:26">
      <c r="B3062" s="191"/>
      <c r="D3062" s="183"/>
      <c r="I3062" s="183"/>
      <c r="J3062" s="183"/>
      <c r="L3062" s="183"/>
      <c r="M3062" s="183"/>
      <c r="N3062" s="183"/>
      <c r="O3062" s="183"/>
      <c r="P3062" s="183"/>
      <c r="Q3062" s="183"/>
      <c r="R3062" s="183"/>
      <c r="S3062" s="183"/>
      <c r="T3062" s="183"/>
      <c r="U3062" s="183"/>
      <c r="V3062" s="183"/>
      <c r="W3062" s="183"/>
      <c r="X3062" s="183"/>
      <c r="Y3062" s="183"/>
      <c r="Z3062" s="183"/>
    </row>
    <row r="3063" spans="2:26">
      <c r="B3063" s="191"/>
      <c r="D3063" s="183"/>
      <c r="I3063" s="183"/>
      <c r="J3063" s="183"/>
      <c r="L3063" s="183"/>
      <c r="M3063" s="183"/>
      <c r="N3063" s="183"/>
      <c r="O3063" s="183"/>
      <c r="P3063" s="183"/>
      <c r="Q3063" s="183"/>
      <c r="R3063" s="183"/>
      <c r="S3063" s="183"/>
      <c r="T3063" s="183"/>
      <c r="U3063" s="183"/>
      <c r="V3063" s="183"/>
      <c r="W3063" s="183"/>
      <c r="X3063" s="183"/>
      <c r="Y3063" s="183"/>
      <c r="Z3063" s="183"/>
    </row>
    <row r="3064" spans="2:26">
      <c r="B3064" s="191"/>
      <c r="D3064" s="183"/>
      <c r="I3064" s="183"/>
      <c r="J3064" s="183"/>
      <c r="L3064" s="183"/>
      <c r="M3064" s="183"/>
      <c r="N3064" s="183"/>
      <c r="O3064" s="183"/>
      <c r="P3064" s="183"/>
      <c r="Q3064" s="183"/>
      <c r="R3064" s="183"/>
      <c r="S3064" s="183"/>
      <c r="T3064" s="183"/>
      <c r="U3064" s="183"/>
      <c r="V3064" s="183"/>
      <c r="W3064" s="183"/>
      <c r="X3064" s="183"/>
      <c r="Y3064" s="183"/>
      <c r="Z3064" s="183"/>
    </row>
    <row r="3065" spans="2:26">
      <c r="B3065" s="191"/>
      <c r="D3065" s="183"/>
      <c r="I3065" s="183"/>
      <c r="J3065" s="183"/>
      <c r="L3065" s="183"/>
      <c r="M3065" s="183"/>
      <c r="N3065" s="183"/>
      <c r="O3065" s="183"/>
      <c r="P3065" s="183"/>
      <c r="Q3065" s="183"/>
      <c r="R3065" s="183"/>
      <c r="S3065" s="183"/>
      <c r="T3065" s="183"/>
      <c r="U3065" s="183"/>
      <c r="V3065" s="183"/>
      <c r="W3065" s="183"/>
      <c r="X3065" s="183"/>
      <c r="Y3065" s="183"/>
      <c r="Z3065" s="183"/>
    </row>
    <row r="3066" spans="2:26">
      <c r="B3066" s="191"/>
      <c r="D3066" s="183"/>
      <c r="I3066" s="183"/>
      <c r="J3066" s="183"/>
      <c r="L3066" s="183"/>
      <c r="M3066" s="183"/>
      <c r="N3066" s="183"/>
      <c r="O3066" s="183"/>
      <c r="P3066" s="183"/>
      <c r="Q3066" s="183"/>
      <c r="R3066" s="183"/>
      <c r="S3066" s="183"/>
      <c r="T3066" s="183"/>
      <c r="U3066" s="183"/>
      <c r="V3066" s="183"/>
      <c r="W3066" s="183"/>
      <c r="X3066" s="183"/>
      <c r="Y3066" s="183"/>
      <c r="Z3066" s="183"/>
    </row>
    <row r="3067" spans="2:26">
      <c r="B3067" s="191"/>
      <c r="D3067" s="183"/>
      <c r="I3067" s="183"/>
      <c r="J3067" s="183"/>
      <c r="L3067" s="183"/>
      <c r="M3067" s="183"/>
      <c r="N3067" s="183"/>
      <c r="O3067" s="183"/>
      <c r="P3067" s="183"/>
      <c r="Q3067" s="183"/>
      <c r="R3067" s="183"/>
      <c r="S3067" s="183"/>
      <c r="T3067" s="183"/>
      <c r="U3067" s="183"/>
      <c r="V3067" s="183"/>
      <c r="W3067" s="183"/>
      <c r="X3067" s="183"/>
      <c r="Y3067" s="183"/>
      <c r="Z3067" s="183"/>
    </row>
    <row r="3068" spans="2:26">
      <c r="B3068" s="191"/>
      <c r="D3068" s="183"/>
      <c r="I3068" s="183"/>
      <c r="J3068" s="183"/>
      <c r="L3068" s="183"/>
      <c r="M3068" s="183"/>
      <c r="N3068" s="183"/>
      <c r="O3068" s="183"/>
      <c r="P3068" s="183"/>
      <c r="Q3068" s="183"/>
      <c r="R3068" s="183"/>
      <c r="S3068" s="183"/>
      <c r="T3068" s="183"/>
      <c r="U3068" s="183"/>
      <c r="V3068" s="183"/>
      <c r="W3068" s="183"/>
      <c r="X3068" s="183"/>
      <c r="Y3068" s="183"/>
      <c r="Z3068" s="183"/>
    </row>
    <row r="3069" spans="2:26">
      <c r="B3069" s="191"/>
      <c r="D3069" s="183"/>
      <c r="I3069" s="183"/>
      <c r="J3069" s="183"/>
      <c r="L3069" s="183"/>
      <c r="M3069" s="183"/>
      <c r="N3069" s="183"/>
      <c r="O3069" s="183"/>
      <c r="P3069" s="183"/>
      <c r="Q3069" s="183"/>
      <c r="R3069" s="183"/>
      <c r="S3069" s="183"/>
      <c r="T3069" s="183"/>
      <c r="U3069" s="183"/>
      <c r="V3069" s="183"/>
      <c r="W3069" s="183"/>
      <c r="X3069" s="183"/>
      <c r="Y3069" s="183"/>
      <c r="Z3069" s="183"/>
    </row>
    <row r="3070" spans="2:26">
      <c r="B3070" s="191"/>
      <c r="D3070" s="183"/>
      <c r="I3070" s="183"/>
      <c r="J3070" s="183"/>
      <c r="L3070" s="183"/>
      <c r="M3070" s="183"/>
      <c r="N3070" s="183"/>
      <c r="O3070" s="183"/>
      <c r="P3070" s="183"/>
      <c r="Q3070" s="183"/>
      <c r="R3070" s="183"/>
      <c r="S3070" s="183"/>
      <c r="T3070" s="183"/>
      <c r="U3070" s="183"/>
      <c r="V3070" s="183"/>
      <c r="W3070" s="183"/>
      <c r="X3070" s="183"/>
      <c r="Y3070" s="183"/>
      <c r="Z3070" s="183"/>
    </row>
    <row r="3071" spans="2:26">
      <c r="B3071" s="191"/>
      <c r="D3071" s="183"/>
      <c r="I3071" s="183"/>
      <c r="J3071" s="183"/>
      <c r="L3071" s="183"/>
      <c r="M3071" s="183"/>
      <c r="N3071" s="183"/>
      <c r="O3071" s="183"/>
      <c r="P3071" s="183"/>
      <c r="Q3071" s="183"/>
      <c r="R3071" s="183"/>
      <c r="S3071" s="183"/>
      <c r="T3071" s="183"/>
      <c r="U3071" s="183"/>
      <c r="V3071" s="183"/>
      <c r="W3071" s="183"/>
      <c r="X3071" s="183"/>
      <c r="Y3071" s="183"/>
      <c r="Z3071" s="183"/>
    </row>
    <row r="3072" spans="2:26">
      <c r="B3072" s="191"/>
      <c r="D3072" s="183"/>
      <c r="I3072" s="183"/>
      <c r="J3072" s="183"/>
      <c r="L3072" s="183"/>
      <c r="M3072" s="183"/>
      <c r="N3072" s="183"/>
      <c r="O3072" s="183"/>
      <c r="P3072" s="183"/>
      <c r="Q3072" s="183"/>
      <c r="R3072" s="183"/>
      <c r="S3072" s="183"/>
      <c r="T3072" s="183"/>
      <c r="U3072" s="183"/>
      <c r="V3072" s="183"/>
      <c r="W3072" s="183"/>
      <c r="X3072" s="183"/>
      <c r="Y3072" s="183"/>
      <c r="Z3072" s="183"/>
    </row>
    <row r="3073" spans="2:26">
      <c r="B3073" s="191"/>
      <c r="D3073" s="183"/>
      <c r="I3073" s="183"/>
      <c r="J3073" s="183"/>
      <c r="L3073" s="183"/>
      <c r="M3073" s="183"/>
      <c r="N3073" s="183"/>
      <c r="O3073" s="183"/>
      <c r="P3073" s="183"/>
      <c r="Q3073" s="183"/>
      <c r="R3073" s="183"/>
      <c r="S3073" s="183"/>
      <c r="T3073" s="183"/>
      <c r="U3073" s="183"/>
      <c r="V3073" s="183"/>
      <c r="W3073" s="183"/>
      <c r="X3073" s="183"/>
      <c r="Y3073" s="183"/>
      <c r="Z3073" s="183"/>
    </row>
    <row r="3074" spans="2:26">
      <c r="B3074" s="191"/>
      <c r="D3074" s="183"/>
      <c r="I3074" s="183"/>
      <c r="J3074" s="183"/>
      <c r="L3074" s="183"/>
      <c r="M3074" s="183"/>
      <c r="N3074" s="183"/>
      <c r="O3074" s="183"/>
      <c r="P3074" s="183"/>
      <c r="Q3074" s="183"/>
      <c r="R3074" s="183"/>
      <c r="S3074" s="183"/>
      <c r="T3074" s="183"/>
      <c r="U3074" s="183"/>
      <c r="V3074" s="183"/>
      <c r="W3074" s="183"/>
      <c r="X3074" s="183"/>
      <c r="Y3074" s="183"/>
      <c r="Z3074" s="183"/>
    </row>
    <row r="3075" spans="2:26">
      <c r="B3075" s="191"/>
      <c r="D3075" s="183"/>
      <c r="I3075" s="183"/>
      <c r="J3075" s="183"/>
      <c r="L3075" s="183"/>
      <c r="M3075" s="183"/>
      <c r="N3075" s="183"/>
      <c r="O3075" s="183"/>
      <c r="P3075" s="183"/>
      <c r="Q3075" s="183"/>
      <c r="R3075" s="183"/>
      <c r="S3075" s="183"/>
      <c r="T3075" s="183"/>
      <c r="U3075" s="183"/>
      <c r="V3075" s="183"/>
      <c r="W3075" s="183"/>
      <c r="X3075" s="183"/>
      <c r="Y3075" s="183"/>
      <c r="Z3075" s="183"/>
    </row>
    <row r="3076" spans="2:26">
      <c r="B3076" s="191"/>
      <c r="D3076" s="183"/>
      <c r="I3076" s="183"/>
      <c r="J3076" s="183"/>
      <c r="L3076" s="183"/>
      <c r="M3076" s="183"/>
      <c r="N3076" s="183"/>
      <c r="O3076" s="183"/>
      <c r="P3076" s="183"/>
      <c r="Q3076" s="183"/>
      <c r="R3076" s="183"/>
      <c r="S3076" s="183"/>
      <c r="T3076" s="183"/>
      <c r="U3076" s="183"/>
      <c r="V3076" s="183"/>
      <c r="W3076" s="183"/>
      <c r="X3076" s="183"/>
      <c r="Y3076" s="183"/>
      <c r="Z3076" s="183"/>
    </row>
    <row r="3077" spans="2:26">
      <c r="B3077" s="191"/>
      <c r="D3077" s="183"/>
      <c r="I3077" s="183"/>
      <c r="J3077" s="183"/>
      <c r="L3077" s="183"/>
      <c r="M3077" s="183"/>
      <c r="N3077" s="183"/>
      <c r="O3077" s="183"/>
      <c r="P3077" s="183"/>
      <c r="Q3077" s="183"/>
      <c r="R3077" s="183"/>
      <c r="S3077" s="183"/>
      <c r="T3077" s="183"/>
      <c r="U3077" s="183"/>
      <c r="V3077" s="183"/>
      <c r="W3077" s="183"/>
      <c r="X3077" s="183"/>
      <c r="Y3077" s="183"/>
      <c r="Z3077" s="183"/>
    </row>
    <row r="3078" spans="2:26">
      <c r="B3078" s="191"/>
      <c r="D3078" s="183"/>
      <c r="I3078" s="183"/>
      <c r="J3078" s="183"/>
      <c r="L3078" s="183"/>
      <c r="M3078" s="183"/>
      <c r="N3078" s="183"/>
      <c r="O3078" s="183"/>
      <c r="P3078" s="183"/>
      <c r="Q3078" s="183"/>
      <c r="R3078" s="183"/>
      <c r="S3078" s="183"/>
      <c r="T3078" s="183"/>
      <c r="U3078" s="183"/>
      <c r="V3078" s="183"/>
      <c r="W3078" s="183"/>
      <c r="X3078" s="183"/>
      <c r="Y3078" s="183"/>
      <c r="Z3078" s="183"/>
    </row>
    <row r="3079" spans="2:26">
      <c r="B3079" s="191"/>
      <c r="D3079" s="183"/>
      <c r="I3079" s="183"/>
      <c r="J3079" s="183"/>
      <c r="L3079" s="183"/>
      <c r="M3079" s="183"/>
      <c r="N3079" s="183"/>
      <c r="O3079" s="183"/>
      <c r="P3079" s="183"/>
      <c r="Q3079" s="183"/>
      <c r="R3079" s="183"/>
      <c r="S3079" s="183"/>
      <c r="T3079" s="183"/>
      <c r="U3079" s="183"/>
      <c r="V3079" s="183"/>
      <c r="W3079" s="183"/>
      <c r="X3079" s="183"/>
      <c r="Y3079" s="183"/>
      <c r="Z3079" s="183"/>
    </row>
    <row r="3080" spans="2:26">
      <c r="B3080" s="191"/>
      <c r="D3080" s="183"/>
      <c r="I3080" s="183"/>
      <c r="J3080" s="183"/>
      <c r="L3080" s="183"/>
      <c r="M3080" s="183"/>
      <c r="N3080" s="183"/>
      <c r="O3080" s="183"/>
      <c r="P3080" s="183"/>
      <c r="Q3080" s="183"/>
      <c r="R3080" s="183"/>
      <c r="S3080" s="183"/>
      <c r="T3080" s="183"/>
      <c r="U3080" s="183"/>
      <c r="V3080" s="183"/>
      <c r="W3080" s="183"/>
      <c r="X3080" s="183"/>
      <c r="Y3080" s="183"/>
      <c r="Z3080" s="183"/>
    </row>
    <row r="3081" spans="2:26">
      <c r="B3081" s="191"/>
      <c r="D3081" s="183"/>
      <c r="I3081" s="183"/>
      <c r="J3081" s="183"/>
      <c r="L3081" s="183"/>
      <c r="M3081" s="183"/>
      <c r="N3081" s="183"/>
      <c r="O3081" s="183"/>
      <c r="P3081" s="183"/>
      <c r="Q3081" s="183"/>
      <c r="R3081" s="183"/>
      <c r="S3081" s="183"/>
      <c r="T3081" s="183"/>
      <c r="U3081" s="183"/>
      <c r="V3081" s="183"/>
      <c r="W3081" s="183"/>
      <c r="X3081" s="183"/>
      <c r="Y3081" s="183"/>
      <c r="Z3081" s="183"/>
    </row>
    <row r="3082" spans="2:26">
      <c r="B3082" s="191"/>
      <c r="D3082" s="183"/>
      <c r="I3082" s="183"/>
      <c r="J3082" s="183"/>
      <c r="L3082" s="183"/>
      <c r="M3082" s="183"/>
      <c r="N3082" s="183"/>
      <c r="O3082" s="183"/>
      <c r="P3082" s="183"/>
      <c r="Q3082" s="183"/>
      <c r="R3082" s="183"/>
      <c r="S3082" s="183"/>
      <c r="T3082" s="183"/>
      <c r="U3082" s="183"/>
      <c r="V3082" s="183"/>
      <c r="W3082" s="183"/>
      <c r="X3082" s="183"/>
      <c r="Y3082" s="183"/>
      <c r="Z3082" s="183"/>
    </row>
    <row r="3083" spans="2:26">
      <c r="B3083" s="191"/>
      <c r="D3083" s="183"/>
      <c r="I3083" s="183"/>
      <c r="J3083" s="183"/>
      <c r="L3083" s="183"/>
      <c r="M3083" s="183"/>
      <c r="N3083" s="183"/>
      <c r="O3083" s="183"/>
      <c r="P3083" s="183"/>
      <c r="Q3083" s="183"/>
      <c r="R3083" s="183"/>
      <c r="S3083" s="183"/>
      <c r="T3083" s="183"/>
      <c r="U3083" s="183"/>
      <c r="V3083" s="183"/>
      <c r="W3083" s="183"/>
      <c r="X3083" s="183"/>
      <c r="Y3083" s="183"/>
      <c r="Z3083" s="183"/>
    </row>
    <row r="3084" spans="2:26">
      <c r="B3084" s="191"/>
      <c r="D3084" s="183"/>
      <c r="I3084" s="183"/>
      <c r="J3084" s="183"/>
      <c r="L3084" s="183"/>
      <c r="M3084" s="183"/>
      <c r="N3084" s="183"/>
      <c r="O3084" s="183"/>
      <c r="P3084" s="183"/>
      <c r="Q3084" s="183"/>
      <c r="R3084" s="183"/>
      <c r="S3084" s="183"/>
      <c r="T3084" s="183"/>
      <c r="U3084" s="183"/>
      <c r="V3084" s="183"/>
      <c r="W3084" s="183"/>
      <c r="X3084" s="183"/>
      <c r="Y3084" s="183"/>
      <c r="Z3084" s="183"/>
    </row>
    <row r="3085" spans="2:26">
      <c r="B3085" s="191"/>
      <c r="D3085" s="183"/>
      <c r="I3085" s="183"/>
      <c r="J3085" s="183"/>
      <c r="L3085" s="183"/>
      <c r="M3085" s="183"/>
      <c r="N3085" s="183"/>
      <c r="O3085" s="183"/>
      <c r="P3085" s="183"/>
      <c r="Q3085" s="183"/>
      <c r="R3085" s="183"/>
      <c r="S3085" s="183"/>
      <c r="T3085" s="183"/>
      <c r="U3085" s="183"/>
      <c r="V3085" s="183"/>
      <c r="W3085" s="183"/>
      <c r="X3085" s="183"/>
      <c r="Y3085" s="183"/>
      <c r="Z3085" s="183"/>
    </row>
    <row r="3086" spans="2:26">
      <c r="B3086" s="191"/>
      <c r="D3086" s="183"/>
      <c r="I3086" s="183"/>
      <c r="J3086" s="183"/>
      <c r="L3086" s="183"/>
      <c r="M3086" s="183"/>
      <c r="N3086" s="183"/>
      <c r="O3086" s="183"/>
      <c r="P3086" s="183"/>
      <c r="Q3086" s="183"/>
      <c r="R3086" s="183"/>
      <c r="S3086" s="183"/>
      <c r="T3086" s="183"/>
      <c r="U3086" s="183"/>
      <c r="V3086" s="183"/>
      <c r="W3086" s="183"/>
      <c r="X3086" s="183"/>
      <c r="Y3086" s="183"/>
      <c r="Z3086" s="183"/>
    </row>
    <row r="3087" spans="2:26">
      <c r="B3087" s="191"/>
      <c r="D3087" s="183"/>
      <c r="I3087" s="183"/>
      <c r="J3087" s="183"/>
      <c r="L3087" s="183"/>
      <c r="M3087" s="183"/>
      <c r="N3087" s="183"/>
      <c r="O3087" s="183"/>
      <c r="P3087" s="183"/>
      <c r="Q3087" s="183"/>
      <c r="R3087" s="183"/>
      <c r="S3087" s="183"/>
      <c r="T3087" s="183"/>
      <c r="U3087" s="183"/>
      <c r="V3087" s="183"/>
      <c r="W3087" s="183"/>
      <c r="X3087" s="183"/>
      <c r="Y3087" s="183"/>
      <c r="Z3087" s="183"/>
    </row>
    <row r="3088" spans="2:26">
      <c r="B3088" s="191"/>
      <c r="D3088" s="183"/>
      <c r="I3088" s="183"/>
      <c r="J3088" s="183"/>
      <c r="L3088" s="183"/>
      <c r="M3088" s="183"/>
      <c r="N3088" s="183"/>
      <c r="O3088" s="183"/>
      <c r="P3088" s="183"/>
      <c r="Q3088" s="183"/>
      <c r="R3088" s="183"/>
      <c r="S3088" s="183"/>
      <c r="T3088" s="183"/>
      <c r="U3088" s="183"/>
      <c r="V3088" s="183"/>
      <c r="W3088" s="183"/>
      <c r="X3088" s="183"/>
      <c r="Y3088" s="183"/>
      <c r="Z3088" s="183"/>
    </row>
    <row r="3089" spans="2:26">
      <c r="B3089" s="191"/>
      <c r="D3089" s="183"/>
      <c r="I3089" s="183"/>
      <c r="J3089" s="183"/>
      <c r="L3089" s="183"/>
      <c r="M3089" s="183"/>
      <c r="N3089" s="183"/>
      <c r="O3089" s="183"/>
      <c r="P3089" s="183"/>
      <c r="Q3089" s="183"/>
      <c r="R3089" s="183"/>
      <c r="S3089" s="183"/>
      <c r="T3089" s="183"/>
      <c r="U3089" s="183"/>
      <c r="V3089" s="183"/>
      <c r="W3089" s="183"/>
      <c r="X3089" s="183"/>
      <c r="Y3089" s="183"/>
      <c r="Z3089" s="183"/>
    </row>
    <row r="3090" spans="2:26">
      <c r="B3090" s="191"/>
      <c r="D3090" s="183"/>
      <c r="I3090" s="183"/>
      <c r="J3090" s="183"/>
      <c r="L3090" s="183"/>
      <c r="M3090" s="183"/>
      <c r="N3090" s="183"/>
      <c r="O3090" s="183"/>
      <c r="P3090" s="183"/>
      <c r="Q3090" s="183"/>
      <c r="R3090" s="183"/>
      <c r="S3090" s="183"/>
      <c r="T3090" s="183"/>
      <c r="U3090" s="183"/>
      <c r="V3090" s="183"/>
      <c r="W3090" s="183"/>
      <c r="X3090" s="183"/>
      <c r="Y3090" s="183"/>
      <c r="Z3090" s="183"/>
    </row>
    <row r="3091" spans="2:26">
      <c r="B3091" s="191"/>
      <c r="D3091" s="183"/>
      <c r="I3091" s="183"/>
      <c r="J3091" s="183"/>
      <c r="L3091" s="183"/>
      <c r="M3091" s="183"/>
      <c r="N3091" s="183"/>
      <c r="O3091" s="183"/>
      <c r="P3091" s="183"/>
      <c r="Q3091" s="183"/>
      <c r="R3091" s="183"/>
      <c r="S3091" s="183"/>
      <c r="T3091" s="183"/>
      <c r="U3091" s="183"/>
      <c r="V3091" s="183"/>
      <c r="W3091" s="183"/>
      <c r="X3091" s="183"/>
      <c r="Y3091" s="183"/>
      <c r="Z3091" s="183"/>
    </row>
    <row r="3092" spans="2:26">
      <c r="B3092" s="191"/>
      <c r="D3092" s="183"/>
      <c r="I3092" s="183"/>
      <c r="J3092" s="183"/>
      <c r="L3092" s="183"/>
      <c r="M3092" s="183"/>
      <c r="N3092" s="183"/>
      <c r="O3092" s="183"/>
      <c r="P3092" s="183"/>
      <c r="Q3092" s="183"/>
      <c r="R3092" s="183"/>
      <c r="S3092" s="183"/>
      <c r="T3092" s="183"/>
      <c r="U3092" s="183"/>
      <c r="V3092" s="183"/>
      <c r="W3092" s="183"/>
      <c r="X3092" s="183"/>
      <c r="Y3092" s="183"/>
      <c r="Z3092" s="183"/>
    </row>
    <row r="3093" spans="2:26">
      <c r="B3093" s="191"/>
      <c r="D3093" s="183"/>
      <c r="I3093" s="183"/>
      <c r="J3093" s="183"/>
      <c r="L3093" s="183"/>
      <c r="M3093" s="183"/>
      <c r="N3093" s="183"/>
      <c r="O3093" s="183"/>
      <c r="P3093" s="183"/>
      <c r="Q3093" s="183"/>
      <c r="R3093" s="183"/>
      <c r="S3093" s="183"/>
      <c r="T3093" s="183"/>
      <c r="U3093" s="183"/>
      <c r="V3093" s="183"/>
      <c r="W3093" s="183"/>
      <c r="X3093" s="183"/>
      <c r="Y3093" s="183"/>
      <c r="Z3093" s="183"/>
    </row>
    <row r="3094" spans="2:26">
      <c r="B3094" s="191"/>
      <c r="D3094" s="183"/>
      <c r="I3094" s="183"/>
      <c r="J3094" s="183"/>
      <c r="L3094" s="183"/>
      <c r="M3094" s="183"/>
      <c r="N3094" s="183"/>
      <c r="O3094" s="183"/>
      <c r="P3094" s="183"/>
      <c r="Q3094" s="183"/>
      <c r="R3094" s="183"/>
      <c r="S3094" s="183"/>
      <c r="T3094" s="183"/>
      <c r="U3094" s="183"/>
      <c r="V3094" s="183"/>
      <c r="W3094" s="183"/>
      <c r="X3094" s="183"/>
      <c r="Y3094" s="183"/>
      <c r="Z3094" s="183"/>
    </row>
    <row r="3095" spans="2:26">
      <c r="B3095" s="191"/>
      <c r="D3095" s="183"/>
      <c r="I3095" s="183"/>
      <c r="J3095" s="183"/>
      <c r="L3095" s="183"/>
      <c r="M3095" s="183"/>
      <c r="N3095" s="183"/>
      <c r="O3095" s="183"/>
      <c r="P3095" s="183"/>
      <c r="Q3095" s="183"/>
      <c r="R3095" s="183"/>
      <c r="S3095" s="183"/>
      <c r="T3095" s="183"/>
      <c r="U3095" s="183"/>
      <c r="V3095" s="183"/>
      <c r="W3095" s="183"/>
      <c r="X3095" s="183"/>
      <c r="Y3095" s="183"/>
      <c r="Z3095" s="183"/>
    </row>
    <row r="3096" spans="2:26">
      <c r="B3096" s="191"/>
      <c r="D3096" s="183"/>
      <c r="I3096" s="183"/>
      <c r="J3096" s="183"/>
      <c r="L3096" s="183"/>
      <c r="M3096" s="183"/>
      <c r="N3096" s="183"/>
      <c r="O3096" s="183"/>
      <c r="P3096" s="183"/>
      <c r="Q3096" s="183"/>
      <c r="R3096" s="183"/>
      <c r="S3096" s="183"/>
      <c r="T3096" s="183"/>
      <c r="U3096" s="183"/>
      <c r="V3096" s="183"/>
      <c r="W3096" s="183"/>
      <c r="X3096" s="183"/>
      <c r="Y3096" s="183"/>
      <c r="Z3096" s="183"/>
    </row>
    <row r="3097" spans="2:26">
      <c r="B3097" s="191"/>
      <c r="D3097" s="183"/>
      <c r="I3097" s="183"/>
      <c r="J3097" s="183"/>
      <c r="L3097" s="183"/>
      <c r="M3097" s="183"/>
      <c r="N3097" s="183"/>
      <c r="O3097" s="183"/>
      <c r="P3097" s="183"/>
      <c r="Q3097" s="183"/>
      <c r="R3097" s="183"/>
      <c r="S3097" s="183"/>
      <c r="T3097" s="183"/>
      <c r="U3097" s="183"/>
      <c r="V3097" s="183"/>
      <c r="W3097" s="183"/>
      <c r="X3097" s="183"/>
      <c r="Y3097" s="183"/>
      <c r="Z3097" s="183"/>
    </row>
    <row r="3098" spans="2:26">
      <c r="B3098" s="191"/>
      <c r="D3098" s="183"/>
      <c r="I3098" s="183"/>
      <c r="J3098" s="183"/>
      <c r="L3098" s="183"/>
      <c r="M3098" s="183"/>
      <c r="N3098" s="183"/>
      <c r="O3098" s="183"/>
      <c r="P3098" s="183"/>
      <c r="Q3098" s="183"/>
      <c r="R3098" s="183"/>
      <c r="S3098" s="183"/>
      <c r="T3098" s="183"/>
      <c r="U3098" s="183"/>
      <c r="V3098" s="183"/>
      <c r="W3098" s="183"/>
      <c r="X3098" s="183"/>
      <c r="Y3098" s="183"/>
      <c r="Z3098" s="183"/>
    </row>
    <row r="3099" spans="2:26">
      <c r="B3099" s="191"/>
      <c r="D3099" s="183"/>
      <c r="I3099" s="183"/>
      <c r="J3099" s="183"/>
      <c r="L3099" s="183"/>
      <c r="M3099" s="183"/>
      <c r="N3099" s="183"/>
      <c r="O3099" s="183"/>
      <c r="P3099" s="183"/>
      <c r="Q3099" s="183"/>
      <c r="R3099" s="183"/>
      <c r="S3099" s="183"/>
      <c r="T3099" s="183"/>
      <c r="U3099" s="183"/>
      <c r="V3099" s="183"/>
      <c r="W3099" s="183"/>
      <c r="X3099" s="183"/>
      <c r="Y3099" s="183"/>
      <c r="Z3099" s="183"/>
    </row>
    <row r="3100" spans="2:26">
      <c r="B3100" s="191"/>
      <c r="D3100" s="183"/>
      <c r="I3100" s="183"/>
      <c r="J3100" s="183"/>
      <c r="L3100" s="183"/>
      <c r="M3100" s="183"/>
      <c r="N3100" s="183"/>
      <c r="O3100" s="183"/>
      <c r="P3100" s="183"/>
      <c r="Q3100" s="183"/>
      <c r="R3100" s="183"/>
      <c r="S3100" s="183"/>
      <c r="T3100" s="183"/>
      <c r="U3100" s="183"/>
      <c r="V3100" s="183"/>
      <c r="W3100" s="183"/>
      <c r="X3100" s="183"/>
      <c r="Y3100" s="183"/>
      <c r="Z3100" s="183"/>
    </row>
    <row r="3101" spans="2:26">
      <c r="B3101" s="191"/>
      <c r="D3101" s="183"/>
      <c r="I3101" s="183"/>
      <c r="J3101" s="183"/>
      <c r="L3101" s="183"/>
      <c r="M3101" s="183"/>
      <c r="N3101" s="183"/>
      <c r="O3101" s="183"/>
      <c r="P3101" s="183"/>
      <c r="Q3101" s="183"/>
      <c r="R3101" s="183"/>
      <c r="S3101" s="183"/>
      <c r="T3101" s="183"/>
      <c r="U3101" s="183"/>
      <c r="V3101" s="183"/>
      <c r="W3101" s="183"/>
      <c r="X3101" s="183"/>
      <c r="Y3101" s="183"/>
      <c r="Z3101" s="183"/>
    </row>
    <row r="3102" spans="2:26">
      <c r="B3102" s="191"/>
      <c r="D3102" s="183"/>
      <c r="I3102" s="183"/>
      <c r="J3102" s="183"/>
      <c r="L3102" s="183"/>
      <c r="M3102" s="183"/>
      <c r="N3102" s="183"/>
      <c r="O3102" s="183"/>
      <c r="P3102" s="183"/>
      <c r="Q3102" s="183"/>
      <c r="R3102" s="183"/>
      <c r="S3102" s="183"/>
      <c r="T3102" s="183"/>
      <c r="U3102" s="183"/>
      <c r="V3102" s="183"/>
      <c r="W3102" s="183"/>
      <c r="X3102" s="183"/>
      <c r="Y3102" s="183"/>
      <c r="Z3102" s="183"/>
    </row>
    <row r="3103" spans="2:26">
      <c r="B3103" s="191"/>
      <c r="D3103" s="183"/>
      <c r="I3103" s="183"/>
      <c r="J3103" s="183"/>
      <c r="L3103" s="183"/>
      <c r="M3103" s="183"/>
      <c r="N3103" s="183"/>
      <c r="O3103" s="183"/>
      <c r="P3103" s="183"/>
      <c r="Q3103" s="183"/>
      <c r="R3103" s="183"/>
      <c r="S3103" s="183"/>
      <c r="T3103" s="183"/>
      <c r="U3103" s="183"/>
      <c r="V3103" s="183"/>
      <c r="W3103" s="183"/>
      <c r="X3103" s="183"/>
      <c r="Y3103" s="183"/>
      <c r="Z3103" s="183"/>
    </row>
    <row r="3104" spans="2:26">
      <c r="B3104" s="191"/>
      <c r="D3104" s="183"/>
      <c r="I3104" s="183"/>
      <c r="J3104" s="183"/>
      <c r="L3104" s="183"/>
      <c r="M3104" s="183"/>
      <c r="N3104" s="183"/>
      <c r="O3104" s="183"/>
      <c r="P3104" s="183"/>
      <c r="Q3104" s="183"/>
      <c r="R3104" s="183"/>
      <c r="S3104" s="183"/>
      <c r="T3104" s="183"/>
      <c r="U3104" s="183"/>
      <c r="V3104" s="183"/>
      <c r="W3104" s="183"/>
      <c r="X3104" s="183"/>
      <c r="Y3104" s="183"/>
      <c r="Z3104" s="183"/>
    </row>
    <row r="3105" spans="2:26">
      <c r="B3105" s="191"/>
      <c r="D3105" s="183"/>
      <c r="I3105" s="183"/>
      <c r="J3105" s="183"/>
      <c r="L3105" s="183"/>
      <c r="M3105" s="183"/>
      <c r="N3105" s="183"/>
      <c r="O3105" s="183"/>
      <c r="P3105" s="183"/>
      <c r="Q3105" s="183"/>
      <c r="R3105" s="183"/>
      <c r="S3105" s="183"/>
      <c r="T3105" s="183"/>
      <c r="U3105" s="183"/>
      <c r="V3105" s="183"/>
      <c r="W3105" s="183"/>
      <c r="X3105" s="183"/>
      <c r="Y3105" s="183"/>
      <c r="Z3105" s="183"/>
    </row>
    <row r="3106" spans="2:26">
      <c r="B3106" s="191"/>
      <c r="D3106" s="183"/>
      <c r="I3106" s="183"/>
      <c r="J3106" s="183"/>
      <c r="L3106" s="183"/>
      <c r="M3106" s="183"/>
      <c r="N3106" s="183"/>
      <c r="O3106" s="183"/>
      <c r="P3106" s="183"/>
      <c r="Q3106" s="183"/>
      <c r="R3106" s="183"/>
      <c r="S3106" s="183"/>
      <c r="T3106" s="183"/>
      <c r="U3106" s="183"/>
      <c r="V3106" s="183"/>
      <c r="W3106" s="183"/>
      <c r="X3106" s="183"/>
      <c r="Y3106" s="183"/>
      <c r="Z3106" s="183"/>
    </row>
    <row r="3107" spans="2:26">
      <c r="B3107" s="191"/>
      <c r="D3107" s="183"/>
      <c r="I3107" s="183"/>
      <c r="J3107" s="183"/>
      <c r="L3107" s="183"/>
      <c r="M3107" s="183"/>
      <c r="N3107" s="183"/>
      <c r="O3107" s="183"/>
      <c r="P3107" s="183"/>
      <c r="Q3107" s="183"/>
      <c r="R3107" s="183"/>
      <c r="S3107" s="183"/>
      <c r="T3107" s="183"/>
      <c r="U3107" s="183"/>
      <c r="V3107" s="183"/>
      <c r="W3107" s="183"/>
      <c r="X3107" s="183"/>
      <c r="Y3107" s="183"/>
      <c r="Z3107" s="183"/>
    </row>
    <row r="3108" spans="2:26">
      <c r="B3108" s="191"/>
      <c r="D3108" s="183"/>
      <c r="I3108" s="183"/>
      <c r="J3108" s="183"/>
      <c r="L3108" s="183"/>
      <c r="M3108" s="183"/>
      <c r="N3108" s="183"/>
      <c r="O3108" s="183"/>
      <c r="P3108" s="183"/>
      <c r="Q3108" s="183"/>
      <c r="R3108" s="183"/>
      <c r="S3108" s="183"/>
      <c r="T3108" s="183"/>
      <c r="U3108" s="183"/>
      <c r="V3108" s="183"/>
      <c r="W3108" s="183"/>
      <c r="X3108" s="183"/>
      <c r="Y3108" s="183"/>
      <c r="Z3108" s="183"/>
    </row>
    <row r="3109" spans="2:26">
      <c r="B3109" s="191"/>
      <c r="D3109" s="183"/>
      <c r="I3109" s="183"/>
      <c r="J3109" s="183"/>
      <c r="L3109" s="183"/>
      <c r="M3109" s="183"/>
      <c r="N3109" s="183"/>
      <c r="O3109" s="183"/>
      <c r="P3109" s="183"/>
      <c r="Q3109" s="183"/>
      <c r="R3109" s="183"/>
      <c r="S3109" s="183"/>
      <c r="T3109" s="183"/>
      <c r="U3109" s="183"/>
      <c r="V3109" s="183"/>
      <c r="W3109" s="183"/>
      <c r="X3109" s="183"/>
      <c r="Y3109" s="183"/>
      <c r="Z3109" s="183"/>
    </row>
    <row r="3110" spans="2:26">
      <c r="B3110" s="191"/>
      <c r="D3110" s="183"/>
      <c r="I3110" s="183"/>
      <c r="J3110" s="183"/>
      <c r="L3110" s="183"/>
      <c r="M3110" s="183"/>
      <c r="N3110" s="183"/>
      <c r="O3110" s="183"/>
      <c r="P3110" s="183"/>
      <c r="Q3110" s="183"/>
      <c r="R3110" s="183"/>
      <c r="S3110" s="183"/>
      <c r="T3110" s="183"/>
      <c r="U3110" s="183"/>
      <c r="V3110" s="183"/>
      <c r="W3110" s="183"/>
      <c r="X3110" s="183"/>
      <c r="Y3110" s="183"/>
      <c r="Z3110" s="183"/>
    </row>
    <row r="3111" spans="2:26">
      <c r="B3111" s="191"/>
      <c r="D3111" s="183"/>
      <c r="I3111" s="183"/>
      <c r="J3111" s="183"/>
      <c r="L3111" s="183"/>
      <c r="M3111" s="183"/>
      <c r="N3111" s="183"/>
      <c r="O3111" s="183"/>
      <c r="P3111" s="183"/>
      <c r="Q3111" s="183"/>
      <c r="R3111" s="183"/>
      <c r="S3111" s="183"/>
      <c r="T3111" s="183"/>
      <c r="U3111" s="183"/>
      <c r="V3111" s="183"/>
      <c r="W3111" s="183"/>
      <c r="X3111" s="183"/>
      <c r="Y3111" s="183"/>
      <c r="Z3111" s="183"/>
    </row>
    <row r="3112" spans="2:26">
      <c r="B3112" s="191"/>
      <c r="D3112" s="183"/>
      <c r="I3112" s="183"/>
      <c r="J3112" s="183"/>
      <c r="L3112" s="183"/>
      <c r="M3112" s="183"/>
      <c r="N3112" s="183"/>
      <c r="O3112" s="183"/>
      <c r="P3112" s="183"/>
      <c r="Q3112" s="183"/>
      <c r="R3112" s="183"/>
      <c r="S3112" s="183"/>
      <c r="T3112" s="183"/>
      <c r="U3112" s="183"/>
      <c r="V3112" s="183"/>
      <c r="W3112" s="183"/>
      <c r="X3112" s="183"/>
      <c r="Y3112" s="183"/>
      <c r="Z3112" s="183"/>
    </row>
    <row r="3113" spans="2:26">
      <c r="B3113" s="191"/>
      <c r="D3113" s="183"/>
      <c r="I3113" s="183"/>
      <c r="J3113" s="183"/>
      <c r="L3113" s="183"/>
      <c r="M3113" s="183"/>
      <c r="N3113" s="183"/>
      <c r="O3113" s="183"/>
      <c r="P3113" s="183"/>
      <c r="Q3113" s="183"/>
      <c r="R3113" s="183"/>
      <c r="S3113" s="183"/>
      <c r="T3113" s="183"/>
      <c r="U3113" s="183"/>
      <c r="V3113" s="183"/>
      <c r="W3113" s="183"/>
      <c r="X3113" s="183"/>
      <c r="Y3113" s="183"/>
      <c r="Z3113" s="183"/>
    </row>
    <row r="3114" spans="2:26">
      <c r="B3114" s="191"/>
      <c r="D3114" s="183"/>
      <c r="I3114" s="183"/>
      <c r="J3114" s="183"/>
      <c r="L3114" s="183"/>
      <c r="M3114" s="183"/>
      <c r="N3114" s="183"/>
      <c r="O3114" s="183"/>
      <c r="P3114" s="183"/>
      <c r="Q3114" s="183"/>
      <c r="R3114" s="183"/>
      <c r="S3114" s="183"/>
      <c r="T3114" s="183"/>
      <c r="U3114" s="183"/>
      <c r="V3114" s="183"/>
      <c r="W3114" s="183"/>
      <c r="X3114" s="183"/>
      <c r="Y3114" s="183"/>
      <c r="Z3114" s="183"/>
    </row>
    <row r="3115" spans="2:26">
      <c r="B3115" s="191"/>
      <c r="D3115" s="183"/>
      <c r="I3115" s="183"/>
      <c r="J3115" s="183"/>
      <c r="L3115" s="183"/>
      <c r="M3115" s="183"/>
      <c r="N3115" s="183"/>
      <c r="O3115" s="183"/>
      <c r="P3115" s="183"/>
      <c r="Q3115" s="183"/>
      <c r="R3115" s="183"/>
      <c r="S3115" s="183"/>
      <c r="T3115" s="183"/>
      <c r="U3115" s="183"/>
      <c r="V3115" s="183"/>
      <c r="W3115" s="183"/>
      <c r="X3115" s="183"/>
      <c r="Y3115" s="183"/>
      <c r="Z3115" s="183"/>
    </row>
    <row r="3116" spans="2:26">
      <c r="B3116" s="191"/>
      <c r="D3116" s="183"/>
      <c r="I3116" s="183"/>
      <c r="J3116" s="183"/>
      <c r="L3116" s="183"/>
      <c r="M3116" s="183"/>
      <c r="N3116" s="183"/>
      <c r="O3116" s="183"/>
      <c r="P3116" s="183"/>
      <c r="Q3116" s="183"/>
      <c r="R3116" s="183"/>
      <c r="S3116" s="183"/>
      <c r="T3116" s="183"/>
      <c r="U3116" s="183"/>
      <c r="V3116" s="183"/>
      <c r="W3116" s="183"/>
      <c r="X3116" s="183"/>
      <c r="Y3116" s="183"/>
      <c r="Z3116" s="183"/>
    </row>
    <row r="3117" spans="2:26">
      <c r="B3117" s="191"/>
      <c r="D3117" s="183"/>
      <c r="I3117" s="183"/>
      <c r="J3117" s="183"/>
      <c r="L3117" s="183"/>
      <c r="M3117" s="183"/>
      <c r="N3117" s="183"/>
      <c r="O3117" s="183"/>
      <c r="P3117" s="183"/>
      <c r="Q3117" s="183"/>
      <c r="R3117" s="183"/>
      <c r="S3117" s="183"/>
      <c r="T3117" s="183"/>
      <c r="U3117" s="183"/>
      <c r="V3117" s="183"/>
      <c r="W3117" s="183"/>
      <c r="X3117" s="183"/>
      <c r="Y3117" s="183"/>
      <c r="Z3117" s="183"/>
    </row>
    <row r="3118" spans="2:26">
      <c r="B3118" s="191"/>
      <c r="D3118" s="183"/>
      <c r="I3118" s="183"/>
      <c r="J3118" s="183"/>
      <c r="L3118" s="183"/>
      <c r="M3118" s="183"/>
      <c r="N3118" s="183"/>
      <c r="O3118" s="183"/>
      <c r="P3118" s="183"/>
      <c r="Q3118" s="183"/>
      <c r="R3118" s="183"/>
      <c r="S3118" s="183"/>
      <c r="T3118" s="183"/>
      <c r="U3118" s="183"/>
      <c r="V3118" s="183"/>
      <c r="W3118" s="183"/>
      <c r="X3118" s="183"/>
      <c r="Y3118" s="183"/>
      <c r="Z3118" s="183"/>
    </row>
    <row r="3119" spans="2:26">
      <c r="B3119" s="191"/>
      <c r="D3119" s="183"/>
      <c r="I3119" s="183"/>
      <c r="J3119" s="183"/>
      <c r="L3119" s="183"/>
      <c r="M3119" s="183"/>
      <c r="N3119" s="183"/>
      <c r="O3119" s="183"/>
      <c r="P3119" s="183"/>
      <c r="Q3119" s="183"/>
      <c r="R3119" s="183"/>
      <c r="S3119" s="183"/>
      <c r="T3119" s="183"/>
      <c r="U3119" s="183"/>
      <c r="V3119" s="183"/>
      <c r="W3119" s="183"/>
      <c r="X3119" s="183"/>
      <c r="Y3119" s="183"/>
      <c r="Z3119" s="183"/>
    </row>
    <row r="3120" spans="2:26">
      <c r="B3120" s="191"/>
      <c r="D3120" s="183"/>
      <c r="I3120" s="183"/>
      <c r="J3120" s="183"/>
      <c r="L3120" s="183"/>
      <c r="M3120" s="183"/>
      <c r="N3120" s="183"/>
      <c r="O3120" s="183"/>
      <c r="P3120" s="183"/>
      <c r="Q3120" s="183"/>
      <c r="R3120" s="183"/>
      <c r="S3120" s="183"/>
      <c r="T3120" s="183"/>
      <c r="U3120" s="183"/>
      <c r="V3120" s="183"/>
      <c r="W3120" s="183"/>
      <c r="X3120" s="183"/>
      <c r="Y3120" s="183"/>
      <c r="Z3120" s="183"/>
    </row>
    <row r="3121" spans="2:26">
      <c r="B3121" s="191"/>
      <c r="D3121" s="183"/>
      <c r="I3121" s="183"/>
      <c r="J3121" s="183"/>
      <c r="L3121" s="183"/>
      <c r="M3121" s="183"/>
      <c r="N3121" s="183"/>
      <c r="O3121" s="183"/>
      <c r="P3121" s="183"/>
      <c r="Q3121" s="183"/>
      <c r="R3121" s="183"/>
      <c r="S3121" s="183"/>
      <c r="T3121" s="183"/>
      <c r="U3121" s="183"/>
      <c r="V3121" s="183"/>
      <c r="W3121" s="183"/>
      <c r="X3121" s="183"/>
      <c r="Y3121" s="183"/>
      <c r="Z3121" s="183"/>
    </row>
    <row r="3122" spans="2:26">
      <c r="B3122" s="191"/>
      <c r="D3122" s="183"/>
      <c r="I3122" s="183"/>
      <c r="J3122" s="183"/>
      <c r="L3122" s="183"/>
      <c r="M3122" s="183"/>
      <c r="N3122" s="183"/>
      <c r="O3122" s="183"/>
      <c r="P3122" s="183"/>
      <c r="Q3122" s="183"/>
      <c r="R3122" s="183"/>
      <c r="S3122" s="183"/>
      <c r="T3122" s="183"/>
      <c r="U3122" s="183"/>
      <c r="V3122" s="183"/>
      <c r="W3122" s="183"/>
      <c r="X3122" s="183"/>
      <c r="Y3122" s="183"/>
      <c r="Z3122" s="183"/>
    </row>
    <row r="3123" spans="2:26">
      <c r="B3123" s="191"/>
      <c r="D3123" s="183"/>
      <c r="I3123" s="183"/>
      <c r="J3123" s="183"/>
      <c r="L3123" s="183"/>
      <c r="M3123" s="183"/>
      <c r="N3123" s="183"/>
      <c r="O3123" s="183"/>
      <c r="P3123" s="183"/>
      <c r="Q3123" s="183"/>
      <c r="R3123" s="183"/>
      <c r="S3123" s="183"/>
      <c r="T3123" s="183"/>
      <c r="U3123" s="183"/>
      <c r="V3123" s="183"/>
      <c r="W3123" s="183"/>
      <c r="X3123" s="183"/>
      <c r="Y3123" s="183"/>
      <c r="Z3123" s="183"/>
    </row>
    <row r="3124" spans="2:26">
      <c r="B3124" s="191"/>
      <c r="D3124" s="183"/>
      <c r="I3124" s="183"/>
      <c r="J3124" s="183"/>
      <c r="L3124" s="183"/>
      <c r="M3124" s="183"/>
      <c r="N3124" s="183"/>
      <c r="O3124" s="183"/>
      <c r="P3124" s="183"/>
      <c r="Q3124" s="183"/>
      <c r="R3124" s="183"/>
      <c r="S3124" s="183"/>
      <c r="T3124" s="183"/>
      <c r="U3124" s="183"/>
      <c r="V3124" s="183"/>
      <c r="W3124" s="183"/>
      <c r="X3124" s="183"/>
      <c r="Y3124" s="183"/>
      <c r="Z3124" s="183"/>
    </row>
    <row r="3125" spans="2:26">
      <c r="B3125" s="191"/>
      <c r="D3125" s="183"/>
      <c r="I3125" s="183"/>
      <c r="J3125" s="183"/>
      <c r="L3125" s="183"/>
      <c r="M3125" s="183"/>
      <c r="N3125" s="183"/>
      <c r="O3125" s="183"/>
      <c r="P3125" s="183"/>
      <c r="Q3125" s="183"/>
      <c r="R3125" s="183"/>
      <c r="S3125" s="183"/>
      <c r="T3125" s="183"/>
      <c r="U3125" s="183"/>
      <c r="V3125" s="183"/>
      <c r="W3125" s="183"/>
      <c r="X3125" s="183"/>
      <c r="Y3125" s="183"/>
      <c r="Z3125" s="183"/>
    </row>
    <row r="3126" spans="2:26">
      <c r="B3126" s="191"/>
      <c r="D3126" s="183"/>
      <c r="I3126" s="183"/>
      <c r="J3126" s="183"/>
      <c r="L3126" s="183"/>
      <c r="M3126" s="183"/>
      <c r="N3126" s="183"/>
      <c r="O3126" s="183"/>
      <c r="P3126" s="183"/>
      <c r="Q3126" s="183"/>
      <c r="R3126" s="183"/>
      <c r="S3126" s="183"/>
      <c r="T3126" s="183"/>
      <c r="U3126" s="183"/>
      <c r="V3126" s="183"/>
      <c r="W3126" s="183"/>
      <c r="X3126" s="183"/>
      <c r="Y3126" s="183"/>
      <c r="Z3126" s="183"/>
    </row>
    <row r="3127" spans="2:26">
      <c r="B3127" s="191"/>
      <c r="D3127" s="183"/>
      <c r="I3127" s="183"/>
      <c r="J3127" s="183"/>
      <c r="L3127" s="183"/>
      <c r="M3127" s="183"/>
      <c r="N3127" s="183"/>
      <c r="O3127" s="183"/>
      <c r="P3127" s="183"/>
      <c r="Q3127" s="183"/>
      <c r="R3127" s="183"/>
      <c r="S3127" s="183"/>
      <c r="T3127" s="183"/>
      <c r="U3127" s="183"/>
      <c r="V3127" s="183"/>
      <c r="W3127" s="183"/>
      <c r="X3127" s="183"/>
      <c r="Y3127" s="183"/>
      <c r="Z3127" s="183"/>
    </row>
    <row r="3128" spans="2:26">
      <c r="B3128" s="191"/>
      <c r="D3128" s="183"/>
      <c r="I3128" s="183"/>
      <c r="J3128" s="183"/>
      <c r="L3128" s="183"/>
      <c r="M3128" s="183"/>
      <c r="N3128" s="183"/>
      <c r="O3128" s="183"/>
      <c r="P3128" s="183"/>
      <c r="Q3128" s="183"/>
      <c r="R3128" s="183"/>
      <c r="S3128" s="183"/>
      <c r="T3128" s="183"/>
      <c r="U3128" s="183"/>
      <c r="V3128" s="183"/>
      <c r="W3128" s="183"/>
      <c r="X3128" s="183"/>
      <c r="Y3128" s="183"/>
      <c r="Z3128" s="183"/>
    </row>
    <row r="3129" spans="2:26">
      <c r="B3129" s="191"/>
      <c r="D3129" s="183"/>
      <c r="I3129" s="183"/>
      <c r="J3129" s="183"/>
      <c r="L3129" s="183"/>
      <c r="M3129" s="183"/>
      <c r="N3129" s="183"/>
      <c r="O3129" s="183"/>
      <c r="P3129" s="183"/>
      <c r="Q3129" s="183"/>
      <c r="R3129" s="183"/>
      <c r="S3129" s="183"/>
      <c r="T3129" s="183"/>
      <c r="U3129" s="183"/>
      <c r="V3129" s="183"/>
      <c r="W3129" s="183"/>
      <c r="X3129" s="183"/>
      <c r="Y3129" s="183"/>
      <c r="Z3129" s="183"/>
    </row>
    <row r="3130" spans="2:26">
      <c r="B3130" s="191"/>
      <c r="D3130" s="183"/>
      <c r="I3130" s="183"/>
      <c r="J3130" s="183"/>
      <c r="L3130" s="183"/>
      <c r="M3130" s="183"/>
      <c r="N3130" s="183"/>
      <c r="O3130" s="183"/>
      <c r="P3130" s="183"/>
      <c r="Q3130" s="183"/>
      <c r="R3130" s="183"/>
      <c r="S3130" s="183"/>
      <c r="T3130" s="183"/>
      <c r="U3130" s="183"/>
      <c r="V3130" s="183"/>
      <c r="W3130" s="183"/>
      <c r="X3130" s="183"/>
      <c r="Y3130" s="183"/>
      <c r="Z3130" s="183"/>
    </row>
    <row r="3131" spans="2:26">
      <c r="B3131" s="191"/>
      <c r="D3131" s="183"/>
      <c r="I3131" s="183"/>
      <c r="J3131" s="183"/>
      <c r="L3131" s="183"/>
      <c r="M3131" s="183"/>
      <c r="N3131" s="183"/>
      <c r="O3131" s="183"/>
      <c r="P3131" s="183"/>
      <c r="Q3131" s="183"/>
      <c r="R3131" s="183"/>
      <c r="S3131" s="183"/>
      <c r="T3131" s="183"/>
      <c r="U3131" s="183"/>
      <c r="V3131" s="183"/>
      <c r="W3131" s="183"/>
      <c r="X3131" s="183"/>
      <c r="Y3131" s="183"/>
      <c r="Z3131" s="183"/>
    </row>
    <row r="3132" spans="2:26">
      <c r="B3132" s="191"/>
      <c r="D3132" s="183"/>
      <c r="I3132" s="183"/>
      <c r="J3132" s="183"/>
      <c r="L3132" s="183"/>
      <c r="M3132" s="183"/>
      <c r="N3132" s="183"/>
      <c r="O3132" s="183"/>
      <c r="P3132" s="183"/>
      <c r="Q3132" s="183"/>
      <c r="R3132" s="183"/>
      <c r="S3132" s="183"/>
      <c r="T3132" s="183"/>
      <c r="U3132" s="183"/>
      <c r="V3132" s="183"/>
      <c r="W3132" s="183"/>
      <c r="X3132" s="183"/>
      <c r="Y3132" s="183"/>
      <c r="Z3132" s="183"/>
    </row>
    <row r="3133" spans="2:26">
      <c r="B3133" s="191"/>
      <c r="D3133" s="183"/>
      <c r="I3133" s="183"/>
      <c r="J3133" s="183"/>
      <c r="L3133" s="183"/>
      <c r="M3133" s="183"/>
      <c r="N3133" s="183"/>
      <c r="O3133" s="183"/>
      <c r="P3133" s="183"/>
      <c r="Q3133" s="183"/>
      <c r="R3133" s="183"/>
      <c r="S3133" s="183"/>
      <c r="T3133" s="183"/>
      <c r="U3133" s="183"/>
      <c r="V3133" s="183"/>
      <c r="W3133" s="183"/>
      <c r="X3133" s="183"/>
      <c r="Y3133" s="183"/>
      <c r="Z3133" s="183"/>
    </row>
    <row r="3134" spans="2:26">
      <c r="B3134" s="191"/>
      <c r="D3134" s="183"/>
      <c r="I3134" s="183"/>
      <c r="J3134" s="183"/>
      <c r="L3134" s="183"/>
      <c r="M3134" s="183"/>
      <c r="N3134" s="183"/>
      <c r="O3134" s="183"/>
      <c r="P3134" s="183"/>
      <c r="Q3134" s="183"/>
      <c r="R3134" s="183"/>
      <c r="S3134" s="183"/>
      <c r="T3134" s="183"/>
      <c r="U3134" s="183"/>
      <c r="V3134" s="183"/>
      <c r="W3134" s="183"/>
      <c r="X3134" s="183"/>
      <c r="Y3134" s="183"/>
      <c r="Z3134" s="183"/>
    </row>
    <row r="3135" spans="2:26">
      <c r="B3135" s="191"/>
      <c r="D3135" s="183"/>
      <c r="I3135" s="183"/>
      <c r="J3135" s="183"/>
      <c r="L3135" s="183"/>
      <c r="M3135" s="183"/>
      <c r="N3135" s="183"/>
      <c r="O3135" s="183"/>
      <c r="P3135" s="183"/>
      <c r="Q3135" s="183"/>
      <c r="R3135" s="183"/>
      <c r="S3135" s="183"/>
      <c r="T3135" s="183"/>
      <c r="U3135" s="183"/>
      <c r="V3135" s="183"/>
      <c r="W3135" s="183"/>
      <c r="X3135" s="183"/>
      <c r="Y3135" s="183"/>
      <c r="Z3135" s="183"/>
    </row>
    <row r="3136" spans="2:26">
      <c r="B3136" s="191"/>
      <c r="D3136" s="183"/>
      <c r="I3136" s="183"/>
      <c r="J3136" s="183"/>
      <c r="L3136" s="183"/>
      <c r="M3136" s="183"/>
      <c r="N3136" s="183"/>
      <c r="O3136" s="183"/>
      <c r="P3136" s="183"/>
      <c r="Q3136" s="183"/>
      <c r="R3136" s="183"/>
      <c r="S3136" s="183"/>
      <c r="T3136" s="183"/>
      <c r="U3136" s="183"/>
      <c r="V3136" s="183"/>
      <c r="W3136" s="183"/>
      <c r="X3136" s="183"/>
      <c r="Y3136" s="183"/>
      <c r="Z3136" s="183"/>
    </row>
    <row r="3137" spans="2:26">
      <c r="B3137" s="191"/>
      <c r="D3137" s="183"/>
      <c r="I3137" s="183"/>
      <c r="J3137" s="183"/>
      <c r="L3137" s="183"/>
      <c r="M3137" s="183"/>
      <c r="N3137" s="183"/>
      <c r="O3137" s="183"/>
      <c r="P3137" s="183"/>
      <c r="Q3137" s="183"/>
      <c r="R3137" s="183"/>
      <c r="S3137" s="183"/>
      <c r="T3137" s="183"/>
      <c r="U3137" s="183"/>
      <c r="V3137" s="183"/>
      <c r="W3137" s="183"/>
      <c r="X3137" s="183"/>
      <c r="Y3137" s="183"/>
      <c r="Z3137" s="183"/>
    </row>
    <row r="3138" spans="2:26">
      <c r="B3138" s="191"/>
      <c r="D3138" s="183"/>
      <c r="I3138" s="183"/>
      <c r="J3138" s="183"/>
      <c r="L3138" s="183"/>
      <c r="M3138" s="183"/>
      <c r="N3138" s="183"/>
      <c r="O3138" s="183"/>
      <c r="P3138" s="183"/>
      <c r="Q3138" s="183"/>
      <c r="R3138" s="183"/>
      <c r="S3138" s="183"/>
      <c r="T3138" s="183"/>
      <c r="U3138" s="183"/>
      <c r="V3138" s="183"/>
      <c r="W3138" s="183"/>
      <c r="X3138" s="183"/>
      <c r="Y3138" s="183"/>
      <c r="Z3138" s="183"/>
    </row>
    <row r="3139" spans="2:26">
      <c r="B3139" s="191"/>
      <c r="D3139" s="183"/>
      <c r="I3139" s="183"/>
      <c r="J3139" s="183"/>
      <c r="L3139" s="183"/>
      <c r="M3139" s="183"/>
      <c r="N3139" s="183"/>
      <c r="O3139" s="183"/>
      <c r="P3139" s="183"/>
      <c r="Q3139" s="183"/>
      <c r="R3139" s="183"/>
      <c r="S3139" s="183"/>
      <c r="T3139" s="183"/>
      <c r="U3139" s="183"/>
      <c r="V3139" s="183"/>
      <c r="W3139" s="183"/>
      <c r="X3139" s="183"/>
      <c r="Y3139" s="183"/>
      <c r="Z3139" s="183"/>
    </row>
    <row r="3140" spans="2:26">
      <c r="B3140" s="191"/>
      <c r="D3140" s="183"/>
      <c r="I3140" s="183"/>
      <c r="J3140" s="183"/>
      <c r="L3140" s="183"/>
      <c r="M3140" s="183"/>
      <c r="N3140" s="183"/>
      <c r="O3140" s="183"/>
      <c r="P3140" s="183"/>
      <c r="Q3140" s="183"/>
      <c r="R3140" s="183"/>
      <c r="S3140" s="183"/>
      <c r="T3140" s="183"/>
      <c r="U3140" s="183"/>
      <c r="V3140" s="183"/>
      <c r="W3140" s="183"/>
      <c r="X3140" s="183"/>
      <c r="Y3140" s="183"/>
      <c r="Z3140" s="183"/>
    </row>
    <row r="3141" spans="2:26">
      <c r="B3141" s="191"/>
      <c r="D3141" s="183"/>
      <c r="I3141" s="183"/>
      <c r="J3141" s="183"/>
      <c r="L3141" s="183"/>
      <c r="M3141" s="183"/>
      <c r="N3141" s="183"/>
      <c r="O3141" s="183"/>
      <c r="P3141" s="183"/>
      <c r="Q3141" s="183"/>
      <c r="R3141" s="183"/>
      <c r="S3141" s="183"/>
      <c r="T3141" s="183"/>
      <c r="U3141" s="183"/>
      <c r="V3141" s="183"/>
      <c r="W3141" s="183"/>
      <c r="X3141" s="183"/>
      <c r="Y3141" s="183"/>
      <c r="Z3141" s="183"/>
    </row>
    <row r="3142" spans="2:26">
      <c r="B3142" s="191"/>
      <c r="D3142" s="183"/>
      <c r="I3142" s="183"/>
      <c r="J3142" s="183"/>
      <c r="L3142" s="183"/>
      <c r="M3142" s="183"/>
      <c r="N3142" s="183"/>
      <c r="O3142" s="183"/>
      <c r="P3142" s="183"/>
      <c r="Q3142" s="183"/>
      <c r="R3142" s="183"/>
      <c r="S3142" s="183"/>
      <c r="T3142" s="183"/>
      <c r="U3142" s="183"/>
      <c r="V3142" s="183"/>
      <c r="W3142" s="183"/>
      <c r="X3142" s="183"/>
      <c r="Y3142" s="183"/>
      <c r="Z3142" s="183"/>
    </row>
    <row r="3143" spans="2:26">
      <c r="B3143" s="191"/>
      <c r="D3143" s="183"/>
      <c r="I3143" s="183"/>
      <c r="J3143" s="183"/>
      <c r="L3143" s="183"/>
      <c r="M3143" s="183"/>
      <c r="N3143" s="183"/>
      <c r="O3143" s="183"/>
      <c r="P3143" s="183"/>
      <c r="Q3143" s="183"/>
      <c r="R3143" s="183"/>
      <c r="S3143" s="183"/>
      <c r="T3143" s="183"/>
      <c r="U3143" s="183"/>
      <c r="V3143" s="183"/>
      <c r="W3143" s="183"/>
      <c r="X3143" s="183"/>
      <c r="Y3143" s="183"/>
      <c r="Z3143" s="183"/>
    </row>
    <row r="3144" spans="2:26">
      <c r="B3144" s="191"/>
      <c r="D3144" s="183"/>
      <c r="I3144" s="183"/>
      <c r="J3144" s="183"/>
      <c r="L3144" s="183"/>
      <c r="M3144" s="183"/>
      <c r="N3144" s="183"/>
      <c r="O3144" s="183"/>
      <c r="P3144" s="183"/>
      <c r="Q3144" s="183"/>
      <c r="R3144" s="183"/>
      <c r="S3144" s="183"/>
      <c r="T3144" s="183"/>
      <c r="U3144" s="183"/>
      <c r="V3144" s="183"/>
      <c r="W3144" s="183"/>
      <c r="X3144" s="183"/>
      <c r="Y3144" s="183"/>
      <c r="Z3144" s="183"/>
    </row>
    <row r="3145" spans="2:26">
      <c r="B3145" s="191"/>
      <c r="D3145" s="183"/>
      <c r="I3145" s="183"/>
      <c r="J3145" s="183"/>
      <c r="L3145" s="183"/>
      <c r="M3145" s="183"/>
      <c r="N3145" s="183"/>
      <c r="O3145" s="183"/>
      <c r="P3145" s="183"/>
      <c r="Q3145" s="183"/>
      <c r="R3145" s="183"/>
      <c r="S3145" s="183"/>
      <c r="T3145" s="183"/>
      <c r="U3145" s="183"/>
      <c r="V3145" s="183"/>
      <c r="W3145" s="183"/>
      <c r="X3145" s="183"/>
      <c r="Y3145" s="183"/>
      <c r="Z3145" s="183"/>
    </row>
    <row r="3146" spans="2:26">
      <c r="B3146" s="191"/>
      <c r="D3146" s="183"/>
      <c r="I3146" s="183"/>
      <c r="J3146" s="183"/>
      <c r="L3146" s="183"/>
      <c r="M3146" s="183"/>
      <c r="N3146" s="183"/>
      <c r="O3146" s="183"/>
      <c r="P3146" s="183"/>
      <c r="Q3146" s="183"/>
      <c r="R3146" s="183"/>
      <c r="S3146" s="183"/>
      <c r="T3146" s="183"/>
      <c r="U3146" s="183"/>
      <c r="V3146" s="183"/>
      <c r="W3146" s="183"/>
      <c r="X3146" s="183"/>
      <c r="Y3146" s="183"/>
      <c r="Z3146" s="183"/>
    </row>
    <row r="3147" spans="2:26">
      <c r="B3147" s="191"/>
      <c r="D3147" s="183"/>
      <c r="I3147" s="183"/>
      <c r="J3147" s="183"/>
      <c r="L3147" s="183"/>
      <c r="M3147" s="183"/>
      <c r="N3147" s="183"/>
      <c r="O3147" s="183"/>
      <c r="P3147" s="183"/>
      <c r="Q3147" s="183"/>
      <c r="R3147" s="183"/>
      <c r="S3147" s="183"/>
      <c r="T3147" s="183"/>
      <c r="U3147" s="183"/>
      <c r="V3147" s="183"/>
      <c r="W3147" s="183"/>
      <c r="X3147" s="183"/>
      <c r="Y3147" s="183"/>
      <c r="Z3147" s="183"/>
    </row>
    <row r="3148" spans="2:26">
      <c r="B3148" s="191"/>
      <c r="D3148" s="183"/>
      <c r="I3148" s="183"/>
      <c r="J3148" s="183"/>
      <c r="L3148" s="183"/>
      <c r="M3148" s="183"/>
      <c r="N3148" s="183"/>
      <c r="O3148" s="183"/>
      <c r="P3148" s="183"/>
      <c r="Q3148" s="183"/>
      <c r="R3148" s="183"/>
      <c r="S3148" s="183"/>
      <c r="T3148" s="183"/>
      <c r="U3148" s="183"/>
      <c r="V3148" s="183"/>
      <c r="W3148" s="183"/>
      <c r="X3148" s="183"/>
      <c r="Y3148" s="183"/>
      <c r="Z3148" s="183"/>
    </row>
    <row r="3149" spans="2:26">
      <c r="B3149" s="191"/>
      <c r="D3149" s="183"/>
      <c r="I3149" s="183"/>
      <c r="J3149" s="183"/>
      <c r="L3149" s="183"/>
      <c r="M3149" s="183"/>
      <c r="N3149" s="183"/>
      <c r="O3149" s="183"/>
      <c r="P3149" s="183"/>
      <c r="Q3149" s="183"/>
      <c r="R3149" s="183"/>
      <c r="S3149" s="183"/>
      <c r="T3149" s="183"/>
      <c r="U3149" s="183"/>
      <c r="V3149" s="183"/>
      <c r="W3149" s="183"/>
      <c r="X3149" s="183"/>
      <c r="Y3149" s="183"/>
      <c r="Z3149" s="183"/>
    </row>
    <row r="3150" spans="2:26">
      <c r="B3150" s="191"/>
      <c r="D3150" s="183"/>
      <c r="I3150" s="183"/>
      <c r="J3150" s="183"/>
      <c r="L3150" s="183"/>
      <c r="M3150" s="183"/>
      <c r="N3150" s="183"/>
      <c r="O3150" s="183"/>
      <c r="P3150" s="183"/>
      <c r="Q3150" s="183"/>
      <c r="R3150" s="183"/>
      <c r="S3150" s="183"/>
      <c r="T3150" s="183"/>
      <c r="U3150" s="183"/>
      <c r="V3150" s="183"/>
      <c r="W3150" s="183"/>
      <c r="X3150" s="183"/>
      <c r="Y3150" s="183"/>
      <c r="Z3150" s="183"/>
    </row>
    <row r="3151" spans="2:26">
      <c r="B3151" s="191"/>
      <c r="D3151" s="183"/>
      <c r="I3151" s="183"/>
      <c r="J3151" s="183"/>
      <c r="L3151" s="183"/>
      <c r="M3151" s="183"/>
      <c r="N3151" s="183"/>
      <c r="O3151" s="183"/>
      <c r="P3151" s="183"/>
      <c r="Q3151" s="183"/>
      <c r="R3151" s="183"/>
      <c r="S3151" s="183"/>
      <c r="T3151" s="183"/>
      <c r="U3151" s="183"/>
      <c r="V3151" s="183"/>
      <c r="W3151" s="183"/>
      <c r="X3151" s="183"/>
      <c r="Y3151" s="183"/>
      <c r="Z3151" s="183"/>
    </row>
    <row r="3152" spans="2:26">
      <c r="B3152" s="191"/>
      <c r="D3152" s="183"/>
      <c r="I3152" s="183"/>
      <c r="J3152" s="183"/>
      <c r="L3152" s="183"/>
      <c r="M3152" s="183"/>
      <c r="N3152" s="183"/>
      <c r="O3152" s="183"/>
      <c r="P3152" s="183"/>
      <c r="Q3152" s="183"/>
      <c r="R3152" s="183"/>
      <c r="S3152" s="183"/>
      <c r="T3152" s="183"/>
      <c r="U3152" s="183"/>
      <c r="V3152" s="183"/>
      <c r="W3152" s="183"/>
      <c r="X3152" s="183"/>
      <c r="Y3152" s="183"/>
      <c r="Z3152" s="183"/>
    </row>
    <row r="3153" spans="2:26">
      <c r="B3153" s="191"/>
      <c r="D3153" s="183"/>
      <c r="I3153" s="183"/>
      <c r="J3153" s="183"/>
      <c r="L3153" s="183"/>
      <c r="M3153" s="183"/>
      <c r="N3153" s="183"/>
      <c r="O3153" s="183"/>
      <c r="P3153" s="183"/>
      <c r="Q3153" s="183"/>
      <c r="R3153" s="183"/>
      <c r="S3153" s="183"/>
      <c r="T3153" s="183"/>
      <c r="U3153" s="183"/>
      <c r="V3153" s="183"/>
      <c r="W3153" s="183"/>
      <c r="X3153" s="183"/>
      <c r="Y3153" s="183"/>
      <c r="Z3153" s="183"/>
    </row>
    <row r="3154" spans="2:26">
      <c r="B3154" s="191"/>
      <c r="D3154" s="183"/>
      <c r="I3154" s="183"/>
      <c r="J3154" s="183"/>
      <c r="L3154" s="183"/>
      <c r="M3154" s="183"/>
      <c r="N3154" s="183"/>
      <c r="O3154" s="183"/>
      <c r="P3154" s="183"/>
      <c r="Q3154" s="183"/>
      <c r="R3154" s="183"/>
      <c r="S3154" s="183"/>
      <c r="T3154" s="183"/>
      <c r="U3154" s="183"/>
      <c r="V3154" s="183"/>
      <c r="W3154" s="183"/>
      <c r="X3154" s="183"/>
      <c r="Y3154" s="183"/>
      <c r="Z3154" s="183"/>
    </row>
    <row r="3155" spans="2:26">
      <c r="B3155" s="191"/>
      <c r="D3155" s="183"/>
      <c r="I3155" s="183"/>
      <c r="J3155" s="183"/>
      <c r="L3155" s="183"/>
      <c r="M3155" s="183"/>
      <c r="N3155" s="183"/>
      <c r="O3155" s="183"/>
      <c r="P3155" s="183"/>
      <c r="Q3155" s="183"/>
      <c r="R3155" s="183"/>
      <c r="S3155" s="183"/>
      <c r="T3155" s="183"/>
      <c r="U3155" s="183"/>
      <c r="V3155" s="183"/>
      <c r="W3155" s="183"/>
      <c r="X3155" s="183"/>
      <c r="Y3155" s="183"/>
      <c r="Z3155" s="183"/>
    </row>
    <row r="3156" spans="2:26">
      <c r="B3156" s="191"/>
      <c r="D3156" s="183"/>
      <c r="I3156" s="183"/>
      <c r="J3156" s="183"/>
      <c r="L3156" s="183"/>
      <c r="M3156" s="183"/>
      <c r="N3156" s="183"/>
      <c r="O3156" s="183"/>
      <c r="P3156" s="183"/>
      <c r="Q3156" s="183"/>
      <c r="R3156" s="183"/>
      <c r="S3156" s="183"/>
      <c r="T3156" s="183"/>
      <c r="U3156" s="183"/>
      <c r="V3156" s="183"/>
      <c r="W3156" s="183"/>
      <c r="X3156" s="183"/>
      <c r="Y3156" s="183"/>
      <c r="Z3156" s="183"/>
    </row>
    <row r="3157" spans="2:26">
      <c r="B3157" s="191"/>
      <c r="D3157" s="183"/>
      <c r="I3157" s="183"/>
      <c r="J3157" s="183"/>
      <c r="L3157" s="183"/>
      <c r="M3157" s="183"/>
      <c r="N3157" s="183"/>
      <c r="O3157" s="183"/>
      <c r="P3157" s="183"/>
      <c r="Q3157" s="183"/>
      <c r="R3157" s="183"/>
      <c r="S3157" s="183"/>
      <c r="T3157" s="183"/>
      <c r="U3157" s="183"/>
      <c r="V3157" s="183"/>
      <c r="W3157" s="183"/>
      <c r="X3157" s="183"/>
      <c r="Y3157" s="183"/>
      <c r="Z3157" s="183"/>
    </row>
    <row r="3158" spans="2:26">
      <c r="B3158" s="191"/>
      <c r="D3158" s="183"/>
      <c r="I3158" s="183"/>
      <c r="J3158" s="183"/>
      <c r="L3158" s="183"/>
      <c r="M3158" s="183"/>
      <c r="N3158" s="183"/>
      <c r="O3158" s="183"/>
      <c r="P3158" s="183"/>
      <c r="Q3158" s="183"/>
      <c r="R3158" s="183"/>
      <c r="S3158" s="183"/>
      <c r="T3158" s="183"/>
      <c r="U3158" s="183"/>
      <c r="V3158" s="183"/>
      <c r="W3158" s="183"/>
      <c r="X3158" s="183"/>
      <c r="Y3158" s="183"/>
      <c r="Z3158" s="183"/>
    </row>
    <row r="3159" spans="2:26">
      <c r="B3159" s="191"/>
      <c r="D3159" s="183"/>
      <c r="I3159" s="183"/>
      <c r="J3159" s="183"/>
      <c r="L3159" s="183"/>
      <c r="M3159" s="183"/>
      <c r="N3159" s="183"/>
      <c r="O3159" s="183"/>
      <c r="P3159" s="183"/>
      <c r="Q3159" s="183"/>
      <c r="R3159" s="183"/>
      <c r="S3159" s="183"/>
      <c r="T3159" s="183"/>
      <c r="U3159" s="183"/>
      <c r="V3159" s="183"/>
      <c r="W3159" s="183"/>
      <c r="X3159" s="183"/>
      <c r="Y3159" s="183"/>
      <c r="Z3159" s="183"/>
    </row>
    <row r="3160" spans="2:26">
      <c r="B3160" s="191"/>
      <c r="D3160" s="183"/>
      <c r="I3160" s="183"/>
      <c r="J3160" s="183"/>
      <c r="L3160" s="183"/>
      <c r="M3160" s="183"/>
      <c r="N3160" s="183"/>
      <c r="O3160" s="183"/>
      <c r="P3160" s="183"/>
      <c r="Q3160" s="183"/>
      <c r="R3160" s="183"/>
      <c r="S3160" s="183"/>
      <c r="T3160" s="183"/>
      <c r="U3160" s="183"/>
      <c r="V3160" s="183"/>
      <c r="W3160" s="183"/>
      <c r="X3160" s="183"/>
      <c r="Y3160" s="183"/>
      <c r="Z3160" s="183"/>
    </row>
    <row r="3161" spans="2:26">
      <c r="B3161" s="191"/>
      <c r="D3161" s="183"/>
      <c r="I3161" s="183"/>
      <c r="J3161" s="183"/>
      <c r="L3161" s="183"/>
      <c r="M3161" s="183"/>
      <c r="N3161" s="183"/>
      <c r="O3161" s="183"/>
      <c r="P3161" s="183"/>
      <c r="Q3161" s="183"/>
      <c r="R3161" s="183"/>
      <c r="S3161" s="183"/>
      <c r="T3161" s="183"/>
      <c r="U3161" s="183"/>
      <c r="V3161" s="183"/>
      <c r="W3161" s="183"/>
      <c r="X3161" s="183"/>
      <c r="Y3161" s="183"/>
      <c r="Z3161" s="183"/>
    </row>
    <row r="3162" spans="2:26">
      <c r="B3162" s="191"/>
      <c r="D3162" s="183"/>
      <c r="I3162" s="183"/>
      <c r="J3162" s="183"/>
      <c r="L3162" s="183"/>
      <c r="M3162" s="183"/>
      <c r="N3162" s="183"/>
      <c r="O3162" s="183"/>
      <c r="P3162" s="183"/>
      <c r="Q3162" s="183"/>
      <c r="R3162" s="183"/>
      <c r="S3162" s="183"/>
      <c r="T3162" s="183"/>
      <c r="U3162" s="183"/>
      <c r="V3162" s="183"/>
      <c r="W3162" s="183"/>
      <c r="X3162" s="183"/>
      <c r="Y3162" s="183"/>
      <c r="Z3162" s="183"/>
    </row>
    <row r="3163" spans="2:26">
      <c r="B3163" s="191"/>
      <c r="D3163" s="183"/>
      <c r="I3163" s="183"/>
      <c r="J3163" s="183"/>
      <c r="L3163" s="183"/>
      <c r="M3163" s="183"/>
      <c r="N3163" s="183"/>
      <c r="O3163" s="183"/>
      <c r="P3163" s="183"/>
      <c r="Q3163" s="183"/>
      <c r="R3163" s="183"/>
      <c r="S3163" s="183"/>
      <c r="T3163" s="183"/>
      <c r="U3163" s="183"/>
      <c r="V3163" s="183"/>
      <c r="W3163" s="183"/>
      <c r="X3163" s="183"/>
      <c r="Y3163" s="183"/>
      <c r="Z3163" s="183"/>
    </row>
    <row r="3164" spans="2:26">
      <c r="B3164" s="191"/>
      <c r="D3164" s="183"/>
      <c r="I3164" s="183"/>
      <c r="J3164" s="183"/>
      <c r="L3164" s="183"/>
      <c r="M3164" s="183"/>
      <c r="N3164" s="183"/>
      <c r="O3164" s="183"/>
      <c r="P3164" s="183"/>
      <c r="Q3164" s="183"/>
      <c r="R3164" s="183"/>
      <c r="S3164" s="183"/>
      <c r="T3164" s="183"/>
      <c r="U3164" s="183"/>
      <c r="V3164" s="183"/>
      <c r="W3164" s="183"/>
      <c r="X3164" s="183"/>
      <c r="Y3164" s="183"/>
      <c r="Z3164" s="183"/>
    </row>
    <row r="3165" spans="2:26">
      <c r="B3165" s="191"/>
      <c r="D3165" s="183"/>
      <c r="I3165" s="183"/>
      <c r="J3165" s="183"/>
      <c r="L3165" s="183"/>
      <c r="M3165" s="183"/>
      <c r="N3165" s="183"/>
      <c r="O3165" s="183"/>
      <c r="P3165" s="183"/>
      <c r="Q3165" s="183"/>
      <c r="R3165" s="183"/>
      <c r="S3165" s="183"/>
      <c r="T3165" s="183"/>
      <c r="U3165" s="183"/>
      <c r="V3165" s="183"/>
      <c r="W3165" s="183"/>
      <c r="X3165" s="183"/>
      <c r="Y3165" s="183"/>
      <c r="Z3165" s="183"/>
    </row>
    <row r="3166" spans="2:26">
      <c r="B3166" s="191"/>
      <c r="D3166" s="183"/>
      <c r="I3166" s="183"/>
      <c r="J3166" s="183"/>
      <c r="L3166" s="183"/>
      <c r="M3166" s="183"/>
      <c r="N3166" s="183"/>
      <c r="O3166" s="183"/>
      <c r="P3166" s="183"/>
      <c r="Q3166" s="183"/>
      <c r="R3166" s="183"/>
      <c r="S3166" s="183"/>
      <c r="T3166" s="183"/>
      <c r="U3166" s="183"/>
      <c r="V3166" s="183"/>
      <c r="W3166" s="183"/>
      <c r="X3166" s="183"/>
      <c r="Y3166" s="183"/>
      <c r="Z3166" s="183"/>
    </row>
    <row r="3167" spans="2:26">
      <c r="B3167" s="191"/>
      <c r="D3167" s="183"/>
      <c r="I3167" s="183"/>
      <c r="J3167" s="183"/>
      <c r="L3167" s="183"/>
      <c r="M3167" s="183"/>
      <c r="N3167" s="183"/>
      <c r="O3167" s="183"/>
      <c r="P3167" s="183"/>
      <c r="Q3167" s="183"/>
      <c r="R3167" s="183"/>
      <c r="S3167" s="183"/>
      <c r="T3167" s="183"/>
      <c r="U3167" s="183"/>
      <c r="V3167" s="183"/>
      <c r="W3167" s="183"/>
      <c r="X3167" s="183"/>
      <c r="Y3167" s="183"/>
      <c r="Z3167" s="183"/>
    </row>
    <row r="3168" spans="2:26">
      <c r="B3168" s="191"/>
      <c r="D3168" s="183"/>
      <c r="I3168" s="183"/>
      <c r="J3168" s="183"/>
      <c r="L3168" s="183"/>
      <c r="M3168" s="183"/>
      <c r="N3168" s="183"/>
      <c r="O3168" s="183"/>
      <c r="P3168" s="183"/>
      <c r="Q3168" s="183"/>
      <c r="R3168" s="183"/>
      <c r="S3168" s="183"/>
      <c r="T3168" s="183"/>
      <c r="U3168" s="183"/>
      <c r="V3168" s="183"/>
      <c r="W3168" s="183"/>
      <c r="X3168" s="183"/>
      <c r="Y3168" s="183"/>
      <c r="Z3168" s="183"/>
    </row>
    <row r="3169" spans="2:26">
      <c r="B3169" s="191"/>
      <c r="D3169" s="183"/>
      <c r="I3169" s="183"/>
      <c r="J3169" s="183"/>
      <c r="L3169" s="183"/>
      <c r="M3169" s="183"/>
      <c r="N3169" s="183"/>
      <c r="O3169" s="183"/>
      <c r="P3169" s="183"/>
      <c r="Q3169" s="183"/>
      <c r="R3169" s="183"/>
      <c r="S3169" s="183"/>
      <c r="T3169" s="183"/>
      <c r="U3169" s="183"/>
      <c r="V3169" s="183"/>
      <c r="W3169" s="183"/>
      <c r="X3169" s="183"/>
      <c r="Y3169" s="183"/>
      <c r="Z3169" s="183"/>
    </row>
    <row r="3170" spans="2:26">
      <c r="B3170" s="191"/>
      <c r="D3170" s="183"/>
      <c r="I3170" s="183"/>
      <c r="J3170" s="183"/>
      <c r="L3170" s="183"/>
      <c r="M3170" s="183"/>
      <c r="N3170" s="183"/>
      <c r="O3170" s="183"/>
      <c r="P3170" s="183"/>
      <c r="Q3170" s="183"/>
      <c r="R3170" s="183"/>
      <c r="S3170" s="183"/>
      <c r="T3170" s="183"/>
      <c r="U3170" s="183"/>
      <c r="V3170" s="183"/>
      <c r="W3170" s="183"/>
      <c r="X3170" s="183"/>
      <c r="Y3170" s="183"/>
      <c r="Z3170" s="183"/>
    </row>
    <row r="3171" spans="2:26">
      <c r="B3171" s="191"/>
      <c r="D3171" s="183"/>
      <c r="I3171" s="183"/>
      <c r="J3171" s="183"/>
      <c r="L3171" s="183"/>
      <c r="M3171" s="183"/>
      <c r="N3171" s="183"/>
      <c r="O3171" s="183"/>
      <c r="P3171" s="183"/>
      <c r="Q3171" s="183"/>
      <c r="R3171" s="183"/>
      <c r="S3171" s="183"/>
      <c r="T3171" s="183"/>
      <c r="U3171" s="183"/>
      <c r="V3171" s="183"/>
      <c r="W3171" s="183"/>
      <c r="X3171" s="183"/>
      <c r="Y3171" s="183"/>
      <c r="Z3171" s="183"/>
    </row>
    <row r="3172" spans="2:26">
      <c r="B3172" s="191"/>
      <c r="D3172" s="183"/>
      <c r="I3172" s="183"/>
      <c r="J3172" s="183"/>
      <c r="L3172" s="183"/>
      <c r="M3172" s="183"/>
      <c r="N3172" s="183"/>
      <c r="O3172" s="183"/>
      <c r="P3172" s="183"/>
      <c r="Q3172" s="183"/>
      <c r="R3172" s="183"/>
      <c r="S3172" s="183"/>
      <c r="T3172" s="183"/>
      <c r="U3172" s="183"/>
      <c r="V3172" s="183"/>
      <c r="W3172" s="183"/>
      <c r="X3172" s="183"/>
      <c r="Y3172" s="183"/>
      <c r="Z3172" s="183"/>
    </row>
    <row r="3173" spans="2:26">
      <c r="B3173" s="191"/>
      <c r="D3173" s="183"/>
      <c r="I3173" s="183"/>
      <c r="J3173" s="183"/>
      <c r="L3173" s="183"/>
      <c r="M3173" s="183"/>
      <c r="N3173" s="183"/>
      <c r="O3173" s="183"/>
      <c r="P3173" s="183"/>
      <c r="Q3173" s="183"/>
      <c r="R3173" s="183"/>
      <c r="S3173" s="183"/>
      <c r="T3173" s="183"/>
      <c r="U3173" s="183"/>
      <c r="V3173" s="183"/>
      <c r="W3173" s="183"/>
      <c r="X3173" s="183"/>
      <c r="Y3173" s="183"/>
      <c r="Z3173" s="183"/>
    </row>
    <row r="3174" spans="2:26">
      <c r="B3174" s="191"/>
      <c r="D3174" s="183"/>
      <c r="I3174" s="183"/>
      <c r="J3174" s="183"/>
      <c r="L3174" s="183"/>
      <c r="M3174" s="183"/>
      <c r="N3174" s="183"/>
      <c r="O3174" s="183"/>
      <c r="P3174" s="183"/>
      <c r="Q3174" s="183"/>
      <c r="R3174" s="183"/>
      <c r="S3174" s="183"/>
      <c r="T3174" s="183"/>
      <c r="U3174" s="183"/>
      <c r="V3174" s="183"/>
      <c r="W3174" s="183"/>
      <c r="X3174" s="183"/>
      <c r="Y3174" s="183"/>
      <c r="Z3174" s="183"/>
    </row>
    <row r="3175" spans="2:26">
      <c r="B3175" s="191"/>
      <c r="D3175" s="183"/>
      <c r="I3175" s="183"/>
      <c r="J3175" s="183"/>
      <c r="L3175" s="183"/>
      <c r="M3175" s="183"/>
      <c r="N3175" s="183"/>
      <c r="O3175" s="183"/>
      <c r="P3175" s="183"/>
      <c r="Q3175" s="183"/>
      <c r="R3175" s="183"/>
      <c r="S3175" s="183"/>
      <c r="T3175" s="183"/>
      <c r="U3175" s="183"/>
      <c r="V3175" s="183"/>
      <c r="W3175" s="183"/>
      <c r="X3175" s="183"/>
      <c r="Y3175" s="183"/>
      <c r="Z3175" s="183"/>
    </row>
    <row r="3176" spans="2:26">
      <c r="B3176" s="191"/>
      <c r="D3176" s="183"/>
      <c r="I3176" s="183"/>
      <c r="J3176" s="183"/>
      <c r="L3176" s="183"/>
      <c r="M3176" s="183"/>
      <c r="N3176" s="183"/>
      <c r="O3176" s="183"/>
      <c r="P3176" s="183"/>
      <c r="Q3176" s="183"/>
      <c r="R3176" s="183"/>
      <c r="S3176" s="183"/>
      <c r="T3176" s="183"/>
      <c r="U3176" s="183"/>
      <c r="V3176" s="183"/>
      <c r="W3176" s="183"/>
      <c r="X3176" s="183"/>
      <c r="Y3176" s="183"/>
      <c r="Z3176" s="183"/>
    </row>
    <row r="3177" spans="2:26">
      <c r="B3177" s="191"/>
      <c r="D3177" s="183"/>
      <c r="I3177" s="183"/>
      <c r="J3177" s="183"/>
      <c r="L3177" s="183"/>
      <c r="M3177" s="183"/>
      <c r="N3177" s="183"/>
      <c r="O3177" s="183"/>
      <c r="P3177" s="183"/>
      <c r="Q3177" s="183"/>
      <c r="R3177" s="183"/>
      <c r="S3177" s="183"/>
      <c r="T3177" s="183"/>
      <c r="U3177" s="183"/>
      <c r="V3177" s="183"/>
      <c r="W3177" s="183"/>
      <c r="X3177" s="183"/>
      <c r="Y3177" s="183"/>
      <c r="Z3177" s="183"/>
    </row>
    <row r="3178" spans="2:26">
      <c r="B3178" s="191"/>
      <c r="D3178" s="183"/>
      <c r="I3178" s="183"/>
      <c r="J3178" s="183"/>
      <c r="L3178" s="183"/>
      <c r="M3178" s="183"/>
      <c r="N3178" s="183"/>
      <c r="O3178" s="183"/>
      <c r="P3178" s="183"/>
      <c r="Q3178" s="183"/>
      <c r="R3178" s="183"/>
      <c r="S3178" s="183"/>
      <c r="T3178" s="183"/>
      <c r="U3178" s="183"/>
      <c r="V3178" s="183"/>
      <c r="W3178" s="183"/>
      <c r="X3178" s="183"/>
      <c r="Y3178" s="183"/>
      <c r="Z3178" s="183"/>
    </row>
    <row r="3179" spans="2:26">
      <c r="B3179" s="191"/>
      <c r="D3179" s="183"/>
      <c r="I3179" s="183"/>
      <c r="J3179" s="183"/>
      <c r="L3179" s="183"/>
      <c r="M3179" s="183"/>
      <c r="N3179" s="183"/>
      <c r="O3179" s="183"/>
      <c r="P3179" s="183"/>
      <c r="Q3179" s="183"/>
      <c r="R3179" s="183"/>
      <c r="S3179" s="183"/>
      <c r="T3179" s="183"/>
      <c r="U3179" s="183"/>
      <c r="V3179" s="183"/>
      <c r="W3179" s="183"/>
      <c r="X3179" s="183"/>
      <c r="Y3179" s="183"/>
      <c r="Z3179" s="183"/>
    </row>
    <row r="3180" spans="2:26">
      <c r="B3180" s="191"/>
      <c r="D3180" s="183"/>
      <c r="I3180" s="183"/>
      <c r="J3180" s="183"/>
      <c r="L3180" s="183"/>
      <c r="M3180" s="183"/>
      <c r="N3180" s="183"/>
      <c r="O3180" s="183"/>
      <c r="P3180" s="183"/>
      <c r="Q3180" s="183"/>
      <c r="R3180" s="183"/>
      <c r="S3180" s="183"/>
      <c r="T3180" s="183"/>
      <c r="U3180" s="183"/>
      <c r="V3180" s="183"/>
      <c r="W3180" s="183"/>
      <c r="X3180" s="183"/>
      <c r="Y3180" s="183"/>
      <c r="Z3180" s="183"/>
    </row>
    <row r="3181" spans="2:26">
      <c r="B3181" s="191"/>
      <c r="D3181" s="183"/>
      <c r="I3181" s="183"/>
      <c r="J3181" s="183"/>
      <c r="L3181" s="183"/>
      <c r="M3181" s="183"/>
      <c r="N3181" s="183"/>
      <c r="O3181" s="183"/>
      <c r="P3181" s="183"/>
      <c r="Q3181" s="183"/>
      <c r="R3181" s="183"/>
      <c r="S3181" s="183"/>
      <c r="T3181" s="183"/>
      <c r="U3181" s="183"/>
      <c r="V3181" s="183"/>
      <c r="W3181" s="183"/>
      <c r="X3181" s="183"/>
      <c r="Y3181" s="183"/>
      <c r="Z3181" s="183"/>
    </row>
    <row r="3182" spans="2:26">
      <c r="B3182" s="191"/>
      <c r="D3182" s="183"/>
      <c r="I3182" s="183"/>
      <c r="J3182" s="183"/>
      <c r="L3182" s="183"/>
      <c r="M3182" s="183"/>
      <c r="N3182" s="183"/>
      <c r="O3182" s="183"/>
      <c r="P3182" s="183"/>
      <c r="Q3182" s="183"/>
      <c r="R3182" s="183"/>
      <c r="S3182" s="183"/>
      <c r="T3182" s="183"/>
      <c r="U3182" s="183"/>
      <c r="V3182" s="183"/>
      <c r="W3182" s="183"/>
      <c r="X3182" s="183"/>
      <c r="Y3182" s="183"/>
      <c r="Z3182" s="183"/>
    </row>
    <row r="3183" spans="2:26">
      <c r="B3183" s="191"/>
      <c r="D3183" s="183"/>
      <c r="I3183" s="183"/>
      <c r="J3183" s="183"/>
      <c r="L3183" s="183"/>
      <c r="M3183" s="183"/>
      <c r="N3183" s="183"/>
      <c r="O3183" s="183"/>
      <c r="P3183" s="183"/>
      <c r="Q3183" s="183"/>
      <c r="R3183" s="183"/>
      <c r="S3183" s="183"/>
      <c r="T3183" s="183"/>
      <c r="U3183" s="183"/>
      <c r="V3183" s="183"/>
      <c r="W3183" s="183"/>
      <c r="X3183" s="183"/>
      <c r="Y3183" s="183"/>
      <c r="Z3183" s="183"/>
    </row>
    <row r="3184" spans="2:26">
      <c r="B3184" s="191"/>
      <c r="D3184" s="183"/>
      <c r="I3184" s="183"/>
      <c r="J3184" s="183"/>
      <c r="L3184" s="183"/>
      <c r="M3184" s="183"/>
      <c r="N3184" s="183"/>
      <c r="O3184" s="183"/>
      <c r="P3184" s="183"/>
      <c r="Q3184" s="183"/>
      <c r="R3184" s="183"/>
      <c r="S3184" s="183"/>
      <c r="T3184" s="183"/>
      <c r="U3184" s="183"/>
      <c r="V3184" s="183"/>
      <c r="W3184" s="183"/>
      <c r="X3184" s="183"/>
      <c r="Y3184" s="183"/>
      <c r="Z3184" s="183"/>
    </row>
    <row r="3185" spans="2:26">
      <c r="B3185" s="191"/>
      <c r="D3185" s="183"/>
      <c r="I3185" s="183"/>
      <c r="J3185" s="183"/>
      <c r="L3185" s="183"/>
      <c r="M3185" s="183"/>
      <c r="N3185" s="183"/>
      <c r="O3185" s="183"/>
      <c r="P3185" s="183"/>
      <c r="Q3185" s="183"/>
      <c r="R3185" s="183"/>
      <c r="S3185" s="183"/>
      <c r="T3185" s="183"/>
      <c r="U3185" s="183"/>
      <c r="V3185" s="183"/>
      <c r="W3185" s="183"/>
      <c r="X3185" s="183"/>
      <c r="Y3185" s="183"/>
      <c r="Z3185" s="183"/>
    </row>
    <row r="3186" spans="2:26">
      <c r="B3186" s="191"/>
      <c r="D3186" s="183"/>
      <c r="I3186" s="183"/>
      <c r="J3186" s="183"/>
      <c r="L3186" s="183"/>
      <c r="M3186" s="183"/>
      <c r="N3186" s="183"/>
      <c r="O3186" s="183"/>
      <c r="P3186" s="183"/>
      <c r="Q3186" s="183"/>
      <c r="R3186" s="183"/>
      <c r="S3186" s="183"/>
      <c r="T3186" s="183"/>
      <c r="U3186" s="183"/>
      <c r="V3186" s="183"/>
      <c r="W3186" s="183"/>
      <c r="X3186" s="183"/>
      <c r="Y3186" s="183"/>
      <c r="Z3186" s="183"/>
    </row>
    <row r="3187" spans="2:26">
      <c r="B3187" s="191"/>
      <c r="D3187" s="183"/>
      <c r="I3187" s="183"/>
      <c r="J3187" s="183"/>
      <c r="L3187" s="183"/>
      <c r="M3187" s="183"/>
      <c r="N3187" s="183"/>
      <c r="O3187" s="183"/>
      <c r="P3187" s="183"/>
      <c r="Q3187" s="183"/>
      <c r="R3187" s="183"/>
      <c r="S3187" s="183"/>
      <c r="T3187" s="183"/>
      <c r="U3187" s="183"/>
      <c r="V3187" s="183"/>
      <c r="W3187" s="183"/>
      <c r="X3187" s="183"/>
      <c r="Y3187" s="183"/>
      <c r="Z3187" s="183"/>
    </row>
    <row r="3188" spans="2:26">
      <c r="B3188" s="191"/>
      <c r="D3188" s="183"/>
      <c r="I3188" s="183"/>
      <c r="J3188" s="183"/>
      <c r="L3188" s="183"/>
      <c r="M3188" s="183"/>
      <c r="N3188" s="183"/>
      <c r="O3188" s="183"/>
      <c r="P3188" s="183"/>
      <c r="Q3188" s="183"/>
      <c r="R3188" s="183"/>
      <c r="S3188" s="183"/>
      <c r="T3188" s="183"/>
      <c r="U3188" s="183"/>
      <c r="V3188" s="183"/>
      <c r="W3188" s="183"/>
      <c r="X3188" s="183"/>
      <c r="Y3188" s="183"/>
      <c r="Z3188" s="183"/>
    </row>
    <row r="3189" spans="2:26">
      <c r="B3189" s="191"/>
      <c r="D3189" s="183"/>
      <c r="I3189" s="183"/>
      <c r="J3189" s="183"/>
      <c r="L3189" s="183"/>
      <c r="M3189" s="183"/>
      <c r="N3189" s="183"/>
      <c r="O3189" s="183"/>
      <c r="P3189" s="183"/>
      <c r="Q3189" s="183"/>
      <c r="R3189" s="183"/>
      <c r="S3189" s="183"/>
      <c r="T3189" s="183"/>
      <c r="U3189" s="183"/>
      <c r="V3189" s="183"/>
      <c r="W3189" s="183"/>
      <c r="X3189" s="183"/>
      <c r="Y3189" s="183"/>
      <c r="Z3189" s="183"/>
    </row>
    <row r="3190" spans="2:26">
      <c r="B3190" s="191"/>
      <c r="D3190" s="183"/>
      <c r="I3190" s="183"/>
      <c r="J3190" s="183"/>
      <c r="L3190" s="183"/>
      <c r="M3190" s="183"/>
      <c r="N3190" s="183"/>
      <c r="O3190" s="183"/>
      <c r="P3190" s="183"/>
      <c r="Q3190" s="183"/>
      <c r="R3190" s="183"/>
      <c r="S3190" s="183"/>
      <c r="T3190" s="183"/>
      <c r="U3190" s="183"/>
      <c r="V3190" s="183"/>
      <c r="W3190" s="183"/>
      <c r="X3190" s="183"/>
      <c r="Y3190" s="183"/>
      <c r="Z3190" s="183"/>
    </row>
    <row r="3191" spans="2:26">
      <c r="B3191" s="191"/>
      <c r="D3191" s="183"/>
      <c r="I3191" s="183"/>
      <c r="J3191" s="183"/>
      <c r="L3191" s="183"/>
      <c r="M3191" s="183"/>
      <c r="N3191" s="183"/>
      <c r="O3191" s="183"/>
      <c r="P3191" s="183"/>
      <c r="Q3191" s="183"/>
      <c r="R3191" s="183"/>
      <c r="S3191" s="183"/>
      <c r="T3191" s="183"/>
      <c r="U3191" s="183"/>
      <c r="V3191" s="183"/>
      <c r="W3191" s="183"/>
      <c r="X3191" s="183"/>
      <c r="Y3191" s="183"/>
      <c r="Z3191" s="183"/>
    </row>
    <row r="3192" spans="2:26">
      <c r="B3192" s="191"/>
      <c r="D3192" s="183"/>
      <c r="I3192" s="183"/>
      <c r="J3192" s="183"/>
      <c r="L3192" s="183"/>
      <c r="M3192" s="183"/>
      <c r="N3192" s="183"/>
      <c r="O3192" s="183"/>
      <c r="P3192" s="183"/>
      <c r="Q3192" s="183"/>
      <c r="R3192" s="183"/>
      <c r="S3192" s="183"/>
      <c r="T3192" s="183"/>
      <c r="U3192" s="183"/>
      <c r="V3192" s="183"/>
      <c r="W3192" s="183"/>
      <c r="X3192" s="183"/>
      <c r="Y3192" s="183"/>
      <c r="Z3192" s="183"/>
    </row>
    <row r="3193" spans="2:26">
      <c r="B3193" s="191"/>
      <c r="D3193" s="183"/>
      <c r="I3193" s="183"/>
      <c r="J3193" s="183"/>
      <c r="L3193" s="183"/>
      <c r="M3193" s="183"/>
      <c r="N3193" s="183"/>
      <c r="O3193" s="183"/>
      <c r="P3193" s="183"/>
      <c r="Q3193" s="183"/>
      <c r="R3193" s="183"/>
      <c r="S3193" s="183"/>
      <c r="T3193" s="183"/>
      <c r="U3193" s="183"/>
      <c r="V3193" s="183"/>
      <c r="W3193" s="183"/>
      <c r="X3193" s="183"/>
      <c r="Y3193" s="183"/>
      <c r="Z3193" s="183"/>
    </row>
    <row r="3194" spans="2:26">
      <c r="B3194" s="191"/>
      <c r="D3194" s="183"/>
      <c r="I3194" s="183"/>
      <c r="J3194" s="183"/>
      <c r="L3194" s="183"/>
      <c r="M3194" s="183"/>
      <c r="N3194" s="183"/>
      <c r="O3194" s="183"/>
      <c r="P3194" s="183"/>
      <c r="Q3194" s="183"/>
      <c r="R3194" s="183"/>
      <c r="S3194" s="183"/>
      <c r="T3194" s="183"/>
      <c r="U3194" s="183"/>
      <c r="V3194" s="183"/>
      <c r="W3194" s="183"/>
      <c r="X3194" s="183"/>
      <c r="Y3194" s="183"/>
      <c r="Z3194" s="183"/>
    </row>
    <row r="3195" spans="2:26">
      <c r="B3195" s="191"/>
      <c r="D3195" s="183"/>
      <c r="I3195" s="183"/>
      <c r="J3195" s="183"/>
      <c r="L3195" s="183"/>
      <c r="M3195" s="183"/>
      <c r="N3195" s="183"/>
      <c r="O3195" s="183"/>
      <c r="P3195" s="183"/>
      <c r="Q3195" s="183"/>
      <c r="R3195" s="183"/>
      <c r="S3195" s="183"/>
      <c r="T3195" s="183"/>
      <c r="U3195" s="183"/>
      <c r="V3195" s="183"/>
      <c r="W3195" s="183"/>
      <c r="X3195" s="183"/>
      <c r="Y3195" s="183"/>
      <c r="Z3195" s="183"/>
    </row>
    <row r="3196" spans="2:26">
      <c r="B3196" s="191"/>
      <c r="D3196" s="183"/>
      <c r="I3196" s="183"/>
      <c r="J3196" s="183"/>
      <c r="L3196" s="183"/>
      <c r="M3196" s="183"/>
      <c r="N3196" s="183"/>
      <c r="O3196" s="183"/>
      <c r="P3196" s="183"/>
      <c r="Q3196" s="183"/>
      <c r="R3196" s="183"/>
      <c r="S3196" s="183"/>
      <c r="T3196" s="183"/>
      <c r="U3196" s="183"/>
      <c r="V3196" s="183"/>
      <c r="W3196" s="183"/>
      <c r="X3196" s="183"/>
      <c r="Y3196" s="183"/>
      <c r="Z3196" s="183"/>
    </row>
    <row r="3197" spans="2:26">
      <c r="B3197" s="191"/>
      <c r="D3197" s="183"/>
      <c r="I3197" s="183"/>
      <c r="J3197" s="183"/>
      <c r="L3197" s="183"/>
      <c r="M3197" s="183"/>
      <c r="N3197" s="183"/>
      <c r="O3197" s="183"/>
      <c r="P3197" s="183"/>
      <c r="Q3197" s="183"/>
      <c r="R3197" s="183"/>
      <c r="S3197" s="183"/>
      <c r="T3197" s="183"/>
      <c r="U3197" s="183"/>
      <c r="V3197" s="183"/>
      <c r="W3197" s="183"/>
      <c r="X3197" s="183"/>
      <c r="Y3197" s="183"/>
      <c r="Z3197" s="183"/>
    </row>
    <row r="3198" spans="2:26">
      <c r="B3198" s="191"/>
      <c r="D3198" s="183"/>
      <c r="I3198" s="183"/>
      <c r="J3198" s="183"/>
      <c r="L3198" s="183"/>
      <c r="M3198" s="183"/>
      <c r="N3198" s="183"/>
      <c r="O3198" s="183"/>
      <c r="P3198" s="183"/>
      <c r="Q3198" s="183"/>
      <c r="R3198" s="183"/>
      <c r="S3198" s="183"/>
      <c r="T3198" s="183"/>
      <c r="U3198" s="183"/>
      <c r="V3198" s="183"/>
      <c r="W3198" s="183"/>
      <c r="X3198" s="183"/>
      <c r="Y3198" s="183"/>
      <c r="Z3198" s="183"/>
    </row>
    <row r="3199" spans="2:26">
      <c r="B3199" s="191"/>
      <c r="D3199" s="183"/>
      <c r="I3199" s="183"/>
      <c r="J3199" s="183"/>
      <c r="L3199" s="183"/>
      <c r="M3199" s="183"/>
      <c r="N3199" s="183"/>
      <c r="O3199" s="183"/>
      <c r="P3199" s="183"/>
      <c r="Q3199" s="183"/>
      <c r="R3199" s="183"/>
      <c r="S3199" s="183"/>
      <c r="T3199" s="183"/>
      <c r="U3199" s="183"/>
      <c r="V3199" s="183"/>
      <c r="W3199" s="183"/>
      <c r="X3199" s="183"/>
      <c r="Y3199" s="183"/>
      <c r="Z3199" s="183"/>
    </row>
    <row r="3200" spans="2:26">
      <c r="B3200" s="191"/>
      <c r="D3200" s="183"/>
      <c r="I3200" s="183"/>
      <c r="J3200" s="183"/>
      <c r="L3200" s="183"/>
      <c r="M3200" s="183"/>
      <c r="N3200" s="183"/>
      <c r="O3200" s="183"/>
      <c r="P3200" s="183"/>
      <c r="Q3200" s="183"/>
      <c r="R3200" s="183"/>
      <c r="S3200" s="183"/>
      <c r="T3200" s="183"/>
      <c r="U3200" s="183"/>
      <c r="V3200" s="183"/>
      <c r="W3200" s="183"/>
      <c r="X3200" s="183"/>
      <c r="Y3200" s="183"/>
      <c r="Z3200" s="183"/>
    </row>
    <row r="3201" spans="2:26">
      <c r="B3201" s="191"/>
      <c r="D3201" s="183"/>
      <c r="I3201" s="183"/>
      <c r="J3201" s="183"/>
      <c r="L3201" s="183"/>
      <c r="M3201" s="183"/>
      <c r="N3201" s="183"/>
      <c r="O3201" s="183"/>
      <c r="P3201" s="183"/>
      <c r="Q3201" s="183"/>
      <c r="R3201" s="183"/>
      <c r="S3201" s="183"/>
      <c r="T3201" s="183"/>
      <c r="U3201" s="183"/>
      <c r="V3201" s="183"/>
      <c r="W3201" s="183"/>
      <c r="X3201" s="183"/>
      <c r="Y3201" s="183"/>
      <c r="Z3201" s="183"/>
    </row>
    <row r="3202" spans="2:26">
      <c r="B3202" s="191"/>
      <c r="D3202" s="183"/>
      <c r="I3202" s="183"/>
      <c r="J3202" s="183"/>
      <c r="L3202" s="183"/>
      <c r="M3202" s="183"/>
      <c r="N3202" s="183"/>
      <c r="O3202" s="183"/>
      <c r="P3202" s="183"/>
      <c r="Q3202" s="183"/>
      <c r="R3202" s="183"/>
      <c r="S3202" s="183"/>
      <c r="T3202" s="183"/>
      <c r="U3202" s="183"/>
      <c r="V3202" s="183"/>
      <c r="W3202" s="183"/>
      <c r="X3202" s="183"/>
      <c r="Y3202" s="183"/>
      <c r="Z3202" s="183"/>
    </row>
    <row r="3203" spans="2:26">
      <c r="B3203" s="191"/>
      <c r="D3203" s="183"/>
      <c r="I3203" s="183"/>
      <c r="J3203" s="183"/>
      <c r="L3203" s="183"/>
      <c r="M3203" s="183"/>
      <c r="N3203" s="183"/>
      <c r="O3203" s="183"/>
      <c r="P3203" s="183"/>
      <c r="Q3203" s="183"/>
      <c r="R3203" s="183"/>
      <c r="S3203" s="183"/>
      <c r="T3203" s="183"/>
      <c r="U3203" s="183"/>
      <c r="V3203" s="183"/>
      <c r="W3203" s="183"/>
      <c r="X3203" s="183"/>
      <c r="Y3203" s="183"/>
      <c r="Z3203" s="183"/>
    </row>
    <row r="3204" spans="2:26">
      <c r="B3204" s="191"/>
      <c r="D3204" s="183"/>
      <c r="I3204" s="183"/>
      <c r="J3204" s="183"/>
      <c r="L3204" s="183"/>
      <c r="M3204" s="183"/>
      <c r="N3204" s="183"/>
      <c r="O3204" s="183"/>
      <c r="P3204" s="183"/>
      <c r="Q3204" s="183"/>
      <c r="R3204" s="183"/>
      <c r="S3204" s="183"/>
      <c r="T3204" s="183"/>
      <c r="U3204" s="183"/>
      <c r="V3204" s="183"/>
      <c r="W3204" s="183"/>
      <c r="X3204" s="183"/>
      <c r="Y3204" s="183"/>
      <c r="Z3204" s="183"/>
    </row>
    <row r="3205" spans="2:26">
      <c r="B3205" s="191"/>
      <c r="D3205" s="183"/>
      <c r="I3205" s="183"/>
      <c r="J3205" s="183"/>
      <c r="L3205" s="183"/>
      <c r="M3205" s="183"/>
      <c r="N3205" s="183"/>
      <c r="O3205" s="183"/>
      <c r="P3205" s="183"/>
      <c r="Q3205" s="183"/>
      <c r="R3205" s="183"/>
      <c r="S3205" s="183"/>
      <c r="T3205" s="183"/>
      <c r="U3205" s="183"/>
      <c r="V3205" s="183"/>
      <c r="W3205" s="183"/>
      <c r="X3205" s="183"/>
      <c r="Y3205" s="183"/>
      <c r="Z3205" s="183"/>
    </row>
    <row r="3206" spans="2:26">
      <c r="B3206" s="191"/>
      <c r="D3206" s="183"/>
      <c r="I3206" s="183"/>
      <c r="J3206" s="183"/>
      <c r="L3206" s="183"/>
      <c r="M3206" s="183"/>
      <c r="N3206" s="183"/>
      <c r="O3206" s="183"/>
      <c r="P3206" s="183"/>
      <c r="Q3206" s="183"/>
      <c r="R3206" s="183"/>
      <c r="S3206" s="183"/>
      <c r="T3206" s="183"/>
      <c r="U3206" s="183"/>
      <c r="V3206" s="183"/>
      <c r="W3206" s="183"/>
      <c r="X3206" s="183"/>
      <c r="Y3206" s="183"/>
      <c r="Z3206" s="183"/>
    </row>
    <row r="3207" spans="2:26">
      <c r="B3207" s="191"/>
      <c r="D3207" s="183"/>
      <c r="I3207" s="183"/>
      <c r="J3207" s="183"/>
      <c r="L3207" s="183"/>
      <c r="M3207" s="183"/>
      <c r="N3207" s="183"/>
      <c r="O3207" s="183"/>
      <c r="P3207" s="183"/>
      <c r="Q3207" s="183"/>
      <c r="R3207" s="183"/>
      <c r="S3207" s="183"/>
      <c r="T3207" s="183"/>
      <c r="U3207" s="183"/>
      <c r="V3207" s="183"/>
      <c r="W3207" s="183"/>
      <c r="X3207" s="183"/>
      <c r="Y3207" s="183"/>
      <c r="Z3207" s="183"/>
    </row>
    <row r="3208" spans="2:26">
      <c r="B3208" s="191"/>
      <c r="D3208" s="183"/>
      <c r="I3208" s="183"/>
      <c r="J3208" s="183"/>
      <c r="L3208" s="183"/>
      <c r="M3208" s="183"/>
      <c r="N3208" s="183"/>
      <c r="O3208" s="183"/>
      <c r="P3208" s="183"/>
      <c r="Q3208" s="183"/>
      <c r="R3208" s="183"/>
      <c r="S3208" s="183"/>
      <c r="T3208" s="183"/>
      <c r="U3208" s="183"/>
      <c r="V3208" s="183"/>
      <c r="W3208" s="183"/>
      <c r="X3208" s="183"/>
      <c r="Y3208" s="183"/>
      <c r="Z3208" s="183"/>
    </row>
    <row r="3209" spans="2:26">
      <c r="B3209" s="191"/>
      <c r="D3209" s="183"/>
      <c r="I3209" s="183"/>
      <c r="J3209" s="183"/>
      <c r="L3209" s="183"/>
      <c r="M3209" s="183"/>
      <c r="N3209" s="183"/>
      <c r="O3209" s="183"/>
      <c r="P3209" s="183"/>
      <c r="Q3209" s="183"/>
      <c r="R3209" s="183"/>
      <c r="S3209" s="183"/>
      <c r="T3209" s="183"/>
      <c r="U3209" s="183"/>
      <c r="V3209" s="183"/>
      <c r="W3209" s="183"/>
      <c r="X3209" s="183"/>
      <c r="Y3209" s="183"/>
      <c r="Z3209" s="183"/>
    </row>
    <row r="3210" spans="2:26">
      <c r="B3210" s="191"/>
      <c r="D3210" s="183"/>
      <c r="I3210" s="183"/>
      <c r="J3210" s="183"/>
      <c r="L3210" s="183"/>
      <c r="M3210" s="183"/>
      <c r="N3210" s="183"/>
      <c r="O3210" s="183"/>
      <c r="P3210" s="183"/>
      <c r="Q3210" s="183"/>
      <c r="R3210" s="183"/>
      <c r="S3210" s="183"/>
      <c r="T3210" s="183"/>
      <c r="U3210" s="183"/>
      <c r="V3210" s="183"/>
      <c r="W3210" s="183"/>
      <c r="X3210" s="183"/>
      <c r="Y3210" s="183"/>
      <c r="Z3210" s="183"/>
    </row>
    <row r="3211" spans="2:26">
      <c r="B3211" s="191"/>
      <c r="D3211" s="183"/>
      <c r="I3211" s="183"/>
      <c r="J3211" s="183"/>
      <c r="L3211" s="183"/>
      <c r="M3211" s="183"/>
      <c r="N3211" s="183"/>
      <c r="O3211" s="183"/>
      <c r="P3211" s="183"/>
      <c r="Q3211" s="183"/>
      <c r="R3211" s="183"/>
      <c r="S3211" s="183"/>
      <c r="T3211" s="183"/>
      <c r="U3211" s="183"/>
      <c r="V3211" s="183"/>
      <c r="W3211" s="183"/>
      <c r="X3211" s="183"/>
      <c r="Y3211" s="183"/>
      <c r="Z3211" s="183"/>
    </row>
    <row r="3212" spans="2:26">
      <c r="B3212" s="191"/>
      <c r="D3212" s="183"/>
      <c r="I3212" s="183"/>
      <c r="J3212" s="183"/>
      <c r="L3212" s="183"/>
      <c r="M3212" s="183"/>
      <c r="N3212" s="183"/>
      <c r="O3212" s="183"/>
      <c r="P3212" s="183"/>
      <c r="Q3212" s="183"/>
      <c r="R3212" s="183"/>
      <c r="S3212" s="183"/>
      <c r="T3212" s="183"/>
      <c r="U3212" s="183"/>
      <c r="V3212" s="183"/>
      <c r="W3212" s="183"/>
      <c r="X3212" s="183"/>
      <c r="Y3212" s="183"/>
      <c r="Z3212" s="183"/>
    </row>
    <row r="3213" spans="2:26">
      <c r="B3213" s="191"/>
      <c r="D3213" s="183"/>
      <c r="I3213" s="183"/>
      <c r="J3213" s="183"/>
      <c r="L3213" s="183"/>
      <c r="M3213" s="183"/>
      <c r="N3213" s="183"/>
      <c r="O3213" s="183"/>
      <c r="P3213" s="183"/>
      <c r="Q3213" s="183"/>
      <c r="R3213" s="183"/>
      <c r="S3213" s="183"/>
      <c r="T3213" s="183"/>
      <c r="U3213" s="183"/>
      <c r="V3213" s="183"/>
      <c r="W3213" s="183"/>
      <c r="X3213" s="183"/>
      <c r="Y3213" s="183"/>
      <c r="Z3213" s="183"/>
    </row>
    <row r="3214" spans="2:26">
      <c r="B3214" s="191"/>
      <c r="D3214" s="183"/>
      <c r="I3214" s="183"/>
      <c r="J3214" s="183"/>
      <c r="L3214" s="183"/>
      <c r="M3214" s="183"/>
      <c r="N3214" s="183"/>
      <c r="O3214" s="183"/>
      <c r="P3214" s="183"/>
      <c r="Q3214" s="183"/>
      <c r="R3214" s="183"/>
      <c r="S3214" s="183"/>
      <c r="T3214" s="183"/>
      <c r="U3214" s="183"/>
      <c r="V3214" s="183"/>
      <c r="W3214" s="183"/>
      <c r="X3214" s="183"/>
      <c r="Y3214" s="183"/>
      <c r="Z3214" s="183"/>
    </row>
    <row r="3215" spans="2:26">
      <c r="B3215" s="191"/>
      <c r="D3215" s="183"/>
      <c r="I3215" s="183"/>
      <c r="J3215" s="183"/>
      <c r="L3215" s="183"/>
      <c r="M3215" s="183"/>
      <c r="N3215" s="183"/>
      <c r="O3215" s="183"/>
      <c r="P3215" s="183"/>
      <c r="Q3215" s="183"/>
      <c r="R3215" s="183"/>
      <c r="S3215" s="183"/>
      <c r="T3215" s="183"/>
      <c r="U3215" s="183"/>
      <c r="V3215" s="183"/>
      <c r="W3215" s="183"/>
      <c r="X3215" s="183"/>
      <c r="Y3215" s="183"/>
      <c r="Z3215" s="183"/>
    </row>
    <row r="3216" spans="2:26">
      <c r="B3216" s="191"/>
      <c r="D3216" s="183"/>
      <c r="I3216" s="183"/>
      <c r="J3216" s="183"/>
      <c r="L3216" s="183"/>
      <c r="M3216" s="183"/>
      <c r="N3216" s="183"/>
      <c r="O3216" s="183"/>
      <c r="P3216" s="183"/>
      <c r="Q3216" s="183"/>
      <c r="R3216" s="183"/>
      <c r="S3216" s="183"/>
      <c r="T3216" s="183"/>
      <c r="U3216" s="183"/>
      <c r="V3216" s="183"/>
      <c r="W3216" s="183"/>
      <c r="X3216" s="183"/>
      <c r="Y3216" s="183"/>
      <c r="Z3216" s="183"/>
    </row>
    <row r="3217" spans="2:26">
      <c r="B3217" s="191"/>
      <c r="D3217" s="183"/>
      <c r="I3217" s="183"/>
      <c r="J3217" s="183"/>
      <c r="L3217" s="183"/>
      <c r="M3217" s="183"/>
      <c r="N3217" s="183"/>
      <c r="O3217" s="183"/>
      <c r="P3217" s="183"/>
      <c r="Q3217" s="183"/>
      <c r="R3217" s="183"/>
      <c r="S3217" s="183"/>
      <c r="T3217" s="183"/>
      <c r="U3217" s="183"/>
      <c r="V3217" s="183"/>
      <c r="W3217" s="183"/>
      <c r="X3217" s="183"/>
      <c r="Y3217" s="183"/>
      <c r="Z3217" s="183"/>
    </row>
    <row r="3218" spans="2:26">
      <c r="B3218" s="191"/>
      <c r="D3218" s="183"/>
      <c r="I3218" s="183"/>
      <c r="J3218" s="183"/>
      <c r="L3218" s="183"/>
      <c r="M3218" s="183"/>
      <c r="N3218" s="183"/>
      <c r="O3218" s="183"/>
      <c r="P3218" s="183"/>
      <c r="Q3218" s="183"/>
      <c r="R3218" s="183"/>
      <c r="S3218" s="183"/>
      <c r="T3218" s="183"/>
      <c r="U3218" s="183"/>
      <c r="V3218" s="183"/>
      <c r="W3218" s="183"/>
      <c r="X3218" s="183"/>
      <c r="Y3218" s="183"/>
      <c r="Z3218" s="183"/>
    </row>
    <row r="3219" spans="2:26">
      <c r="B3219" s="191"/>
      <c r="D3219" s="183"/>
      <c r="I3219" s="183"/>
      <c r="J3219" s="183"/>
      <c r="L3219" s="183"/>
      <c r="M3219" s="183"/>
      <c r="N3219" s="183"/>
      <c r="O3219" s="183"/>
      <c r="P3219" s="183"/>
      <c r="Q3219" s="183"/>
      <c r="R3219" s="183"/>
      <c r="S3219" s="183"/>
      <c r="T3219" s="183"/>
      <c r="U3219" s="183"/>
      <c r="V3219" s="183"/>
      <c r="W3219" s="183"/>
      <c r="X3219" s="183"/>
      <c r="Y3219" s="183"/>
      <c r="Z3219" s="183"/>
    </row>
    <row r="3220" spans="2:26">
      <c r="B3220" s="191"/>
      <c r="D3220" s="183"/>
      <c r="I3220" s="183"/>
      <c r="J3220" s="183"/>
      <c r="L3220" s="183"/>
      <c r="M3220" s="183"/>
      <c r="N3220" s="183"/>
      <c r="O3220" s="183"/>
      <c r="P3220" s="183"/>
      <c r="Q3220" s="183"/>
      <c r="R3220" s="183"/>
      <c r="S3220" s="183"/>
      <c r="T3220" s="183"/>
      <c r="U3220" s="183"/>
      <c r="V3220" s="183"/>
      <c r="W3220" s="183"/>
      <c r="X3220" s="183"/>
      <c r="Y3220" s="183"/>
      <c r="Z3220" s="183"/>
    </row>
    <row r="3221" spans="2:26">
      <c r="B3221" s="191"/>
      <c r="D3221" s="183"/>
      <c r="I3221" s="183"/>
      <c r="J3221" s="183"/>
      <c r="L3221" s="183"/>
      <c r="M3221" s="183"/>
      <c r="N3221" s="183"/>
      <c r="O3221" s="183"/>
      <c r="P3221" s="183"/>
      <c r="Q3221" s="183"/>
      <c r="R3221" s="183"/>
      <c r="S3221" s="183"/>
      <c r="T3221" s="183"/>
      <c r="U3221" s="183"/>
      <c r="V3221" s="183"/>
      <c r="W3221" s="183"/>
      <c r="X3221" s="183"/>
      <c r="Y3221" s="183"/>
      <c r="Z3221" s="183"/>
    </row>
    <row r="3222" spans="2:26">
      <c r="B3222" s="191"/>
      <c r="D3222" s="183"/>
      <c r="I3222" s="183"/>
      <c r="J3222" s="183"/>
      <c r="L3222" s="183"/>
      <c r="M3222" s="183"/>
      <c r="N3222" s="183"/>
      <c r="O3222" s="183"/>
      <c r="P3222" s="183"/>
      <c r="Q3222" s="183"/>
      <c r="R3222" s="183"/>
      <c r="S3222" s="183"/>
      <c r="T3222" s="183"/>
      <c r="U3222" s="183"/>
      <c r="V3222" s="183"/>
      <c r="W3222" s="183"/>
      <c r="X3222" s="183"/>
      <c r="Y3222" s="183"/>
      <c r="Z3222" s="183"/>
    </row>
    <row r="3223" spans="2:26">
      <c r="B3223" s="191"/>
      <c r="D3223" s="183"/>
      <c r="I3223" s="183"/>
      <c r="J3223" s="183"/>
      <c r="L3223" s="183"/>
      <c r="M3223" s="183"/>
      <c r="N3223" s="183"/>
      <c r="O3223" s="183"/>
      <c r="P3223" s="183"/>
      <c r="Q3223" s="183"/>
      <c r="R3223" s="183"/>
      <c r="S3223" s="183"/>
      <c r="T3223" s="183"/>
      <c r="U3223" s="183"/>
      <c r="V3223" s="183"/>
      <c r="W3223" s="183"/>
      <c r="X3223" s="183"/>
      <c r="Y3223" s="183"/>
      <c r="Z3223" s="183"/>
    </row>
    <row r="3224" spans="2:26">
      <c r="B3224" s="191"/>
      <c r="D3224" s="183"/>
      <c r="I3224" s="183"/>
      <c r="J3224" s="183"/>
      <c r="L3224" s="183"/>
      <c r="M3224" s="183"/>
      <c r="N3224" s="183"/>
      <c r="O3224" s="183"/>
      <c r="P3224" s="183"/>
      <c r="Q3224" s="183"/>
      <c r="R3224" s="183"/>
      <c r="S3224" s="183"/>
      <c r="T3224" s="183"/>
      <c r="U3224" s="183"/>
      <c r="V3224" s="183"/>
      <c r="W3224" s="183"/>
      <c r="X3224" s="183"/>
      <c r="Y3224" s="183"/>
      <c r="Z3224" s="183"/>
    </row>
    <row r="3225" spans="2:26">
      <c r="B3225" s="191"/>
      <c r="D3225" s="183"/>
      <c r="I3225" s="183"/>
      <c r="J3225" s="183"/>
      <c r="L3225" s="183"/>
      <c r="M3225" s="183"/>
      <c r="N3225" s="183"/>
      <c r="O3225" s="183"/>
      <c r="P3225" s="183"/>
      <c r="Q3225" s="183"/>
      <c r="R3225" s="183"/>
      <c r="S3225" s="183"/>
      <c r="T3225" s="183"/>
      <c r="U3225" s="183"/>
      <c r="V3225" s="183"/>
      <c r="W3225" s="183"/>
      <c r="X3225" s="183"/>
      <c r="Y3225" s="183"/>
      <c r="Z3225" s="183"/>
    </row>
    <row r="3226" spans="2:26">
      <c r="B3226" s="191"/>
      <c r="D3226" s="183"/>
      <c r="I3226" s="183"/>
      <c r="J3226" s="183"/>
      <c r="L3226" s="183"/>
      <c r="M3226" s="183"/>
      <c r="N3226" s="183"/>
      <c r="O3226" s="183"/>
      <c r="P3226" s="183"/>
      <c r="Q3226" s="183"/>
      <c r="R3226" s="183"/>
      <c r="S3226" s="183"/>
      <c r="T3226" s="183"/>
      <c r="U3226" s="183"/>
      <c r="V3226" s="183"/>
      <c r="W3226" s="183"/>
      <c r="X3226" s="183"/>
      <c r="Y3226" s="183"/>
      <c r="Z3226" s="183"/>
    </row>
    <row r="3227" spans="2:26">
      <c r="B3227" s="191"/>
      <c r="D3227" s="183"/>
      <c r="I3227" s="183"/>
      <c r="J3227" s="183"/>
      <c r="L3227" s="183"/>
      <c r="M3227" s="183"/>
      <c r="N3227" s="183"/>
      <c r="O3227" s="183"/>
      <c r="P3227" s="183"/>
      <c r="Q3227" s="183"/>
      <c r="R3227" s="183"/>
      <c r="S3227" s="183"/>
      <c r="T3227" s="183"/>
      <c r="U3227" s="183"/>
      <c r="V3227" s="183"/>
      <c r="W3227" s="183"/>
      <c r="X3227" s="183"/>
      <c r="Y3227" s="183"/>
      <c r="Z3227" s="183"/>
    </row>
    <row r="3228" spans="2:26">
      <c r="B3228" s="191"/>
      <c r="D3228" s="183"/>
      <c r="I3228" s="183"/>
      <c r="J3228" s="183"/>
      <c r="L3228" s="183"/>
      <c r="M3228" s="183"/>
      <c r="N3228" s="183"/>
      <c r="O3228" s="183"/>
      <c r="P3228" s="183"/>
      <c r="Q3228" s="183"/>
      <c r="R3228" s="183"/>
      <c r="S3228" s="183"/>
      <c r="T3228" s="183"/>
      <c r="U3228" s="183"/>
      <c r="V3228" s="183"/>
      <c r="W3228" s="183"/>
      <c r="X3228" s="183"/>
      <c r="Y3228" s="183"/>
      <c r="Z3228" s="183"/>
    </row>
    <row r="3229" spans="2:26">
      <c r="B3229" s="191"/>
      <c r="D3229" s="183"/>
      <c r="I3229" s="183"/>
      <c r="J3229" s="183"/>
      <c r="L3229" s="183"/>
      <c r="M3229" s="183"/>
      <c r="N3229" s="183"/>
      <c r="O3229" s="183"/>
      <c r="P3229" s="183"/>
      <c r="Q3229" s="183"/>
      <c r="R3229" s="183"/>
      <c r="S3229" s="183"/>
      <c r="T3229" s="183"/>
      <c r="U3229" s="183"/>
      <c r="V3229" s="183"/>
      <c r="W3229" s="183"/>
      <c r="X3229" s="183"/>
      <c r="Y3229" s="183"/>
      <c r="Z3229" s="183"/>
    </row>
    <row r="3230" spans="2:26">
      <c r="B3230" s="191"/>
      <c r="D3230" s="183"/>
      <c r="I3230" s="183"/>
      <c r="J3230" s="183"/>
      <c r="L3230" s="183"/>
      <c r="M3230" s="183"/>
      <c r="N3230" s="183"/>
      <c r="O3230" s="183"/>
      <c r="P3230" s="183"/>
      <c r="Q3230" s="183"/>
      <c r="R3230" s="183"/>
      <c r="S3230" s="183"/>
      <c r="T3230" s="183"/>
      <c r="U3230" s="183"/>
      <c r="V3230" s="183"/>
      <c r="W3230" s="183"/>
      <c r="X3230" s="183"/>
      <c r="Y3230" s="183"/>
      <c r="Z3230" s="183"/>
    </row>
    <row r="3231" spans="2:26">
      <c r="B3231" s="191"/>
      <c r="D3231" s="183"/>
      <c r="I3231" s="183"/>
      <c r="J3231" s="183"/>
      <c r="L3231" s="183"/>
      <c r="M3231" s="183"/>
      <c r="N3231" s="183"/>
      <c r="O3231" s="183"/>
      <c r="P3231" s="183"/>
      <c r="Q3231" s="183"/>
      <c r="R3231" s="183"/>
      <c r="S3231" s="183"/>
      <c r="T3231" s="183"/>
      <c r="U3231" s="183"/>
      <c r="V3231" s="183"/>
      <c r="W3231" s="183"/>
      <c r="X3231" s="183"/>
      <c r="Y3231" s="183"/>
      <c r="Z3231" s="183"/>
    </row>
    <row r="3232" spans="2:26">
      <c r="B3232" s="191"/>
      <c r="D3232" s="183"/>
      <c r="I3232" s="183"/>
      <c r="J3232" s="183"/>
      <c r="L3232" s="183"/>
      <c r="M3232" s="183"/>
      <c r="N3232" s="183"/>
      <c r="O3232" s="183"/>
      <c r="P3232" s="183"/>
      <c r="Q3232" s="183"/>
      <c r="R3232" s="183"/>
      <c r="S3232" s="183"/>
      <c r="T3232" s="183"/>
      <c r="U3232" s="183"/>
      <c r="V3232" s="183"/>
      <c r="W3232" s="183"/>
      <c r="X3232" s="183"/>
      <c r="Y3232" s="183"/>
      <c r="Z3232" s="183"/>
    </row>
    <row r="3233" spans="2:26">
      <c r="B3233" s="191"/>
      <c r="D3233" s="183"/>
      <c r="I3233" s="183"/>
      <c r="J3233" s="183"/>
      <c r="L3233" s="183"/>
      <c r="M3233" s="183"/>
      <c r="N3233" s="183"/>
      <c r="O3233" s="183"/>
      <c r="P3233" s="183"/>
      <c r="Q3233" s="183"/>
      <c r="R3233" s="183"/>
      <c r="S3233" s="183"/>
      <c r="T3233" s="183"/>
      <c r="U3233" s="183"/>
      <c r="V3233" s="183"/>
      <c r="W3233" s="183"/>
      <c r="X3233" s="183"/>
      <c r="Y3233" s="183"/>
      <c r="Z3233" s="183"/>
    </row>
    <row r="3234" spans="2:26">
      <c r="B3234" s="191"/>
      <c r="D3234" s="183"/>
      <c r="I3234" s="183"/>
      <c r="J3234" s="183"/>
      <c r="L3234" s="183"/>
      <c r="M3234" s="183"/>
      <c r="N3234" s="183"/>
      <c r="O3234" s="183"/>
      <c r="P3234" s="183"/>
      <c r="Q3234" s="183"/>
      <c r="R3234" s="183"/>
      <c r="S3234" s="183"/>
      <c r="T3234" s="183"/>
      <c r="U3234" s="183"/>
      <c r="V3234" s="183"/>
      <c r="W3234" s="183"/>
      <c r="X3234" s="183"/>
      <c r="Y3234" s="183"/>
      <c r="Z3234" s="183"/>
    </row>
    <row r="3235" spans="2:26">
      <c r="B3235" s="191"/>
      <c r="D3235" s="183"/>
      <c r="I3235" s="183"/>
      <c r="J3235" s="183"/>
      <c r="L3235" s="183"/>
      <c r="M3235" s="183"/>
      <c r="N3235" s="183"/>
      <c r="O3235" s="183"/>
      <c r="P3235" s="183"/>
      <c r="Q3235" s="183"/>
      <c r="R3235" s="183"/>
      <c r="S3235" s="183"/>
      <c r="T3235" s="183"/>
      <c r="U3235" s="183"/>
      <c r="V3235" s="183"/>
      <c r="W3235" s="183"/>
      <c r="X3235" s="183"/>
      <c r="Y3235" s="183"/>
      <c r="Z3235" s="183"/>
    </row>
    <row r="3236" spans="2:26">
      <c r="B3236" s="191"/>
      <c r="D3236" s="183"/>
      <c r="I3236" s="183"/>
      <c r="J3236" s="183"/>
      <c r="L3236" s="183"/>
      <c r="M3236" s="183"/>
      <c r="N3236" s="183"/>
      <c r="O3236" s="183"/>
      <c r="P3236" s="183"/>
      <c r="Q3236" s="183"/>
      <c r="R3236" s="183"/>
      <c r="S3236" s="183"/>
      <c r="T3236" s="183"/>
      <c r="U3236" s="183"/>
      <c r="V3236" s="183"/>
      <c r="W3236" s="183"/>
      <c r="X3236" s="183"/>
      <c r="Y3236" s="183"/>
      <c r="Z3236" s="183"/>
    </row>
    <row r="3237" spans="2:26">
      <c r="B3237" s="191"/>
      <c r="D3237" s="183"/>
      <c r="I3237" s="183"/>
      <c r="J3237" s="183"/>
      <c r="L3237" s="183"/>
      <c r="M3237" s="183"/>
      <c r="N3237" s="183"/>
      <c r="O3237" s="183"/>
      <c r="P3237" s="183"/>
      <c r="Q3237" s="183"/>
      <c r="R3237" s="183"/>
      <c r="S3237" s="183"/>
      <c r="T3237" s="183"/>
      <c r="U3237" s="183"/>
      <c r="V3237" s="183"/>
      <c r="W3237" s="183"/>
      <c r="X3237" s="183"/>
      <c r="Y3237" s="183"/>
      <c r="Z3237" s="183"/>
    </row>
    <row r="3238" spans="2:26">
      <c r="B3238" s="191"/>
      <c r="D3238" s="183"/>
      <c r="I3238" s="183"/>
      <c r="J3238" s="183"/>
      <c r="L3238" s="183"/>
      <c r="M3238" s="183"/>
      <c r="N3238" s="183"/>
      <c r="O3238" s="183"/>
      <c r="P3238" s="183"/>
      <c r="Q3238" s="183"/>
      <c r="R3238" s="183"/>
      <c r="S3238" s="183"/>
      <c r="T3238" s="183"/>
      <c r="U3238" s="183"/>
      <c r="V3238" s="183"/>
      <c r="W3238" s="183"/>
      <c r="X3238" s="183"/>
      <c r="Y3238" s="183"/>
      <c r="Z3238" s="183"/>
    </row>
    <row r="3239" spans="2:26">
      <c r="B3239" s="191"/>
      <c r="D3239" s="183"/>
      <c r="I3239" s="183"/>
      <c r="J3239" s="183"/>
      <c r="L3239" s="183"/>
      <c r="M3239" s="183"/>
      <c r="N3239" s="183"/>
      <c r="O3239" s="183"/>
      <c r="P3239" s="183"/>
      <c r="Q3239" s="183"/>
      <c r="R3239" s="183"/>
      <c r="S3239" s="183"/>
      <c r="T3239" s="183"/>
      <c r="U3239" s="183"/>
      <c r="V3239" s="183"/>
      <c r="W3239" s="183"/>
      <c r="X3239" s="183"/>
      <c r="Y3239" s="183"/>
      <c r="Z3239" s="183"/>
    </row>
    <row r="3240" spans="2:26">
      <c r="B3240" s="191"/>
      <c r="D3240" s="183"/>
      <c r="I3240" s="183"/>
      <c r="J3240" s="183"/>
      <c r="L3240" s="183"/>
      <c r="M3240" s="183"/>
      <c r="N3240" s="183"/>
      <c r="O3240" s="183"/>
      <c r="P3240" s="183"/>
      <c r="Q3240" s="183"/>
      <c r="R3240" s="183"/>
      <c r="S3240" s="183"/>
      <c r="T3240" s="183"/>
      <c r="U3240" s="183"/>
      <c r="V3240" s="183"/>
      <c r="W3240" s="183"/>
      <c r="X3240" s="183"/>
      <c r="Y3240" s="183"/>
      <c r="Z3240" s="183"/>
    </row>
    <row r="3241" spans="2:26">
      <c r="B3241" s="191"/>
      <c r="D3241" s="183"/>
      <c r="I3241" s="183"/>
      <c r="J3241" s="183"/>
      <c r="L3241" s="183"/>
      <c r="M3241" s="183"/>
      <c r="N3241" s="183"/>
      <c r="O3241" s="183"/>
      <c r="P3241" s="183"/>
      <c r="Q3241" s="183"/>
      <c r="R3241" s="183"/>
      <c r="S3241" s="183"/>
      <c r="T3241" s="183"/>
      <c r="U3241" s="183"/>
      <c r="V3241" s="183"/>
      <c r="W3241" s="183"/>
      <c r="X3241" s="183"/>
      <c r="Y3241" s="183"/>
      <c r="Z3241" s="183"/>
    </row>
    <row r="3242" spans="2:26">
      <c r="B3242" s="191"/>
      <c r="D3242" s="183"/>
      <c r="I3242" s="183"/>
      <c r="J3242" s="183"/>
      <c r="L3242" s="183"/>
      <c r="M3242" s="183"/>
      <c r="N3242" s="183"/>
      <c r="O3242" s="183"/>
      <c r="P3242" s="183"/>
      <c r="Q3242" s="183"/>
      <c r="R3242" s="183"/>
      <c r="S3242" s="183"/>
      <c r="T3242" s="183"/>
      <c r="U3242" s="183"/>
      <c r="V3242" s="183"/>
      <c r="W3242" s="183"/>
      <c r="X3242" s="183"/>
      <c r="Y3242" s="183"/>
      <c r="Z3242" s="183"/>
    </row>
    <row r="3243" spans="2:26">
      <c r="B3243" s="191"/>
      <c r="D3243" s="183"/>
      <c r="I3243" s="183"/>
      <c r="J3243" s="183"/>
      <c r="L3243" s="183"/>
      <c r="M3243" s="183"/>
      <c r="N3243" s="183"/>
      <c r="O3243" s="183"/>
      <c r="P3243" s="183"/>
      <c r="Q3243" s="183"/>
      <c r="R3243" s="183"/>
      <c r="S3243" s="183"/>
      <c r="T3243" s="183"/>
      <c r="U3243" s="183"/>
      <c r="V3243" s="183"/>
      <c r="W3243" s="183"/>
      <c r="X3243" s="183"/>
      <c r="Y3243" s="183"/>
      <c r="Z3243" s="183"/>
    </row>
    <row r="3244" spans="2:26">
      <c r="B3244" s="191"/>
      <c r="D3244" s="183"/>
      <c r="I3244" s="183"/>
      <c r="J3244" s="183"/>
      <c r="L3244" s="183"/>
      <c r="M3244" s="183"/>
      <c r="N3244" s="183"/>
      <c r="O3244" s="183"/>
      <c r="P3244" s="183"/>
      <c r="Q3244" s="183"/>
      <c r="R3244" s="183"/>
      <c r="S3244" s="183"/>
      <c r="T3244" s="183"/>
      <c r="U3244" s="183"/>
      <c r="V3244" s="183"/>
      <c r="W3244" s="183"/>
      <c r="X3244" s="183"/>
      <c r="Y3244" s="183"/>
      <c r="Z3244" s="183"/>
    </row>
    <row r="3245" spans="2:26">
      <c r="B3245" s="191"/>
      <c r="D3245" s="183"/>
      <c r="I3245" s="183"/>
      <c r="J3245" s="183"/>
      <c r="L3245" s="183"/>
      <c r="M3245" s="183"/>
      <c r="N3245" s="183"/>
      <c r="O3245" s="183"/>
      <c r="P3245" s="183"/>
      <c r="Q3245" s="183"/>
      <c r="R3245" s="183"/>
      <c r="S3245" s="183"/>
      <c r="T3245" s="183"/>
      <c r="U3245" s="183"/>
      <c r="V3245" s="183"/>
      <c r="W3245" s="183"/>
      <c r="X3245" s="183"/>
      <c r="Y3245" s="183"/>
      <c r="Z3245" s="183"/>
    </row>
    <row r="3246" spans="2:26">
      <c r="B3246" s="191"/>
      <c r="D3246" s="183"/>
      <c r="I3246" s="183"/>
      <c r="J3246" s="183"/>
      <c r="L3246" s="183"/>
      <c r="M3246" s="183"/>
      <c r="N3246" s="183"/>
      <c r="O3246" s="183"/>
      <c r="P3246" s="183"/>
      <c r="Q3246" s="183"/>
      <c r="R3246" s="183"/>
      <c r="S3246" s="183"/>
      <c r="T3246" s="183"/>
      <c r="U3246" s="183"/>
      <c r="V3246" s="183"/>
      <c r="W3246" s="183"/>
      <c r="X3246" s="183"/>
      <c r="Y3246" s="183"/>
      <c r="Z3246" s="183"/>
    </row>
    <row r="3247" spans="2:26">
      <c r="B3247" s="191"/>
      <c r="D3247" s="183"/>
      <c r="I3247" s="183"/>
      <c r="J3247" s="183"/>
      <c r="L3247" s="183"/>
      <c r="M3247" s="183"/>
      <c r="N3247" s="183"/>
      <c r="O3247" s="183"/>
      <c r="P3247" s="183"/>
      <c r="Q3247" s="183"/>
      <c r="R3247" s="183"/>
      <c r="S3247" s="183"/>
      <c r="T3247" s="183"/>
      <c r="U3247" s="183"/>
      <c r="V3247" s="183"/>
      <c r="W3247" s="183"/>
      <c r="X3247" s="183"/>
      <c r="Y3247" s="183"/>
      <c r="Z3247" s="183"/>
    </row>
    <row r="3248" spans="2:26">
      <c r="B3248" s="191"/>
      <c r="D3248" s="183"/>
      <c r="I3248" s="183"/>
      <c r="J3248" s="183"/>
      <c r="L3248" s="183"/>
      <c r="M3248" s="183"/>
      <c r="N3248" s="183"/>
      <c r="O3248" s="183"/>
      <c r="P3248" s="183"/>
      <c r="Q3248" s="183"/>
      <c r="R3248" s="183"/>
      <c r="S3248" s="183"/>
      <c r="T3248" s="183"/>
      <c r="U3248" s="183"/>
      <c r="V3248" s="183"/>
      <c r="W3248" s="183"/>
      <c r="X3248" s="183"/>
      <c r="Y3248" s="183"/>
      <c r="Z3248" s="183"/>
    </row>
    <row r="3249" spans="2:26">
      <c r="B3249" s="191"/>
      <c r="D3249" s="183"/>
      <c r="I3249" s="183"/>
      <c r="J3249" s="183"/>
      <c r="L3249" s="183"/>
      <c r="M3249" s="183"/>
      <c r="N3249" s="183"/>
      <c r="O3249" s="183"/>
      <c r="P3249" s="183"/>
      <c r="Q3249" s="183"/>
      <c r="R3249" s="183"/>
      <c r="S3249" s="183"/>
      <c r="T3249" s="183"/>
      <c r="U3249" s="183"/>
      <c r="V3249" s="183"/>
      <c r="W3249" s="183"/>
      <c r="X3249" s="183"/>
      <c r="Y3249" s="183"/>
      <c r="Z3249" s="183"/>
    </row>
    <row r="3250" spans="2:26">
      <c r="B3250" s="191"/>
      <c r="D3250" s="183"/>
      <c r="I3250" s="183"/>
      <c r="J3250" s="183"/>
      <c r="L3250" s="183"/>
      <c r="M3250" s="183"/>
      <c r="N3250" s="183"/>
      <c r="O3250" s="183"/>
      <c r="P3250" s="183"/>
      <c r="Q3250" s="183"/>
      <c r="R3250" s="183"/>
      <c r="S3250" s="183"/>
      <c r="T3250" s="183"/>
      <c r="U3250" s="183"/>
      <c r="V3250" s="183"/>
      <c r="W3250" s="183"/>
      <c r="X3250" s="183"/>
      <c r="Y3250" s="183"/>
      <c r="Z3250" s="183"/>
    </row>
    <row r="3251" spans="2:26">
      <c r="B3251" s="191"/>
      <c r="D3251" s="183"/>
      <c r="I3251" s="183"/>
      <c r="J3251" s="183"/>
      <c r="L3251" s="183"/>
      <c r="M3251" s="183"/>
      <c r="N3251" s="183"/>
      <c r="O3251" s="183"/>
      <c r="P3251" s="183"/>
      <c r="Q3251" s="183"/>
      <c r="R3251" s="183"/>
      <c r="S3251" s="183"/>
      <c r="T3251" s="183"/>
      <c r="U3251" s="183"/>
      <c r="V3251" s="183"/>
      <c r="W3251" s="183"/>
      <c r="X3251" s="183"/>
      <c r="Y3251" s="183"/>
      <c r="Z3251" s="183"/>
    </row>
    <row r="3252" spans="2:26">
      <c r="B3252" s="191"/>
      <c r="D3252" s="183"/>
      <c r="I3252" s="183"/>
      <c r="J3252" s="183"/>
      <c r="L3252" s="183"/>
      <c r="M3252" s="183"/>
      <c r="N3252" s="183"/>
      <c r="O3252" s="183"/>
      <c r="P3252" s="183"/>
      <c r="Q3252" s="183"/>
      <c r="R3252" s="183"/>
      <c r="S3252" s="183"/>
      <c r="T3252" s="183"/>
      <c r="U3252" s="183"/>
      <c r="V3252" s="183"/>
      <c r="W3252" s="183"/>
      <c r="X3252" s="183"/>
      <c r="Y3252" s="183"/>
      <c r="Z3252" s="183"/>
    </row>
    <row r="3253" spans="2:26">
      <c r="B3253" s="191"/>
      <c r="D3253" s="183"/>
      <c r="I3253" s="183"/>
      <c r="J3253" s="183"/>
      <c r="L3253" s="183"/>
      <c r="M3253" s="183"/>
      <c r="N3253" s="183"/>
      <c r="O3253" s="183"/>
      <c r="P3253" s="183"/>
      <c r="Q3253" s="183"/>
      <c r="R3253" s="183"/>
      <c r="S3253" s="183"/>
      <c r="T3253" s="183"/>
      <c r="U3253" s="183"/>
      <c r="V3253" s="183"/>
      <c r="W3253" s="183"/>
      <c r="X3253" s="183"/>
      <c r="Y3253" s="183"/>
      <c r="Z3253" s="183"/>
    </row>
    <row r="3254" spans="2:26">
      <c r="B3254" s="191"/>
      <c r="D3254" s="183"/>
      <c r="I3254" s="183"/>
      <c r="J3254" s="183"/>
      <c r="L3254" s="183"/>
      <c r="M3254" s="183"/>
      <c r="N3254" s="183"/>
      <c r="O3254" s="183"/>
      <c r="P3254" s="183"/>
      <c r="Q3254" s="183"/>
      <c r="R3254" s="183"/>
      <c r="S3254" s="183"/>
      <c r="T3254" s="183"/>
      <c r="U3254" s="183"/>
      <c r="V3254" s="183"/>
      <c r="W3254" s="183"/>
      <c r="X3254" s="183"/>
      <c r="Y3254" s="183"/>
      <c r="Z3254" s="183"/>
    </row>
    <row r="3255" spans="2:26">
      <c r="B3255" s="191"/>
      <c r="D3255" s="183"/>
      <c r="I3255" s="183"/>
      <c r="J3255" s="183"/>
      <c r="L3255" s="183"/>
      <c r="M3255" s="183"/>
      <c r="N3255" s="183"/>
      <c r="O3255" s="183"/>
      <c r="P3255" s="183"/>
      <c r="Q3255" s="183"/>
      <c r="R3255" s="183"/>
      <c r="S3255" s="183"/>
      <c r="T3255" s="183"/>
      <c r="U3255" s="183"/>
      <c r="V3255" s="183"/>
      <c r="W3255" s="183"/>
      <c r="X3255" s="183"/>
      <c r="Y3255" s="183"/>
      <c r="Z3255" s="183"/>
    </row>
    <row r="3256" spans="2:26">
      <c r="B3256" s="191"/>
      <c r="D3256" s="183"/>
      <c r="I3256" s="183"/>
      <c r="J3256" s="183"/>
      <c r="L3256" s="183"/>
      <c r="M3256" s="183"/>
      <c r="N3256" s="183"/>
      <c r="O3256" s="183"/>
      <c r="P3256" s="183"/>
      <c r="Q3256" s="183"/>
      <c r="R3256" s="183"/>
      <c r="S3256" s="183"/>
      <c r="T3256" s="183"/>
      <c r="U3256" s="183"/>
      <c r="V3256" s="183"/>
      <c r="W3256" s="183"/>
      <c r="X3256" s="183"/>
      <c r="Y3256" s="183"/>
      <c r="Z3256" s="183"/>
    </row>
    <row r="3257" spans="2:26">
      <c r="B3257" s="191"/>
      <c r="D3257" s="183"/>
      <c r="I3257" s="183"/>
      <c r="J3257" s="183"/>
      <c r="L3257" s="183"/>
      <c r="M3257" s="183"/>
      <c r="N3257" s="183"/>
      <c r="O3257" s="183"/>
      <c r="P3257" s="183"/>
      <c r="Q3257" s="183"/>
      <c r="R3257" s="183"/>
      <c r="S3257" s="183"/>
      <c r="T3257" s="183"/>
      <c r="U3257" s="183"/>
      <c r="V3257" s="183"/>
      <c r="W3257" s="183"/>
      <c r="X3257" s="183"/>
      <c r="Y3257" s="183"/>
      <c r="Z3257" s="183"/>
    </row>
    <row r="3258" spans="2:26">
      <c r="B3258" s="191"/>
      <c r="D3258" s="183"/>
      <c r="I3258" s="183"/>
      <c r="J3258" s="183"/>
      <c r="L3258" s="183"/>
      <c r="M3258" s="183"/>
      <c r="N3258" s="183"/>
      <c r="O3258" s="183"/>
      <c r="P3258" s="183"/>
      <c r="Q3258" s="183"/>
      <c r="R3258" s="183"/>
      <c r="S3258" s="183"/>
      <c r="T3258" s="183"/>
      <c r="U3258" s="183"/>
      <c r="V3258" s="183"/>
      <c r="W3258" s="183"/>
      <c r="X3258" s="183"/>
      <c r="Y3258" s="183"/>
      <c r="Z3258" s="183"/>
    </row>
    <row r="3259" spans="2:26">
      <c r="B3259" s="191"/>
      <c r="D3259" s="183"/>
      <c r="I3259" s="183"/>
      <c r="J3259" s="183"/>
      <c r="L3259" s="183"/>
      <c r="M3259" s="183"/>
      <c r="N3259" s="183"/>
      <c r="O3259" s="183"/>
      <c r="P3259" s="183"/>
      <c r="Q3259" s="183"/>
      <c r="R3259" s="183"/>
      <c r="S3259" s="183"/>
      <c r="T3259" s="183"/>
      <c r="U3259" s="183"/>
      <c r="V3259" s="183"/>
      <c r="W3259" s="183"/>
      <c r="X3259" s="183"/>
      <c r="Y3259" s="183"/>
      <c r="Z3259" s="183"/>
    </row>
    <row r="3260" spans="2:26">
      <c r="B3260" s="191"/>
      <c r="D3260" s="183"/>
      <c r="I3260" s="183"/>
      <c r="J3260" s="183"/>
      <c r="L3260" s="183"/>
      <c r="M3260" s="183"/>
      <c r="N3260" s="183"/>
      <c r="O3260" s="183"/>
      <c r="P3260" s="183"/>
      <c r="Q3260" s="183"/>
      <c r="R3260" s="183"/>
      <c r="S3260" s="183"/>
      <c r="T3260" s="183"/>
      <c r="U3260" s="183"/>
      <c r="V3260" s="183"/>
      <c r="W3260" s="183"/>
      <c r="X3260" s="183"/>
      <c r="Y3260" s="183"/>
      <c r="Z3260" s="183"/>
    </row>
    <row r="3261" spans="2:26">
      <c r="B3261" s="191"/>
      <c r="D3261" s="183"/>
      <c r="I3261" s="183"/>
      <c r="J3261" s="183"/>
      <c r="L3261" s="183"/>
      <c r="M3261" s="183"/>
      <c r="N3261" s="183"/>
      <c r="O3261" s="183"/>
      <c r="P3261" s="183"/>
      <c r="Q3261" s="183"/>
      <c r="R3261" s="183"/>
      <c r="S3261" s="183"/>
      <c r="T3261" s="183"/>
      <c r="U3261" s="183"/>
      <c r="V3261" s="183"/>
      <c r="W3261" s="183"/>
      <c r="X3261" s="183"/>
      <c r="Y3261" s="183"/>
      <c r="Z3261" s="183"/>
    </row>
    <row r="3262" spans="2:26">
      <c r="B3262" s="191"/>
      <c r="D3262" s="183"/>
      <c r="I3262" s="183"/>
      <c r="J3262" s="183"/>
      <c r="L3262" s="183"/>
      <c r="M3262" s="183"/>
      <c r="N3262" s="183"/>
      <c r="O3262" s="183"/>
      <c r="P3262" s="183"/>
      <c r="Q3262" s="183"/>
      <c r="R3262" s="183"/>
      <c r="S3262" s="183"/>
      <c r="T3262" s="183"/>
      <c r="U3262" s="183"/>
      <c r="V3262" s="183"/>
      <c r="W3262" s="183"/>
      <c r="X3262" s="183"/>
      <c r="Y3262" s="183"/>
      <c r="Z3262" s="183"/>
    </row>
    <row r="3263" spans="2:26">
      <c r="B3263" s="191"/>
      <c r="D3263" s="183"/>
      <c r="I3263" s="183"/>
      <c r="J3263" s="183"/>
      <c r="L3263" s="183"/>
      <c r="M3263" s="183"/>
      <c r="N3263" s="183"/>
      <c r="O3263" s="183"/>
      <c r="P3263" s="183"/>
      <c r="Q3263" s="183"/>
      <c r="R3263" s="183"/>
      <c r="S3263" s="183"/>
      <c r="T3263" s="183"/>
      <c r="U3263" s="183"/>
      <c r="V3263" s="183"/>
      <c r="W3263" s="183"/>
      <c r="X3263" s="183"/>
      <c r="Y3263" s="183"/>
      <c r="Z3263" s="183"/>
    </row>
    <row r="3264" spans="2:26">
      <c r="B3264" s="191"/>
      <c r="D3264" s="183"/>
      <c r="I3264" s="183"/>
      <c r="J3264" s="183"/>
      <c r="L3264" s="183"/>
      <c r="M3264" s="183"/>
      <c r="N3264" s="183"/>
      <c r="O3264" s="183"/>
      <c r="P3264" s="183"/>
      <c r="Q3264" s="183"/>
      <c r="R3264" s="183"/>
      <c r="S3264" s="183"/>
      <c r="T3264" s="183"/>
      <c r="U3264" s="183"/>
      <c r="V3264" s="183"/>
      <c r="W3264" s="183"/>
      <c r="X3264" s="183"/>
      <c r="Y3264" s="183"/>
      <c r="Z3264" s="183"/>
    </row>
    <row r="3265" spans="2:26">
      <c r="B3265" s="191"/>
      <c r="D3265" s="183"/>
      <c r="I3265" s="183"/>
      <c r="J3265" s="183"/>
      <c r="L3265" s="183"/>
      <c r="M3265" s="183"/>
      <c r="N3265" s="183"/>
      <c r="O3265" s="183"/>
      <c r="P3265" s="183"/>
      <c r="Q3265" s="183"/>
      <c r="R3265" s="183"/>
      <c r="S3265" s="183"/>
      <c r="T3265" s="183"/>
      <c r="U3265" s="183"/>
      <c r="V3265" s="183"/>
      <c r="W3265" s="183"/>
      <c r="X3265" s="183"/>
      <c r="Y3265" s="183"/>
      <c r="Z3265" s="183"/>
    </row>
    <row r="3266" spans="2:26">
      <c r="B3266" s="191"/>
      <c r="D3266" s="183"/>
      <c r="I3266" s="183"/>
      <c r="J3266" s="183"/>
      <c r="L3266" s="183"/>
      <c r="M3266" s="183"/>
      <c r="N3266" s="183"/>
      <c r="O3266" s="183"/>
      <c r="P3266" s="183"/>
      <c r="Q3266" s="183"/>
      <c r="R3266" s="183"/>
      <c r="S3266" s="183"/>
      <c r="T3266" s="183"/>
      <c r="U3266" s="183"/>
      <c r="V3266" s="183"/>
      <c r="W3266" s="183"/>
      <c r="X3266" s="183"/>
      <c r="Y3266" s="183"/>
      <c r="Z3266" s="183"/>
    </row>
    <row r="3267" spans="2:26">
      <c r="B3267" s="191"/>
      <c r="D3267" s="183"/>
      <c r="I3267" s="183"/>
      <c r="J3267" s="183"/>
      <c r="L3267" s="183"/>
      <c r="M3267" s="183"/>
      <c r="N3267" s="183"/>
      <c r="O3267" s="183"/>
      <c r="P3267" s="183"/>
      <c r="Q3267" s="183"/>
      <c r="R3267" s="183"/>
      <c r="S3267" s="183"/>
      <c r="T3267" s="183"/>
      <c r="U3267" s="183"/>
      <c r="V3267" s="183"/>
      <c r="W3267" s="183"/>
      <c r="X3267" s="183"/>
      <c r="Y3267" s="183"/>
      <c r="Z3267" s="183"/>
    </row>
    <row r="3268" spans="2:26">
      <c r="B3268" s="191"/>
      <c r="D3268" s="183"/>
      <c r="I3268" s="183"/>
      <c r="J3268" s="183"/>
      <c r="L3268" s="183"/>
      <c r="M3268" s="183"/>
      <c r="N3268" s="183"/>
      <c r="O3268" s="183"/>
      <c r="P3268" s="183"/>
      <c r="Q3268" s="183"/>
      <c r="R3268" s="183"/>
      <c r="S3268" s="183"/>
      <c r="T3268" s="183"/>
      <c r="U3268" s="183"/>
      <c r="V3268" s="183"/>
      <c r="W3268" s="183"/>
      <c r="X3268" s="183"/>
      <c r="Y3268" s="183"/>
      <c r="Z3268" s="183"/>
    </row>
    <row r="3269" spans="2:26">
      <c r="B3269" s="191"/>
      <c r="D3269" s="183"/>
      <c r="I3269" s="183"/>
      <c r="J3269" s="183"/>
      <c r="L3269" s="183"/>
      <c r="M3269" s="183"/>
      <c r="N3269" s="183"/>
      <c r="O3269" s="183"/>
      <c r="P3269" s="183"/>
      <c r="Q3269" s="183"/>
      <c r="R3269" s="183"/>
      <c r="S3269" s="183"/>
      <c r="T3269" s="183"/>
      <c r="U3269" s="183"/>
      <c r="V3269" s="183"/>
      <c r="W3269" s="183"/>
      <c r="X3269" s="183"/>
      <c r="Y3269" s="183"/>
      <c r="Z3269" s="183"/>
    </row>
    <row r="3270" spans="2:26">
      <c r="B3270" s="191"/>
      <c r="D3270" s="183"/>
      <c r="I3270" s="183"/>
      <c r="J3270" s="183"/>
      <c r="L3270" s="183"/>
      <c r="M3270" s="183"/>
      <c r="N3270" s="183"/>
      <c r="O3270" s="183"/>
      <c r="P3270" s="183"/>
      <c r="Q3270" s="183"/>
      <c r="R3270" s="183"/>
      <c r="S3270" s="183"/>
      <c r="T3270" s="183"/>
      <c r="U3270" s="183"/>
      <c r="V3270" s="183"/>
      <c r="W3270" s="183"/>
      <c r="X3270" s="183"/>
      <c r="Y3270" s="183"/>
      <c r="Z3270" s="183"/>
    </row>
    <row r="3271" spans="2:26">
      <c r="B3271" s="191"/>
      <c r="D3271" s="183"/>
      <c r="I3271" s="183"/>
      <c r="J3271" s="183"/>
      <c r="L3271" s="183"/>
      <c r="M3271" s="183"/>
      <c r="N3271" s="183"/>
      <c r="O3271" s="183"/>
      <c r="P3271" s="183"/>
      <c r="Q3271" s="183"/>
      <c r="R3271" s="183"/>
      <c r="S3271" s="183"/>
      <c r="T3271" s="183"/>
      <c r="U3271" s="183"/>
      <c r="V3271" s="183"/>
      <c r="W3271" s="183"/>
      <c r="X3271" s="183"/>
      <c r="Y3271" s="183"/>
      <c r="Z3271" s="183"/>
    </row>
    <row r="3272" spans="2:26">
      <c r="B3272" s="191"/>
      <c r="D3272" s="183"/>
      <c r="I3272" s="183"/>
      <c r="J3272" s="183"/>
      <c r="L3272" s="183"/>
      <c r="M3272" s="183"/>
      <c r="N3272" s="183"/>
      <c r="O3272" s="183"/>
      <c r="P3272" s="183"/>
      <c r="Q3272" s="183"/>
      <c r="R3272" s="183"/>
      <c r="S3272" s="183"/>
      <c r="T3272" s="183"/>
      <c r="U3272" s="183"/>
      <c r="V3272" s="183"/>
      <c r="W3272" s="183"/>
      <c r="X3272" s="183"/>
      <c r="Y3272" s="183"/>
      <c r="Z3272" s="183"/>
    </row>
    <row r="3273" spans="2:26">
      <c r="B3273" s="191"/>
      <c r="D3273" s="183"/>
      <c r="I3273" s="183"/>
      <c r="J3273" s="183"/>
      <c r="L3273" s="183"/>
      <c r="M3273" s="183"/>
      <c r="N3273" s="183"/>
      <c r="O3273" s="183"/>
      <c r="P3273" s="183"/>
      <c r="Q3273" s="183"/>
      <c r="R3273" s="183"/>
      <c r="S3273" s="183"/>
      <c r="T3273" s="183"/>
      <c r="U3273" s="183"/>
      <c r="V3273" s="183"/>
      <c r="W3273" s="183"/>
      <c r="X3273" s="183"/>
      <c r="Y3273" s="183"/>
      <c r="Z3273" s="183"/>
    </row>
    <row r="3274" spans="2:26">
      <c r="B3274" s="191"/>
      <c r="D3274" s="183"/>
      <c r="I3274" s="183"/>
      <c r="J3274" s="183"/>
      <c r="L3274" s="183"/>
      <c r="M3274" s="183"/>
      <c r="N3274" s="183"/>
      <c r="O3274" s="183"/>
      <c r="P3274" s="183"/>
      <c r="Q3274" s="183"/>
      <c r="R3274" s="183"/>
      <c r="S3274" s="183"/>
      <c r="T3274" s="183"/>
      <c r="U3274" s="183"/>
      <c r="V3274" s="183"/>
      <c r="W3274" s="183"/>
      <c r="X3274" s="183"/>
      <c r="Y3274" s="183"/>
      <c r="Z3274" s="183"/>
    </row>
    <row r="3275" spans="2:26">
      <c r="B3275" s="191"/>
      <c r="D3275" s="183"/>
      <c r="I3275" s="183"/>
      <c r="J3275" s="183"/>
      <c r="L3275" s="183"/>
      <c r="M3275" s="183"/>
      <c r="N3275" s="183"/>
      <c r="O3275" s="183"/>
      <c r="P3275" s="183"/>
      <c r="Q3275" s="183"/>
      <c r="R3275" s="183"/>
      <c r="S3275" s="183"/>
      <c r="T3275" s="183"/>
      <c r="U3275" s="183"/>
      <c r="V3275" s="183"/>
      <c r="W3275" s="183"/>
      <c r="X3275" s="183"/>
      <c r="Y3275" s="183"/>
      <c r="Z3275" s="183"/>
    </row>
    <row r="3276" spans="2:26">
      <c r="B3276" s="191"/>
      <c r="D3276" s="183"/>
      <c r="I3276" s="183"/>
      <c r="J3276" s="183"/>
      <c r="L3276" s="183"/>
      <c r="M3276" s="183"/>
      <c r="N3276" s="183"/>
      <c r="O3276" s="183"/>
      <c r="P3276" s="183"/>
      <c r="Q3276" s="183"/>
      <c r="R3276" s="183"/>
      <c r="S3276" s="183"/>
      <c r="T3276" s="183"/>
      <c r="U3276" s="183"/>
      <c r="V3276" s="183"/>
      <c r="W3276" s="183"/>
      <c r="X3276" s="183"/>
      <c r="Y3276" s="183"/>
      <c r="Z3276" s="183"/>
    </row>
    <row r="3277" spans="2:26">
      <c r="B3277" s="191"/>
      <c r="D3277" s="183"/>
      <c r="I3277" s="183"/>
      <c r="J3277" s="183"/>
      <c r="L3277" s="183"/>
      <c r="M3277" s="183"/>
      <c r="N3277" s="183"/>
      <c r="O3277" s="183"/>
      <c r="P3277" s="183"/>
      <c r="Q3277" s="183"/>
      <c r="R3277" s="183"/>
      <c r="S3277" s="183"/>
      <c r="T3277" s="183"/>
      <c r="U3277" s="183"/>
      <c r="V3277" s="183"/>
      <c r="W3277" s="183"/>
      <c r="X3277" s="183"/>
      <c r="Y3277" s="183"/>
      <c r="Z3277" s="183"/>
    </row>
    <row r="3278" spans="2:26">
      <c r="B3278" s="191"/>
      <c r="D3278" s="183"/>
      <c r="I3278" s="183"/>
      <c r="J3278" s="183"/>
      <c r="L3278" s="183"/>
      <c r="M3278" s="183"/>
      <c r="N3278" s="183"/>
      <c r="O3278" s="183"/>
      <c r="P3278" s="183"/>
      <c r="Q3278" s="183"/>
      <c r="R3278" s="183"/>
      <c r="S3278" s="183"/>
      <c r="T3278" s="183"/>
      <c r="U3278" s="183"/>
      <c r="V3278" s="183"/>
      <c r="W3278" s="183"/>
      <c r="X3278" s="183"/>
      <c r="Y3278" s="183"/>
      <c r="Z3278" s="183"/>
    </row>
    <row r="3279" spans="2:26">
      <c r="B3279" s="191"/>
      <c r="D3279" s="183"/>
      <c r="I3279" s="183"/>
      <c r="J3279" s="183"/>
      <c r="L3279" s="183"/>
      <c r="M3279" s="183"/>
      <c r="N3279" s="183"/>
      <c r="O3279" s="183"/>
      <c r="P3279" s="183"/>
      <c r="Q3279" s="183"/>
      <c r="R3279" s="183"/>
      <c r="S3279" s="183"/>
      <c r="T3279" s="183"/>
      <c r="U3279" s="183"/>
      <c r="V3279" s="183"/>
      <c r="W3279" s="183"/>
      <c r="X3279" s="183"/>
      <c r="Y3279" s="183"/>
      <c r="Z3279" s="183"/>
    </row>
    <row r="3280" spans="2:26">
      <c r="B3280" s="191"/>
      <c r="D3280" s="183"/>
      <c r="I3280" s="183"/>
      <c r="J3280" s="183"/>
      <c r="L3280" s="183"/>
      <c r="M3280" s="183"/>
      <c r="N3280" s="183"/>
      <c r="O3280" s="183"/>
      <c r="P3280" s="183"/>
      <c r="Q3280" s="183"/>
      <c r="R3280" s="183"/>
      <c r="S3280" s="183"/>
      <c r="T3280" s="183"/>
      <c r="U3280" s="183"/>
      <c r="V3280" s="183"/>
      <c r="W3280" s="183"/>
      <c r="X3280" s="183"/>
      <c r="Y3280" s="183"/>
      <c r="Z3280" s="183"/>
    </row>
    <row r="3281" spans="2:26">
      <c r="B3281" s="191"/>
      <c r="D3281" s="183"/>
      <c r="I3281" s="183"/>
      <c r="J3281" s="183"/>
      <c r="L3281" s="183"/>
      <c r="M3281" s="183"/>
      <c r="N3281" s="183"/>
      <c r="O3281" s="183"/>
      <c r="P3281" s="183"/>
      <c r="Q3281" s="183"/>
      <c r="R3281" s="183"/>
      <c r="S3281" s="183"/>
      <c r="T3281" s="183"/>
      <c r="U3281" s="183"/>
      <c r="V3281" s="183"/>
      <c r="W3281" s="183"/>
      <c r="X3281" s="183"/>
      <c r="Y3281" s="183"/>
      <c r="Z3281" s="183"/>
    </row>
    <row r="3282" spans="2:26">
      <c r="B3282" s="191"/>
      <c r="D3282" s="183"/>
      <c r="I3282" s="183"/>
      <c r="J3282" s="183"/>
      <c r="L3282" s="183"/>
      <c r="M3282" s="183"/>
      <c r="N3282" s="183"/>
      <c r="O3282" s="183"/>
      <c r="P3282" s="183"/>
      <c r="Q3282" s="183"/>
      <c r="R3282" s="183"/>
      <c r="S3282" s="183"/>
      <c r="T3282" s="183"/>
      <c r="U3282" s="183"/>
      <c r="V3282" s="183"/>
      <c r="W3282" s="183"/>
      <c r="X3282" s="183"/>
      <c r="Y3282" s="183"/>
      <c r="Z3282" s="183"/>
    </row>
    <row r="3283" spans="2:26">
      <c r="B3283" s="191"/>
      <c r="D3283" s="183"/>
      <c r="I3283" s="183"/>
      <c r="J3283" s="183"/>
      <c r="L3283" s="183"/>
      <c r="M3283" s="183"/>
      <c r="N3283" s="183"/>
      <c r="O3283" s="183"/>
      <c r="P3283" s="183"/>
      <c r="Q3283" s="183"/>
      <c r="R3283" s="183"/>
      <c r="S3283" s="183"/>
      <c r="T3283" s="183"/>
      <c r="U3283" s="183"/>
      <c r="V3283" s="183"/>
      <c r="W3283" s="183"/>
      <c r="X3283" s="183"/>
      <c r="Y3283" s="183"/>
      <c r="Z3283" s="183"/>
    </row>
    <row r="3284" spans="2:26">
      <c r="B3284" s="191"/>
      <c r="D3284" s="183"/>
      <c r="I3284" s="183"/>
      <c r="J3284" s="183"/>
      <c r="L3284" s="183"/>
      <c r="M3284" s="183"/>
      <c r="N3284" s="183"/>
      <c r="O3284" s="183"/>
      <c r="P3284" s="183"/>
      <c r="Q3284" s="183"/>
      <c r="R3284" s="183"/>
      <c r="S3284" s="183"/>
      <c r="T3284" s="183"/>
      <c r="U3284" s="183"/>
      <c r="V3284" s="183"/>
      <c r="W3284" s="183"/>
      <c r="X3284" s="183"/>
      <c r="Y3284" s="183"/>
      <c r="Z3284" s="183"/>
    </row>
    <row r="3285" spans="2:26">
      <c r="B3285" s="191"/>
      <c r="D3285" s="183"/>
      <c r="I3285" s="183"/>
      <c r="J3285" s="183"/>
      <c r="L3285" s="183"/>
      <c r="M3285" s="183"/>
      <c r="N3285" s="183"/>
      <c r="O3285" s="183"/>
      <c r="P3285" s="183"/>
      <c r="Q3285" s="183"/>
      <c r="R3285" s="183"/>
      <c r="S3285" s="183"/>
      <c r="T3285" s="183"/>
      <c r="U3285" s="183"/>
      <c r="V3285" s="183"/>
      <c r="W3285" s="183"/>
      <c r="X3285" s="183"/>
      <c r="Y3285" s="183"/>
      <c r="Z3285" s="183"/>
    </row>
    <row r="3286" spans="2:26">
      <c r="B3286" s="191"/>
      <c r="D3286" s="183"/>
      <c r="I3286" s="183"/>
      <c r="J3286" s="183"/>
      <c r="L3286" s="183"/>
      <c r="M3286" s="183"/>
      <c r="N3286" s="183"/>
      <c r="O3286" s="183"/>
      <c r="P3286" s="183"/>
      <c r="Q3286" s="183"/>
      <c r="R3286" s="183"/>
      <c r="S3286" s="183"/>
      <c r="T3286" s="183"/>
      <c r="U3286" s="183"/>
      <c r="V3286" s="183"/>
      <c r="W3286" s="183"/>
      <c r="X3286" s="183"/>
      <c r="Y3286" s="183"/>
      <c r="Z3286" s="183"/>
    </row>
    <row r="3287" spans="2:26">
      <c r="B3287" s="191"/>
      <c r="D3287" s="183"/>
      <c r="I3287" s="183"/>
      <c r="J3287" s="183"/>
      <c r="L3287" s="183"/>
      <c r="M3287" s="183"/>
      <c r="N3287" s="183"/>
      <c r="O3287" s="183"/>
      <c r="P3287" s="183"/>
      <c r="Q3287" s="183"/>
      <c r="R3287" s="183"/>
      <c r="S3287" s="183"/>
      <c r="T3287" s="183"/>
      <c r="U3287" s="183"/>
      <c r="V3287" s="183"/>
      <c r="W3287" s="183"/>
      <c r="X3287" s="183"/>
      <c r="Y3287" s="183"/>
      <c r="Z3287" s="183"/>
    </row>
    <row r="3288" spans="2:26">
      <c r="B3288" s="191"/>
      <c r="D3288" s="183"/>
      <c r="I3288" s="183"/>
      <c r="J3288" s="183"/>
      <c r="L3288" s="183"/>
      <c r="M3288" s="183"/>
      <c r="N3288" s="183"/>
      <c r="O3288" s="183"/>
      <c r="P3288" s="183"/>
      <c r="Q3288" s="183"/>
      <c r="R3288" s="183"/>
      <c r="S3288" s="183"/>
      <c r="T3288" s="183"/>
      <c r="U3288" s="183"/>
      <c r="V3288" s="183"/>
      <c r="W3288" s="183"/>
      <c r="X3288" s="183"/>
      <c r="Y3288" s="183"/>
      <c r="Z3288" s="183"/>
    </row>
    <row r="3289" spans="2:26">
      <c r="B3289" s="191"/>
      <c r="D3289" s="183"/>
      <c r="I3289" s="183"/>
      <c r="J3289" s="183"/>
      <c r="L3289" s="183"/>
      <c r="M3289" s="183"/>
      <c r="N3289" s="183"/>
      <c r="O3289" s="183"/>
      <c r="P3289" s="183"/>
      <c r="Q3289" s="183"/>
      <c r="R3289" s="183"/>
      <c r="S3289" s="183"/>
      <c r="T3289" s="183"/>
      <c r="U3289" s="183"/>
      <c r="V3289" s="183"/>
      <c r="W3289" s="183"/>
      <c r="X3289" s="183"/>
      <c r="Y3289" s="183"/>
      <c r="Z3289" s="183"/>
    </row>
    <row r="3290" spans="2:26">
      <c r="B3290" s="191"/>
      <c r="D3290" s="183"/>
      <c r="I3290" s="183"/>
      <c r="J3290" s="183"/>
      <c r="L3290" s="183"/>
      <c r="M3290" s="183"/>
      <c r="N3290" s="183"/>
      <c r="O3290" s="183"/>
      <c r="P3290" s="183"/>
      <c r="Q3290" s="183"/>
      <c r="R3290" s="183"/>
      <c r="S3290" s="183"/>
      <c r="T3290" s="183"/>
      <c r="U3290" s="183"/>
      <c r="V3290" s="183"/>
      <c r="W3290" s="183"/>
      <c r="X3290" s="183"/>
      <c r="Y3290" s="183"/>
      <c r="Z3290" s="183"/>
    </row>
    <row r="3291" spans="2:26">
      <c r="B3291" s="191"/>
      <c r="D3291" s="183"/>
      <c r="I3291" s="183"/>
      <c r="J3291" s="183"/>
      <c r="L3291" s="183"/>
      <c r="M3291" s="183"/>
      <c r="N3291" s="183"/>
      <c r="O3291" s="183"/>
      <c r="P3291" s="183"/>
      <c r="Q3291" s="183"/>
      <c r="R3291" s="183"/>
      <c r="S3291" s="183"/>
      <c r="T3291" s="183"/>
      <c r="U3291" s="183"/>
      <c r="V3291" s="183"/>
      <c r="W3291" s="183"/>
      <c r="X3291" s="183"/>
      <c r="Y3291" s="183"/>
      <c r="Z3291" s="183"/>
    </row>
    <row r="3292" spans="2:26">
      <c r="B3292" s="191"/>
      <c r="D3292" s="183"/>
      <c r="I3292" s="183"/>
      <c r="J3292" s="183"/>
      <c r="L3292" s="183"/>
      <c r="M3292" s="183"/>
      <c r="N3292" s="183"/>
      <c r="O3292" s="183"/>
      <c r="P3292" s="183"/>
      <c r="Q3292" s="183"/>
      <c r="R3292" s="183"/>
      <c r="S3292" s="183"/>
      <c r="T3292" s="183"/>
      <c r="U3292" s="183"/>
      <c r="V3292" s="183"/>
      <c r="W3292" s="183"/>
      <c r="X3292" s="183"/>
      <c r="Y3292" s="183"/>
      <c r="Z3292" s="183"/>
    </row>
    <row r="3293" spans="2:26">
      <c r="B3293" s="191"/>
      <c r="D3293" s="183"/>
      <c r="I3293" s="183"/>
      <c r="J3293" s="183"/>
      <c r="L3293" s="183"/>
      <c r="M3293" s="183"/>
      <c r="N3293" s="183"/>
      <c r="O3293" s="183"/>
      <c r="P3293" s="183"/>
      <c r="Q3293" s="183"/>
      <c r="R3293" s="183"/>
      <c r="S3293" s="183"/>
      <c r="T3293" s="183"/>
      <c r="U3293" s="183"/>
      <c r="V3293" s="183"/>
      <c r="W3293" s="183"/>
      <c r="X3293" s="183"/>
      <c r="Y3293" s="183"/>
      <c r="Z3293" s="183"/>
    </row>
    <row r="3294" spans="2:26">
      <c r="B3294" s="191"/>
      <c r="D3294" s="183"/>
      <c r="I3294" s="183"/>
      <c r="J3294" s="183"/>
      <c r="L3294" s="183"/>
      <c r="M3294" s="183"/>
      <c r="N3294" s="183"/>
      <c r="O3294" s="183"/>
      <c r="P3294" s="183"/>
      <c r="Q3294" s="183"/>
      <c r="R3294" s="183"/>
      <c r="S3294" s="183"/>
      <c r="T3294" s="183"/>
      <c r="U3294" s="183"/>
      <c r="V3294" s="183"/>
      <c r="W3294" s="183"/>
      <c r="X3294" s="183"/>
      <c r="Y3294" s="183"/>
      <c r="Z3294" s="183"/>
    </row>
    <row r="3295" spans="2:26">
      <c r="B3295" s="191"/>
      <c r="D3295" s="183"/>
      <c r="I3295" s="183"/>
      <c r="J3295" s="183"/>
      <c r="L3295" s="183"/>
      <c r="M3295" s="183"/>
      <c r="N3295" s="183"/>
      <c r="O3295" s="183"/>
      <c r="P3295" s="183"/>
      <c r="Q3295" s="183"/>
      <c r="R3295" s="183"/>
      <c r="S3295" s="183"/>
      <c r="T3295" s="183"/>
      <c r="U3295" s="183"/>
      <c r="V3295" s="183"/>
      <c r="W3295" s="183"/>
      <c r="X3295" s="183"/>
      <c r="Y3295" s="183"/>
      <c r="Z3295" s="183"/>
    </row>
    <row r="3296" spans="2:26">
      <c r="B3296" s="191"/>
      <c r="D3296" s="183"/>
      <c r="I3296" s="183"/>
      <c r="J3296" s="183"/>
      <c r="L3296" s="183"/>
      <c r="M3296" s="183"/>
      <c r="N3296" s="183"/>
      <c r="O3296" s="183"/>
      <c r="P3296" s="183"/>
      <c r="Q3296" s="183"/>
      <c r="R3296" s="183"/>
      <c r="S3296" s="183"/>
      <c r="T3296" s="183"/>
      <c r="U3296" s="183"/>
      <c r="V3296" s="183"/>
      <c r="W3296" s="183"/>
      <c r="X3296" s="183"/>
      <c r="Y3296" s="183"/>
      <c r="Z3296" s="183"/>
    </row>
    <row r="3297" spans="2:26">
      <c r="B3297" s="191"/>
      <c r="D3297" s="183"/>
      <c r="I3297" s="183"/>
      <c r="J3297" s="183"/>
      <c r="L3297" s="183"/>
      <c r="M3297" s="183"/>
      <c r="N3297" s="183"/>
      <c r="O3297" s="183"/>
      <c r="P3297" s="183"/>
      <c r="Q3297" s="183"/>
      <c r="R3297" s="183"/>
      <c r="S3297" s="183"/>
      <c r="T3297" s="183"/>
      <c r="U3297" s="183"/>
      <c r="V3297" s="183"/>
      <c r="W3297" s="183"/>
      <c r="X3297" s="183"/>
      <c r="Y3297" s="183"/>
      <c r="Z3297" s="183"/>
    </row>
    <row r="3298" spans="2:26">
      <c r="B3298" s="191"/>
      <c r="D3298" s="183"/>
      <c r="I3298" s="183"/>
      <c r="J3298" s="183"/>
      <c r="L3298" s="183"/>
      <c r="M3298" s="183"/>
      <c r="N3298" s="183"/>
      <c r="O3298" s="183"/>
      <c r="P3298" s="183"/>
      <c r="Q3298" s="183"/>
      <c r="R3298" s="183"/>
      <c r="S3298" s="183"/>
      <c r="T3298" s="183"/>
      <c r="U3298" s="183"/>
      <c r="V3298" s="183"/>
      <c r="W3298" s="183"/>
      <c r="X3298" s="183"/>
      <c r="Y3298" s="183"/>
      <c r="Z3298" s="183"/>
    </row>
    <row r="3299" spans="2:26">
      <c r="B3299" s="191"/>
      <c r="D3299" s="183"/>
      <c r="I3299" s="183"/>
      <c r="J3299" s="183"/>
      <c r="L3299" s="183"/>
      <c r="M3299" s="183"/>
      <c r="N3299" s="183"/>
      <c r="O3299" s="183"/>
      <c r="P3299" s="183"/>
      <c r="Q3299" s="183"/>
      <c r="R3299" s="183"/>
      <c r="S3299" s="183"/>
      <c r="T3299" s="183"/>
      <c r="U3299" s="183"/>
      <c r="V3299" s="183"/>
      <c r="W3299" s="183"/>
      <c r="X3299" s="183"/>
      <c r="Y3299" s="183"/>
      <c r="Z3299" s="183"/>
    </row>
    <row r="3300" spans="2:26">
      <c r="B3300" s="191"/>
      <c r="D3300" s="183"/>
      <c r="I3300" s="183"/>
      <c r="J3300" s="183"/>
      <c r="L3300" s="183"/>
      <c r="M3300" s="183"/>
      <c r="N3300" s="183"/>
      <c r="O3300" s="183"/>
      <c r="P3300" s="183"/>
      <c r="Q3300" s="183"/>
      <c r="R3300" s="183"/>
      <c r="S3300" s="183"/>
      <c r="T3300" s="183"/>
      <c r="U3300" s="183"/>
      <c r="V3300" s="183"/>
      <c r="W3300" s="183"/>
      <c r="X3300" s="183"/>
      <c r="Y3300" s="183"/>
      <c r="Z3300" s="183"/>
    </row>
    <row r="3301" spans="2:26">
      <c r="B3301" s="191"/>
      <c r="D3301" s="183"/>
      <c r="I3301" s="183"/>
      <c r="J3301" s="183"/>
      <c r="L3301" s="183"/>
      <c r="M3301" s="183"/>
      <c r="N3301" s="183"/>
      <c r="O3301" s="183"/>
      <c r="P3301" s="183"/>
      <c r="Q3301" s="183"/>
      <c r="R3301" s="183"/>
      <c r="S3301" s="183"/>
      <c r="T3301" s="183"/>
      <c r="U3301" s="183"/>
      <c r="V3301" s="183"/>
      <c r="W3301" s="183"/>
      <c r="X3301" s="183"/>
      <c r="Y3301" s="183"/>
      <c r="Z3301" s="183"/>
    </row>
    <row r="3302" spans="2:26">
      <c r="B3302" s="191"/>
      <c r="D3302" s="183"/>
      <c r="I3302" s="183"/>
      <c r="J3302" s="183"/>
      <c r="L3302" s="183"/>
      <c r="M3302" s="183"/>
      <c r="N3302" s="183"/>
      <c r="O3302" s="183"/>
      <c r="P3302" s="183"/>
      <c r="Q3302" s="183"/>
      <c r="R3302" s="183"/>
      <c r="S3302" s="183"/>
      <c r="T3302" s="183"/>
      <c r="U3302" s="183"/>
      <c r="V3302" s="183"/>
      <c r="W3302" s="183"/>
      <c r="X3302" s="183"/>
      <c r="Y3302" s="183"/>
      <c r="Z3302" s="183"/>
    </row>
    <row r="3303" spans="2:26">
      <c r="B3303" s="191"/>
      <c r="D3303" s="183"/>
      <c r="I3303" s="183"/>
      <c r="J3303" s="183"/>
      <c r="L3303" s="183"/>
      <c r="M3303" s="183"/>
      <c r="N3303" s="183"/>
      <c r="O3303" s="183"/>
      <c r="P3303" s="183"/>
      <c r="Q3303" s="183"/>
      <c r="R3303" s="183"/>
      <c r="S3303" s="183"/>
      <c r="T3303" s="183"/>
      <c r="U3303" s="183"/>
      <c r="V3303" s="183"/>
      <c r="W3303" s="183"/>
      <c r="X3303" s="183"/>
      <c r="Y3303" s="183"/>
      <c r="Z3303" s="183"/>
    </row>
    <row r="3304" spans="2:26">
      <c r="B3304" s="191"/>
      <c r="D3304" s="183"/>
      <c r="I3304" s="183"/>
      <c r="J3304" s="183"/>
      <c r="L3304" s="183"/>
      <c r="M3304" s="183"/>
      <c r="N3304" s="183"/>
      <c r="O3304" s="183"/>
      <c r="P3304" s="183"/>
      <c r="Q3304" s="183"/>
      <c r="R3304" s="183"/>
      <c r="S3304" s="183"/>
      <c r="T3304" s="183"/>
      <c r="U3304" s="183"/>
      <c r="V3304" s="183"/>
      <c r="W3304" s="183"/>
      <c r="X3304" s="183"/>
      <c r="Y3304" s="183"/>
      <c r="Z3304" s="183"/>
    </row>
    <row r="3305" spans="2:26">
      <c r="B3305" s="191"/>
      <c r="D3305" s="183"/>
      <c r="I3305" s="183"/>
      <c r="J3305" s="183"/>
      <c r="L3305" s="183"/>
      <c r="M3305" s="183"/>
      <c r="N3305" s="183"/>
      <c r="O3305" s="183"/>
      <c r="P3305" s="183"/>
      <c r="Q3305" s="183"/>
      <c r="R3305" s="183"/>
      <c r="S3305" s="183"/>
      <c r="T3305" s="183"/>
      <c r="U3305" s="183"/>
      <c r="V3305" s="183"/>
      <c r="W3305" s="183"/>
      <c r="X3305" s="183"/>
      <c r="Y3305" s="183"/>
      <c r="Z3305" s="183"/>
    </row>
    <row r="3306" spans="2:26">
      <c r="B3306" s="191"/>
      <c r="D3306" s="183"/>
      <c r="I3306" s="183"/>
      <c r="J3306" s="183"/>
      <c r="L3306" s="183"/>
      <c r="M3306" s="183"/>
      <c r="N3306" s="183"/>
      <c r="O3306" s="183"/>
      <c r="P3306" s="183"/>
      <c r="Q3306" s="183"/>
      <c r="R3306" s="183"/>
      <c r="S3306" s="183"/>
      <c r="T3306" s="183"/>
      <c r="U3306" s="183"/>
      <c r="V3306" s="183"/>
      <c r="W3306" s="183"/>
      <c r="X3306" s="183"/>
      <c r="Y3306" s="183"/>
      <c r="Z3306" s="183"/>
    </row>
    <row r="3307" spans="2:26">
      <c r="B3307" s="191"/>
      <c r="D3307" s="183"/>
      <c r="I3307" s="183"/>
      <c r="J3307" s="183"/>
      <c r="L3307" s="183"/>
      <c r="M3307" s="183"/>
      <c r="N3307" s="183"/>
      <c r="O3307" s="183"/>
      <c r="P3307" s="183"/>
      <c r="Q3307" s="183"/>
      <c r="R3307" s="183"/>
      <c r="S3307" s="183"/>
      <c r="T3307" s="183"/>
      <c r="U3307" s="183"/>
      <c r="V3307" s="183"/>
      <c r="W3307" s="183"/>
      <c r="X3307" s="183"/>
      <c r="Y3307" s="183"/>
      <c r="Z3307" s="183"/>
    </row>
    <row r="3308" spans="2:26">
      <c r="B3308" s="191"/>
      <c r="D3308" s="183"/>
      <c r="I3308" s="183"/>
      <c r="J3308" s="183"/>
      <c r="L3308" s="183"/>
      <c r="M3308" s="183"/>
      <c r="N3308" s="183"/>
      <c r="O3308" s="183"/>
      <c r="P3308" s="183"/>
      <c r="Q3308" s="183"/>
      <c r="R3308" s="183"/>
      <c r="S3308" s="183"/>
      <c r="T3308" s="183"/>
      <c r="U3308" s="183"/>
      <c r="V3308" s="183"/>
      <c r="W3308" s="183"/>
      <c r="X3308" s="183"/>
      <c r="Y3308" s="183"/>
      <c r="Z3308" s="183"/>
    </row>
    <row r="3309" spans="2:26">
      <c r="B3309" s="191"/>
      <c r="D3309" s="183"/>
      <c r="I3309" s="183"/>
      <c r="J3309" s="183"/>
      <c r="L3309" s="183"/>
      <c r="M3309" s="183"/>
      <c r="N3309" s="183"/>
      <c r="O3309" s="183"/>
      <c r="P3309" s="183"/>
      <c r="Q3309" s="183"/>
      <c r="R3309" s="183"/>
      <c r="S3309" s="183"/>
      <c r="T3309" s="183"/>
      <c r="U3309" s="183"/>
      <c r="V3309" s="183"/>
      <c r="W3309" s="183"/>
      <c r="X3309" s="183"/>
      <c r="Y3309" s="183"/>
      <c r="Z3309" s="183"/>
    </row>
    <row r="3310" spans="2:26">
      <c r="B3310" s="191"/>
      <c r="D3310" s="183"/>
      <c r="I3310" s="183"/>
      <c r="J3310" s="183"/>
      <c r="L3310" s="183"/>
      <c r="M3310" s="183"/>
      <c r="N3310" s="183"/>
      <c r="O3310" s="183"/>
      <c r="P3310" s="183"/>
      <c r="Q3310" s="183"/>
      <c r="R3310" s="183"/>
      <c r="S3310" s="183"/>
      <c r="T3310" s="183"/>
      <c r="U3310" s="183"/>
      <c r="V3310" s="183"/>
      <c r="W3310" s="183"/>
      <c r="X3310" s="183"/>
      <c r="Y3310" s="183"/>
      <c r="Z3310" s="183"/>
    </row>
    <row r="3311" spans="2:26">
      <c r="B3311" s="191"/>
      <c r="D3311" s="183"/>
      <c r="I3311" s="183"/>
      <c r="J3311" s="183"/>
      <c r="L3311" s="183"/>
      <c r="M3311" s="183"/>
      <c r="N3311" s="183"/>
      <c r="O3311" s="183"/>
      <c r="P3311" s="183"/>
      <c r="Q3311" s="183"/>
      <c r="R3311" s="183"/>
      <c r="S3311" s="183"/>
      <c r="T3311" s="183"/>
      <c r="U3311" s="183"/>
      <c r="V3311" s="183"/>
      <c r="W3311" s="183"/>
      <c r="X3311" s="183"/>
      <c r="Y3311" s="183"/>
      <c r="Z3311" s="183"/>
    </row>
    <row r="3312" spans="2:26">
      <c r="B3312" s="191"/>
      <c r="D3312" s="183"/>
      <c r="I3312" s="183"/>
      <c r="J3312" s="183"/>
      <c r="L3312" s="183"/>
      <c r="M3312" s="183"/>
      <c r="N3312" s="183"/>
      <c r="O3312" s="183"/>
      <c r="P3312" s="183"/>
      <c r="Q3312" s="183"/>
      <c r="R3312" s="183"/>
      <c r="S3312" s="183"/>
      <c r="T3312" s="183"/>
      <c r="U3312" s="183"/>
      <c r="V3312" s="183"/>
      <c r="W3312" s="183"/>
      <c r="X3312" s="183"/>
      <c r="Y3312" s="183"/>
      <c r="Z3312" s="183"/>
    </row>
    <row r="3313" spans="2:26">
      <c r="B3313" s="191"/>
      <c r="D3313" s="183"/>
      <c r="I3313" s="183"/>
      <c r="J3313" s="183"/>
      <c r="L3313" s="183"/>
      <c r="M3313" s="183"/>
      <c r="N3313" s="183"/>
      <c r="O3313" s="183"/>
      <c r="P3313" s="183"/>
      <c r="Q3313" s="183"/>
      <c r="R3313" s="183"/>
      <c r="S3313" s="183"/>
      <c r="T3313" s="183"/>
      <c r="U3313" s="183"/>
      <c r="V3313" s="183"/>
      <c r="W3313" s="183"/>
      <c r="X3313" s="183"/>
      <c r="Y3313" s="183"/>
      <c r="Z3313" s="183"/>
    </row>
    <row r="3314" spans="2:26">
      <c r="B3314" s="191"/>
      <c r="D3314" s="183"/>
      <c r="I3314" s="183"/>
      <c r="J3314" s="183"/>
      <c r="L3314" s="183"/>
      <c r="M3314" s="183"/>
      <c r="N3314" s="183"/>
      <c r="O3314" s="183"/>
      <c r="P3314" s="183"/>
      <c r="Q3314" s="183"/>
      <c r="R3314" s="183"/>
      <c r="S3314" s="183"/>
      <c r="T3314" s="183"/>
      <c r="U3314" s="183"/>
      <c r="V3314" s="183"/>
      <c r="W3314" s="183"/>
      <c r="X3314" s="183"/>
      <c r="Y3314" s="183"/>
      <c r="Z3314" s="183"/>
    </row>
    <row r="3315" spans="2:26">
      <c r="B3315" s="191"/>
      <c r="D3315" s="183"/>
      <c r="I3315" s="183"/>
      <c r="J3315" s="183"/>
      <c r="L3315" s="183"/>
      <c r="M3315" s="183"/>
      <c r="N3315" s="183"/>
      <c r="O3315" s="183"/>
      <c r="P3315" s="183"/>
      <c r="Q3315" s="183"/>
      <c r="R3315" s="183"/>
      <c r="S3315" s="183"/>
      <c r="T3315" s="183"/>
      <c r="U3315" s="183"/>
      <c r="V3315" s="183"/>
      <c r="W3315" s="183"/>
      <c r="X3315" s="183"/>
      <c r="Y3315" s="183"/>
      <c r="Z3315" s="183"/>
    </row>
    <row r="3316" spans="2:26">
      <c r="B3316" s="191"/>
      <c r="D3316" s="183"/>
      <c r="I3316" s="183"/>
      <c r="J3316" s="183"/>
      <c r="L3316" s="183"/>
      <c r="M3316" s="183"/>
      <c r="N3316" s="183"/>
      <c r="O3316" s="183"/>
      <c r="P3316" s="183"/>
      <c r="Q3316" s="183"/>
      <c r="R3316" s="183"/>
      <c r="S3316" s="183"/>
      <c r="T3316" s="183"/>
      <c r="U3316" s="183"/>
      <c r="V3316" s="183"/>
      <c r="W3316" s="183"/>
      <c r="X3316" s="183"/>
      <c r="Y3316" s="183"/>
      <c r="Z3316" s="183"/>
    </row>
    <row r="3317" spans="2:26">
      <c r="B3317" s="191"/>
      <c r="D3317" s="183"/>
      <c r="I3317" s="183"/>
      <c r="J3317" s="183"/>
      <c r="L3317" s="183"/>
      <c r="M3317" s="183"/>
      <c r="N3317" s="183"/>
      <c r="O3317" s="183"/>
      <c r="P3317" s="183"/>
      <c r="Q3317" s="183"/>
      <c r="R3317" s="183"/>
      <c r="S3317" s="183"/>
      <c r="T3317" s="183"/>
      <c r="U3317" s="183"/>
      <c r="V3317" s="183"/>
      <c r="W3317" s="183"/>
      <c r="X3317" s="183"/>
      <c r="Y3317" s="183"/>
      <c r="Z3317" s="183"/>
    </row>
    <row r="3318" spans="2:26">
      <c r="B3318" s="191"/>
      <c r="D3318" s="183"/>
      <c r="I3318" s="183"/>
      <c r="J3318" s="183"/>
      <c r="L3318" s="183"/>
      <c r="M3318" s="183"/>
      <c r="N3318" s="183"/>
      <c r="O3318" s="183"/>
      <c r="P3318" s="183"/>
      <c r="Q3318" s="183"/>
      <c r="R3318" s="183"/>
      <c r="S3318" s="183"/>
      <c r="T3318" s="183"/>
      <c r="U3318" s="183"/>
      <c r="V3318" s="183"/>
      <c r="W3318" s="183"/>
      <c r="X3318" s="183"/>
      <c r="Y3318" s="183"/>
      <c r="Z3318" s="183"/>
    </row>
    <row r="3319" spans="2:26">
      <c r="B3319" s="191"/>
      <c r="D3319" s="183"/>
      <c r="I3319" s="183"/>
      <c r="J3319" s="183"/>
      <c r="L3319" s="183"/>
      <c r="M3319" s="183"/>
      <c r="N3319" s="183"/>
      <c r="O3319" s="183"/>
      <c r="P3319" s="183"/>
      <c r="Q3319" s="183"/>
      <c r="R3319" s="183"/>
      <c r="S3319" s="183"/>
      <c r="T3319" s="183"/>
      <c r="U3319" s="183"/>
      <c r="V3319" s="183"/>
      <c r="W3319" s="183"/>
      <c r="X3319" s="183"/>
      <c r="Y3319" s="183"/>
      <c r="Z3319" s="183"/>
    </row>
    <row r="3320" spans="2:26">
      <c r="B3320" s="191"/>
      <c r="D3320" s="183"/>
      <c r="I3320" s="183"/>
      <c r="J3320" s="183"/>
      <c r="L3320" s="183"/>
      <c r="M3320" s="183"/>
      <c r="N3320" s="183"/>
      <c r="O3320" s="183"/>
      <c r="P3320" s="183"/>
      <c r="Q3320" s="183"/>
      <c r="R3320" s="183"/>
      <c r="S3320" s="183"/>
      <c r="T3320" s="183"/>
      <c r="U3320" s="183"/>
      <c r="V3320" s="183"/>
      <c r="W3320" s="183"/>
      <c r="X3320" s="183"/>
      <c r="Y3320" s="183"/>
      <c r="Z3320" s="183"/>
    </row>
    <row r="3321" spans="2:26">
      <c r="B3321" s="191"/>
      <c r="D3321" s="183"/>
      <c r="I3321" s="183"/>
      <c r="J3321" s="183"/>
      <c r="L3321" s="183"/>
      <c r="M3321" s="183"/>
      <c r="N3321" s="183"/>
      <c r="O3321" s="183"/>
      <c r="P3321" s="183"/>
      <c r="Q3321" s="183"/>
      <c r="R3321" s="183"/>
      <c r="S3321" s="183"/>
      <c r="T3321" s="183"/>
      <c r="U3321" s="183"/>
      <c r="V3321" s="183"/>
      <c r="W3321" s="183"/>
      <c r="X3321" s="183"/>
      <c r="Y3321" s="183"/>
      <c r="Z3321" s="183"/>
    </row>
    <row r="3322" spans="2:26">
      <c r="B3322" s="191"/>
      <c r="D3322" s="183"/>
      <c r="I3322" s="183"/>
      <c r="J3322" s="183"/>
      <c r="L3322" s="183"/>
      <c r="M3322" s="183"/>
      <c r="N3322" s="183"/>
      <c r="O3322" s="183"/>
      <c r="P3322" s="183"/>
      <c r="Q3322" s="183"/>
      <c r="R3322" s="183"/>
      <c r="S3322" s="183"/>
      <c r="T3322" s="183"/>
      <c r="U3322" s="183"/>
      <c r="V3322" s="183"/>
      <c r="W3322" s="183"/>
      <c r="X3322" s="183"/>
      <c r="Y3322" s="183"/>
      <c r="Z3322" s="183"/>
    </row>
    <row r="3323" spans="2:26">
      <c r="B3323" s="191"/>
      <c r="D3323" s="183"/>
      <c r="I3323" s="183"/>
      <c r="J3323" s="183"/>
      <c r="L3323" s="183"/>
      <c r="M3323" s="183"/>
      <c r="N3323" s="183"/>
      <c r="O3323" s="183"/>
      <c r="P3323" s="183"/>
      <c r="Q3323" s="183"/>
      <c r="R3323" s="183"/>
      <c r="S3323" s="183"/>
      <c r="T3323" s="183"/>
      <c r="U3323" s="183"/>
      <c r="V3323" s="183"/>
      <c r="W3323" s="183"/>
      <c r="X3323" s="183"/>
      <c r="Y3323" s="183"/>
      <c r="Z3323" s="183"/>
    </row>
    <row r="3324" spans="2:26">
      <c r="B3324" s="191"/>
      <c r="D3324" s="183"/>
      <c r="I3324" s="183"/>
      <c r="J3324" s="183"/>
      <c r="L3324" s="183"/>
      <c r="M3324" s="183"/>
      <c r="N3324" s="183"/>
      <c r="O3324" s="183"/>
      <c r="P3324" s="183"/>
      <c r="Q3324" s="183"/>
      <c r="R3324" s="183"/>
      <c r="S3324" s="183"/>
      <c r="T3324" s="183"/>
      <c r="U3324" s="183"/>
      <c r="V3324" s="183"/>
      <c r="W3324" s="183"/>
      <c r="X3324" s="183"/>
      <c r="Y3324" s="183"/>
      <c r="Z3324" s="183"/>
    </row>
    <row r="3325" spans="2:26">
      <c r="B3325" s="191"/>
      <c r="D3325" s="183"/>
      <c r="I3325" s="183"/>
      <c r="J3325" s="183"/>
      <c r="L3325" s="183"/>
      <c r="M3325" s="183"/>
      <c r="N3325" s="183"/>
      <c r="O3325" s="183"/>
      <c r="P3325" s="183"/>
      <c r="Q3325" s="183"/>
      <c r="R3325" s="183"/>
      <c r="S3325" s="183"/>
      <c r="T3325" s="183"/>
      <c r="U3325" s="183"/>
      <c r="V3325" s="183"/>
      <c r="W3325" s="183"/>
      <c r="X3325" s="183"/>
      <c r="Y3325" s="183"/>
      <c r="Z3325" s="183"/>
    </row>
    <row r="3326" spans="2:26">
      <c r="B3326" s="191"/>
      <c r="D3326" s="183"/>
      <c r="I3326" s="183"/>
      <c r="J3326" s="183"/>
      <c r="L3326" s="183"/>
      <c r="M3326" s="183"/>
      <c r="N3326" s="183"/>
      <c r="O3326" s="183"/>
      <c r="P3326" s="183"/>
      <c r="Q3326" s="183"/>
      <c r="R3326" s="183"/>
      <c r="S3326" s="183"/>
      <c r="T3326" s="183"/>
      <c r="U3326" s="183"/>
      <c r="V3326" s="183"/>
      <c r="W3326" s="183"/>
      <c r="X3326" s="183"/>
      <c r="Y3326" s="183"/>
      <c r="Z3326" s="183"/>
    </row>
    <row r="3327" spans="2:26">
      <c r="B3327" s="191"/>
      <c r="D3327" s="183"/>
      <c r="I3327" s="183"/>
      <c r="J3327" s="183"/>
      <c r="L3327" s="183"/>
      <c r="M3327" s="183"/>
      <c r="N3327" s="183"/>
      <c r="O3327" s="183"/>
      <c r="P3327" s="183"/>
      <c r="Q3327" s="183"/>
      <c r="R3327" s="183"/>
      <c r="S3327" s="183"/>
      <c r="T3327" s="183"/>
      <c r="U3327" s="183"/>
      <c r="V3327" s="183"/>
      <c r="W3327" s="183"/>
      <c r="X3327" s="183"/>
      <c r="Y3327" s="183"/>
      <c r="Z3327" s="183"/>
    </row>
    <row r="3328" spans="2:26">
      <c r="B3328" s="191"/>
      <c r="D3328" s="183"/>
      <c r="I3328" s="183"/>
      <c r="J3328" s="183"/>
      <c r="L3328" s="183"/>
      <c r="M3328" s="183"/>
      <c r="N3328" s="183"/>
      <c r="O3328" s="183"/>
      <c r="P3328" s="183"/>
      <c r="Q3328" s="183"/>
      <c r="R3328" s="183"/>
      <c r="S3328" s="183"/>
      <c r="T3328" s="183"/>
      <c r="U3328" s="183"/>
      <c r="V3328" s="183"/>
      <c r="W3328" s="183"/>
      <c r="X3328" s="183"/>
      <c r="Y3328" s="183"/>
      <c r="Z3328" s="183"/>
    </row>
    <row r="3329" spans="2:26">
      <c r="B3329" s="191"/>
      <c r="D3329" s="183"/>
      <c r="I3329" s="183"/>
      <c r="J3329" s="183"/>
      <c r="L3329" s="183"/>
      <c r="M3329" s="183"/>
      <c r="N3329" s="183"/>
      <c r="O3329" s="183"/>
      <c r="P3329" s="183"/>
      <c r="Q3329" s="183"/>
      <c r="R3329" s="183"/>
      <c r="S3329" s="183"/>
      <c r="T3329" s="183"/>
      <c r="U3329" s="183"/>
      <c r="V3329" s="183"/>
      <c r="W3329" s="183"/>
      <c r="X3329" s="183"/>
      <c r="Y3329" s="183"/>
      <c r="Z3329" s="183"/>
    </row>
    <row r="3330" spans="2:26">
      <c r="B3330" s="191"/>
      <c r="D3330" s="183"/>
      <c r="I3330" s="183"/>
      <c r="J3330" s="183"/>
      <c r="L3330" s="183"/>
      <c r="M3330" s="183"/>
      <c r="N3330" s="183"/>
      <c r="O3330" s="183"/>
      <c r="P3330" s="183"/>
      <c r="Q3330" s="183"/>
      <c r="R3330" s="183"/>
      <c r="S3330" s="183"/>
      <c r="T3330" s="183"/>
      <c r="U3330" s="183"/>
      <c r="V3330" s="183"/>
      <c r="W3330" s="183"/>
      <c r="X3330" s="183"/>
      <c r="Y3330" s="183"/>
      <c r="Z3330" s="183"/>
    </row>
    <row r="3331" spans="2:26">
      <c r="B3331" s="191"/>
      <c r="D3331" s="183"/>
      <c r="I3331" s="183"/>
      <c r="J3331" s="183"/>
      <c r="L3331" s="183"/>
      <c r="M3331" s="183"/>
      <c r="N3331" s="183"/>
      <c r="O3331" s="183"/>
      <c r="P3331" s="183"/>
      <c r="Q3331" s="183"/>
      <c r="R3331" s="183"/>
      <c r="S3331" s="183"/>
      <c r="T3331" s="183"/>
      <c r="U3331" s="183"/>
      <c r="V3331" s="183"/>
      <c r="W3331" s="183"/>
      <c r="X3331" s="183"/>
      <c r="Y3331" s="183"/>
      <c r="Z3331" s="183"/>
    </row>
    <row r="3332" spans="2:26">
      <c r="B3332" s="191"/>
      <c r="D3332" s="183"/>
      <c r="I3332" s="183"/>
      <c r="J3332" s="183"/>
      <c r="L3332" s="183"/>
      <c r="M3332" s="183"/>
      <c r="N3332" s="183"/>
      <c r="O3332" s="183"/>
      <c r="P3332" s="183"/>
      <c r="Q3332" s="183"/>
      <c r="R3332" s="183"/>
      <c r="S3332" s="183"/>
      <c r="T3332" s="183"/>
      <c r="U3332" s="183"/>
      <c r="V3332" s="183"/>
      <c r="W3332" s="183"/>
      <c r="X3332" s="183"/>
      <c r="Y3332" s="183"/>
      <c r="Z3332" s="183"/>
    </row>
    <row r="3333" spans="2:26">
      <c r="B3333" s="191"/>
      <c r="D3333" s="183"/>
      <c r="I3333" s="183"/>
      <c r="J3333" s="183"/>
      <c r="L3333" s="183"/>
      <c r="M3333" s="183"/>
      <c r="N3333" s="183"/>
      <c r="O3333" s="183"/>
      <c r="P3333" s="183"/>
      <c r="Q3333" s="183"/>
      <c r="R3333" s="183"/>
      <c r="S3333" s="183"/>
      <c r="T3333" s="183"/>
      <c r="U3333" s="183"/>
      <c r="V3333" s="183"/>
      <c r="W3333" s="183"/>
      <c r="X3333" s="183"/>
      <c r="Y3333" s="183"/>
      <c r="Z3333" s="183"/>
    </row>
    <row r="3334" spans="2:26">
      <c r="B3334" s="191"/>
      <c r="D3334" s="183"/>
      <c r="I3334" s="183"/>
      <c r="J3334" s="183"/>
      <c r="L3334" s="183"/>
      <c r="M3334" s="183"/>
      <c r="N3334" s="183"/>
      <c r="O3334" s="183"/>
      <c r="P3334" s="183"/>
      <c r="Q3334" s="183"/>
      <c r="R3334" s="183"/>
      <c r="S3334" s="183"/>
      <c r="T3334" s="183"/>
      <c r="U3334" s="183"/>
      <c r="V3334" s="183"/>
      <c r="W3334" s="183"/>
      <c r="X3334" s="183"/>
      <c r="Y3334" s="183"/>
      <c r="Z3334" s="183"/>
    </row>
    <row r="3335" spans="2:26">
      <c r="B3335" s="191"/>
      <c r="D3335" s="183"/>
      <c r="I3335" s="183"/>
      <c r="J3335" s="183"/>
      <c r="L3335" s="183"/>
      <c r="M3335" s="183"/>
      <c r="N3335" s="183"/>
      <c r="O3335" s="183"/>
      <c r="P3335" s="183"/>
      <c r="Q3335" s="183"/>
      <c r="R3335" s="183"/>
      <c r="S3335" s="183"/>
      <c r="T3335" s="183"/>
      <c r="U3335" s="183"/>
      <c r="V3335" s="183"/>
      <c r="W3335" s="183"/>
      <c r="X3335" s="183"/>
      <c r="Y3335" s="183"/>
      <c r="Z3335" s="183"/>
    </row>
    <row r="3336" spans="2:26">
      <c r="B3336" s="191"/>
      <c r="D3336" s="183"/>
      <c r="I3336" s="183"/>
      <c r="J3336" s="183"/>
      <c r="L3336" s="183"/>
      <c r="M3336" s="183"/>
      <c r="N3336" s="183"/>
      <c r="O3336" s="183"/>
      <c r="P3336" s="183"/>
      <c r="Q3336" s="183"/>
      <c r="R3336" s="183"/>
      <c r="S3336" s="183"/>
      <c r="T3336" s="183"/>
      <c r="U3336" s="183"/>
      <c r="V3336" s="183"/>
      <c r="W3336" s="183"/>
      <c r="X3336" s="183"/>
      <c r="Y3336" s="183"/>
      <c r="Z3336" s="183"/>
    </row>
    <row r="3337" spans="2:26">
      <c r="B3337" s="191"/>
      <c r="D3337" s="183"/>
      <c r="I3337" s="183"/>
      <c r="J3337" s="183"/>
      <c r="L3337" s="183"/>
      <c r="M3337" s="183"/>
      <c r="N3337" s="183"/>
      <c r="O3337" s="183"/>
      <c r="P3337" s="183"/>
      <c r="Q3337" s="183"/>
      <c r="R3337" s="183"/>
      <c r="S3337" s="183"/>
      <c r="T3337" s="183"/>
      <c r="U3337" s="183"/>
      <c r="V3337" s="183"/>
      <c r="W3337" s="183"/>
      <c r="X3337" s="183"/>
      <c r="Y3337" s="183"/>
      <c r="Z3337" s="183"/>
    </row>
    <row r="3338" spans="2:26">
      <c r="B3338" s="191"/>
      <c r="D3338" s="183"/>
      <c r="I3338" s="183"/>
      <c r="J3338" s="183"/>
      <c r="L3338" s="183"/>
      <c r="M3338" s="183"/>
      <c r="N3338" s="183"/>
      <c r="O3338" s="183"/>
      <c r="P3338" s="183"/>
      <c r="Q3338" s="183"/>
      <c r="R3338" s="183"/>
      <c r="S3338" s="183"/>
      <c r="T3338" s="183"/>
      <c r="U3338" s="183"/>
      <c r="V3338" s="183"/>
      <c r="W3338" s="183"/>
      <c r="X3338" s="183"/>
      <c r="Y3338" s="183"/>
      <c r="Z3338" s="183"/>
    </row>
    <row r="3339" spans="2:26">
      <c r="B3339" s="191"/>
      <c r="D3339" s="183"/>
      <c r="I3339" s="183"/>
      <c r="J3339" s="183"/>
      <c r="L3339" s="183"/>
      <c r="M3339" s="183"/>
      <c r="N3339" s="183"/>
      <c r="O3339" s="183"/>
      <c r="P3339" s="183"/>
      <c r="Q3339" s="183"/>
      <c r="R3339" s="183"/>
      <c r="S3339" s="183"/>
      <c r="T3339" s="183"/>
      <c r="U3339" s="183"/>
      <c r="V3339" s="183"/>
      <c r="W3339" s="183"/>
      <c r="X3339" s="183"/>
      <c r="Y3339" s="183"/>
      <c r="Z3339" s="183"/>
    </row>
    <row r="3340" spans="2:26">
      <c r="B3340" s="191"/>
      <c r="D3340" s="183"/>
      <c r="I3340" s="183"/>
      <c r="J3340" s="183"/>
      <c r="L3340" s="183"/>
      <c r="M3340" s="183"/>
      <c r="N3340" s="183"/>
      <c r="O3340" s="183"/>
      <c r="P3340" s="183"/>
      <c r="Q3340" s="183"/>
      <c r="R3340" s="183"/>
      <c r="S3340" s="183"/>
      <c r="T3340" s="183"/>
      <c r="U3340" s="183"/>
      <c r="V3340" s="183"/>
      <c r="W3340" s="183"/>
      <c r="X3340" s="183"/>
      <c r="Y3340" s="183"/>
      <c r="Z3340" s="183"/>
    </row>
    <row r="3341" spans="2:26">
      <c r="B3341" s="191"/>
      <c r="D3341" s="183"/>
      <c r="I3341" s="183"/>
      <c r="J3341" s="183"/>
      <c r="L3341" s="183"/>
      <c r="M3341" s="183"/>
      <c r="N3341" s="183"/>
      <c r="O3341" s="183"/>
      <c r="P3341" s="183"/>
      <c r="Q3341" s="183"/>
      <c r="R3341" s="183"/>
      <c r="S3341" s="183"/>
      <c r="T3341" s="183"/>
      <c r="U3341" s="183"/>
      <c r="V3341" s="183"/>
      <c r="W3341" s="183"/>
      <c r="X3341" s="183"/>
      <c r="Y3341" s="183"/>
      <c r="Z3341" s="183"/>
    </row>
    <row r="3342" spans="2:26">
      <c r="B3342" s="191"/>
      <c r="D3342" s="183"/>
      <c r="I3342" s="183"/>
      <c r="J3342" s="183"/>
      <c r="L3342" s="183"/>
      <c r="M3342" s="183"/>
      <c r="N3342" s="183"/>
      <c r="O3342" s="183"/>
      <c r="P3342" s="183"/>
      <c r="Q3342" s="183"/>
      <c r="R3342" s="183"/>
      <c r="S3342" s="183"/>
      <c r="T3342" s="183"/>
      <c r="U3342" s="183"/>
      <c r="V3342" s="183"/>
      <c r="W3342" s="183"/>
      <c r="X3342" s="183"/>
      <c r="Y3342" s="183"/>
      <c r="Z3342" s="183"/>
    </row>
    <row r="3343" spans="2:26">
      <c r="B3343" s="191"/>
      <c r="D3343" s="183"/>
      <c r="I3343" s="183"/>
      <c r="J3343" s="183"/>
      <c r="L3343" s="183"/>
      <c r="M3343" s="183"/>
      <c r="N3343" s="183"/>
      <c r="O3343" s="183"/>
      <c r="P3343" s="183"/>
      <c r="Q3343" s="183"/>
      <c r="R3343" s="183"/>
      <c r="S3343" s="183"/>
      <c r="T3343" s="183"/>
      <c r="U3343" s="183"/>
      <c r="V3343" s="183"/>
      <c r="W3343" s="183"/>
      <c r="X3343" s="183"/>
      <c r="Y3343" s="183"/>
      <c r="Z3343" s="183"/>
    </row>
    <row r="3344" spans="2:26">
      <c r="B3344" s="191"/>
      <c r="D3344" s="183"/>
      <c r="I3344" s="183"/>
      <c r="J3344" s="183"/>
      <c r="L3344" s="183"/>
      <c r="M3344" s="183"/>
      <c r="N3344" s="183"/>
      <c r="O3344" s="183"/>
      <c r="P3344" s="183"/>
      <c r="Q3344" s="183"/>
      <c r="R3344" s="183"/>
      <c r="S3344" s="183"/>
      <c r="T3344" s="183"/>
      <c r="U3344" s="183"/>
      <c r="V3344" s="183"/>
      <c r="W3344" s="183"/>
      <c r="X3344" s="183"/>
      <c r="Y3344" s="183"/>
      <c r="Z3344" s="183"/>
    </row>
    <row r="3345" spans="2:26">
      <c r="B3345" s="191"/>
      <c r="D3345" s="183"/>
      <c r="I3345" s="183"/>
      <c r="J3345" s="183"/>
      <c r="L3345" s="183"/>
      <c r="M3345" s="183"/>
      <c r="N3345" s="183"/>
      <c r="O3345" s="183"/>
      <c r="P3345" s="183"/>
      <c r="Q3345" s="183"/>
      <c r="R3345" s="183"/>
      <c r="S3345" s="183"/>
      <c r="T3345" s="183"/>
      <c r="U3345" s="183"/>
      <c r="V3345" s="183"/>
      <c r="W3345" s="183"/>
      <c r="X3345" s="183"/>
      <c r="Y3345" s="183"/>
      <c r="Z3345" s="183"/>
    </row>
    <row r="3346" spans="2:26">
      <c r="B3346" s="191"/>
      <c r="D3346" s="183"/>
      <c r="I3346" s="183"/>
      <c r="J3346" s="183"/>
      <c r="L3346" s="183"/>
      <c r="M3346" s="183"/>
      <c r="N3346" s="183"/>
      <c r="O3346" s="183"/>
      <c r="P3346" s="183"/>
      <c r="Q3346" s="183"/>
      <c r="R3346" s="183"/>
      <c r="S3346" s="183"/>
      <c r="T3346" s="183"/>
      <c r="U3346" s="183"/>
      <c r="V3346" s="183"/>
      <c r="W3346" s="183"/>
      <c r="X3346" s="183"/>
      <c r="Y3346" s="183"/>
      <c r="Z3346" s="183"/>
    </row>
    <row r="3347" spans="2:26">
      <c r="B3347" s="191"/>
      <c r="D3347" s="183"/>
      <c r="I3347" s="183"/>
      <c r="J3347" s="183"/>
      <c r="L3347" s="183"/>
      <c r="M3347" s="183"/>
      <c r="N3347" s="183"/>
      <c r="O3347" s="183"/>
      <c r="P3347" s="183"/>
      <c r="Q3347" s="183"/>
      <c r="R3347" s="183"/>
      <c r="S3347" s="183"/>
      <c r="T3347" s="183"/>
      <c r="U3347" s="183"/>
      <c r="V3347" s="183"/>
      <c r="W3347" s="183"/>
      <c r="X3347" s="183"/>
      <c r="Y3347" s="183"/>
      <c r="Z3347" s="183"/>
    </row>
    <row r="3348" spans="2:26">
      <c r="B3348" s="191"/>
      <c r="D3348" s="183"/>
      <c r="I3348" s="183"/>
      <c r="J3348" s="183"/>
      <c r="L3348" s="183"/>
      <c r="M3348" s="183"/>
      <c r="N3348" s="183"/>
      <c r="O3348" s="183"/>
      <c r="P3348" s="183"/>
      <c r="Q3348" s="183"/>
      <c r="R3348" s="183"/>
      <c r="S3348" s="183"/>
      <c r="T3348" s="183"/>
      <c r="U3348" s="183"/>
      <c r="V3348" s="183"/>
      <c r="W3348" s="183"/>
      <c r="X3348" s="183"/>
      <c r="Y3348" s="183"/>
      <c r="Z3348" s="183"/>
    </row>
    <row r="3349" spans="2:26">
      <c r="B3349" s="191"/>
      <c r="D3349" s="183"/>
      <c r="I3349" s="183"/>
      <c r="J3349" s="183"/>
      <c r="L3349" s="183"/>
      <c r="M3349" s="183"/>
      <c r="N3349" s="183"/>
      <c r="O3349" s="183"/>
      <c r="P3349" s="183"/>
      <c r="Q3349" s="183"/>
      <c r="R3349" s="183"/>
      <c r="S3349" s="183"/>
      <c r="T3349" s="183"/>
      <c r="U3349" s="183"/>
      <c r="V3349" s="183"/>
      <c r="W3349" s="183"/>
      <c r="X3349" s="183"/>
      <c r="Y3349" s="183"/>
      <c r="Z3349" s="183"/>
    </row>
    <row r="3350" spans="2:26">
      <c r="B3350" s="191"/>
      <c r="D3350" s="183"/>
      <c r="I3350" s="183"/>
      <c r="J3350" s="183"/>
      <c r="L3350" s="183"/>
      <c r="M3350" s="183"/>
      <c r="N3350" s="183"/>
      <c r="O3350" s="183"/>
      <c r="P3350" s="183"/>
      <c r="Q3350" s="183"/>
      <c r="R3350" s="183"/>
      <c r="S3350" s="183"/>
      <c r="T3350" s="183"/>
      <c r="U3350" s="183"/>
      <c r="V3350" s="183"/>
      <c r="W3350" s="183"/>
      <c r="X3350" s="183"/>
      <c r="Y3350" s="183"/>
      <c r="Z3350" s="183"/>
    </row>
    <row r="3351" spans="2:26">
      <c r="B3351" s="191"/>
      <c r="D3351" s="183"/>
      <c r="I3351" s="183"/>
      <c r="J3351" s="183"/>
      <c r="L3351" s="183"/>
      <c r="M3351" s="183"/>
      <c r="N3351" s="183"/>
      <c r="O3351" s="183"/>
      <c r="P3351" s="183"/>
      <c r="Q3351" s="183"/>
      <c r="R3351" s="183"/>
      <c r="S3351" s="183"/>
      <c r="T3351" s="183"/>
      <c r="U3351" s="183"/>
      <c r="V3351" s="183"/>
      <c r="W3351" s="183"/>
      <c r="X3351" s="183"/>
      <c r="Y3351" s="183"/>
      <c r="Z3351" s="183"/>
    </row>
    <row r="3352" spans="2:26">
      <c r="B3352" s="191"/>
      <c r="D3352" s="183"/>
      <c r="I3352" s="183"/>
      <c r="J3352" s="183"/>
      <c r="L3352" s="183"/>
      <c r="M3352" s="183"/>
      <c r="N3352" s="183"/>
      <c r="O3352" s="183"/>
      <c r="P3352" s="183"/>
      <c r="Q3352" s="183"/>
      <c r="R3352" s="183"/>
      <c r="S3352" s="183"/>
      <c r="T3352" s="183"/>
      <c r="U3352" s="183"/>
      <c r="V3352" s="183"/>
      <c r="W3352" s="183"/>
      <c r="X3352" s="183"/>
      <c r="Y3352" s="183"/>
      <c r="Z3352" s="183"/>
    </row>
    <row r="3353" spans="2:26">
      <c r="B3353" s="191"/>
      <c r="D3353" s="183"/>
      <c r="I3353" s="183"/>
      <c r="J3353" s="183"/>
      <c r="L3353" s="183"/>
      <c r="M3353" s="183"/>
      <c r="N3353" s="183"/>
      <c r="O3353" s="183"/>
      <c r="P3353" s="183"/>
      <c r="Q3353" s="183"/>
      <c r="R3353" s="183"/>
      <c r="S3353" s="183"/>
      <c r="T3353" s="183"/>
      <c r="U3353" s="183"/>
      <c r="V3353" s="183"/>
      <c r="W3353" s="183"/>
      <c r="X3353" s="183"/>
      <c r="Y3353" s="183"/>
      <c r="Z3353" s="183"/>
    </row>
    <row r="3354" spans="2:26">
      <c r="B3354" s="191"/>
      <c r="D3354" s="183"/>
      <c r="I3354" s="183"/>
      <c r="J3354" s="183"/>
      <c r="L3354" s="183"/>
      <c r="M3354" s="183"/>
      <c r="N3354" s="183"/>
      <c r="O3354" s="183"/>
      <c r="P3354" s="183"/>
      <c r="Q3354" s="183"/>
      <c r="R3354" s="183"/>
      <c r="S3354" s="183"/>
      <c r="T3354" s="183"/>
      <c r="U3354" s="183"/>
      <c r="V3354" s="183"/>
      <c r="W3354" s="183"/>
      <c r="X3354" s="183"/>
      <c r="Y3354" s="183"/>
      <c r="Z3354" s="183"/>
    </row>
    <row r="3355" spans="2:26">
      <c r="B3355" s="191"/>
      <c r="D3355" s="183"/>
      <c r="I3355" s="183"/>
      <c r="J3355" s="183"/>
      <c r="L3355" s="183"/>
      <c r="M3355" s="183"/>
      <c r="N3355" s="183"/>
      <c r="O3355" s="183"/>
      <c r="P3355" s="183"/>
      <c r="Q3355" s="183"/>
      <c r="R3355" s="183"/>
      <c r="S3355" s="183"/>
      <c r="T3355" s="183"/>
      <c r="U3355" s="183"/>
      <c r="V3355" s="183"/>
      <c r="W3355" s="183"/>
      <c r="X3355" s="183"/>
      <c r="Y3355" s="183"/>
      <c r="Z3355" s="183"/>
    </row>
    <row r="3356" spans="2:26">
      <c r="B3356" s="191"/>
      <c r="D3356" s="183"/>
      <c r="I3356" s="183"/>
      <c r="J3356" s="183"/>
      <c r="L3356" s="183"/>
      <c r="M3356" s="183"/>
      <c r="N3356" s="183"/>
      <c r="O3356" s="183"/>
      <c r="P3356" s="183"/>
      <c r="Q3356" s="183"/>
      <c r="R3356" s="183"/>
      <c r="S3356" s="183"/>
      <c r="T3356" s="183"/>
      <c r="U3356" s="183"/>
      <c r="V3356" s="183"/>
      <c r="W3356" s="183"/>
      <c r="X3356" s="183"/>
      <c r="Y3356" s="183"/>
      <c r="Z3356" s="183"/>
    </row>
    <row r="3357" spans="2:26">
      <c r="B3357" s="191"/>
      <c r="D3357" s="183"/>
      <c r="I3357" s="183"/>
      <c r="J3357" s="183"/>
      <c r="L3357" s="183"/>
      <c r="M3357" s="183"/>
      <c r="N3357" s="183"/>
      <c r="O3357" s="183"/>
      <c r="P3357" s="183"/>
      <c r="Q3357" s="183"/>
      <c r="R3357" s="183"/>
      <c r="S3357" s="183"/>
      <c r="T3357" s="183"/>
      <c r="U3357" s="183"/>
      <c r="V3357" s="183"/>
      <c r="W3357" s="183"/>
      <c r="X3357" s="183"/>
      <c r="Y3357" s="183"/>
      <c r="Z3357" s="183"/>
    </row>
    <row r="3358" spans="2:26">
      <c r="B3358" s="191"/>
      <c r="D3358" s="183"/>
      <c r="I3358" s="183"/>
      <c r="J3358" s="183"/>
      <c r="L3358" s="183"/>
      <c r="M3358" s="183"/>
      <c r="N3358" s="183"/>
      <c r="O3358" s="183"/>
      <c r="P3358" s="183"/>
      <c r="Q3358" s="183"/>
      <c r="R3358" s="183"/>
      <c r="S3358" s="183"/>
      <c r="T3358" s="183"/>
      <c r="U3358" s="183"/>
      <c r="V3358" s="183"/>
      <c r="W3358" s="183"/>
      <c r="X3358" s="183"/>
      <c r="Y3358" s="183"/>
      <c r="Z3358" s="183"/>
    </row>
    <row r="3359" spans="2:26">
      <c r="B3359" s="191"/>
      <c r="D3359" s="183"/>
      <c r="I3359" s="183"/>
      <c r="J3359" s="183"/>
      <c r="L3359" s="183"/>
      <c r="M3359" s="183"/>
      <c r="N3359" s="183"/>
      <c r="O3359" s="183"/>
      <c r="P3359" s="183"/>
      <c r="Q3359" s="183"/>
      <c r="R3359" s="183"/>
      <c r="S3359" s="183"/>
      <c r="T3359" s="183"/>
      <c r="U3359" s="183"/>
      <c r="V3359" s="183"/>
      <c r="W3359" s="183"/>
      <c r="X3359" s="183"/>
      <c r="Y3359" s="183"/>
      <c r="Z3359" s="183"/>
    </row>
    <row r="3360" spans="2:26">
      <c r="B3360" s="191"/>
      <c r="D3360" s="183"/>
      <c r="I3360" s="183"/>
      <c r="J3360" s="183"/>
      <c r="L3360" s="183"/>
      <c r="M3360" s="183"/>
      <c r="N3360" s="183"/>
      <c r="O3360" s="183"/>
      <c r="P3360" s="183"/>
      <c r="Q3360" s="183"/>
      <c r="R3360" s="183"/>
      <c r="S3360" s="183"/>
      <c r="T3360" s="183"/>
      <c r="U3360" s="183"/>
      <c r="V3360" s="183"/>
      <c r="W3360" s="183"/>
      <c r="X3360" s="183"/>
      <c r="Y3360" s="183"/>
      <c r="Z3360" s="183"/>
    </row>
    <row r="3361" spans="2:26">
      <c r="B3361" s="191"/>
      <c r="D3361" s="183"/>
      <c r="I3361" s="183"/>
      <c r="J3361" s="183"/>
      <c r="L3361" s="183"/>
      <c r="M3361" s="183"/>
      <c r="N3361" s="183"/>
      <c r="O3361" s="183"/>
      <c r="P3361" s="183"/>
      <c r="Q3361" s="183"/>
      <c r="R3361" s="183"/>
      <c r="S3361" s="183"/>
      <c r="T3361" s="183"/>
      <c r="U3361" s="183"/>
      <c r="V3361" s="183"/>
      <c r="W3361" s="183"/>
      <c r="X3361" s="183"/>
      <c r="Y3361" s="183"/>
      <c r="Z3361" s="183"/>
    </row>
    <row r="3362" spans="2:26">
      <c r="B3362" s="191"/>
      <c r="D3362" s="183"/>
      <c r="I3362" s="183"/>
      <c r="J3362" s="183"/>
      <c r="L3362" s="183"/>
      <c r="M3362" s="183"/>
      <c r="N3362" s="183"/>
      <c r="O3362" s="183"/>
      <c r="P3362" s="183"/>
      <c r="Q3362" s="183"/>
      <c r="R3362" s="183"/>
      <c r="S3362" s="183"/>
      <c r="T3362" s="183"/>
      <c r="U3362" s="183"/>
      <c r="V3362" s="183"/>
      <c r="W3362" s="183"/>
      <c r="X3362" s="183"/>
      <c r="Y3362" s="183"/>
      <c r="Z3362" s="183"/>
    </row>
    <row r="3363" spans="2:26">
      <c r="B3363" s="191"/>
      <c r="D3363" s="183"/>
      <c r="I3363" s="183"/>
      <c r="J3363" s="183"/>
      <c r="L3363" s="183"/>
      <c r="M3363" s="183"/>
      <c r="N3363" s="183"/>
      <c r="O3363" s="183"/>
      <c r="P3363" s="183"/>
      <c r="Q3363" s="183"/>
      <c r="R3363" s="183"/>
      <c r="S3363" s="183"/>
      <c r="T3363" s="183"/>
      <c r="U3363" s="183"/>
      <c r="V3363" s="183"/>
      <c r="W3363" s="183"/>
      <c r="X3363" s="183"/>
      <c r="Y3363" s="183"/>
      <c r="Z3363" s="183"/>
    </row>
    <row r="3364" spans="2:26">
      <c r="B3364" s="191"/>
      <c r="D3364" s="183"/>
      <c r="I3364" s="183"/>
      <c r="J3364" s="183"/>
      <c r="L3364" s="183"/>
      <c r="M3364" s="183"/>
      <c r="N3364" s="183"/>
      <c r="O3364" s="183"/>
      <c r="P3364" s="183"/>
      <c r="Q3364" s="183"/>
      <c r="R3364" s="183"/>
      <c r="S3364" s="183"/>
      <c r="T3364" s="183"/>
      <c r="U3364" s="183"/>
      <c r="V3364" s="183"/>
      <c r="W3364" s="183"/>
      <c r="X3364" s="183"/>
      <c r="Y3364" s="183"/>
      <c r="Z3364" s="183"/>
    </row>
    <row r="3365" spans="2:26">
      <c r="B3365" s="191"/>
      <c r="D3365" s="183"/>
      <c r="I3365" s="183"/>
      <c r="J3365" s="183"/>
      <c r="L3365" s="183"/>
      <c r="M3365" s="183"/>
      <c r="N3365" s="183"/>
      <c r="O3365" s="183"/>
      <c r="P3365" s="183"/>
      <c r="Q3365" s="183"/>
      <c r="R3365" s="183"/>
      <c r="S3365" s="183"/>
      <c r="T3365" s="183"/>
      <c r="U3365" s="183"/>
      <c r="V3365" s="183"/>
      <c r="W3365" s="183"/>
      <c r="X3365" s="183"/>
      <c r="Y3365" s="183"/>
      <c r="Z3365" s="183"/>
    </row>
    <row r="3366" spans="2:26">
      <c r="B3366" s="191"/>
      <c r="D3366" s="183"/>
      <c r="I3366" s="183"/>
      <c r="J3366" s="183"/>
      <c r="L3366" s="183"/>
      <c r="M3366" s="183"/>
      <c r="N3366" s="183"/>
      <c r="O3366" s="183"/>
      <c r="P3366" s="183"/>
      <c r="Q3366" s="183"/>
      <c r="R3366" s="183"/>
      <c r="S3366" s="183"/>
      <c r="T3366" s="183"/>
      <c r="U3366" s="183"/>
      <c r="V3366" s="183"/>
      <c r="W3366" s="183"/>
      <c r="X3366" s="183"/>
      <c r="Y3366" s="183"/>
      <c r="Z3366" s="183"/>
    </row>
    <row r="3367" spans="2:26">
      <c r="B3367" s="191"/>
      <c r="D3367" s="183"/>
      <c r="I3367" s="183"/>
      <c r="J3367" s="183"/>
      <c r="L3367" s="183"/>
      <c r="M3367" s="183"/>
      <c r="N3367" s="183"/>
      <c r="O3367" s="183"/>
      <c r="P3367" s="183"/>
      <c r="Q3367" s="183"/>
      <c r="R3367" s="183"/>
      <c r="S3367" s="183"/>
      <c r="T3367" s="183"/>
      <c r="U3367" s="183"/>
      <c r="V3367" s="183"/>
      <c r="W3367" s="183"/>
      <c r="X3367" s="183"/>
      <c r="Y3367" s="183"/>
      <c r="Z3367" s="183"/>
    </row>
    <row r="3368" spans="2:26">
      <c r="B3368" s="191"/>
      <c r="D3368" s="183"/>
      <c r="I3368" s="183"/>
      <c r="J3368" s="183"/>
      <c r="L3368" s="183"/>
      <c r="M3368" s="183"/>
      <c r="N3368" s="183"/>
      <c r="O3368" s="183"/>
      <c r="P3368" s="183"/>
      <c r="Q3368" s="183"/>
      <c r="R3368" s="183"/>
      <c r="S3368" s="183"/>
      <c r="T3368" s="183"/>
      <c r="U3368" s="183"/>
      <c r="V3368" s="183"/>
      <c r="W3368" s="183"/>
      <c r="X3368" s="183"/>
      <c r="Y3368" s="183"/>
      <c r="Z3368" s="183"/>
    </row>
    <row r="3369" spans="2:26">
      <c r="B3369" s="191"/>
      <c r="D3369" s="183"/>
      <c r="I3369" s="183"/>
      <c r="J3369" s="183"/>
      <c r="L3369" s="183"/>
      <c r="M3369" s="183"/>
      <c r="N3369" s="183"/>
      <c r="O3369" s="183"/>
      <c r="P3369" s="183"/>
      <c r="Q3369" s="183"/>
      <c r="R3369" s="183"/>
      <c r="S3369" s="183"/>
      <c r="T3369" s="183"/>
      <c r="U3369" s="183"/>
      <c r="V3369" s="183"/>
      <c r="W3369" s="183"/>
      <c r="X3369" s="183"/>
      <c r="Y3369" s="183"/>
      <c r="Z3369" s="183"/>
    </row>
    <row r="3370" spans="2:26">
      <c r="B3370" s="191"/>
      <c r="D3370" s="183"/>
      <c r="I3370" s="183"/>
      <c r="J3370" s="183"/>
      <c r="L3370" s="183"/>
      <c r="M3370" s="183"/>
      <c r="N3370" s="183"/>
      <c r="O3370" s="183"/>
      <c r="P3370" s="183"/>
      <c r="Q3370" s="183"/>
      <c r="R3370" s="183"/>
      <c r="S3370" s="183"/>
      <c r="T3370" s="183"/>
      <c r="U3370" s="183"/>
      <c r="V3370" s="183"/>
      <c r="W3370" s="183"/>
      <c r="X3370" s="183"/>
      <c r="Y3370" s="183"/>
      <c r="Z3370" s="183"/>
    </row>
    <row r="3371" spans="2:26">
      <c r="B3371" s="191"/>
      <c r="D3371" s="183"/>
      <c r="I3371" s="183"/>
      <c r="J3371" s="183"/>
      <c r="L3371" s="183"/>
      <c r="M3371" s="183"/>
      <c r="N3371" s="183"/>
      <c r="O3371" s="183"/>
      <c r="P3371" s="183"/>
      <c r="Q3371" s="183"/>
      <c r="R3371" s="183"/>
      <c r="S3371" s="183"/>
      <c r="T3371" s="183"/>
      <c r="U3371" s="183"/>
      <c r="V3371" s="183"/>
      <c r="W3371" s="183"/>
      <c r="X3371" s="183"/>
      <c r="Y3371" s="183"/>
      <c r="Z3371" s="183"/>
    </row>
    <row r="3372" spans="2:26">
      <c r="B3372" s="191"/>
      <c r="D3372" s="183"/>
      <c r="I3372" s="183"/>
      <c r="J3372" s="183"/>
      <c r="L3372" s="183"/>
      <c r="M3372" s="183"/>
      <c r="N3372" s="183"/>
      <c r="O3372" s="183"/>
      <c r="P3372" s="183"/>
      <c r="Q3372" s="183"/>
      <c r="R3372" s="183"/>
      <c r="S3372" s="183"/>
      <c r="T3372" s="183"/>
      <c r="U3372" s="183"/>
      <c r="V3372" s="183"/>
      <c r="W3372" s="183"/>
      <c r="X3372" s="183"/>
      <c r="Y3372" s="183"/>
      <c r="Z3372" s="183"/>
    </row>
    <row r="3373" spans="2:26">
      <c r="B3373" s="191"/>
      <c r="D3373" s="183"/>
      <c r="I3373" s="183"/>
      <c r="J3373" s="183"/>
      <c r="L3373" s="183"/>
      <c r="M3373" s="183"/>
      <c r="N3373" s="183"/>
      <c r="O3373" s="183"/>
      <c r="P3373" s="183"/>
      <c r="Q3373" s="183"/>
      <c r="R3373" s="183"/>
      <c r="S3373" s="183"/>
      <c r="T3373" s="183"/>
      <c r="U3373" s="183"/>
      <c r="V3373" s="183"/>
      <c r="W3373" s="183"/>
      <c r="X3373" s="183"/>
      <c r="Y3373" s="183"/>
      <c r="Z3373" s="183"/>
    </row>
    <row r="3374" spans="2:26">
      <c r="B3374" s="191"/>
      <c r="D3374" s="183"/>
      <c r="I3374" s="183"/>
      <c r="J3374" s="183"/>
      <c r="L3374" s="183"/>
      <c r="M3374" s="183"/>
      <c r="N3374" s="183"/>
      <c r="O3374" s="183"/>
      <c r="P3374" s="183"/>
      <c r="Q3374" s="183"/>
      <c r="R3374" s="183"/>
      <c r="S3374" s="183"/>
      <c r="T3374" s="183"/>
      <c r="U3374" s="183"/>
      <c r="V3374" s="183"/>
      <c r="W3374" s="183"/>
      <c r="X3374" s="183"/>
      <c r="Y3374" s="183"/>
      <c r="Z3374" s="183"/>
    </row>
    <row r="3375" spans="2:26">
      <c r="B3375" s="191"/>
      <c r="D3375" s="183"/>
      <c r="I3375" s="183"/>
      <c r="J3375" s="183"/>
      <c r="L3375" s="183"/>
      <c r="M3375" s="183"/>
      <c r="N3375" s="183"/>
      <c r="O3375" s="183"/>
      <c r="P3375" s="183"/>
      <c r="Q3375" s="183"/>
      <c r="R3375" s="183"/>
      <c r="S3375" s="183"/>
      <c r="T3375" s="183"/>
      <c r="U3375" s="183"/>
      <c r="V3375" s="183"/>
      <c r="W3375" s="183"/>
      <c r="X3375" s="183"/>
      <c r="Y3375" s="183"/>
      <c r="Z3375" s="183"/>
    </row>
    <row r="3376" spans="2:26">
      <c r="B3376" s="191"/>
      <c r="D3376" s="183"/>
      <c r="I3376" s="183"/>
      <c r="J3376" s="183"/>
      <c r="L3376" s="183"/>
      <c r="M3376" s="183"/>
      <c r="N3376" s="183"/>
      <c r="O3376" s="183"/>
      <c r="P3376" s="183"/>
      <c r="Q3376" s="183"/>
      <c r="R3376" s="183"/>
      <c r="S3376" s="183"/>
      <c r="T3376" s="183"/>
      <c r="U3376" s="183"/>
      <c r="V3376" s="183"/>
      <c r="W3376" s="183"/>
      <c r="X3376" s="183"/>
      <c r="Y3376" s="183"/>
      <c r="Z3376" s="183"/>
    </row>
    <row r="3377" spans="2:26">
      <c r="B3377" s="191"/>
      <c r="D3377" s="183"/>
      <c r="I3377" s="183"/>
      <c r="J3377" s="183"/>
      <c r="L3377" s="183"/>
      <c r="M3377" s="183"/>
      <c r="N3377" s="183"/>
      <c r="O3377" s="183"/>
      <c r="P3377" s="183"/>
      <c r="Q3377" s="183"/>
      <c r="R3377" s="183"/>
      <c r="S3377" s="183"/>
      <c r="T3377" s="183"/>
      <c r="U3377" s="183"/>
      <c r="V3377" s="183"/>
      <c r="W3377" s="183"/>
      <c r="X3377" s="183"/>
      <c r="Y3377" s="183"/>
      <c r="Z3377" s="183"/>
    </row>
    <row r="3378" spans="2:26">
      <c r="B3378" s="191"/>
      <c r="D3378" s="183"/>
      <c r="I3378" s="183"/>
      <c r="J3378" s="183"/>
      <c r="L3378" s="183"/>
      <c r="M3378" s="183"/>
      <c r="N3378" s="183"/>
      <c r="O3378" s="183"/>
      <c r="P3378" s="183"/>
      <c r="Q3378" s="183"/>
      <c r="R3378" s="183"/>
      <c r="S3378" s="183"/>
      <c r="T3378" s="183"/>
      <c r="U3378" s="183"/>
      <c r="V3378" s="183"/>
      <c r="W3378" s="183"/>
      <c r="X3378" s="183"/>
      <c r="Y3378" s="183"/>
      <c r="Z3378" s="183"/>
    </row>
    <row r="3379" spans="2:26">
      <c r="B3379" s="191"/>
      <c r="D3379" s="183"/>
      <c r="I3379" s="183"/>
      <c r="J3379" s="183"/>
      <c r="L3379" s="183"/>
      <c r="M3379" s="183"/>
      <c r="N3379" s="183"/>
      <c r="O3379" s="183"/>
      <c r="P3379" s="183"/>
      <c r="Q3379" s="183"/>
      <c r="R3379" s="183"/>
      <c r="S3379" s="183"/>
      <c r="T3379" s="183"/>
      <c r="U3379" s="183"/>
      <c r="V3379" s="183"/>
      <c r="W3379" s="183"/>
      <c r="X3379" s="183"/>
      <c r="Y3379" s="183"/>
      <c r="Z3379" s="183"/>
    </row>
    <row r="3380" spans="2:26">
      <c r="B3380" s="191"/>
      <c r="D3380" s="183"/>
      <c r="I3380" s="183"/>
      <c r="J3380" s="183"/>
      <c r="L3380" s="183"/>
      <c r="M3380" s="183"/>
      <c r="N3380" s="183"/>
      <c r="O3380" s="183"/>
      <c r="P3380" s="183"/>
      <c r="Q3380" s="183"/>
      <c r="R3380" s="183"/>
      <c r="S3380" s="183"/>
      <c r="T3380" s="183"/>
      <c r="U3380" s="183"/>
      <c r="V3380" s="183"/>
      <c r="W3380" s="183"/>
      <c r="X3380" s="183"/>
      <c r="Y3380" s="183"/>
      <c r="Z3380" s="183"/>
    </row>
    <row r="3381" spans="2:26">
      <c r="B3381" s="191"/>
      <c r="D3381" s="183"/>
      <c r="I3381" s="183"/>
      <c r="J3381" s="183"/>
      <c r="L3381" s="183"/>
      <c r="M3381" s="183"/>
      <c r="N3381" s="183"/>
      <c r="O3381" s="183"/>
      <c r="P3381" s="183"/>
      <c r="Q3381" s="183"/>
      <c r="R3381" s="183"/>
      <c r="S3381" s="183"/>
      <c r="T3381" s="183"/>
      <c r="U3381" s="183"/>
      <c r="V3381" s="183"/>
      <c r="W3381" s="183"/>
      <c r="X3381" s="183"/>
      <c r="Y3381" s="183"/>
      <c r="Z3381" s="183"/>
    </row>
    <row r="3382" spans="2:26">
      <c r="B3382" s="191"/>
      <c r="D3382" s="183"/>
      <c r="I3382" s="183"/>
      <c r="J3382" s="183"/>
      <c r="L3382" s="183"/>
      <c r="M3382" s="183"/>
      <c r="N3382" s="183"/>
      <c r="O3382" s="183"/>
      <c r="P3382" s="183"/>
      <c r="Q3382" s="183"/>
      <c r="R3382" s="183"/>
      <c r="S3382" s="183"/>
      <c r="T3382" s="183"/>
      <c r="U3382" s="183"/>
      <c r="V3382" s="183"/>
      <c r="W3382" s="183"/>
      <c r="X3382" s="183"/>
      <c r="Y3382" s="183"/>
      <c r="Z3382" s="183"/>
    </row>
    <row r="3383" spans="2:26">
      <c r="B3383" s="191"/>
      <c r="D3383" s="183"/>
      <c r="I3383" s="183"/>
      <c r="J3383" s="183"/>
      <c r="L3383" s="183"/>
      <c r="M3383" s="183"/>
      <c r="N3383" s="183"/>
      <c r="O3383" s="183"/>
      <c r="P3383" s="183"/>
      <c r="Q3383" s="183"/>
      <c r="R3383" s="183"/>
      <c r="S3383" s="183"/>
      <c r="T3383" s="183"/>
      <c r="U3383" s="183"/>
      <c r="V3383" s="183"/>
      <c r="W3383" s="183"/>
      <c r="X3383" s="183"/>
      <c r="Y3383" s="183"/>
      <c r="Z3383" s="183"/>
    </row>
    <row r="3384" spans="2:26">
      <c r="B3384" s="191"/>
      <c r="D3384" s="183"/>
      <c r="I3384" s="183"/>
      <c r="J3384" s="183"/>
      <c r="L3384" s="183"/>
      <c r="M3384" s="183"/>
      <c r="N3384" s="183"/>
      <c r="O3384" s="183"/>
      <c r="P3384" s="183"/>
      <c r="Q3384" s="183"/>
      <c r="R3384" s="183"/>
      <c r="S3384" s="183"/>
      <c r="T3384" s="183"/>
      <c r="U3384" s="183"/>
      <c r="V3384" s="183"/>
      <c r="W3384" s="183"/>
      <c r="X3384" s="183"/>
      <c r="Y3384" s="183"/>
      <c r="Z3384" s="183"/>
    </row>
    <row r="3385" spans="2:26">
      <c r="B3385" s="191"/>
      <c r="D3385" s="183"/>
      <c r="I3385" s="183"/>
      <c r="J3385" s="183"/>
      <c r="L3385" s="183"/>
      <c r="M3385" s="183"/>
      <c r="N3385" s="183"/>
      <c r="O3385" s="183"/>
      <c r="P3385" s="183"/>
      <c r="Q3385" s="183"/>
      <c r="R3385" s="183"/>
      <c r="S3385" s="183"/>
      <c r="T3385" s="183"/>
      <c r="U3385" s="183"/>
      <c r="V3385" s="183"/>
      <c r="W3385" s="183"/>
      <c r="X3385" s="183"/>
      <c r="Y3385" s="183"/>
      <c r="Z3385" s="183"/>
    </row>
    <row r="3386" spans="2:26">
      <c r="B3386" s="191"/>
      <c r="D3386" s="183"/>
      <c r="I3386" s="183"/>
      <c r="J3386" s="183"/>
      <c r="L3386" s="183"/>
      <c r="M3386" s="183"/>
      <c r="N3386" s="183"/>
      <c r="O3386" s="183"/>
      <c r="P3386" s="183"/>
      <c r="Q3386" s="183"/>
      <c r="R3386" s="183"/>
      <c r="S3386" s="183"/>
      <c r="T3386" s="183"/>
      <c r="U3386" s="183"/>
      <c r="V3386" s="183"/>
      <c r="W3386" s="183"/>
      <c r="X3386" s="183"/>
      <c r="Y3386" s="183"/>
      <c r="Z3386" s="183"/>
    </row>
    <row r="3387" spans="2:26">
      <c r="B3387" s="191"/>
      <c r="D3387" s="183"/>
      <c r="I3387" s="183"/>
      <c r="J3387" s="183"/>
      <c r="L3387" s="183"/>
      <c r="M3387" s="183"/>
      <c r="N3387" s="183"/>
      <c r="O3387" s="183"/>
      <c r="P3387" s="183"/>
      <c r="Q3387" s="183"/>
      <c r="R3387" s="183"/>
      <c r="S3387" s="183"/>
      <c r="T3387" s="183"/>
      <c r="U3387" s="183"/>
      <c r="V3387" s="183"/>
      <c r="W3387" s="183"/>
      <c r="X3387" s="183"/>
      <c r="Y3387" s="183"/>
      <c r="Z3387" s="183"/>
    </row>
    <row r="3388" spans="2:26">
      <c r="B3388" s="191"/>
      <c r="D3388" s="183"/>
      <c r="I3388" s="183"/>
      <c r="J3388" s="183"/>
      <c r="L3388" s="183"/>
      <c r="M3388" s="183"/>
      <c r="N3388" s="183"/>
      <c r="O3388" s="183"/>
      <c r="P3388" s="183"/>
      <c r="Q3388" s="183"/>
      <c r="R3388" s="183"/>
      <c r="S3388" s="183"/>
      <c r="T3388" s="183"/>
      <c r="U3388" s="183"/>
      <c r="V3388" s="183"/>
      <c r="W3388" s="183"/>
      <c r="X3388" s="183"/>
      <c r="Y3388" s="183"/>
      <c r="Z3388" s="183"/>
    </row>
    <row r="3389" spans="2:26">
      <c r="B3389" s="191"/>
      <c r="D3389" s="183"/>
      <c r="I3389" s="183"/>
      <c r="J3389" s="183"/>
      <c r="L3389" s="183"/>
      <c r="M3389" s="183"/>
      <c r="N3389" s="183"/>
      <c r="O3389" s="183"/>
      <c r="P3389" s="183"/>
      <c r="Q3389" s="183"/>
      <c r="R3389" s="183"/>
      <c r="S3389" s="183"/>
      <c r="T3389" s="183"/>
      <c r="U3389" s="183"/>
      <c r="V3389" s="183"/>
      <c r="W3389" s="183"/>
      <c r="X3389" s="183"/>
      <c r="Y3389" s="183"/>
      <c r="Z3389" s="183"/>
    </row>
    <row r="3390" spans="2:26">
      <c r="B3390" s="191"/>
      <c r="D3390" s="183"/>
      <c r="I3390" s="183"/>
      <c r="J3390" s="183"/>
      <c r="L3390" s="183"/>
      <c r="M3390" s="183"/>
      <c r="N3390" s="183"/>
      <c r="O3390" s="183"/>
      <c r="P3390" s="183"/>
      <c r="Q3390" s="183"/>
      <c r="R3390" s="183"/>
      <c r="S3390" s="183"/>
      <c r="T3390" s="183"/>
      <c r="U3390" s="183"/>
      <c r="V3390" s="183"/>
      <c r="W3390" s="183"/>
      <c r="X3390" s="183"/>
      <c r="Y3390" s="183"/>
      <c r="Z3390" s="183"/>
    </row>
    <row r="3391" spans="2:26">
      <c r="B3391" s="191"/>
      <c r="D3391" s="183"/>
      <c r="I3391" s="183"/>
      <c r="J3391" s="183"/>
      <c r="L3391" s="183"/>
      <c r="M3391" s="183"/>
      <c r="N3391" s="183"/>
      <c r="O3391" s="183"/>
      <c r="P3391" s="183"/>
      <c r="Q3391" s="183"/>
      <c r="R3391" s="183"/>
      <c r="S3391" s="183"/>
      <c r="T3391" s="183"/>
      <c r="U3391" s="183"/>
      <c r="V3391" s="183"/>
      <c r="W3391" s="183"/>
      <c r="X3391" s="183"/>
      <c r="Y3391" s="183"/>
      <c r="Z3391" s="183"/>
    </row>
    <row r="3392" spans="2:26">
      <c r="B3392" s="191"/>
      <c r="D3392" s="183"/>
      <c r="I3392" s="183"/>
      <c r="J3392" s="183"/>
      <c r="L3392" s="183"/>
      <c r="M3392" s="183"/>
      <c r="N3392" s="183"/>
      <c r="O3392" s="183"/>
      <c r="P3392" s="183"/>
      <c r="Q3392" s="183"/>
      <c r="R3392" s="183"/>
      <c r="S3392" s="183"/>
      <c r="T3392" s="183"/>
      <c r="U3392" s="183"/>
      <c r="V3392" s="183"/>
      <c r="W3392" s="183"/>
      <c r="X3392" s="183"/>
      <c r="Y3392" s="183"/>
      <c r="Z3392" s="183"/>
    </row>
    <row r="3393" spans="2:26">
      <c r="B3393" s="191"/>
      <c r="D3393" s="183"/>
      <c r="I3393" s="183"/>
      <c r="J3393" s="183"/>
      <c r="L3393" s="183"/>
      <c r="M3393" s="183"/>
      <c r="N3393" s="183"/>
      <c r="O3393" s="183"/>
      <c r="P3393" s="183"/>
      <c r="Q3393" s="183"/>
      <c r="R3393" s="183"/>
      <c r="S3393" s="183"/>
      <c r="T3393" s="183"/>
      <c r="U3393" s="183"/>
      <c r="V3393" s="183"/>
      <c r="W3393" s="183"/>
      <c r="X3393" s="183"/>
      <c r="Y3393" s="183"/>
      <c r="Z3393" s="183"/>
    </row>
    <row r="3394" spans="2:26">
      <c r="B3394" s="191"/>
      <c r="D3394" s="183"/>
      <c r="I3394" s="183"/>
      <c r="J3394" s="183"/>
      <c r="L3394" s="183"/>
      <c r="M3394" s="183"/>
      <c r="N3394" s="183"/>
      <c r="O3394" s="183"/>
      <c r="P3394" s="183"/>
      <c r="Q3394" s="183"/>
      <c r="R3394" s="183"/>
      <c r="S3394" s="183"/>
      <c r="T3394" s="183"/>
      <c r="U3394" s="183"/>
      <c r="V3394" s="183"/>
      <c r="W3394" s="183"/>
      <c r="X3394" s="183"/>
      <c r="Y3394" s="183"/>
      <c r="Z3394" s="183"/>
    </row>
    <row r="3395" spans="2:26">
      <c r="B3395" s="191"/>
      <c r="D3395" s="183"/>
      <c r="I3395" s="183"/>
      <c r="J3395" s="183"/>
      <c r="L3395" s="183"/>
      <c r="M3395" s="183"/>
      <c r="N3395" s="183"/>
      <c r="O3395" s="183"/>
      <c r="P3395" s="183"/>
      <c r="Q3395" s="183"/>
      <c r="R3395" s="183"/>
      <c r="S3395" s="183"/>
      <c r="T3395" s="183"/>
      <c r="U3395" s="183"/>
      <c r="V3395" s="183"/>
      <c r="W3395" s="183"/>
      <c r="X3395" s="183"/>
      <c r="Y3395" s="183"/>
      <c r="Z3395" s="183"/>
    </row>
    <row r="3396" spans="2:26">
      <c r="B3396" s="191"/>
      <c r="D3396" s="183"/>
      <c r="I3396" s="183"/>
      <c r="J3396" s="183"/>
      <c r="L3396" s="183"/>
      <c r="M3396" s="183"/>
      <c r="N3396" s="183"/>
      <c r="O3396" s="183"/>
      <c r="P3396" s="183"/>
      <c r="Q3396" s="183"/>
      <c r="R3396" s="183"/>
      <c r="S3396" s="183"/>
      <c r="T3396" s="183"/>
      <c r="U3396" s="183"/>
      <c r="V3396" s="183"/>
      <c r="W3396" s="183"/>
      <c r="X3396" s="183"/>
      <c r="Y3396" s="183"/>
      <c r="Z3396" s="183"/>
    </row>
    <row r="3397" spans="2:26">
      <c r="B3397" s="191"/>
      <c r="D3397" s="183"/>
      <c r="I3397" s="183"/>
      <c r="J3397" s="183"/>
      <c r="L3397" s="183"/>
      <c r="M3397" s="183"/>
      <c r="N3397" s="183"/>
      <c r="O3397" s="183"/>
      <c r="P3397" s="183"/>
      <c r="Q3397" s="183"/>
      <c r="R3397" s="183"/>
      <c r="S3397" s="183"/>
      <c r="T3397" s="183"/>
      <c r="U3397" s="183"/>
      <c r="V3397" s="183"/>
      <c r="W3397" s="183"/>
      <c r="X3397" s="183"/>
      <c r="Y3397" s="183"/>
      <c r="Z3397" s="183"/>
    </row>
    <row r="3398" spans="2:26">
      <c r="B3398" s="191"/>
      <c r="D3398" s="183"/>
      <c r="I3398" s="183"/>
      <c r="J3398" s="183"/>
      <c r="L3398" s="183"/>
      <c r="M3398" s="183"/>
      <c r="N3398" s="183"/>
      <c r="O3398" s="183"/>
      <c r="P3398" s="183"/>
      <c r="Q3398" s="183"/>
      <c r="R3398" s="183"/>
      <c r="S3398" s="183"/>
      <c r="T3398" s="183"/>
      <c r="U3398" s="183"/>
      <c r="V3398" s="183"/>
      <c r="W3398" s="183"/>
      <c r="X3398" s="183"/>
      <c r="Y3398" s="183"/>
      <c r="Z3398" s="183"/>
    </row>
    <row r="3399" spans="2:26">
      <c r="B3399" s="191"/>
      <c r="D3399" s="183"/>
      <c r="I3399" s="183"/>
      <c r="J3399" s="183"/>
      <c r="L3399" s="183"/>
      <c r="M3399" s="183"/>
      <c r="N3399" s="183"/>
      <c r="O3399" s="183"/>
      <c r="P3399" s="183"/>
      <c r="Q3399" s="183"/>
      <c r="R3399" s="183"/>
      <c r="S3399" s="183"/>
      <c r="T3399" s="183"/>
      <c r="U3399" s="183"/>
      <c r="V3399" s="183"/>
      <c r="W3399" s="183"/>
      <c r="X3399" s="183"/>
      <c r="Y3399" s="183"/>
      <c r="Z3399" s="183"/>
    </row>
    <row r="3400" spans="2:26">
      <c r="B3400" s="191"/>
      <c r="D3400" s="183"/>
      <c r="I3400" s="183"/>
      <c r="J3400" s="183"/>
      <c r="L3400" s="183"/>
      <c r="M3400" s="183"/>
      <c r="N3400" s="183"/>
      <c r="O3400" s="183"/>
      <c r="P3400" s="183"/>
      <c r="Q3400" s="183"/>
      <c r="R3400" s="183"/>
      <c r="S3400" s="183"/>
      <c r="T3400" s="183"/>
      <c r="U3400" s="183"/>
      <c r="V3400" s="183"/>
      <c r="W3400" s="183"/>
      <c r="X3400" s="183"/>
      <c r="Y3400" s="183"/>
      <c r="Z3400" s="183"/>
    </row>
    <row r="3401" spans="2:26">
      <c r="B3401" s="191"/>
      <c r="D3401" s="183"/>
      <c r="I3401" s="183"/>
      <c r="J3401" s="183"/>
      <c r="L3401" s="183"/>
      <c r="M3401" s="183"/>
      <c r="N3401" s="183"/>
      <c r="O3401" s="183"/>
      <c r="P3401" s="183"/>
      <c r="Q3401" s="183"/>
      <c r="R3401" s="183"/>
      <c r="S3401" s="183"/>
      <c r="T3401" s="183"/>
      <c r="U3401" s="183"/>
      <c r="V3401" s="183"/>
      <c r="W3401" s="183"/>
      <c r="X3401" s="183"/>
      <c r="Y3401" s="183"/>
      <c r="Z3401" s="183"/>
    </row>
    <row r="3402" spans="2:26">
      <c r="B3402" s="191"/>
      <c r="D3402" s="183"/>
      <c r="I3402" s="183"/>
      <c r="J3402" s="183"/>
      <c r="L3402" s="183"/>
      <c r="M3402" s="183"/>
      <c r="N3402" s="183"/>
      <c r="O3402" s="183"/>
      <c r="P3402" s="183"/>
      <c r="Q3402" s="183"/>
      <c r="R3402" s="183"/>
      <c r="S3402" s="183"/>
      <c r="T3402" s="183"/>
      <c r="U3402" s="183"/>
      <c r="V3402" s="183"/>
      <c r="W3402" s="183"/>
      <c r="X3402" s="183"/>
      <c r="Y3402" s="183"/>
      <c r="Z3402" s="183"/>
    </row>
    <row r="3403" spans="2:26">
      <c r="B3403" s="191"/>
      <c r="D3403" s="183"/>
      <c r="I3403" s="183"/>
      <c r="J3403" s="183"/>
      <c r="L3403" s="183"/>
      <c r="M3403" s="183"/>
      <c r="N3403" s="183"/>
      <c r="O3403" s="183"/>
      <c r="P3403" s="183"/>
      <c r="Q3403" s="183"/>
      <c r="R3403" s="183"/>
      <c r="S3403" s="183"/>
      <c r="T3403" s="183"/>
      <c r="U3403" s="183"/>
      <c r="V3403" s="183"/>
      <c r="W3403" s="183"/>
      <c r="X3403" s="183"/>
      <c r="Y3403" s="183"/>
      <c r="Z3403" s="183"/>
    </row>
    <row r="3404" spans="2:26">
      <c r="B3404" s="191"/>
      <c r="D3404" s="183"/>
      <c r="I3404" s="183"/>
      <c r="J3404" s="183"/>
      <c r="L3404" s="183"/>
      <c r="M3404" s="183"/>
      <c r="N3404" s="183"/>
      <c r="O3404" s="183"/>
      <c r="P3404" s="183"/>
      <c r="Q3404" s="183"/>
      <c r="R3404" s="183"/>
      <c r="S3404" s="183"/>
      <c r="T3404" s="183"/>
      <c r="U3404" s="183"/>
      <c r="V3404" s="183"/>
      <c r="W3404" s="183"/>
      <c r="X3404" s="183"/>
      <c r="Y3404" s="183"/>
      <c r="Z3404" s="183"/>
    </row>
    <row r="3405" spans="2:26">
      <c r="B3405" s="191"/>
      <c r="D3405" s="183"/>
      <c r="I3405" s="183"/>
      <c r="J3405" s="183"/>
      <c r="L3405" s="183"/>
      <c r="M3405" s="183"/>
      <c r="N3405" s="183"/>
      <c r="O3405" s="183"/>
      <c r="P3405" s="183"/>
      <c r="Q3405" s="183"/>
      <c r="R3405" s="183"/>
      <c r="S3405" s="183"/>
      <c r="T3405" s="183"/>
      <c r="U3405" s="183"/>
      <c r="V3405" s="183"/>
      <c r="W3405" s="183"/>
      <c r="X3405" s="183"/>
      <c r="Y3405" s="183"/>
      <c r="Z3405" s="183"/>
    </row>
    <row r="3406" spans="2:26">
      <c r="B3406" s="191"/>
      <c r="D3406" s="183"/>
      <c r="I3406" s="183"/>
      <c r="J3406" s="183"/>
      <c r="L3406" s="183"/>
      <c r="M3406" s="183"/>
      <c r="N3406" s="183"/>
      <c r="O3406" s="183"/>
      <c r="P3406" s="183"/>
      <c r="Q3406" s="183"/>
      <c r="R3406" s="183"/>
      <c r="S3406" s="183"/>
      <c r="T3406" s="183"/>
      <c r="U3406" s="183"/>
      <c r="V3406" s="183"/>
      <c r="W3406" s="183"/>
      <c r="X3406" s="183"/>
      <c r="Y3406" s="183"/>
      <c r="Z3406" s="183"/>
    </row>
    <row r="3407" spans="2:26">
      <c r="B3407" s="191"/>
      <c r="D3407" s="183"/>
      <c r="I3407" s="183"/>
      <c r="J3407" s="183"/>
      <c r="L3407" s="183"/>
      <c r="M3407" s="183"/>
      <c r="N3407" s="183"/>
      <c r="O3407" s="183"/>
      <c r="P3407" s="183"/>
      <c r="Q3407" s="183"/>
      <c r="R3407" s="183"/>
      <c r="S3407" s="183"/>
      <c r="T3407" s="183"/>
      <c r="U3407" s="183"/>
      <c r="V3407" s="183"/>
      <c r="W3407" s="183"/>
      <c r="X3407" s="183"/>
      <c r="Y3407" s="183"/>
      <c r="Z3407" s="183"/>
    </row>
    <row r="3408" spans="2:26">
      <c r="B3408" s="191"/>
      <c r="D3408" s="183"/>
      <c r="I3408" s="183"/>
      <c r="J3408" s="183"/>
      <c r="L3408" s="183"/>
      <c r="M3408" s="183"/>
      <c r="N3408" s="183"/>
      <c r="O3408" s="183"/>
      <c r="P3408" s="183"/>
      <c r="Q3408" s="183"/>
      <c r="R3408" s="183"/>
      <c r="S3408" s="183"/>
      <c r="T3408" s="183"/>
      <c r="U3408" s="183"/>
      <c r="V3408" s="183"/>
      <c r="W3408" s="183"/>
      <c r="X3408" s="183"/>
      <c r="Y3408" s="183"/>
      <c r="Z3408" s="183"/>
    </row>
    <row r="3409" spans="2:26">
      <c r="B3409" s="191"/>
      <c r="D3409" s="183"/>
      <c r="I3409" s="183"/>
      <c r="J3409" s="183"/>
      <c r="L3409" s="183"/>
      <c r="M3409" s="183"/>
      <c r="N3409" s="183"/>
      <c r="O3409" s="183"/>
      <c r="P3409" s="183"/>
      <c r="Q3409" s="183"/>
      <c r="R3409" s="183"/>
      <c r="S3409" s="183"/>
      <c r="T3409" s="183"/>
      <c r="U3409" s="183"/>
      <c r="V3409" s="183"/>
      <c r="W3409" s="183"/>
      <c r="X3409" s="183"/>
      <c r="Y3409" s="183"/>
      <c r="Z3409" s="183"/>
    </row>
    <row r="3410" spans="2:26">
      <c r="B3410" s="191"/>
      <c r="D3410" s="183"/>
      <c r="I3410" s="183"/>
      <c r="J3410" s="183"/>
      <c r="L3410" s="183"/>
      <c r="M3410" s="183"/>
      <c r="N3410" s="183"/>
      <c r="O3410" s="183"/>
      <c r="P3410" s="183"/>
      <c r="Q3410" s="183"/>
      <c r="R3410" s="183"/>
      <c r="S3410" s="183"/>
      <c r="T3410" s="183"/>
      <c r="U3410" s="183"/>
      <c r="V3410" s="183"/>
      <c r="W3410" s="183"/>
      <c r="X3410" s="183"/>
      <c r="Y3410" s="183"/>
      <c r="Z3410" s="183"/>
    </row>
    <row r="3411" spans="2:26">
      <c r="B3411" s="191"/>
      <c r="D3411" s="183"/>
      <c r="I3411" s="183"/>
      <c r="J3411" s="183"/>
      <c r="L3411" s="183"/>
      <c r="M3411" s="183"/>
      <c r="N3411" s="183"/>
      <c r="O3411" s="183"/>
      <c r="P3411" s="183"/>
      <c r="Q3411" s="183"/>
      <c r="R3411" s="183"/>
      <c r="S3411" s="183"/>
      <c r="T3411" s="183"/>
      <c r="U3411" s="183"/>
      <c r="V3411" s="183"/>
      <c r="W3411" s="183"/>
      <c r="X3411" s="183"/>
      <c r="Y3411" s="183"/>
      <c r="Z3411" s="183"/>
    </row>
    <row r="3412" spans="2:26">
      <c r="B3412" s="191"/>
      <c r="D3412" s="183"/>
      <c r="I3412" s="183"/>
      <c r="J3412" s="183"/>
      <c r="L3412" s="183"/>
      <c r="M3412" s="183"/>
      <c r="N3412" s="183"/>
      <c r="O3412" s="183"/>
      <c r="P3412" s="183"/>
      <c r="Q3412" s="183"/>
      <c r="R3412" s="183"/>
      <c r="S3412" s="183"/>
      <c r="T3412" s="183"/>
      <c r="U3412" s="183"/>
      <c r="V3412" s="183"/>
      <c r="W3412" s="183"/>
      <c r="X3412" s="183"/>
      <c r="Y3412" s="183"/>
      <c r="Z3412" s="183"/>
    </row>
    <row r="3413" spans="2:26">
      <c r="B3413" s="191"/>
      <c r="D3413" s="183"/>
      <c r="I3413" s="183"/>
      <c r="J3413" s="183"/>
      <c r="L3413" s="183"/>
      <c r="M3413" s="183"/>
      <c r="N3413" s="183"/>
      <c r="O3413" s="183"/>
      <c r="P3413" s="183"/>
      <c r="Q3413" s="183"/>
      <c r="R3413" s="183"/>
      <c r="S3413" s="183"/>
      <c r="T3413" s="183"/>
      <c r="U3413" s="183"/>
      <c r="V3413" s="183"/>
      <c r="W3413" s="183"/>
      <c r="X3413" s="183"/>
      <c r="Y3413" s="183"/>
      <c r="Z3413" s="183"/>
    </row>
    <row r="3414" spans="2:26">
      <c r="B3414" s="191"/>
      <c r="D3414" s="183"/>
      <c r="I3414" s="183"/>
      <c r="J3414" s="183"/>
      <c r="L3414" s="183"/>
      <c r="M3414" s="183"/>
      <c r="N3414" s="183"/>
      <c r="O3414" s="183"/>
      <c r="P3414" s="183"/>
      <c r="Q3414" s="183"/>
      <c r="R3414" s="183"/>
      <c r="S3414" s="183"/>
      <c r="T3414" s="183"/>
      <c r="U3414" s="183"/>
      <c r="V3414" s="183"/>
      <c r="W3414" s="183"/>
      <c r="X3414" s="183"/>
      <c r="Y3414" s="183"/>
      <c r="Z3414" s="183"/>
    </row>
    <row r="3415" spans="2:26">
      <c r="B3415" s="191"/>
      <c r="D3415" s="183"/>
      <c r="I3415" s="183"/>
      <c r="J3415" s="183"/>
      <c r="L3415" s="183"/>
      <c r="M3415" s="183"/>
      <c r="N3415" s="183"/>
      <c r="O3415" s="183"/>
      <c r="P3415" s="183"/>
      <c r="Q3415" s="183"/>
      <c r="R3415" s="183"/>
      <c r="S3415" s="183"/>
      <c r="T3415" s="183"/>
      <c r="U3415" s="183"/>
      <c r="V3415" s="183"/>
      <c r="W3415" s="183"/>
      <c r="X3415" s="183"/>
      <c r="Y3415" s="183"/>
      <c r="Z3415" s="183"/>
    </row>
    <row r="3416" spans="2:26">
      <c r="B3416" s="191"/>
      <c r="D3416" s="183"/>
      <c r="I3416" s="183"/>
      <c r="J3416" s="183"/>
      <c r="L3416" s="183"/>
      <c r="M3416" s="183"/>
      <c r="N3416" s="183"/>
      <c r="O3416" s="183"/>
      <c r="P3416" s="183"/>
      <c r="Q3416" s="183"/>
      <c r="R3416" s="183"/>
      <c r="S3416" s="183"/>
      <c r="T3416" s="183"/>
      <c r="U3416" s="183"/>
      <c r="V3416" s="183"/>
      <c r="W3416" s="183"/>
      <c r="X3416" s="183"/>
      <c r="Y3416" s="183"/>
      <c r="Z3416" s="183"/>
    </row>
    <row r="3417" spans="2:26">
      <c r="B3417" s="191"/>
      <c r="D3417" s="183"/>
      <c r="I3417" s="183"/>
      <c r="J3417" s="183"/>
      <c r="L3417" s="183"/>
      <c r="M3417" s="183"/>
      <c r="N3417" s="183"/>
      <c r="O3417" s="183"/>
      <c r="P3417" s="183"/>
      <c r="Q3417" s="183"/>
      <c r="R3417" s="183"/>
      <c r="S3417" s="183"/>
      <c r="T3417" s="183"/>
      <c r="U3417" s="183"/>
      <c r="V3417" s="183"/>
      <c r="W3417" s="183"/>
      <c r="X3417" s="183"/>
      <c r="Y3417" s="183"/>
      <c r="Z3417" s="183"/>
    </row>
    <row r="3418" spans="2:26">
      <c r="B3418" s="191"/>
      <c r="D3418" s="183"/>
      <c r="I3418" s="183"/>
      <c r="J3418" s="183"/>
      <c r="L3418" s="183"/>
      <c r="M3418" s="183"/>
      <c r="N3418" s="183"/>
      <c r="O3418" s="183"/>
      <c r="P3418" s="183"/>
      <c r="Q3418" s="183"/>
      <c r="R3418" s="183"/>
      <c r="S3418" s="183"/>
      <c r="T3418" s="183"/>
      <c r="U3418" s="183"/>
      <c r="V3418" s="183"/>
      <c r="W3418" s="183"/>
      <c r="X3418" s="183"/>
      <c r="Y3418" s="183"/>
      <c r="Z3418" s="183"/>
    </row>
    <row r="3419" spans="2:26">
      <c r="B3419" s="191"/>
      <c r="D3419" s="183"/>
      <c r="I3419" s="183"/>
      <c r="J3419" s="183"/>
      <c r="L3419" s="183"/>
      <c r="M3419" s="183"/>
      <c r="N3419" s="183"/>
      <c r="O3419" s="183"/>
      <c r="P3419" s="183"/>
      <c r="Q3419" s="183"/>
      <c r="R3419" s="183"/>
      <c r="S3419" s="183"/>
      <c r="T3419" s="183"/>
      <c r="U3419" s="183"/>
      <c r="V3419" s="183"/>
      <c r="W3419" s="183"/>
      <c r="X3419" s="183"/>
      <c r="Y3419" s="183"/>
      <c r="Z3419" s="183"/>
    </row>
    <row r="3420" spans="2:26">
      <c r="B3420" s="191"/>
      <c r="D3420" s="183"/>
      <c r="I3420" s="183"/>
      <c r="J3420" s="183"/>
      <c r="L3420" s="183"/>
      <c r="M3420" s="183"/>
      <c r="N3420" s="183"/>
      <c r="O3420" s="183"/>
      <c r="P3420" s="183"/>
      <c r="Q3420" s="183"/>
      <c r="R3420" s="183"/>
      <c r="S3420" s="183"/>
      <c r="T3420" s="183"/>
      <c r="U3420" s="183"/>
      <c r="V3420" s="183"/>
      <c r="W3420" s="183"/>
      <c r="X3420" s="183"/>
      <c r="Y3420" s="183"/>
      <c r="Z3420" s="183"/>
    </row>
    <row r="3421" spans="2:26">
      <c r="B3421" s="191"/>
      <c r="D3421" s="183"/>
      <c r="I3421" s="183"/>
      <c r="J3421" s="183"/>
      <c r="L3421" s="183"/>
      <c r="M3421" s="183"/>
      <c r="N3421" s="183"/>
      <c r="O3421" s="183"/>
      <c r="P3421" s="183"/>
      <c r="Q3421" s="183"/>
      <c r="R3421" s="183"/>
      <c r="S3421" s="183"/>
      <c r="T3421" s="183"/>
      <c r="U3421" s="183"/>
      <c r="V3421" s="183"/>
      <c r="W3421" s="183"/>
      <c r="X3421" s="183"/>
      <c r="Y3421" s="183"/>
      <c r="Z3421" s="183"/>
    </row>
    <row r="3422" spans="2:26">
      <c r="B3422" s="191"/>
      <c r="D3422" s="183"/>
      <c r="I3422" s="183"/>
      <c r="J3422" s="183"/>
      <c r="L3422" s="183"/>
      <c r="M3422" s="183"/>
      <c r="N3422" s="183"/>
      <c r="O3422" s="183"/>
      <c r="P3422" s="183"/>
      <c r="Q3422" s="183"/>
      <c r="R3422" s="183"/>
      <c r="S3422" s="183"/>
      <c r="T3422" s="183"/>
      <c r="U3422" s="183"/>
      <c r="V3422" s="183"/>
      <c r="W3422" s="183"/>
      <c r="X3422" s="183"/>
      <c r="Y3422" s="183"/>
      <c r="Z3422" s="183"/>
    </row>
    <row r="3423" spans="2:26">
      <c r="B3423" s="191"/>
      <c r="D3423" s="183"/>
      <c r="I3423" s="183"/>
      <c r="J3423" s="183"/>
      <c r="L3423" s="183"/>
      <c r="M3423" s="183"/>
      <c r="N3423" s="183"/>
      <c r="O3423" s="183"/>
      <c r="P3423" s="183"/>
      <c r="Q3423" s="183"/>
      <c r="R3423" s="183"/>
      <c r="S3423" s="183"/>
      <c r="T3423" s="183"/>
      <c r="U3423" s="183"/>
      <c r="V3423" s="183"/>
      <c r="W3423" s="183"/>
      <c r="X3423" s="183"/>
      <c r="Y3423" s="183"/>
      <c r="Z3423" s="183"/>
    </row>
    <row r="3424" spans="2:26">
      <c r="B3424" s="191"/>
      <c r="D3424" s="183"/>
      <c r="I3424" s="183"/>
      <c r="J3424" s="183"/>
      <c r="L3424" s="183"/>
      <c r="M3424" s="183"/>
      <c r="N3424" s="183"/>
      <c r="O3424" s="183"/>
      <c r="P3424" s="183"/>
      <c r="Q3424" s="183"/>
      <c r="R3424" s="183"/>
      <c r="S3424" s="183"/>
      <c r="T3424" s="183"/>
      <c r="U3424" s="183"/>
      <c r="V3424" s="183"/>
      <c r="W3424" s="183"/>
      <c r="X3424" s="183"/>
      <c r="Y3424" s="183"/>
      <c r="Z3424" s="183"/>
    </row>
    <row r="3425" spans="2:26">
      <c r="B3425" s="191"/>
      <c r="D3425" s="183"/>
      <c r="I3425" s="183"/>
      <c r="J3425" s="183"/>
      <c r="L3425" s="183"/>
      <c r="M3425" s="183"/>
      <c r="N3425" s="183"/>
      <c r="O3425" s="183"/>
      <c r="P3425" s="183"/>
      <c r="Q3425" s="183"/>
      <c r="R3425" s="183"/>
      <c r="S3425" s="183"/>
      <c r="T3425" s="183"/>
      <c r="U3425" s="183"/>
      <c r="V3425" s="183"/>
      <c r="W3425" s="183"/>
      <c r="X3425" s="183"/>
      <c r="Y3425" s="183"/>
      <c r="Z3425" s="183"/>
    </row>
    <row r="3426" spans="2:26">
      <c r="B3426" s="191"/>
      <c r="D3426" s="183"/>
      <c r="I3426" s="183"/>
      <c r="J3426" s="183"/>
      <c r="L3426" s="183"/>
      <c r="M3426" s="183"/>
      <c r="N3426" s="183"/>
      <c r="O3426" s="183"/>
      <c r="P3426" s="183"/>
      <c r="Q3426" s="183"/>
      <c r="R3426" s="183"/>
      <c r="S3426" s="183"/>
      <c r="T3426" s="183"/>
      <c r="U3426" s="183"/>
      <c r="V3426" s="183"/>
      <c r="W3426" s="183"/>
      <c r="X3426" s="183"/>
      <c r="Y3426" s="183"/>
      <c r="Z3426" s="183"/>
    </row>
    <row r="3427" spans="2:26">
      <c r="B3427" s="191"/>
      <c r="D3427" s="183"/>
      <c r="I3427" s="183"/>
      <c r="J3427" s="183"/>
      <c r="L3427" s="183"/>
      <c r="M3427" s="183"/>
      <c r="N3427" s="183"/>
      <c r="O3427" s="183"/>
      <c r="P3427" s="183"/>
      <c r="Q3427" s="183"/>
      <c r="R3427" s="183"/>
      <c r="S3427" s="183"/>
      <c r="T3427" s="183"/>
      <c r="U3427" s="183"/>
      <c r="V3427" s="183"/>
      <c r="W3427" s="183"/>
      <c r="X3427" s="183"/>
      <c r="Y3427" s="183"/>
      <c r="Z3427" s="183"/>
    </row>
    <row r="3428" spans="2:26">
      <c r="B3428" s="191"/>
      <c r="D3428" s="183"/>
      <c r="I3428" s="183"/>
      <c r="J3428" s="183"/>
      <c r="L3428" s="183"/>
      <c r="M3428" s="183"/>
      <c r="N3428" s="183"/>
      <c r="O3428" s="183"/>
      <c r="P3428" s="183"/>
      <c r="Q3428" s="183"/>
      <c r="R3428" s="183"/>
      <c r="S3428" s="183"/>
      <c r="T3428" s="183"/>
      <c r="U3428" s="183"/>
      <c r="V3428" s="183"/>
      <c r="W3428" s="183"/>
      <c r="X3428" s="183"/>
      <c r="Y3428" s="183"/>
      <c r="Z3428" s="183"/>
    </row>
    <row r="3429" spans="2:26">
      <c r="B3429" s="191"/>
      <c r="D3429" s="183"/>
      <c r="I3429" s="183"/>
      <c r="J3429" s="183"/>
      <c r="L3429" s="183"/>
      <c r="M3429" s="183"/>
      <c r="N3429" s="183"/>
      <c r="O3429" s="183"/>
      <c r="P3429" s="183"/>
      <c r="Q3429" s="183"/>
      <c r="R3429" s="183"/>
      <c r="S3429" s="183"/>
      <c r="T3429" s="183"/>
      <c r="U3429" s="183"/>
      <c r="V3429" s="183"/>
      <c r="W3429" s="183"/>
      <c r="X3429" s="183"/>
      <c r="Y3429" s="183"/>
      <c r="Z3429" s="183"/>
    </row>
    <row r="3430" spans="2:26">
      <c r="B3430" s="191"/>
      <c r="D3430" s="183"/>
      <c r="I3430" s="183"/>
      <c r="J3430" s="183"/>
      <c r="L3430" s="183"/>
      <c r="M3430" s="183"/>
      <c r="N3430" s="183"/>
      <c r="O3430" s="183"/>
      <c r="P3430" s="183"/>
      <c r="Q3430" s="183"/>
      <c r="R3430" s="183"/>
      <c r="S3430" s="183"/>
      <c r="T3430" s="183"/>
      <c r="U3430" s="183"/>
      <c r="V3430" s="183"/>
      <c r="W3430" s="183"/>
      <c r="X3430" s="183"/>
      <c r="Y3430" s="183"/>
      <c r="Z3430" s="183"/>
    </row>
    <row r="3431" spans="2:26">
      <c r="B3431" s="191"/>
      <c r="D3431" s="183"/>
      <c r="I3431" s="183"/>
      <c r="J3431" s="183"/>
      <c r="L3431" s="183"/>
      <c r="M3431" s="183"/>
      <c r="N3431" s="183"/>
      <c r="O3431" s="183"/>
      <c r="P3431" s="183"/>
      <c r="Q3431" s="183"/>
      <c r="R3431" s="183"/>
      <c r="S3431" s="183"/>
      <c r="T3431" s="183"/>
      <c r="U3431" s="183"/>
      <c r="V3431" s="183"/>
      <c r="W3431" s="183"/>
      <c r="X3431" s="183"/>
      <c r="Y3431" s="183"/>
      <c r="Z3431" s="183"/>
    </row>
    <row r="3432" spans="2:26">
      <c r="B3432" s="191"/>
      <c r="D3432" s="183"/>
      <c r="I3432" s="183"/>
      <c r="J3432" s="183"/>
      <c r="L3432" s="183"/>
      <c r="M3432" s="183"/>
      <c r="N3432" s="183"/>
      <c r="O3432" s="183"/>
      <c r="P3432" s="183"/>
      <c r="Q3432" s="183"/>
      <c r="R3432" s="183"/>
      <c r="S3432" s="183"/>
      <c r="T3432" s="183"/>
      <c r="U3432" s="183"/>
      <c r="V3432" s="183"/>
      <c r="W3432" s="183"/>
      <c r="X3432" s="183"/>
      <c r="Y3432" s="183"/>
      <c r="Z3432" s="183"/>
    </row>
    <row r="3433" spans="2:26">
      <c r="B3433" s="191"/>
      <c r="D3433" s="183"/>
      <c r="I3433" s="183"/>
      <c r="J3433" s="183"/>
      <c r="L3433" s="183"/>
      <c r="M3433" s="183"/>
      <c r="N3433" s="183"/>
      <c r="O3433" s="183"/>
      <c r="P3433" s="183"/>
      <c r="Q3433" s="183"/>
      <c r="R3433" s="183"/>
      <c r="S3433" s="183"/>
      <c r="T3433" s="183"/>
      <c r="U3433" s="183"/>
      <c r="V3433" s="183"/>
      <c r="W3433" s="183"/>
      <c r="X3433" s="183"/>
      <c r="Y3433" s="183"/>
      <c r="Z3433" s="183"/>
    </row>
    <row r="3434" spans="2:26">
      <c r="B3434" s="191"/>
      <c r="D3434" s="183"/>
      <c r="I3434" s="183"/>
      <c r="J3434" s="183"/>
      <c r="L3434" s="183"/>
      <c r="M3434" s="183"/>
      <c r="N3434" s="183"/>
      <c r="O3434" s="183"/>
      <c r="P3434" s="183"/>
      <c r="Q3434" s="183"/>
      <c r="R3434" s="183"/>
      <c r="S3434" s="183"/>
      <c r="T3434" s="183"/>
      <c r="U3434" s="183"/>
      <c r="V3434" s="183"/>
      <c r="W3434" s="183"/>
      <c r="X3434" s="183"/>
      <c r="Y3434" s="183"/>
      <c r="Z3434" s="183"/>
    </row>
    <row r="3435" spans="2:26">
      <c r="B3435" s="191"/>
      <c r="D3435" s="183"/>
      <c r="I3435" s="183"/>
      <c r="J3435" s="183"/>
      <c r="L3435" s="183"/>
      <c r="M3435" s="183"/>
      <c r="N3435" s="183"/>
      <c r="O3435" s="183"/>
      <c r="P3435" s="183"/>
      <c r="Q3435" s="183"/>
      <c r="R3435" s="183"/>
      <c r="S3435" s="183"/>
      <c r="T3435" s="183"/>
      <c r="U3435" s="183"/>
      <c r="V3435" s="183"/>
      <c r="W3435" s="183"/>
      <c r="X3435" s="183"/>
      <c r="Y3435" s="183"/>
      <c r="Z3435" s="183"/>
    </row>
    <row r="3436" spans="2:26">
      <c r="B3436" s="191"/>
      <c r="D3436" s="183"/>
      <c r="I3436" s="183"/>
      <c r="J3436" s="183"/>
      <c r="L3436" s="183"/>
      <c r="M3436" s="183"/>
      <c r="N3436" s="183"/>
      <c r="O3436" s="183"/>
      <c r="P3436" s="183"/>
      <c r="Q3436" s="183"/>
      <c r="R3436" s="183"/>
      <c r="S3436" s="183"/>
      <c r="T3436" s="183"/>
      <c r="U3436" s="183"/>
      <c r="V3436" s="183"/>
      <c r="W3436" s="183"/>
      <c r="X3436" s="183"/>
      <c r="Y3436" s="183"/>
      <c r="Z3436" s="183"/>
    </row>
    <row r="3437" spans="2:26">
      <c r="B3437" s="191"/>
      <c r="D3437" s="183"/>
      <c r="I3437" s="183"/>
      <c r="J3437" s="183"/>
      <c r="L3437" s="183"/>
      <c r="M3437" s="183"/>
      <c r="N3437" s="183"/>
      <c r="O3437" s="183"/>
      <c r="P3437" s="183"/>
      <c r="Q3437" s="183"/>
      <c r="R3437" s="183"/>
      <c r="S3437" s="183"/>
      <c r="T3437" s="183"/>
      <c r="U3437" s="183"/>
      <c r="V3437" s="183"/>
      <c r="W3437" s="183"/>
      <c r="X3437" s="183"/>
      <c r="Y3437" s="183"/>
      <c r="Z3437" s="183"/>
    </row>
    <row r="3438" spans="2:26">
      <c r="B3438" s="191"/>
      <c r="D3438" s="183"/>
      <c r="I3438" s="183"/>
      <c r="J3438" s="183"/>
      <c r="L3438" s="183"/>
      <c r="M3438" s="183"/>
      <c r="N3438" s="183"/>
      <c r="O3438" s="183"/>
      <c r="P3438" s="183"/>
      <c r="Q3438" s="183"/>
      <c r="R3438" s="183"/>
      <c r="S3438" s="183"/>
      <c r="T3438" s="183"/>
      <c r="U3438" s="183"/>
      <c r="V3438" s="183"/>
      <c r="W3438" s="183"/>
      <c r="X3438" s="183"/>
      <c r="Y3438" s="183"/>
      <c r="Z3438" s="183"/>
    </row>
    <row r="3439" spans="2:26">
      <c r="B3439" s="191"/>
      <c r="D3439" s="183"/>
      <c r="I3439" s="183"/>
      <c r="J3439" s="183"/>
      <c r="L3439" s="183"/>
      <c r="M3439" s="183"/>
      <c r="N3439" s="183"/>
      <c r="O3439" s="183"/>
      <c r="P3439" s="183"/>
      <c r="Q3439" s="183"/>
      <c r="R3439" s="183"/>
      <c r="S3439" s="183"/>
      <c r="T3439" s="183"/>
      <c r="U3439" s="183"/>
      <c r="V3439" s="183"/>
      <c r="W3439" s="183"/>
      <c r="X3439" s="183"/>
      <c r="Y3439" s="183"/>
      <c r="Z3439" s="183"/>
    </row>
    <row r="3440" spans="2:26">
      <c r="B3440" s="191"/>
      <c r="D3440" s="183"/>
      <c r="I3440" s="183"/>
      <c r="J3440" s="183"/>
      <c r="L3440" s="183"/>
      <c r="M3440" s="183"/>
      <c r="N3440" s="183"/>
      <c r="O3440" s="183"/>
      <c r="P3440" s="183"/>
      <c r="Q3440" s="183"/>
      <c r="R3440" s="183"/>
      <c r="S3440" s="183"/>
      <c r="T3440" s="183"/>
      <c r="U3440" s="183"/>
      <c r="V3440" s="183"/>
      <c r="W3440" s="183"/>
      <c r="X3440" s="183"/>
      <c r="Y3440" s="183"/>
      <c r="Z3440" s="183"/>
    </row>
    <row r="3441" spans="2:26">
      <c r="B3441" s="191"/>
      <c r="D3441" s="183"/>
      <c r="I3441" s="183"/>
      <c r="J3441" s="183"/>
      <c r="L3441" s="183"/>
      <c r="M3441" s="183"/>
      <c r="N3441" s="183"/>
      <c r="O3441" s="183"/>
      <c r="P3441" s="183"/>
      <c r="Q3441" s="183"/>
      <c r="R3441" s="183"/>
      <c r="S3441" s="183"/>
      <c r="T3441" s="183"/>
      <c r="U3441" s="183"/>
      <c r="V3441" s="183"/>
      <c r="W3441" s="183"/>
      <c r="X3441" s="183"/>
      <c r="Y3441" s="183"/>
      <c r="Z3441" s="183"/>
    </row>
    <row r="3442" spans="2:26">
      <c r="B3442" s="191"/>
      <c r="D3442" s="183"/>
      <c r="I3442" s="183"/>
      <c r="J3442" s="183"/>
      <c r="L3442" s="183"/>
      <c r="M3442" s="183"/>
      <c r="N3442" s="183"/>
      <c r="O3442" s="183"/>
      <c r="P3442" s="183"/>
      <c r="Q3442" s="183"/>
      <c r="R3442" s="183"/>
      <c r="S3442" s="183"/>
      <c r="T3442" s="183"/>
      <c r="U3442" s="183"/>
      <c r="V3442" s="183"/>
      <c r="W3442" s="183"/>
      <c r="X3442" s="183"/>
      <c r="Y3442" s="183"/>
      <c r="Z3442" s="183"/>
    </row>
    <row r="3443" spans="2:26">
      <c r="B3443" s="191"/>
      <c r="D3443" s="183"/>
      <c r="I3443" s="183"/>
      <c r="J3443" s="183"/>
      <c r="L3443" s="183"/>
      <c r="M3443" s="183"/>
      <c r="N3443" s="183"/>
      <c r="O3443" s="183"/>
      <c r="P3443" s="183"/>
      <c r="Q3443" s="183"/>
      <c r="R3443" s="183"/>
      <c r="S3443" s="183"/>
      <c r="T3443" s="183"/>
      <c r="U3443" s="183"/>
      <c r="V3443" s="183"/>
      <c r="W3443" s="183"/>
      <c r="X3443" s="183"/>
      <c r="Y3443" s="183"/>
      <c r="Z3443" s="183"/>
    </row>
    <row r="3444" spans="2:26">
      <c r="B3444" s="191"/>
      <c r="D3444" s="183"/>
      <c r="I3444" s="183"/>
      <c r="J3444" s="183"/>
      <c r="L3444" s="183"/>
      <c r="M3444" s="183"/>
      <c r="N3444" s="183"/>
      <c r="O3444" s="183"/>
      <c r="P3444" s="183"/>
      <c r="Q3444" s="183"/>
      <c r="R3444" s="183"/>
      <c r="S3444" s="183"/>
      <c r="T3444" s="183"/>
      <c r="U3444" s="183"/>
      <c r="V3444" s="183"/>
      <c r="W3444" s="183"/>
      <c r="X3444" s="183"/>
      <c r="Y3444" s="183"/>
      <c r="Z3444" s="183"/>
    </row>
    <row r="3445" spans="2:26">
      <c r="B3445" s="191"/>
      <c r="D3445" s="183"/>
      <c r="I3445" s="183"/>
      <c r="J3445" s="183"/>
      <c r="L3445" s="183"/>
      <c r="M3445" s="183"/>
      <c r="N3445" s="183"/>
      <c r="O3445" s="183"/>
      <c r="P3445" s="183"/>
      <c r="Q3445" s="183"/>
      <c r="R3445" s="183"/>
      <c r="S3445" s="183"/>
      <c r="T3445" s="183"/>
      <c r="U3445" s="183"/>
      <c r="V3445" s="183"/>
      <c r="W3445" s="183"/>
      <c r="X3445" s="183"/>
      <c r="Y3445" s="183"/>
      <c r="Z3445" s="183"/>
    </row>
    <row r="3446" spans="2:26">
      <c r="B3446" s="191"/>
      <c r="D3446" s="183"/>
      <c r="I3446" s="183"/>
      <c r="J3446" s="183"/>
      <c r="L3446" s="183"/>
      <c r="M3446" s="183"/>
      <c r="N3446" s="183"/>
      <c r="O3446" s="183"/>
      <c r="P3446" s="183"/>
      <c r="Q3446" s="183"/>
      <c r="R3446" s="183"/>
      <c r="S3446" s="183"/>
      <c r="T3446" s="183"/>
      <c r="U3446" s="183"/>
      <c r="V3446" s="183"/>
      <c r="W3446" s="183"/>
      <c r="X3446" s="183"/>
      <c r="Y3446" s="183"/>
      <c r="Z3446" s="183"/>
    </row>
    <row r="3447" spans="2:26">
      <c r="B3447" s="191"/>
      <c r="D3447" s="183"/>
      <c r="I3447" s="183"/>
      <c r="J3447" s="183"/>
      <c r="L3447" s="183"/>
      <c r="M3447" s="183"/>
      <c r="N3447" s="183"/>
      <c r="O3447" s="183"/>
      <c r="P3447" s="183"/>
      <c r="Q3447" s="183"/>
      <c r="R3447" s="183"/>
      <c r="S3447" s="183"/>
      <c r="T3447" s="183"/>
      <c r="U3447" s="183"/>
      <c r="V3447" s="183"/>
      <c r="W3447" s="183"/>
      <c r="X3447" s="183"/>
      <c r="Y3447" s="183"/>
      <c r="Z3447" s="183"/>
    </row>
    <row r="3448" spans="2:26">
      <c r="B3448" s="191"/>
      <c r="D3448" s="183"/>
      <c r="I3448" s="183"/>
      <c r="J3448" s="183"/>
      <c r="L3448" s="183"/>
      <c r="M3448" s="183"/>
      <c r="N3448" s="183"/>
      <c r="O3448" s="183"/>
      <c r="P3448" s="183"/>
      <c r="Q3448" s="183"/>
      <c r="R3448" s="183"/>
      <c r="S3448" s="183"/>
      <c r="T3448" s="183"/>
      <c r="U3448" s="183"/>
      <c r="V3448" s="183"/>
      <c r="W3448" s="183"/>
      <c r="X3448" s="183"/>
      <c r="Y3448" s="183"/>
      <c r="Z3448" s="183"/>
    </row>
    <row r="3449" spans="2:26">
      <c r="B3449" s="191"/>
      <c r="D3449" s="183"/>
      <c r="I3449" s="183"/>
      <c r="J3449" s="183"/>
      <c r="L3449" s="183"/>
      <c r="M3449" s="183"/>
      <c r="N3449" s="183"/>
      <c r="O3449" s="183"/>
      <c r="P3449" s="183"/>
      <c r="Q3449" s="183"/>
      <c r="R3449" s="183"/>
      <c r="S3449" s="183"/>
      <c r="T3449" s="183"/>
      <c r="U3449" s="183"/>
      <c r="V3449" s="183"/>
      <c r="W3449" s="183"/>
      <c r="X3449" s="183"/>
      <c r="Y3449" s="183"/>
      <c r="Z3449" s="183"/>
    </row>
    <row r="3450" spans="2:26">
      <c r="B3450" s="191"/>
      <c r="D3450" s="183"/>
      <c r="I3450" s="183"/>
      <c r="J3450" s="183"/>
      <c r="L3450" s="183"/>
      <c r="M3450" s="183"/>
      <c r="N3450" s="183"/>
      <c r="O3450" s="183"/>
      <c r="P3450" s="183"/>
      <c r="Q3450" s="183"/>
      <c r="R3450" s="183"/>
      <c r="S3450" s="183"/>
      <c r="T3450" s="183"/>
      <c r="U3450" s="183"/>
      <c r="V3450" s="183"/>
      <c r="W3450" s="183"/>
      <c r="X3450" s="183"/>
      <c r="Y3450" s="183"/>
      <c r="Z3450" s="183"/>
    </row>
    <row r="3451" spans="2:26">
      <c r="B3451" s="191"/>
      <c r="D3451" s="183"/>
      <c r="I3451" s="183"/>
      <c r="J3451" s="183"/>
      <c r="L3451" s="183"/>
      <c r="M3451" s="183"/>
      <c r="N3451" s="183"/>
      <c r="O3451" s="183"/>
      <c r="P3451" s="183"/>
      <c r="Q3451" s="183"/>
      <c r="R3451" s="183"/>
      <c r="S3451" s="183"/>
      <c r="T3451" s="183"/>
      <c r="U3451" s="183"/>
      <c r="V3451" s="183"/>
      <c r="W3451" s="183"/>
      <c r="X3451" s="183"/>
      <c r="Y3451" s="183"/>
      <c r="Z3451" s="183"/>
    </row>
    <row r="3452" spans="2:26">
      <c r="B3452" s="191"/>
      <c r="D3452" s="183"/>
      <c r="I3452" s="183"/>
      <c r="J3452" s="183"/>
      <c r="L3452" s="183"/>
      <c r="M3452" s="183"/>
      <c r="N3452" s="183"/>
      <c r="O3452" s="183"/>
      <c r="P3452" s="183"/>
      <c r="Q3452" s="183"/>
      <c r="R3452" s="183"/>
      <c r="S3452" s="183"/>
      <c r="T3452" s="183"/>
      <c r="U3452" s="183"/>
      <c r="V3452" s="183"/>
      <c r="W3452" s="183"/>
      <c r="X3452" s="183"/>
      <c r="Y3452" s="183"/>
      <c r="Z3452" s="183"/>
    </row>
    <row r="3453" spans="2:26">
      <c r="B3453" s="191"/>
      <c r="D3453" s="183"/>
      <c r="I3453" s="183"/>
      <c r="J3453" s="183"/>
      <c r="L3453" s="183"/>
      <c r="M3453" s="183"/>
      <c r="N3453" s="183"/>
      <c r="O3453" s="183"/>
      <c r="P3453" s="183"/>
      <c r="Q3453" s="183"/>
      <c r="R3453" s="183"/>
      <c r="S3453" s="183"/>
      <c r="T3453" s="183"/>
      <c r="U3453" s="183"/>
      <c r="V3453" s="183"/>
      <c r="W3453" s="183"/>
      <c r="X3453" s="183"/>
      <c r="Y3453" s="183"/>
      <c r="Z3453" s="183"/>
    </row>
    <row r="3454" spans="2:26">
      <c r="B3454" s="191"/>
      <c r="D3454" s="183"/>
      <c r="I3454" s="183"/>
      <c r="J3454" s="183"/>
      <c r="L3454" s="183"/>
      <c r="M3454" s="183"/>
      <c r="N3454" s="183"/>
      <c r="O3454" s="183"/>
      <c r="P3454" s="183"/>
      <c r="Q3454" s="183"/>
      <c r="R3454" s="183"/>
      <c r="S3454" s="183"/>
      <c r="T3454" s="183"/>
      <c r="U3454" s="183"/>
      <c r="V3454" s="183"/>
      <c r="W3454" s="183"/>
      <c r="X3454" s="183"/>
      <c r="Y3454" s="183"/>
      <c r="Z3454" s="183"/>
    </row>
    <row r="3455" spans="2:26">
      <c r="B3455" s="191"/>
      <c r="D3455" s="183"/>
      <c r="I3455" s="183"/>
      <c r="J3455" s="183"/>
      <c r="L3455" s="183"/>
      <c r="M3455" s="183"/>
      <c r="N3455" s="183"/>
      <c r="O3455" s="183"/>
      <c r="P3455" s="183"/>
      <c r="Q3455" s="183"/>
      <c r="R3455" s="183"/>
      <c r="S3455" s="183"/>
      <c r="T3455" s="183"/>
      <c r="U3455" s="183"/>
      <c r="V3455" s="183"/>
      <c r="W3455" s="183"/>
      <c r="X3455" s="183"/>
      <c r="Y3455" s="183"/>
      <c r="Z3455" s="183"/>
    </row>
    <row r="3456" spans="2:26">
      <c r="B3456" s="191"/>
      <c r="D3456" s="183"/>
      <c r="I3456" s="183"/>
      <c r="J3456" s="183"/>
      <c r="L3456" s="183"/>
      <c r="M3456" s="183"/>
      <c r="N3456" s="183"/>
      <c r="O3456" s="183"/>
      <c r="P3456" s="183"/>
      <c r="Q3456" s="183"/>
      <c r="R3456" s="183"/>
      <c r="S3456" s="183"/>
      <c r="T3456" s="183"/>
      <c r="U3456" s="183"/>
      <c r="V3456" s="183"/>
      <c r="W3456" s="183"/>
      <c r="X3456" s="183"/>
      <c r="Y3456" s="183"/>
      <c r="Z3456" s="183"/>
    </row>
    <row r="3457" spans="2:26">
      <c r="B3457" s="191"/>
      <c r="D3457" s="183"/>
      <c r="I3457" s="183"/>
      <c r="J3457" s="183"/>
      <c r="L3457" s="183"/>
      <c r="M3457" s="183"/>
      <c r="N3457" s="183"/>
      <c r="O3457" s="183"/>
      <c r="P3457" s="183"/>
      <c r="Q3457" s="183"/>
      <c r="R3457" s="183"/>
      <c r="S3457" s="183"/>
      <c r="T3457" s="183"/>
      <c r="U3457" s="183"/>
      <c r="V3457" s="183"/>
      <c r="W3457" s="183"/>
      <c r="X3457" s="183"/>
      <c r="Y3457" s="183"/>
      <c r="Z3457" s="183"/>
    </row>
    <row r="3458" spans="2:26">
      <c r="B3458" s="191"/>
      <c r="D3458" s="183"/>
      <c r="I3458" s="183"/>
      <c r="J3458" s="183"/>
      <c r="L3458" s="183"/>
      <c r="M3458" s="183"/>
      <c r="N3458" s="183"/>
      <c r="O3458" s="183"/>
      <c r="P3458" s="183"/>
      <c r="Q3458" s="183"/>
      <c r="R3458" s="183"/>
      <c r="S3458" s="183"/>
      <c r="T3458" s="183"/>
      <c r="U3458" s="183"/>
      <c r="V3458" s="183"/>
      <c r="W3458" s="183"/>
      <c r="X3458" s="183"/>
      <c r="Y3458" s="183"/>
      <c r="Z3458" s="183"/>
    </row>
    <row r="3459" spans="2:26">
      <c r="B3459" s="191"/>
      <c r="D3459" s="183"/>
      <c r="I3459" s="183"/>
      <c r="J3459" s="183"/>
      <c r="L3459" s="183"/>
      <c r="M3459" s="183"/>
      <c r="N3459" s="183"/>
      <c r="O3459" s="183"/>
      <c r="P3459" s="183"/>
      <c r="Q3459" s="183"/>
      <c r="R3459" s="183"/>
      <c r="S3459" s="183"/>
      <c r="T3459" s="183"/>
      <c r="U3459" s="183"/>
      <c r="V3459" s="183"/>
      <c r="W3459" s="183"/>
      <c r="X3459" s="183"/>
      <c r="Y3459" s="183"/>
      <c r="Z3459" s="183"/>
    </row>
    <row r="3460" spans="2:26">
      <c r="B3460" s="191"/>
      <c r="D3460" s="183"/>
      <c r="I3460" s="183"/>
      <c r="J3460" s="183"/>
      <c r="L3460" s="183"/>
      <c r="M3460" s="183"/>
      <c r="N3460" s="183"/>
      <c r="O3460" s="183"/>
      <c r="P3460" s="183"/>
      <c r="Q3460" s="183"/>
      <c r="R3460" s="183"/>
      <c r="S3460" s="183"/>
      <c r="T3460" s="183"/>
      <c r="U3460" s="183"/>
      <c r="V3460" s="183"/>
      <c r="W3460" s="183"/>
      <c r="X3460" s="183"/>
      <c r="Y3460" s="183"/>
      <c r="Z3460" s="183"/>
    </row>
    <row r="3461" spans="2:26">
      <c r="B3461" s="191"/>
      <c r="D3461" s="183"/>
      <c r="I3461" s="183"/>
      <c r="J3461" s="183"/>
      <c r="L3461" s="183"/>
      <c r="M3461" s="183"/>
      <c r="N3461" s="183"/>
      <c r="O3461" s="183"/>
      <c r="P3461" s="183"/>
      <c r="Q3461" s="183"/>
      <c r="R3461" s="183"/>
      <c r="S3461" s="183"/>
      <c r="T3461" s="183"/>
      <c r="U3461" s="183"/>
      <c r="V3461" s="183"/>
      <c r="W3461" s="183"/>
      <c r="X3461" s="183"/>
      <c r="Y3461" s="183"/>
      <c r="Z3461" s="183"/>
    </row>
    <row r="3462" spans="2:26">
      <c r="B3462" s="191"/>
      <c r="D3462" s="183"/>
      <c r="I3462" s="183"/>
      <c r="J3462" s="183"/>
      <c r="L3462" s="183"/>
      <c r="M3462" s="183"/>
      <c r="N3462" s="183"/>
      <c r="O3462" s="183"/>
      <c r="P3462" s="183"/>
      <c r="Q3462" s="183"/>
      <c r="R3462" s="183"/>
      <c r="S3462" s="183"/>
      <c r="T3462" s="183"/>
      <c r="U3462" s="183"/>
      <c r="V3462" s="183"/>
      <c r="W3462" s="183"/>
      <c r="X3462" s="183"/>
      <c r="Y3462" s="183"/>
      <c r="Z3462" s="183"/>
    </row>
    <row r="3463" spans="2:26">
      <c r="B3463" s="191"/>
      <c r="D3463" s="183"/>
      <c r="I3463" s="183"/>
      <c r="J3463" s="183"/>
      <c r="L3463" s="183"/>
      <c r="M3463" s="183"/>
      <c r="N3463" s="183"/>
      <c r="O3463" s="183"/>
      <c r="P3463" s="183"/>
      <c r="Q3463" s="183"/>
      <c r="R3463" s="183"/>
      <c r="S3463" s="183"/>
      <c r="T3463" s="183"/>
      <c r="U3463" s="183"/>
      <c r="V3463" s="183"/>
      <c r="W3463" s="183"/>
      <c r="X3463" s="183"/>
      <c r="Y3463" s="183"/>
      <c r="Z3463" s="183"/>
    </row>
    <row r="3464" spans="2:26">
      <c r="B3464" s="191"/>
      <c r="D3464" s="183"/>
      <c r="I3464" s="183"/>
      <c r="J3464" s="183"/>
      <c r="L3464" s="183"/>
      <c r="M3464" s="183"/>
      <c r="N3464" s="183"/>
      <c r="O3464" s="183"/>
      <c r="P3464" s="183"/>
      <c r="Q3464" s="183"/>
      <c r="R3464" s="183"/>
      <c r="S3464" s="183"/>
      <c r="T3464" s="183"/>
      <c r="U3464" s="183"/>
      <c r="V3464" s="183"/>
      <c r="W3464" s="183"/>
      <c r="X3464" s="183"/>
      <c r="Y3464" s="183"/>
      <c r="Z3464" s="183"/>
    </row>
    <row r="3465" spans="2:26">
      <c r="B3465" s="191"/>
      <c r="D3465" s="183"/>
      <c r="I3465" s="183"/>
      <c r="J3465" s="183"/>
      <c r="L3465" s="183"/>
      <c r="M3465" s="183"/>
      <c r="N3465" s="183"/>
      <c r="O3465" s="183"/>
      <c r="P3465" s="183"/>
      <c r="Q3465" s="183"/>
      <c r="R3465" s="183"/>
      <c r="S3465" s="183"/>
      <c r="T3465" s="183"/>
      <c r="U3465" s="183"/>
      <c r="V3465" s="183"/>
      <c r="W3465" s="183"/>
      <c r="X3465" s="183"/>
      <c r="Y3465" s="183"/>
      <c r="Z3465" s="183"/>
    </row>
    <row r="3466" spans="2:26">
      <c r="B3466" s="191"/>
      <c r="D3466" s="183"/>
      <c r="I3466" s="183"/>
      <c r="J3466" s="183"/>
      <c r="L3466" s="183"/>
      <c r="M3466" s="183"/>
      <c r="N3466" s="183"/>
      <c r="O3466" s="183"/>
      <c r="P3466" s="183"/>
      <c r="Q3466" s="183"/>
      <c r="R3466" s="183"/>
      <c r="S3466" s="183"/>
      <c r="T3466" s="183"/>
      <c r="U3466" s="183"/>
      <c r="V3466" s="183"/>
      <c r="W3466" s="183"/>
      <c r="X3466" s="183"/>
      <c r="Y3466" s="183"/>
      <c r="Z3466" s="183"/>
    </row>
    <row r="3467" spans="2:26">
      <c r="B3467" s="191"/>
      <c r="D3467" s="183"/>
      <c r="I3467" s="183"/>
      <c r="J3467" s="183"/>
      <c r="L3467" s="183"/>
      <c r="M3467" s="183"/>
      <c r="N3467" s="183"/>
      <c r="O3467" s="183"/>
      <c r="P3467" s="183"/>
      <c r="Q3467" s="183"/>
      <c r="R3467" s="183"/>
      <c r="S3467" s="183"/>
      <c r="T3467" s="183"/>
      <c r="U3467" s="183"/>
      <c r="V3467" s="183"/>
      <c r="W3467" s="183"/>
      <c r="X3467" s="183"/>
      <c r="Y3467" s="183"/>
      <c r="Z3467" s="183"/>
    </row>
    <row r="3468" spans="2:26">
      <c r="B3468" s="191"/>
      <c r="D3468" s="183"/>
      <c r="I3468" s="183"/>
      <c r="J3468" s="183"/>
      <c r="L3468" s="183"/>
      <c r="M3468" s="183"/>
      <c r="N3468" s="183"/>
      <c r="O3468" s="183"/>
      <c r="P3468" s="183"/>
      <c r="Q3468" s="183"/>
      <c r="R3468" s="183"/>
      <c r="S3468" s="183"/>
      <c r="T3468" s="183"/>
      <c r="U3468" s="183"/>
      <c r="V3468" s="183"/>
      <c r="W3468" s="183"/>
      <c r="X3468" s="183"/>
      <c r="Y3468" s="183"/>
      <c r="Z3468" s="183"/>
    </row>
    <row r="3469" spans="2:26">
      <c r="B3469" s="191"/>
      <c r="D3469" s="183"/>
      <c r="I3469" s="183"/>
      <c r="J3469" s="183"/>
      <c r="L3469" s="183"/>
      <c r="M3469" s="183"/>
      <c r="N3469" s="183"/>
      <c r="O3469" s="183"/>
      <c r="P3469" s="183"/>
      <c r="Q3469" s="183"/>
      <c r="R3469" s="183"/>
      <c r="S3469" s="183"/>
      <c r="T3469" s="183"/>
      <c r="U3469" s="183"/>
      <c r="V3469" s="183"/>
      <c r="W3469" s="183"/>
      <c r="X3469" s="183"/>
      <c r="Y3469" s="183"/>
      <c r="Z3469" s="183"/>
    </row>
    <row r="3470" spans="2:26">
      <c r="B3470" s="191"/>
      <c r="D3470" s="183"/>
      <c r="I3470" s="183"/>
      <c r="J3470" s="183"/>
      <c r="L3470" s="183"/>
      <c r="M3470" s="183"/>
      <c r="N3470" s="183"/>
      <c r="O3470" s="183"/>
      <c r="P3470" s="183"/>
      <c r="Q3470" s="183"/>
      <c r="R3470" s="183"/>
      <c r="S3470" s="183"/>
      <c r="T3470" s="183"/>
      <c r="U3470" s="183"/>
      <c r="V3470" s="183"/>
      <c r="W3470" s="183"/>
      <c r="X3470" s="183"/>
      <c r="Y3470" s="183"/>
      <c r="Z3470" s="183"/>
    </row>
    <row r="3471" spans="2:26">
      <c r="B3471" s="191"/>
      <c r="D3471" s="183"/>
      <c r="I3471" s="183"/>
      <c r="J3471" s="183"/>
      <c r="L3471" s="183"/>
      <c r="M3471" s="183"/>
      <c r="N3471" s="183"/>
      <c r="O3471" s="183"/>
      <c r="P3471" s="183"/>
      <c r="Q3471" s="183"/>
      <c r="R3471" s="183"/>
      <c r="S3471" s="183"/>
      <c r="T3471" s="183"/>
      <c r="U3471" s="183"/>
      <c r="V3471" s="183"/>
      <c r="W3471" s="183"/>
      <c r="X3471" s="183"/>
      <c r="Y3471" s="183"/>
      <c r="Z3471" s="183"/>
    </row>
    <row r="3472" spans="2:26">
      <c r="B3472" s="191"/>
      <c r="D3472" s="183"/>
      <c r="I3472" s="183"/>
      <c r="J3472" s="183"/>
      <c r="L3472" s="183"/>
      <c r="M3472" s="183"/>
      <c r="N3472" s="183"/>
      <c r="O3472" s="183"/>
      <c r="P3472" s="183"/>
      <c r="Q3472" s="183"/>
      <c r="R3472" s="183"/>
      <c r="S3472" s="183"/>
      <c r="T3472" s="183"/>
      <c r="U3472" s="183"/>
      <c r="V3472" s="183"/>
      <c r="W3472" s="183"/>
      <c r="X3472" s="183"/>
      <c r="Y3472" s="183"/>
      <c r="Z3472" s="183"/>
    </row>
    <row r="3473" spans="2:26">
      <c r="B3473" s="191"/>
      <c r="D3473" s="183"/>
      <c r="I3473" s="183"/>
      <c r="J3473" s="183"/>
      <c r="L3473" s="183"/>
      <c r="M3473" s="183"/>
      <c r="N3473" s="183"/>
      <c r="O3473" s="183"/>
      <c r="P3473" s="183"/>
      <c r="Q3473" s="183"/>
      <c r="R3473" s="183"/>
      <c r="S3473" s="183"/>
      <c r="T3473" s="183"/>
      <c r="U3473" s="183"/>
      <c r="V3473" s="183"/>
      <c r="W3473" s="183"/>
      <c r="X3473" s="183"/>
      <c r="Y3473" s="183"/>
      <c r="Z3473" s="183"/>
    </row>
    <row r="3474" spans="2:26">
      <c r="B3474" s="191"/>
      <c r="D3474" s="183"/>
      <c r="I3474" s="183"/>
      <c r="J3474" s="183"/>
      <c r="L3474" s="183"/>
      <c r="M3474" s="183"/>
      <c r="N3474" s="183"/>
      <c r="O3474" s="183"/>
      <c r="P3474" s="183"/>
      <c r="Q3474" s="183"/>
      <c r="R3474" s="183"/>
      <c r="S3474" s="183"/>
      <c r="T3474" s="183"/>
      <c r="U3474" s="183"/>
      <c r="V3474" s="183"/>
      <c r="W3474" s="183"/>
      <c r="X3474" s="183"/>
      <c r="Y3474" s="183"/>
      <c r="Z3474" s="183"/>
    </row>
    <row r="3475" spans="2:26">
      <c r="B3475" s="191"/>
      <c r="D3475" s="183"/>
      <c r="I3475" s="183"/>
      <c r="J3475" s="183"/>
      <c r="L3475" s="183"/>
      <c r="M3475" s="183"/>
      <c r="N3475" s="183"/>
      <c r="O3475" s="183"/>
      <c r="P3475" s="183"/>
      <c r="Q3475" s="183"/>
      <c r="R3475" s="183"/>
      <c r="S3475" s="183"/>
      <c r="T3475" s="183"/>
      <c r="U3475" s="183"/>
      <c r="V3475" s="183"/>
      <c r="W3475" s="183"/>
      <c r="X3475" s="183"/>
      <c r="Y3475" s="183"/>
      <c r="Z3475" s="183"/>
    </row>
    <row r="3476" spans="2:26">
      <c r="B3476" s="191"/>
      <c r="D3476" s="183"/>
      <c r="I3476" s="183"/>
      <c r="J3476" s="183"/>
      <c r="L3476" s="183"/>
      <c r="M3476" s="183"/>
      <c r="N3476" s="183"/>
      <c r="O3476" s="183"/>
      <c r="P3476" s="183"/>
      <c r="Q3476" s="183"/>
      <c r="R3476" s="183"/>
      <c r="S3476" s="183"/>
      <c r="T3476" s="183"/>
      <c r="U3476" s="183"/>
      <c r="V3476" s="183"/>
      <c r="W3476" s="183"/>
      <c r="X3476" s="183"/>
      <c r="Y3476" s="183"/>
      <c r="Z3476" s="183"/>
    </row>
    <row r="3477" spans="2:26">
      <c r="B3477" s="191"/>
      <c r="D3477" s="183"/>
      <c r="I3477" s="183"/>
      <c r="J3477" s="183"/>
      <c r="L3477" s="183"/>
      <c r="M3477" s="183"/>
      <c r="N3477" s="183"/>
      <c r="O3477" s="183"/>
      <c r="P3477" s="183"/>
      <c r="Q3477" s="183"/>
      <c r="R3477" s="183"/>
      <c r="S3477" s="183"/>
      <c r="T3477" s="183"/>
      <c r="U3477" s="183"/>
      <c r="V3477" s="183"/>
      <c r="W3477" s="183"/>
      <c r="X3477" s="183"/>
      <c r="Y3477" s="183"/>
      <c r="Z3477" s="183"/>
    </row>
    <row r="3478" spans="2:26">
      <c r="B3478" s="191"/>
      <c r="D3478" s="183"/>
      <c r="I3478" s="183"/>
      <c r="J3478" s="183"/>
      <c r="L3478" s="183"/>
      <c r="M3478" s="183"/>
      <c r="N3478" s="183"/>
      <c r="O3478" s="183"/>
      <c r="P3478" s="183"/>
      <c r="Q3478" s="183"/>
      <c r="R3478" s="183"/>
      <c r="S3478" s="183"/>
      <c r="T3478" s="183"/>
      <c r="U3478" s="183"/>
      <c r="V3478" s="183"/>
      <c r="W3478" s="183"/>
      <c r="X3478" s="183"/>
      <c r="Y3478" s="183"/>
      <c r="Z3478" s="183"/>
    </row>
    <row r="3479" spans="2:26">
      <c r="B3479" s="191"/>
      <c r="D3479" s="183"/>
      <c r="I3479" s="183"/>
      <c r="J3479" s="183"/>
      <c r="L3479" s="183"/>
      <c r="M3479" s="183"/>
      <c r="N3479" s="183"/>
      <c r="O3479" s="183"/>
      <c r="P3479" s="183"/>
      <c r="Q3479" s="183"/>
      <c r="R3479" s="183"/>
      <c r="S3479" s="183"/>
      <c r="T3479" s="183"/>
      <c r="U3479" s="183"/>
      <c r="V3479" s="183"/>
      <c r="W3479" s="183"/>
      <c r="X3479" s="183"/>
      <c r="Y3479" s="183"/>
      <c r="Z3479" s="183"/>
    </row>
    <row r="3480" spans="2:26">
      <c r="B3480" s="191"/>
      <c r="D3480" s="183"/>
      <c r="I3480" s="183"/>
      <c r="J3480" s="183"/>
      <c r="L3480" s="183"/>
      <c r="M3480" s="183"/>
      <c r="N3480" s="183"/>
      <c r="O3480" s="183"/>
      <c r="P3480" s="183"/>
      <c r="Q3480" s="183"/>
      <c r="R3480" s="183"/>
      <c r="S3480" s="183"/>
      <c r="T3480" s="183"/>
      <c r="U3480" s="183"/>
      <c r="V3480" s="183"/>
      <c r="W3480" s="183"/>
      <c r="X3480" s="183"/>
      <c r="Y3480" s="183"/>
      <c r="Z3480" s="183"/>
    </row>
    <row r="3481" spans="2:26">
      <c r="B3481" s="191"/>
      <c r="D3481" s="183"/>
      <c r="I3481" s="183"/>
      <c r="J3481" s="183"/>
      <c r="L3481" s="183"/>
      <c r="M3481" s="183"/>
      <c r="N3481" s="183"/>
      <c r="O3481" s="183"/>
      <c r="P3481" s="183"/>
      <c r="Q3481" s="183"/>
      <c r="R3481" s="183"/>
      <c r="S3481" s="183"/>
      <c r="T3481" s="183"/>
      <c r="U3481" s="183"/>
      <c r="V3481" s="183"/>
      <c r="W3481" s="183"/>
      <c r="X3481" s="183"/>
      <c r="Y3481" s="183"/>
      <c r="Z3481" s="183"/>
    </row>
    <row r="3482" spans="2:26">
      <c r="B3482" s="191"/>
      <c r="D3482" s="183"/>
      <c r="I3482" s="183"/>
      <c r="J3482" s="183"/>
      <c r="L3482" s="183"/>
      <c r="M3482" s="183"/>
      <c r="N3482" s="183"/>
      <c r="O3482" s="183"/>
      <c r="P3482" s="183"/>
      <c r="Q3482" s="183"/>
      <c r="R3482" s="183"/>
      <c r="S3482" s="183"/>
      <c r="T3482" s="183"/>
      <c r="U3482" s="183"/>
      <c r="V3482" s="183"/>
      <c r="W3482" s="183"/>
      <c r="X3482" s="183"/>
      <c r="Y3482" s="183"/>
      <c r="Z3482" s="183"/>
    </row>
    <row r="3483" spans="2:26">
      <c r="B3483" s="191"/>
      <c r="D3483" s="183"/>
      <c r="I3483" s="183"/>
      <c r="J3483" s="183"/>
      <c r="L3483" s="183"/>
      <c r="M3483" s="183"/>
      <c r="N3483" s="183"/>
      <c r="O3483" s="183"/>
      <c r="P3483" s="183"/>
      <c r="Q3483" s="183"/>
      <c r="R3483" s="183"/>
      <c r="S3483" s="183"/>
      <c r="T3483" s="183"/>
      <c r="U3483" s="183"/>
      <c r="V3483" s="183"/>
      <c r="W3483" s="183"/>
      <c r="X3483" s="183"/>
      <c r="Y3483" s="183"/>
      <c r="Z3483" s="183"/>
    </row>
    <row r="3484" spans="2:26">
      <c r="B3484" s="191"/>
      <c r="D3484" s="183"/>
      <c r="I3484" s="183"/>
      <c r="J3484" s="183"/>
      <c r="L3484" s="183"/>
      <c r="M3484" s="183"/>
      <c r="N3484" s="183"/>
      <c r="O3484" s="183"/>
      <c r="P3484" s="183"/>
      <c r="Q3484" s="183"/>
      <c r="R3484" s="183"/>
      <c r="S3484" s="183"/>
      <c r="T3484" s="183"/>
      <c r="U3484" s="183"/>
      <c r="V3484" s="183"/>
      <c r="W3484" s="183"/>
      <c r="X3484" s="183"/>
      <c r="Y3484" s="183"/>
      <c r="Z3484" s="183"/>
    </row>
    <row r="3485" spans="2:26">
      <c r="B3485" s="191"/>
      <c r="D3485" s="183"/>
      <c r="I3485" s="183"/>
      <c r="J3485" s="183"/>
      <c r="L3485" s="183"/>
      <c r="M3485" s="183"/>
      <c r="N3485" s="183"/>
      <c r="O3485" s="183"/>
      <c r="P3485" s="183"/>
      <c r="Q3485" s="183"/>
      <c r="R3485" s="183"/>
      <c r="S3485" s="183"/>
      <c r="T3485" s="183"/>
      <c r="U3485" s="183"/>
      <c r="V3485" s="183"/>
      <c r="W3485" s="183"/>
      <c r="X3485" s="183"/>
      <c r="Y3485" s="183"/>
      <c r="Z3485" s="183"/>
    </row>
    <row r="3486" spans="2:26">
      <c r="B3486" s="191"/>
      <c r="D3486" s="183"/>
      <c r="I3486" s="183"/>
      <c r="J3486" s="183"/>
      <c r="L3486" s="183"/>
      <c r="M3486" s="183"/>
      <c r="N3486" s="183"/>
      <c r="O3486" s="183"/>
      <c r="P3486" s="183"/>
      <c r="Q3486" s="183"/>
      <c r="R3486" s="183"/>
      <c r="S3486" s="183"/>
      <c r="T3486" s="183"/>
      <c r="U3486" s="183"/>
      <c r="V3486" s="183"/>
      <c r="W3486" s="183"/>
      <c r="X3486" s="183"/>
      <c r="Y3486" s="183"/>
      <c r="Z3486" s="183"/>
    </row>
    <row r="3487" spans="2:26">
      <c r="B3487" s="191"/>
      <c r="D3487" s="183"/>
      <c r="I3487" s="183"/>
      <c r="J3487" s="183"/>
      <c r="L3487" s="183"/>
      <c r="M3487" s="183"/>
      <c r="N3487" s="183"/>
      <c r="O3487" s="183"/>
      <c r="P3487" s="183"/>
      <c r="Q3487" s="183"/>
      <c r="R3487" s="183"/>
      <c r="S3487" s="183"/>
      <c r="T3487" s="183"/>
      <c r="U3487" s="183"/>
      <c r="V3487" s="183"/>
      <c r="W3487" s="183"/>
      <c r="X3487" s="183"/>
      <c r="Y3487" s="183"/>
      <c r="Z3487" s="183"/>
    </row>
    <row r="3488" spans="2:26">
      <c r="B3488" s="191"/>
      <c r="D3488" s="183"/>
      <c r="I3488" s="183"/>
      <c r="J3488" s="183"/>
      <c r="L3488" s="183"/>
      <c r="M3488" s="183"/>
      <c r="N3488" s="183"/>
      <c r="O3488" s="183"/>
      <c r="P3488" s="183"/>
      <c r="Q3488" s="183"/>
      <c r="R3488" s="183"/>
      <c r="S3488" s="183"/>
      <c r="T3488" s="183"/>
      <c r="U3488" s="183"/>
      <c r="V3488" s="183"/>
      <c r="W3488" s="183"/>
      <c r="X3488" s="183"/>
      <c r="Y3488" s="183"/>
      <c r="Z3488" s="183"/>
    </row>
    <row r="3489" spans="2:26">
      <c r="B3489" s="191"/>
      <c r="D3489" s="183"/>
      <c r="I3489" s="183"/>
      <c r="J3489" s="183"/>
      <c r="L3489" s="183"/>
      <c r="M3489" s="183"/>
      <c r="N3489" s="183"/>
      <c r="O3489" s="183"/>
      <c r="P3489" s="183"/>
      <c r="Q3489" s="183"/>
      <c r="R3489" s="183"/>
      <c r="S3489" s="183"/>
      <c r="T3489" s="183"/>
      <c r="U3489" s="183"/>
      <c r="V3489" s="183"/>
      <c r="W3489" s="183"/>
      <c r="X3489" s="183"/>
      <c r="Y3489" s="183"/>
      <c r="Z3489" s="183"/>
    </row>
    <row r="3490" spans="2:26">
      <c r="B3490" s="191"/>
      <c r="D3490" s="183"/>
      <c r="I3490" s="183"/>
      <c r="J3490" s="183"/>
      <c r="L3490" s="183"/>
      <c r="M3490" s="183"/>
      <c r="N3490" s="183"/>
      <c r="O3490" s="183"/>
      <c r="P3490" s="183"/>
      <c r="Q3490" s="183"/>
      <c r="R3490" s="183"/>
      <c r="S3490" s="183"/>
      <c r="T3490" s="183"/>
      <c r="U3490" s="183"/>
      <c r="V3490" s="183"/>
      <c r="W3490" s="183"/>
      <c r="X3490" s="183"/>
      <c r="Y3490" s="183"/>
      <c r="Z3490" s="183"/>
    </row>
    <row r="3491" spans="2:26">
      <c r="B3491" s="191"/>
      <c r="D3491" s="183"/>
      <c r="I3491" s="183"/>
      <c r="J3491" s="183"/>
      <c r="L3491" s="183"/>
      <c r="M3491" s="183"/>
      <c r="N3491" s="183"/>
      <c r="O3491" s="183"/>
      <c r="P3491" s="183"/>
      <c r="Q3491" s="183"/>
      <c r="R3491" s="183"/>
      <c r="S3491" s="183"/>
      <c r="T3491" s="183"/>
      <c r="U3491" s="183"/>
      <c r="V3491" s="183"/>
      <c r="W3491" s="183"/>
      <c r="X3491" s="183"/>
      <c r="Y3491" s="183"/>
      <c r="Z3491" s="183"/>
    </row>
    <row r="3492" spans="2:26">
      <c r="B3492" s="191"/>
      <c r="D3492" s="183"/>
      <c r="I3492" s="183"/>
      <c r="J3492" s="183"/>
      <c r="L3492" s="183"/>
      <c r="M3492" s="183"/>
      <c r="N3492" s="183"/>
      <c r="O3492" s="183"/>
      <c r="P3492" s="183"/>
      <c r="Q3492" s="183"/>
      <c r="R3492" s="183"/>
      <c r="S3492" s="183"/>
      <c r="T3492" s="183"/>
      <c r="U3492" s="183"/>
      <c r="V3492" s="183"/>
      <c r="W3492" s="183"/>
      <c r="X3492" s="183"/>
      <c r="Y3492" s="183"/>
      <c r="Z3492" s="183"/>
    </row>
    <row r="3493" spans="2:26">
      <c r="B3493" s="191"/>
      <c r="D3493" s="183"/>
      <c r="I3493" s="183"/>
      <c r="J3493" s="183"/>
      <c r="L3493" s="183"/>
      <c r="M3493" s="183"/>
      <c r="N3493" s="183"/>
      <c r="O3493" s="183"/>
      <c r="P3493" s="183"/>
      <c r="Q3493" s="183"/>
      <c r="R3493" s="183"/>
      <c r="S3493" s="183"/>
      <c r="T3493" s="183"/>
      <c r="U3493" s="183"/>
      <c r="V3493" s="183"/>
      <c r="W3493" s="183"/>
      <c r="X3493" s="183"/>
      <c r="Y3493" s="183"/>
      <c r="Z3493" s="183"/>
    </row>
    <row r="3494" spans="2:26">
      <c r="B3494" s="191"/>
      <c r="D3494" s="183"/>
      <c r="I3494" s="183"/>
      <c r="J3494" s="183"/>
      <c r="L3494" s="183"/>
      <c r="M3494" s="183"/>
      <c r="N3494" s="183"/>
      <c r="O3494" s="183"/>
      <c r="P3494" s="183"/>
      <c r="Q3494" s="183"/>
      <c r="R3494" s="183"/>
      <c r="S3494" s="183"/>
      <c r="T3494" s="183"/>
      <c r="U3494" s="183"/>
      <c r="V3494" s="183"/>
      <c r="W3494" s="183"/>
      <c r="X3494" s="183"/>
      <c r="Y3494" s="183"/>
      <c r="Z3494" s="183"/>
    </row>
    <row r="3495" spans="2:26">
      <c r="B3495" s="191"/>
      <c r="D3495" s="183"/>
      <c r="I3495" s="183"/>
      <c r="J3495" s="183"/>
      <c r="L3495" s="183"/>
      <c r="M3495" s="183"/>
      <c r="N3495" s="183"/>
      <c r="O3495" s="183"/>
      <c r="P3495" s="183"/>
      <c r="Q3495" s="183"/>
      <c r="R3495" s="183"/>
      <c r="S3495" s="183"/>
      <c r="T3495" s="183"/>
      <c r="U3495" s="183"/>
      <c r="V3495" s="183"/>
      <c r="W3495" s="183"/>
      <c r="X3495" s="183"/>
      <c r="Y3495" s="183"/>
      <c r="Z3495" s="183"/>
    </row>
    <row r="3496" spans="2:26">
      <c r="B3496" s="191"/>
      <c r="D3496" s="183"/>
      <c r="I3496" s="183"/>
      <c r="J3496" s="183"/>
      <c r="L3496" s="183"/>
      <c r="M3496" s="183"/>
      <c r="N3496" s="183"/>
      <c r="O3496" s="183"/>
      <c r="P3496" s="183"/>
      <c r="Q3496" s="183"/>
      <c r="R3496" s="183"/>
      <c r="S3496" s="183"/>
      <c r="T3496" s="183"/>
      <c r="U3496" s="183"/>
      <c r="V3496" s="183"/>
      <c r="W3496" s="183"/>
      <c r="X3496" s="183"/>
      <c r="Y3496" s="183"/>
      <c r="Z3496" s="183"/>
    </row>
    <row r="3497" spans="2:26">
      <c r="B3497" s="191"/>
      <c r="D3497" s="183"/>
      <c r="I3497" s="183"/>
      <c r="J3497" s="183"/>
      <c r="L3497" s="183"/>
      <c r="M3497" s="183"/>
      <c r="N3497" s="183"/>
      <c r="O3497" s="183"/>
      <c r="P3497" s="183"/>
      <c r="Q3497" s="183"/>
      <c r="R3497" s="183"/>
      <c r="S3497" s="183"/>
      <c r="T3497" s="183"/>
      <c r="U3497" s="183"/>
      <c r="V3497" s="183"/>
      <c r="W3497" s="183"/>
      <c r="X3497" s="183"/>
      <c r="Y3497" s="183"/>
      <c r="Z3497" s="183"/>
    </row>
    <row r="3498" spans="2:26">
      <c r="B3498" s="191"/>
      <c r="D3498" s="183"/>
      <c r="I3498" s="183"/>
      <c r="J3498" s="183"/>
      <c r="L3498" s="183"/>
      <c r="M3498" s="183"/>
      <c r="N3498" s="183"/>
      <c r="O3498" s="183"/>
      <c r="P3498" s="183"/>
      <c r="Q3498" s="183"/>
      <c r="R3498" s="183"/>
      <c r="S3498" s="183"/>
      <c r="T3498" s="183"/>
      <c r="U3498" s="183"/>
      <c r="V3498" s="183"/>
      <c r="W3498" s="183"/>
      <c r="X3498" s="183"/>
      <c r="Y3498" s="183"/>
      <c r="Z3498" s="183"/>
    </row>
    <row r="3499" spans="2:26">
      <c r="B3499" s="191"/>
      <c r="D3499" s="183"/>
      <c r="I3499" s="183"/>
      <c r="J3499" s="183"/>
      <c r="L3499" s="183"/>
      <c r="M3499" s="183"/>
      <c r="N3499" s="183"/>
      <c r="O3499" s="183"/>
      <c r="P3499" s="183"/>
      <c r="Q3499" s="183"/>
      <c r="R3499" s="183"/>
      <c r="S3499" s="183"/>
      <c r="T3499" s="183"/>
      <c r="U3499" s="183"/>
      <c r="V3499" s="183"/>
      <c r="W3499" s="183"/>
      <c r="X3499" s="183"/>
      <c r="Y3499" s="183"/>
      <c r="Z3499" s="183"/>
    </row>
    <row r="3500" spans="2:26">
      <c r="B3500" s="191"/>
      <c r="D3500" s="183"/>
      <c r="I3500" s="183"/>
      <c r="J3500" s="183"/>
      <c r="L3500" s="183"/>
      <c r="M3500" s="183"/>
      <c r="N3500" s="183"/>
      <c r="O3500" s="183"/>
      <c r="P3500" s="183"/>
      <c r="Q3500" s="183"/>
      <c r="R3500" s="183"/>
      <c r="S3500" s="183"/>
      <c r="T3500" s="183"/>
      <c r="U3500" s="183"/>
      <c r="V3500" s="183"/>
      <c r="W3500" s="183"/>
      <c r="X3500" s="183"/>
      <c r="Y3500" s="183"/>
      <c r="Z3500" s="183"/>
    </row>
    <row r="3501" spans="2:26">
      <c r="B3501" s="191"/>
      <c r="D3501" s="183"/>
      <c r="I3501" s="183"/>
      <c r="J3501" s="183"/>
      <c r="L3501" s="183"/>
      <c r="M3501" s="183"/>
      <c r="N3501" s="183"/>
      <c r="O3501" s="183"/>
      <c r="P3501" s="183"/>
      <c r="Q3501" s="183"/>
      <c r="R3501" s="183"/>
      <c r="S3501" s="183"/>
      <c r="T3501" s="183"/>
      <c r="U3501" s="183"/>
      <c r="V3501" s="183"/>
      <c r="W3501" s="183"/>
      <c r="X3501" s="183"/>
      <c r="Y3501" s="183"/>
      <c r="Z3501" s="183"/>
    </row>
    <row r="3502" spans="2:26">
      <c r="B3502" s="191"/>
      <c r="D3502" s="183"/>
      <c r="I3502" s="183"/>
      <c r="J3502" s="183"/>
      <c r="L3502" s="183"/>
      <c r="M3502" s="183"/>
      <c r="N3502" s="183"/>
      <c r="O3502" s="183"/>
      <c r="P3502" s="183"/>
      <c r="Q3502" s="183"/>
      <c r="R3502" s="183"/>
      <c r="S3502" s="183"/>
      <c r="T3502" s="183"/>
      <c r="U3502" s="183"/>
      <c r="V3502" s="183"/>
      <c r="W3502" s="183"/>
      <c r="X3502" s="183"/>
      <c r="Y3502" s="183"/>
      <c r="Z3502" s="183"/>
    </row>
    <row r="3503" spans="2:26">
      <c r="B3503" s="191"/>
      <c r="D3503" s="183"/>
      <c r="I3503" s="183"/>
      <c r="J3503" s="183"/>
      <c r="L3503" s="183"/>
      <c r="M3503" s="183"/>
      <c r="N3503" s="183"/>
      <c r="O3503" s="183"/>
      <c r="P3503" s="183"/>
      <c r="Q3503" s="183"/>
      <c r="R3503" s="183"/>
      <c r="S3503" s="183"/>
      <c r="T3503" s="183"/>
      <c r="U3503" s="183"/>
      <c r="V3503" s="183"/>
      <c r="W3503" s="183"/>
      <c r="X3503" s="183"/>
      <c r="Y3503" s="183"/>
      <c r="Z3503" s="183"/>
    </row>
    <row r="3504" spans="2:26">
      <c r="B3504" s="191"/>
      <c r="D3504" s="183"/>
      <c r="I3504" s="183"/>
      <c r="J3504" s="183"/>
      <c r="L3504" s="183"/>
      <c r="M3504" s="183"/>
      <c r="N3504" s="183"/>
      <c r="O3504" s="183"/>
      <c r="P3504" s="183"/>
      <c r="Q3504" s="183"/>
      <c r="R3504" s="183"/>
      <c r="S3504" s="183"/>
      <c r="T3504" s="183"/>
      <c r="U3504" s="183"/>
      <c r="V3504" s="183"/>
      <c r="W3504" s="183"/>
      <c r="X3504" s="183"/>
      <c r="Y3504" s="183"/>
      <c r="Z3504" s="183"/>
    </row>
    <row r="3505" spans="2:26">
      <c r="B3505" s="191"/>
      <c r="D3505" s="183"/>
      <c r="I3505" s="183"/>
      <c r="J3505" s="183"/>
      <c r="L3505" s="183"/>
      <c r="M3505" s="183"/>
      <c r="N3505" s="183"/>
      <c r="O3505" s="183"/>
      <c r="P3505" s="183"/>
      <c r="Q3505" s="183"/>
      <c r="R3505" s="183"/>
      <c r="S3505" s="183"/>
      <c r="T3505" s="183"/>
      <c r="U3505" s="183"/>
      <c r="V3505" s="183"/>
      <c r="W3505" s="183"/>
      <c r="X3505" s="183"/>
      <c r="Y3505" s="183"/>
      <c r="Z3505" s="183"/>
    </row>
    <row r="3506" spans="2:26">
      <c r="B3506" s="191"/>
      <c r="D3506" s="183"/>
      <c r="I3506" s="183"/>
      <c r="J3506" s="183"/>
      <c r="L3506" s="183"/>
      <c r="M3506" s="183"/>
      <c r="N3506" s="183"/>
      <c r="O3506" s="183"/>
      <c r="P3506" s="183"/>
      <c r="Q3506" s="183"/>
      <c r="R3506" s="183"/>
      <c r="S3506" s="183"/>
      <c r="T3506" s="183"/>
      <c r="U3506" s="183"/>
      <c r="V3506" s="183"/>
      <c r="W3506" s="183"/>
      <c r="X3506" s="183"/>
      <c r="Y3506" s="183"/>
      <c r="Z3506" s="183"/>
    </row>
    <row r="3507" spans="2:26">
      <c r="B3507" s="191"/>
      <c r="D3507" s="183"/>
      <c r="I3507" s="183"/>
      <c r="J3507" s="183"/>
      <c r="L3507" s="183"/>
      <c r="M3507" s="183"/>
      <c r="N3507" s="183"/>
      <c r="O3507" s="183"/>
      <c r="P3507" s="183"/>
      <c r="Q3507" s="183"/>
      <c r="R3507" s="183"/>
      <c r="S3507" s="183"/>
      <c r="T3507" s="183"/>
      <c r="U3507" s="183"/>
      <c r="V3507" s="183"/>
      <c r="W3507" s="183"/>
      <c r="X3507" s="183"/>
      <c r="Y3507" s="183"/>
      <c r="Z3507" s="183"/>
    </row>
    <row r="3508" spans="2:26">
      <c r="B3508" s="191"/>
      <c r="D3508" s="183"/>
      <c r="I3508" s="183"/>
      <c r="J3508" s="183"/>
      <c r="L3508" s="183"/>
      <c r="M3508" s="183"/>
      <c r="N3508" s="183"/>
      <c r="O3508" s="183"/>
      <c r="P3508" s="183"/>
      <c r="Q3508" s="183"/>
      <c r="R3508" s="183"/>
      <c r="S3508" s="183"/>
      <c r="T3508" s="183"/>
      <c r="U3508" s="183"/>
      <c r="V3508" s="183"/>
      <c r="W3508" s="183"/>
      <c r="X3508" s="183"/>
      <c r="Y3508" s="183"/>
      <c r="Z3508" s="183"/>
    </row>
    <row r="3509" spans="2:26">
      <c r="B3509" s="191"/>
      <c r="D3509" s="183"/>
      <c r="I3509" s="183"/>
      <c r="J3509" s="183"/>
      <c r="L3509" s="183"/>
      <c r="M3509" s="183"/>
      <c r="N3509" s="183"/>
      <c r="O3509" s="183"/>
      <c r="P3509" s="183"/>
      <c r="Q3509" s="183"/>
      <c r="R3509" s="183"/>
      <c r="S3509" s="183"/>
      <c r="T3509" s="183"/>
      <c r="U3509" s="183"/>
      <c r="V3509" s="183"/>
      <c r="W3509" s="183"/>
      <c r="X3509" s="183"/>
      <c r="Y3509" s="183"/>
      <c r="Z3509" s="183"/>
    </row>
    <row r="3510" spans="2:26">
      <c r="B3510" s="191"/>
      <c r="D3510" s="183"/>
      <c r="I3510" s="183"/>
      <c r="J3510" s="183"/>
      <c r="L3510" s="183"/>
      <c r="M3510" s="183"/>
      <c r="N3510" s="183"/>
      <c r="O3510" s="183"/>
      <c r="P3510" s="183"/>
      <c r="Q3510" s="183"/>
      <c r="R3510" s="183"/>
      <c r="S3510" s="183"/>
      <c r="T3510" s="183"/>
      <c r="U3510" s="183"/>
      <c r="V3510" s="183"/>
      <c r="W3510" s="183"/>
      <c r="X3510" s="183"/>
      <c r="Y3510" s="183"/>
      <c r="Z3510" s="183"/>
    </row>
    <row r="3511" spans="2:26">
      <c r="B3511" s="191"/>
      <c r="D3511" s="183"/>
      <c r="I3511" s="183"/>
      <c r="J3511" s="183"/>
      <c r="L3511" s="183"/>
      <c r="M3511" s="183"/>
      <c r="N3511" s="183"/>
      <c r="O3511" s="183"/>
      <c r="P3511" s="183"/>
      <c r="Q3511" s="183"/>
      <c r="R3511" s="183"/>
      <c r="S3511" s="183"/>
      <c r="T3511" s="183"/>
      <c r="U3511" s="183"/>
      <c r="V3511" s="183"/>
      <c r="W3511" s="183"/>
      <c r="X3511" s="183"/>
      <c r="Y3511" s="183"/>
      <c r="Z3511" s="183"/>
    </row>
    <row r="3512" spans="2:26">
      <c r="B3512" s="191"/>
      <c r="D3512" s="183"/>
      <c r="I3512" s="183"/>
      <c r="J3512" s="183"/>
      <c r="L3512" s="183"/>
      <c r="M3512" s="183"/>
      <c r="N3512" s="183"/>
      <c r="O3512" s="183"/>
      <c r="P3512" s="183"/>
      <c r="Q3512" s="183"/>
      <c r="R3512" s="183"/>
      <c r="S3512" s="183"/>
      <c r="T3512" s="183"/>
      <c r="U3512" s="183"/>
      <c r="V3512" s="183"/>
      <c r="W3512" s="183"/>
      <c r="X3512" s="183"/>
      <c r="Y3512" s="183"/>
      <c r="Z3512" s="183"/>
    </row>
    <row r="3513" spans="2:26">
      <c r="B3513" s="191"/>
      <c r="D3513" s="183"/>
      <c r="I3513" s="183"/>
      <c r="J3513" s="183"/>
      <c r="L3513" s="183"/>
      <c r="M3513" s="183"/>
      <c r="N3513" s="183"/>
      <c r="O3513" s="183"/>
      <c r="P3513" s="183"/>
      <c r="Q3513" s="183"/>
      <c r="R3513" s="183"/>
      <c r="S3513" s="183"/>
      <c r="T3513" s="183"/>
      <c r="U3513" s="183"/>
      <c r="V3513" s="183"/>
      <c r="W3513" s="183"/>
      <c r="X3513" s="183"/>
      <c r="Y3513" s="183"/>
      <c r="Z3513" s="183"/>
    </row>
    <row r="3514" spans="2:26">
      <c r="B3514" s="191"/>
      <c r="D3514" s="183"/>
      <c r="I3514" s="183"/>
      <c r="J3514" s="183"/>
      <c r="L3514" s="183"/>
      <c r="M3514" s="183"/>
      <c r="N3514" s="183"/>
      <c r="O3514" s="183"/>
      <c r="P3514" s="183"/>
      <c r="Q3514" s="183"/>
      <c r="R3514" s="183"/>
      <c r="S3514" s="183"/>
      <c r="T3514" s="183"/>
      <c r="U3514" s="183"/>
      <c r="V3514" s="183"/>
      <c r="W3514" s="183"/>
      <c r="X3514" s="183"/>
      <c r="Y3514" s="183"/>
      <c r="Z3514" s="183"/>
    </row>
    <row r="3515" spans="2:26">
      <c r="B3515" s="191"/>
      <c r="D3515" s="183"/>
      <c r="I3515" s="183"/>
      <c r="J3515" s="183"/>
      <c r="L3515" s="183"/>
      <c r="M3515" s="183"/>
      <c r="N3515" s="183"/>
      <c r="O3515" s="183"/>
      <c r="P3515" s="183"/>
      <c r="Q3515" s="183"/>
      <c r="R3515" s="183"/>
      <c r="S3515" s="183"/>
      <c r="T3515" s="183"/>
      <c r="U3515" s="183"/>
      <c r="V3515" s="183"/>
      <c r="W3515" s="183"/>
      <c r="X3515" s="183"/>
      <c r="Y3515" s="183"/>
      <c r="Z3515" s="183"/>
    </row>
    <row r="3516" spans="2:26">
      <c r="B3516" s="191"/>
      <c r="D3516" s="183"/>
      <c r="I3516" s="183"/>
      <c r="J3516" s="183"/>
      <c r="L3516" s="183"/>
      <c r="M3516" s="183"/>
      <c r="N3516" s="183"/>
      <c r="O3516" s="183"/>
      <c r="P3516" s="183"/>
      <c r="Q3516" s="183"/>
      <c r="R3516" s="183"/>
      <c r="S3516" s="183"/>
      <c r="T3516" s="183"/>
      <c r="U3516" s="183"/>
      <c r="V3516" s="183"/>
      <c r="W3516" s="183"/>
      <c r="X3516" s="183"/>
      <c r="Y3516" s="183"/>
      <c r="Z3516" s="183"/>
    </row>
    <row r="3517" spans="2:26">
      <c r="B3517" s="191"/>
      <c r="D3517" s="183"/>
      <c r="I3517" s="183"/>
      <c r="J3517" s="183"/>
      <c r="L3517" s="183"/>
      <c r="M3517" s="183"/>
      <c r="N3517" s="183"/>
      <c r="O3517" s="183"/>
      <c r="P3517" s="183"/>
      <c r="Q3517" s="183"/>
      <c r="R3517" s="183"/>
      <c r="S3517" s="183"/>
      <c r="T3517" s="183"/>
      <c r="U3517" s="183"/>
      <c r="V3517" s="183"/>
      <c r="W3517" s="183"/>
      <c r="X3517" s="183"/>
      <c r="Y3517" s="183"/>
      <c r="Z3517" s="183"/>
    </row>
    <row r="3518" spans="2:26">
      <c r="B3518" s="191"/>
      <c r="D3518" s="183"/>
      <c r="I3518" s="183"/>
      <c r="J3518" s="183"/>
      <c r="L3518" s="183"/>
      <c r="M3518" s="183"/>
      <c r="N3518" s="183"/>
      <c r="O3518" s="183"/>
      <c r="P3518" s="183"/>
      <c r="Q3518" s="183"/>
      <c r="R3518" s="183"/>
      <c r="S3518" s="183"/>
      <c r="T3518" s="183"/>
      <c r="U3518" s="183"/>
      <c r="V3518" s="183"/>
      <c r="W3518" s="183"/>
      <c r="X3518" s="183"/>
      <c r="Y3518" s="183"/>
      <c r="Z3518" s="183"/>
    </row>
    <row r="3519" spans="2:26">
      <c r="B3519" s="191"/>
      <c r="D3519" s="183"/>
      <c r="I3519" s="183"/>
      <c r="J3519" s="183"/>
      <c r="L3519" s="183"/>
      <c r="M3519" s="183"/>
      <c r="N3519" s="183"/>
      <c r="O3519" s="183"/>
      <c r="P3519" s="183"/>
      <c r="Q3519" s="183"/>
      <c r="R3519" s="183"/>
      <c r="S3519" s="183"/>
      <c r="T3519" s="183"/>
      <c r="U3519" s="183"/>
      <c r="V3519" s="183"/>
      <c r="W3519" s="183"/>
      <c r="X3519" s="183"/>
      <c r="Y3519" s="183"/>
      <c r="Z3519" s="183"/>
    </row>
    <row r="3520" spans="2:26">
      <c r="B3520" s="191"/>
      <c r="D3520" s="183"/>
      <c r="I3520" s="183"/>
      <c r="J3520" s="183"/>
      <c r="L3520" s="183"/>
      <c r="M3520" s="183"/>
      <c r="N3520" s="183"/>
      <c r="O3520" s="183"/>
      <c r="P3520" s="183"/>
      <c r="Q3520" s="183"/>
      <c r="R3520" s="183"/>
      <c r="S3520" s="183"/>
      <c r="T3520" s="183"/>
      <c r="U3520" s="183"/>
      <c r="V3520" s="183"/>
      <c r="W3520" s="183"/>
      <c r="X3520" s="183"/>
      <c r="Y3520" s="183"/>
      <c r="Z3520" s="183"/>
    </row>
    <row r="3521" spans="2:26">
      <c r="B3521" s="191"/>
      <c r="D3521" s="183"/>
      <c r="I3521" s="183"/>
      <c r="J3521" s="183"/>
      <c r="L3521" s="183"/>
      <c r="M3521" s="183"/>
      <c r="N3521" s="183"/>
      <c r="O3521" s="183"/>
      <c r="P3521" s="183"/>
      <c r="Q3521" s="183"/>
      <c r="R3521" s="183"/>
      <c r="S3521" s="183"/>
      <c r="T3521" s="183"/>
      <c r="U3521" s="183"/>
      <c r="V3521" s="183"/>
      <c r="W3521" s="183"/>
      <c r="X3521" s="183"/>
      <c r="Y3521" s="183"/>
      <c r="Z3521" s="183"/>
    </row>
    <row r="3522" spans="2:26">
      <c r="B3522" s="191"/>
      <c r="D3522" s="183"/>
      <c r="I3522" s="183"/>
      <c r="J3522" s="183"/>
      <c r="L3522" s="183"/>
      <c r="M3522" s="183"/>
      <c r="N3522" s="183"/>
      <c r="O3522" s="183"/>
      <c r="P3522" s="183"/>
      <c r="Q3522" s="183"/>
      <c r="R3522" s="183"/>
      <c r="S3522" s="183"/>
      <c r="T3522" s="183"/>
      <c r="U3522" s="183"/>
      <c r="V3522" s="183"/>
      <c r="W3522" s="183"/>
      <c r="X3522" s="183"/>
      <c r="Y3522" s="183"/>
      <c r="Z3522" s="183"/>
    </row>
    <row r="3523" spans="2:26">
      <c r="B3523" s="191"/>
      <c r="D3523" s="183"/>
      <c r="I3523" s="183"/>
      <c r="J3523" s="183"/>
      <c r="L3523" s="183"/>
      <c r="M3523" s="183"/>
      <c r="N3523" s="183"/>
      <c r="O3523" s="183"/>
      <c r="P3523" s="183"/>
      <c r="Q3523" s="183"/>
      <c r="R3523" s="183"/>
      <c r="S3523" s="183"/>
      <c r="T3523" s="183"/>
      <c r="U3523" s="183"/>
      <c r="V3523" s="183"/>
      <c r="W3523" s="183"/>
      <c r="X3523" s="183"/>
      <c r="Y3523" s="183"/>
      <c r="Z3523" s="183"/>
    </row>
    <row r="3524" spans="2:26">
      <c r="B3524" s="191"/>
      <c r="D3524" s="183"/>
      <c r="I3524" s="183"/>
      <c r="J3524" s="183"/>
      <c r="L3524" s="183"/>
      <c r="M3524" s="183"/>
      <c r="N3524" s="183"/>
      <c r="O3524" s="183"/>
      <c r="P3524" s="183"/>
      <c r="Q3524" s="183"/>
      <c r="R3524" s="183"/>
      <c r="S3524" s="183"/>
      <c r="T3524" s="183"/>
      <c r="U3524" s="183"/>
      <c r="V3524" s="183"/>
      <c r="W3524" s="183"/>
      <c r="X3524" s="183"/>
      <c r="Y3524" s="183"/>
      <c r="Z3524" s="183"/>
    </row>
    <row r="3525" spans="2:26">
      <c r="B3525" s="191"/>
      <c r="D3525" s="183"/>
      <c r="I3525" s="183"/>
      <c r="J3525" s="183"/>
      <c r="L3525" s="183"/>
      <c r="M3525" s="183"/>
      <c r="N3525" s="183"/>
      <c r="O3525" s="183"/>
      <c r="P3525" s="183"/>
      <c r="Q3525" s="183"/>
      <c r="R3525" s="183"/>
      <c r="S3525" s="183"/>
      <c r="T3525" s="183"/>
      <c r="U3525" s="183"/>
      <c r="V3525" s="183"/>
      <c r="W3525" s="183"/>
      <c r="X3525" s="183"/>
      <c r="Y3525" s="183"/>
      <c r="Z3525" s="183"/>
    </row>
    <row r="3526" spans="2:26">
      <c r="B3526" s="191"/>
      <c r="D3526" s="183"/>
      <c r="I3526" s="183"/>
      <c r="J3526" s="183"/>
      <c r="L3526" s="183"/>
      <c r="M3526" s="183"/>
      <c r="N3526" s="183"/>
      <c r="O3526" s="183"/>
      <c r="P3526" s="183"/>
      <c r="Q3526" s="183"/>
      <c r="R3526" s="183"/>
      <c r="S3526" s="183"/>
      <c r="T3526" s="183"/>
      <c r="U3526" s="183"/>
      <c r="V3526" s="183"/>
      <c r="W3526" s="183"/>
      <c r="X3526" s="183"/>
      <c r="Y3526" s="183"/>
      <c r="Z3526" s="183"/>
    </row>
    <row r="3527" spans="2:26">
      <c r="B3527" s="191"/>
      <c r="D3527" s="183"/>
      <c r="I3527" s="183"/>
      <c r="J3527" s="183"/>
      <c r="L3527" s="183"/>
      <c r="M3527" s="183"/>
      <c r="N3527" s="183"/>
      <c r="O3527" s="183"/>
      <c r="P3527" s="183"/>
      <c r="Q3527" s="183"/>
      <c r="R3527" s="183"/>
      <c r="S3527" s="183"/>
      <c r="T3527" s="183"/>
      <c r="U3527" s="183"/>
      <c r="V3527" s="183"/>
      <c r="W3527" s="183"/>
      <c r="X3527" s="183"/>
      <c r="Y3527" s="183"/>
      <c r="Z3527" s="183"/>
    </row>
    <row r="3528" spans="2:26">
      <c r="B3528" s="191"/>
      <c r="D3528" s="183"/>
      <c r="I3528" s="183"/>
      <c r="J3528" s="183"/>
      <c r="L3528" s="183"/>
      <c r="M3528" s="183"/>
      <c r="N3528" s="183"/>
      <c r="O3528" s="183"/>
      <c r="P3528" s="183"/>
      <c r="Q3528" s="183"/>
      <c r="R3528" s="183"/>
      <c r="S3528" s="183"/>
      <c r="T3528" s="183"/>
      <c r="U3528" s="183"/>
      <c r="V3528" s="183"/>
      <c r="W3528" s="183"/>
      <c r="X3528" s="183"/>
      <c r="Y3528" s="183"/>
      <c r="Z3528" s="183"/>
    </row>
    <row r="3529" spans="2:26">
      <c r="B3529" s="191"/>
      <c r="D3529" s="183"/>
      <c r="I3529" s="183"/>
      <c r="J3529" s="183"/>
      <c r="L3529" s="183"/>
      <c r="M3529" s="183"/>
      <c r="N3529" s="183"/>
      <c r="O3529" s="183"/>
      <c r="P3529" s="183"/>
      <c r="Q3529" s="183"/>
      <c r="R3529" s="183"/>
      <c r="S3529" s="183"/>
      <c r="T3529" s="183"/>
      <c r="U3529" s="183"/>
      <c r="V3529" s="183"/>
      <c r="W3529" s="183"/>
      <c r="X3529" s="183"/>
      <c r="Y3529" s="183"/>
      <c r="Z3529" s="183"/>
    </row>
    <row r="3530" spans="2:26">
      <c r="B3530" s="191"/>
      <c r="D3530" s="183"/>
      <c r="I3530" s="183"/>
      <c r="J3530" s="183"/>
      <c r="L3530" s="183"/>
      <c r="M3530" s="183"/>
      <c r="N3530" s="183"/>
      <c r="O3530" s="183"/>
      <c r="P3530" s="183"/>
      <c r="Q3530" s="183"/>
      <c r="R3530" s="183"/>
      <c r="S3530" s="183"/>
      <c r="T3530" s="183"/>
      <c r="U3530" s="183"/>
      <c r="V3530" s="183"/>
      <c r="W3530" s="183"/>
      <c r="X3530" s="183"/>
      <c r="Y3530" s="183"/>
      <c r="Z3530" s="183"/>
    </row>
    <row r="3531" spans="2:26">
      <c r="B3531" s="191"/>
      <c r="D3531" s="183"/>
      <c r="I3531" s="183"/>
      <c r="J3531" s="183"/>
      <c r="L3531" s="183"/>
      <c r="M3531" s="183"/>
      <c r="N3531" s="183"/>
      <c r="O3531" s="183"/>
      <c r="P3531" s="183"/>
      <c r="Q3531" s="183"/>
      <c r="R3531" s="183"/>
      <c r="S3531" s="183"/>
      <c r="T3531" s="183"/>
      <c r="U3531" s="183"/>
      <c r="V3531" s="183"/>
      <c r="W3531" s="183"/>
      <c r="X3531" s="183"/>
      <c r="Y3531" s="183"/>
      <c r="Z3531" s="183"/>
    </row>
    <row r="3532" spans="2:26">
      <c r="B3532" s="191"/>
      <c r="D3532" s="183"/>
      <c r="I3532" s="183"/>
      <c r="J3532" s="183"/>
      <c r="L3532" s="183"/>
      <c r="M3532" s="183"/>
      <c r="N3532" s="183"/>
      <c r="O3532" s="183"/>
      <c r="P3532" s="183"/>
      <c r="Q3532" s="183"/>
      <c r="R3532" s="183"/>
      <c r="S3532" s="183"/>
      <c r="T3532" s="183"/>
      <c r="U3532" s="183"/>
      <c r="V3532" s="183"/>
      <c r="W3532" s="183"/>
      <c r="X3532" s="183"/>
      <c r="Y3532" s="183"/>
      <c r="Z3532" s="183"/>
    </row>
    <row r="3533" spans="2:26">
      <c r="B3533" s="191"/>
      <c r="D3533" s="183"/>
      <c r="I3533" s="183"/>
      <c r="J3533" s="183"/>
      <c r="L3533" s="183"/>
      <c r="M3533" s="183"/>
      <c r="N3533" s="183"/>
      <c r="O3533" s="183"/>
      <c r="P3533" s="183"/>
      <c r="Q3533" s="183"/>
      <c r="R3533" s="183"/>
      <c r="S3533" s="183"/>
      <c r="T3533" s="183"/>
      <c r="U3533" s="183"/>
      <c r="V3533" s="183"/>
      <c r="W3533" s="183"/>
      <c r="X3533" s="183"/>
      <c r="Y3533" s="183"/>
      <c r="Z3533" s="183"/>
    </row>
    <row r="3534" spans="2:26">
      <c r="B3534" s="191"/>
      <c r="D3534" s="183"/>
      <c r="I3534" s="183"/>
      <c r="J3534" s="183"/>
      <c r="L3534" s="183"/>
      <c r="M3534" s="183"/>
      <c r="N3534" s="183"/>
      <c r="O3534" s="183"/>
      <c r="P3534" s="183"/>
      <c r="Q3534" s="183"/>
      <c r="R3534" s="183"/>
      <c r="S3534" s="183"/>
      <c r="T3534" s="183"/>
      <c r="U3534" s="183"/>
      <c r="V3534" s="183"/>
      <c r="W3534" s="183"/>
      <c r="X3534" s="183"/>
      <c r="Y3534" s="183"/>
      <c r="Z3534" s="183"/>
    </row>
    <row r="3535" spans="2:26">
      <c r="B3535" s="191"/>
      <c r="D3535" s="183"/>
      <c r="I3535" s="183"/>
      <c r="J3535" s="183"/>
      <c r="L3535" s="183"/>
      <c r="M3535" s="183"/>
      <c r="N3535" s="183"/>
      <c r="O3535" s="183"/>
      <c r="P3535" s="183"/>
      <c r="Q3535" s="183"/>
      <c r="R3535" s="183"/>
      <c r="S3535" s="183"/>
      <c r="T3535" s="183"/>
      <c r="U3535" s="183"/>
      <c r="V3535" s="183"/>
      <c r="W3535" s="183"/>
      <c r="X3535" s="183"/>
      <c r="Y3535" s="183"/>
      <c r="Z3535" s="183"/>
    </row>
    <row r="3536" spans="2:26">
      <c r="B3536" s="191"/>
      <c r="D3536" s="183"/>
      <c r="I3536" s="183"/>
      <c r="J3536" s="183"/>
      <c r="L3536" s="183"/>
      <c r="M3536" s="183"/>
      <c r="N3536" s="183"/>
      <c r="O3536" s="183"/>
      <c r="P3536" s="183"/>
      <c r="Q3536" s="183"/>
      <c r="R3536" s="183"/>
      <c r="S3536" s="183"/>
      <c r="T3536" s="183"/>
      <c r="U3536" s="183"/>
      <c r="V3536" s="183"/>
      <c r="W3536" s="183"/>
      <c r="X3536" s="183"/>
      <c r="Y3536" s="183"/>
      <c r="Z3536" s="183"/>
    </row>
    <row r="3537" spans="2:26">
      <c r="B3537" s="191"/>
      <c r="D3537" s="183"/>
      <c r="I3537" s="183"/>
      <c r="J3537" s="183"/>
      <c r="L3537" s="183"/>
      <c r="M3537" s="183"/>
      <c r="N3537" s="183"/>
      <c r="O3537" s="183"/>
      <c r="P3537" s="183"/>
      <c r="Q3537" s="183"/>
      <c r="R3537" s="183"/>
      <c r="S3537" s="183"/>
      <c r="T3537" s="183"/>
      <c r="U3537" s="183"/>
      <c r="V3537" s="183"/>
      <c r="W3537" s="183"/>
      <c r="X3537" s="183"/>
      <c r="Y3537" s="183"/>
      <c r="Z3537" s="183"/>
    </row>
    <row r="3538" spans="2:26">
      <c r="B3538" s="191"/>
      <c r="D3538" s="183"/>
      <c r="I3538" s="183"/>
      <c r="J3538" s="183"/>
      <c r="L3538" s="183"/>
      <c r="M3538" s="183"/>
      <c r="N3538" s="183"/>
      <c r="O3538" s="183"/>
      <c r="P3538" s="183"/>
      <c r="Q3538" s="183"/>
      <c r="R3538" s="183"/>
      <c r="S3538" s="183"/>
      <c r="T3538" s="183"/>
      <c r="U3538" s="183"/>
      <c r="V3538" s="183"/>
      <c r="W3538" s="183"/>
      <c r="X3538" s="183"/>
      <c r="Y3538" s="183"/>
      <c r="Z3538" s="183"/>
    </row>
    <row r="3539" spans="2:26">
      <c r="B3539" s="191"/>
      <c r="D3539" s="183"/>
      <c r="I3539" s="183"/>
      <c r="J3539" s="183"/>
      <c r="L3539" s="183"/>
      <c r="M3539" s="183"/>
      <c r="N3539" s="183"/>
      <c r="O3539" s="183"/>
      <c r="P3539" s="183"/>
      <c r="Q3539" s="183"/>
      <c r="R3539" s="183"/>
      <c r="S3539" s="183"/>
      <c r="T3539" s="183"/>
      <c r="U3539" s="183"/>
      <c r="V3539" s="183"/>
      <c r="W3539" s="183"/>
      <c r="X3539" s="183"/>
      <c r="Y3539" s="183"/>
      <c r="Z3539" s="183"/>
    </row>
    <row r="3540" spans="2:26">
      <c r="B3540" s="191"/>
      <c r="D3540" s="183"/>
      <c r="I3540" s="183"/>
      <c r="J3540" s="183"/>
      <c r="L3540" s="183"/>
      <c r="M3540" s="183"/>
      <c r="N3540" s="183"/>
      <c r="O3540" s="183"/>
      <c r="P3540" s="183"/>
      <c r="Q3540" s="183"/>
      <c r="R3540" s="183"/>
      <c r="S3540" s="183"/>
      <c r="T3540" s="183"/>
      <c r="U3540" s="183"/>
      <c r="V3540" s="183"/>
      <c r="W3540" s="183"/>
      <c r="X3540" s="183"/>
      <c r="Y3540" s="183"/>
      <c r="Z3540" s="183"/>
    </row>
    <row r="3541" spans="2:26">
      <c r="B3541" s="191"/>
      <c r="D3541" s="183"/>
      <c r="I3541" s="183"/>
      <c r="J3541" s="183"/>
      <c r="L3541" s="183"/>
      <c r="M3541" s="183"/>
      <c r="N3541" s="183"/>
      <c r="O3541" s="183"/>
      <c r="P3541" s="183"/>
      <c r="Q3541" s="183"/>
      <c r="R3541" s="183"/>
      <c r="S3541" s="183"/>
      <c r="T3541" s="183"/>
      <c r="U3541" s="183"/>
      <c r="V3541" s="183"/>
      <c r="W3541" s="183"/>
      <c r="X3541" s="183"/>
      <c r="Y3541" s="183"/>
      <c r="Z3541" s="183"/>
    </row>
    <row r="3542" spans="2:26">
      <c r="B3542" s="191"/>
      <c r="D3542" s="183"/>
      <c r="I3542" s="183"/>
      <c r="J3542" s="183"/>
      <c r="L3542" s="183"/>
      <c r="M3542" s="183"/>
      <c r="N3542" s="183"/>
      <c r="O3542" s="183"/>
      <c r="P3542" s="183"/>
      <c r="Q3542" s="183"/>
      <c r="R3542" s="183"/>
      <c r="S3542" s="183"/>
      <c r="T3542" s="183"/>
      <c r="U3542" s="183"/>
      <c r="V3542" s="183"/>
      <c r="W3542" s="183"/>
      <c r="X3542" s="183"/>
      <c r="Y3542" s="183"/>
      <c r="Z3542" s="183"/>
    </row>
    <row r="3543" spans="2:26">
      <c r="B3543" s="191"/>
      <c r="D3543" s="183"/>
      <c r="I3543" s="183"/>
      <c r="J3543" s="183"/>
      <c r="L3543" s="183"/>
      <c r="M3543" s="183"/>
      <c r="N3543" s="183"/>
      <c r="O3543" s="183"/>
      <c r="P3543" s="183"/>
      <c r="Q3543" s="183"/>
      <c r="R3543" s="183"/>
      <c r="S3543" s="183"/>
      <c r="T3543" s="183"/>
      <c r="U3543" s="183"/>
      <c r="V3543" s="183"/>
      <c r="W3543" s="183"/>
      <c r="X3543" s="183"/>
      <c r="Y3543" s="183"/>
      <c r="Z3543" s="183"/>
    </row>
    <row r="3544" spans="2:26">
      <c r="B3544" s="191"/>
      <c r="D3544" s="183"/>
      <c r="I3544" s="183"/>
      <c r="J3544" s="183"/>
      <c r="L3544" s="183"/>
      <c r="M3544" s="183"/>
      <c r="N3544" s="183"/>
      <c r="O3544" s="183"/>
      <c r="P3544" s="183"/>
      <c r="Q3544" s="183"/>
      <c r="R3544" s="183"/>
      <c r="S3544" s="183"/>
      <c r="T3544" s="183"/>
      <c r="U3544" s="183"/>
      <c r="V3544" s="183"/>
      <c r="W3544" s="183"/>
      <c r="X3544" s="183"/>
      <c r="Y3544" s="183"/>
      <c r="Z3544" s="183"/>
    </row>
    <row r="3545" spans="2:26">
      <c r="B3545" s="191"/>
      <c r="D3545" s="183"/>
      <c r="I3545" s="183"/>
      <c r="J3545" s="183"/>
      <c r="L3545" s="183"/>
      <c r="M3545" s="183"/>
      <c r="N3545" s="183"/>
      <c r="O3545" s="183"/>
      <c r="P3545" s="183"/>
      <c r="Q3545" s="183"/>
      <c r="R3545" s="183"/>
      <c r="S3545" s="183"/>
      <c r="T3545" s="183"/>
      <c r="U3545" s="183"/>
      <c r="V3545" s="183"/>
      <c r="W3545" s="183"/>
      <c r="X3545" s="183"/>
      <c r="Y3545" s="183"/>
      <c r="Z3545" s="183"/>
    </row>
    <row r="3546" spans="2:26">
      <c r="B3546" s="191"/>
      <c r="D3546" s="183"/>
      <c r="I3546" s="183"/>
      <c r="J3546" s="183"/>
      <c r="L3546" s="183"/>
      <c r="M3546" s="183"/>
      <c r="N3546" s="183"/>
      <c r="O3546" s="183"/>
      <c r="P3546" s="183"/>
      <c r="Q3546" s="183"/>
      <c r="R3546" s="183"/>
      <c r="S3546" s="183"/>
      <c r="T3546" s="183"/>
      <c r="U3546" s="183"/>
      <c r="V3546" s="183"/>
      <c r="W3546" s="183"/>
      <c r="X3546" s="183"/>
      <c r="Y3546" s="183"/>
      <c r="Z3546" s="183"/>
    </row>
    <row r="3547" spans="2:26">
      <c r="B3547" s="191"/>
      <c r="D3547" s="183"/>
      <c r="I3547" s="183"/>
      <c r="J3547" s="183"/>
      <c r="L3547" s="183"/>
      <c r="M3547" s="183"/>
      <c r="N3547" s="183"/>
      <c r="O3547" s="183"/>
      <c r="P3547" s="183"/>
      <c r="Q3547" s="183"/>
      <c r="R3547" s="183"/>
      <c r="S3547" s="183"/>
      <c r="T3547" s="183"/>
      <c r="U3547" s="183"/>
      <c r="V3547" s="183"/>
      <c r="W3547" s="183"/>
      <c r="X3547" s="183"/>
      <c r="Y3547" s="183"/>
      <c r="Z3547" s="183"/>
    </row>
    <row r="3548" spans="2:26">
      <c r="B3548" s="191"/>
      <c r="D3548" s="183"/>
      <c r="I3548" s="183"/>
      <c r="J3548" s="183"/>
      <c r="L3548" s="183"/>
      <c r="M3548" s="183"/>
      <c r="N3548" s="183"/>
      <c r="O3548" s="183"/>
      <c r="P3548" s="183"/>
      <c r="Q3548" s="183"/>
      <c r="R3548" s="183"/>
      <c r="S3548" s="183"/>
      <c r="T3548" s="183"/>
      <c r="U3548" s="183"/>
      <c r="V3548" s="183"/>
      <c r="W3548" s="183"/>
      <c r="X3548" s="183"/>
      <c r="Y3548" s="183"/>
      <c r="Z3548" s="183"/>
    </row>
    <row r="3549" spans="2:26">
      <c r="B3549" s="191"/>
      <c r="D3549" s="183"/>
      <c r="I3549" s="183"/>
      <c r="J3549" s="183"/>
      <c r="L3549" s="183"/>
      <c r="M3549" s="183"/>
      <c r="N3549" s="183"/>
      <c r="O3549" s="183"/>
      <c r="P3549" s="183"/>
      <c r="Q3549" s="183"/>
      <c r="R3549" s="183"/>
      <c r="S3549" s="183"/>
      <c r="T3549" s="183"/>
      <c r="U3549" s="183"/>
      <c r="V3549" s="183"/>
      <c r="W3549" s="183"/>
      <c r="X3549" s="183"/>
      <c r="Y3549" s="183"/>
      <c r="Z3549" s="183"/>
    </row>
    <row r="3550" spans="2:26">
      <c r="B3550" s="191"/>
      <c r="D3550" s="183"/>
      <c r="I3550" s="183"/>
      <c r="J3550" s="183"/>
      <c r="L3550" s="183"/>
      <c r="M3550" s="183"/>
      <c r="N3550" s="183"/>
      <c r="O3550" s="183"/>
      <c r="P3550" s="183"/>
      <c r="Q3550" s="183"/>
      <c r="R3550" s="183"/>
      <c r="S3550" s="183"/>
      <c r="T3550" s="183"/>
      <c r="U3550" s="183"/>
      <c r="V3550" s="183"/>
      <c r="W3550" s="183"/>
      <c r="X3550" s="183"/>
      <c r="Y3550" s="183"/>
      <c r="Z3550" s="183"/>
    </row>
    <row r="3551" spans="2:26">
      <c r="B3551" s="191"/>
      <c r="D3551" s="183"/>
      <c r="I3551" s="183"/>
      <c r="J3551" s="183"/>
      <c r="L3551" s="183"/>
      <c r="M3551" s="183"/>
      <c r="N3551" s="183"/>
      <c r="O3551" s="183"/>
      <c r="P3551" s="183"/>
      <c r="Q3551" s="183"/>
      <c r="R3551" s="183"/>
      <c r="S3551" s="183"/>
      <c r="T3551" s="183"/>
      <c r="U3551" s="183"/>
      <c r="V3551" s="183"/>
      <c r="W3551" s="183"/>
      <c r="X3551" s="183"/>
      <c r="Y3551" s="183"/>
      <c r="Z3551" s="183"/>
    </row>
    <row r="3552" spans="2:26">
      <c r="B3552" s="191"/>
      <c r="D3552" s="183"/>
      <c r="I3552" s="183"/>
      <c r="J3552" s="183"/>
      <c r="L3552" s="183"/>
      <c r="M3552" s="183"/>
      <c r="N3552" s="183"/>
      <c r="O3552" s="183"/>
      <c r="P3552" s="183"/>
      <c r="Q3552" s="183"/>
      <c r="R3552" s="183"/>
      <c r="S3552" s="183"/>
      <c r="T3552" s="183"/>
      <c r="U3552" s="183"/>
      <c r="V3552" s="183"/>
      <c r="W3552" s="183"/>
      <c r="X3552" s="183"/>
      <c r="Y3552" s="183"/>
      <c r="Z3552" s="183"/>
    </row>
    <row r="3553" spans="2:26">
      <c r="B3553" s="191"/>
      <c r="D3553" s="183"/>
      <c r="I3553" s="183"/>
      <c r="J3553" s="183"/>
      <c r="L3553" s="183"/>
      <c r="M3553" s="183"/>
      <c r="N3553" s="183"/>
      <c r="O3553" s="183"/>
      <c r="P3553" s="183"/>
      <c r="Q3553" s="183"/>
      <c r="R3553" s="183"/>
      <c r="S3553" s="183"/>
      <c r="T3553" s="183"/>
      <c r="U3553" s="183"/>
      <c r="V3553" s="183"/>
      <c r="W3553" s="183"/>
      <c r="X3553" s="183"/>
      <c r="Y3553" s="183"/>
      <c r="Z3553" s="183"/>
    </row>
    <row r="3554" spans="2:26">
      <c r="B3554" s="191"/>
      <c r="D3554" s="183"/>
      <c r="I3554" s="183"/>
      <c r="J3554" s="183"/>
      <c r="L3554" s="183"/>
      <c r="M3554" s="183"/>
      <c r="N3554" s="183"/>
      <c r="O3554" s="183"/>
      <c r="P3554" s="183"/>
      <c r="Q3554" s="183"/>
      <c r="R3554" s="183"/>
      <c r="S3554" s="183"/>
      <c r="T3554" s="183"/>
      <c r="U3554" s="183"/>
      <c r="V3554" s="183"/>
      <c r="W3554" s="183"/>
      <c r="X3554" s="183"/>
      <c r="Y3554" s="183"/>
      <c r="Z3554" s="183"/>
    </row>
    <row r="3555" spans="2:26">
      <c r="B3555" s="191"/>
      <c r="D3555" s="183"/>
      <c r="I3555" s="183"/>
      <c r="J3555" s="183"/>
      <c r="L3555" s="183"/>
      <c r="M3555" s="183"/>
      <c r="N3555" s="183"/>
      <c r="O3555" s="183"/>
      <c r="P3555" s="183"/>
      <c r="Q3555" s="183"/>
      <c r="R3555" s="183"/>
      <c r="S3555" s="183"/>
      <c r="T3555" s="183"/>
      <c r="U3555" s="183"/>
      <c r="V3555" s="183"/>
      <c r="W3555" s="183"/>
      <c r="X3555" s="183"/>
      <c r="Y3555" s="183"/>
      <c r="Z3555" s="183"/>
    </row>
    <row r="3556" spans="2:26">
      <c r="B3556" s="191"/>
      <c r="D3556" s="183"/>
      <c r="I3556" s="183"/>
      <c r="J3556" s="183"/>
      <c r="L3556" s="183"/>
      <c r="M3556" s="183"/>
      <c r="N3556" s="183"/>
      <c r="O3556" s="183"/>
      <c r="P3556" s="183"/>
      <c r="Q3556" s="183"/>
      <c r="R3556" s="183"/>
      <c r="S3556" s="183"/>
      <c r="T3556" s="183"/>
      <c r="U3556" s="183"/>
      <c r="V3556" s="183"/>
      <c r="W3556" s="183"/>
      <c r="X3556" s="183"/>
      <c r="Y3556" s="183"/>
      <c r="Z3556" s="183"/>
    </row>
    <row r="3557" spans="2:26">
      <c r="B3557" s="191"/>
      <c r="D3557" s="183"/>
      <c r="I3557" s="183"/>
      <c r="J3557" s="183"/>
      <c r="L3557" s="183"/>
      <c r="M3557" s="183"/>
      <c r="N3557" s="183"/>
      <c r="O3557" s="183"/>
      <c r="P3557" s="183"/>
      <c r="Q3557" s="183"/>
      <c r="R3557" s="183"/>
      <c r="S3557" s="183"/>
      <c r="T3557" s="183"/>
      <c r="U3557" s="183"/>
      <c r="V3557" s="183"/>
      <c r="W3557" s="183"/>
      <c r="X3557" s="183"/>
      <c r="Y3557" s="183"/>
      <c r="Z3557" s="183"/>
    </row>
    <row r="3558" spans="2:26">
      <c r="B3558" s="191"/>
      <c r="D3558" s="183"/>
      <c r="I3558" s="183"/>
      <c r="J3558" s="183"/>
      <c r="L3558" s="183"/>
      <c r="M3558" s="183"/>
      <c r="N3558" s="183"/>
      <c r="O3558" s="183"/>
      <c r="P3558" s="183"/>
      <c r="Q3558" s="183"/>
      <c r="R3558" s="183"/>
      <c r="S3558" s="183"/>
      <c r="T3558" s="183"/>
      <c r="U3558" s="183"/>
      <c r="V3558" s="183"/>
      <c r="W3558" s="183"/>
      <c r="X3558" s="183"/>
      <c r="Y3558" s="183"/>
      <c r="Z3558" s="183"/>
    </row>
    <row r="3559" spans="2:26">
      <c r="B3559" s="191"/>
      <c r="D3559" s="183"/>
      <c r="I3559" s="183"/>
      <c r="J3559" s="183"/>
      <c r="L3559" s="183"/>
      <c r="M3559" s="183"/>
      <c r="N3559" s="183"/>
      <c r="O3559" s="183"/>
      <c r="P3559" s="183"/>
      <c r="Q3559" s="183"/>
      <c r="R3559" s="183"/>
      <c r="S3559" s="183"/>
      <c r="T3559" s="183"/>
      <c r="U3559" s="183"/>
      <c r="V3559" s="183"/>
      <c r="W3559" s="183"/>
      <c r="X3559" s="183"/>
      <c r="Y3559" s="183"/>
      <c r="Z3559" s="183"/>
    </row>
    <row r="3560" spans="2:26">
      <c r="B3560" s="191"/>
      <c r="D3560" s="183"/>
      <c r="I3560" s="183"/>
      <c r="J3560" s="183"/>
      <c r="L3560" s="183"/>
      <c r="M3560" s="183"/>
      <c r="N3560" s="183"/>
      <c r="O3560" s="183"/>
      <c r="P3560" s="183"/>
      <c r="Q3560" s="183"/>
      <c r="R3560" s="183"/>
      <c r="S3560" s="183"/>
      <c r="T3560" s="183"/>
      <c r="U3560" s="183"/>
      <c r="V3560" s="183"/>
      <c r="W3560" s="183"/>
      <c r="X3560" s="183"/>
      <c r="Y3560" s="183"/>
      <c r="Z3560" s="183"/>
    </row>
    <row r="3561" spans="2:26">
      <c r="B3561" s="191"/>
      <c r="D3561" s="183"/>
      <c r="I3561" s="183"/>
      <c r="J3561" s="183"/>
      <c r="L3561" s="183"/>
      <c r="M3561" s="183"/>
      <c r="N3561" s="183"/>
      <c r="O3561" s="183"/>
      <c r="P3561" s="183"/>
      <c r="Q3561" s="183"/>
      <c r="R3561" s="183"/>
      <c r="S3561" s="183"/>
      <c r="T3561" s="183"/>
      <c r="U3561" s="183"/>
      <c r="V3561" s="183"/>
      <c r="W3561" s="183"/>
      <c r="X3561" s="183"/>
      <c r="Y3561" s="183"/>
      <c r="Z3561" s="183"/>
    </row>
    <row r="3562" spans="2:26">
      <c r="B3562" s="191"/>
      <c r="D3562" s="183"/>
      <c r="I3562" s="183"/>
      <c r="J3562" s="183"/>
      <c r="L3562" s="183"/>
      <c r="M3562" s="183"/>
      <c r="N3562" s="183"/>
      <c r="O3562" s="183"/>
      <c r="P3562" s="183"/>
      <c r="Q3562" s="183"/>
      <c r="R3562" s="183"/>
      <c r="S3562" s="183"/>
      <c r="T3562" s="183"/>
      <c r="U3562" s="183"/>
      <c r="V3562" s="183"/>
      <c r="W3562" s="183"/>
      <c r="X3562" s="183"/>
      <c r="Y3562" s="183"/>
      <c r="Z3562" s="183"/>
    </row>
    <row r="3563" spans="2:26">
      <c r="B3563" s="191"/>
      <c r="D3563" s="183"/>
      <c r="I3563" s="183"/>
      <c r="J3563" s="183"/>
      <c r="L3563" s="183"/>
      <c r="M3563" s="183"/>
      <c r="N3563" s="183"/>
      <c r="O3563" s="183"/>
      <c r="P3563" s="183"/>
      <c r="Q3563" s="183"/>
      <c r="R3563" s="183"/>
      <c r="S3563" s="183"/>
      <c r="T3563" s="183"/>
      <c r="U3563" s="183"/>
      <c r="V3563" s="183"/>
      <c r="W3563" s="183"/>
      <c r="X3563" s="183"/>
      <c r="Y3563" s="183"/>
      <c r="Z3563" s="183"/>
    </row>
    <row r="3564" spans="2:26">
      <c r="B3564" s="191"/>
      <c r="D3564" s="183"/>
      <c r="I3564" s="183"/>
      <c r="J3564" s="183"/>
      <c r="L3564" s="183"/>
      <c r="M3564" s="183"/>
      <c r="N3564" s="183"/>
      <c r="O3564" s="183"/>
      <c r="P3564" s="183"/>
      <c r="Q3564" s="183"/>
      <c r="R3564" s="183"/>
      <c r="S3564" s="183"/>
      <c r="T3564" s="183"/>
      <c r="U3564" s="183"/>
      <c r="V3564" s="183"/>
      <c r="W3564" s="183"/>
      <c r="X3564" s="183"/>
      <c r="Y3564" s="183"/>
      <c r="Z3564" s="183"/>
    </row>
    <row r="3565" spans="2:26">
      <c r="B3565" s="191"/>
      <c r="D3565" s="183"/>
      <c r="I3565" s="183"/>
      <c r="J3565" s="183"/>
      <c r="L3565" s="183"/>
      <c r="M3565" s="183"/>
      <c r="N3565" s="183"/>
      <c r="O3565" s="183"/>
      <c r="P3565" s="183"/>
      <c r="Q3565" s="183"/>
      <c r="R3565" s="183"/>
      <c r="S3565" s="183"/>
      <c r="T3565" s="183"/>
      <c r="U3565" s="183"/>
      <c r="V3565" s="183"/>
      <c r="W3565" s="183"/>
      <c r="X3565" s="183"/>
      <c r="Y3565" s="183"/>
      <c r="Z3565" s="183"/>
    </row>
    <row r="3566" spans="2:26">
      <c r="B3566" s="191"/>
      <c r="D3566" s="183"/>
      <c r="I3566" s="183"/>
      <c r="J3566" s="183"/>
      <c r="L3566" s="183"/>
      <c r="M3566" s="183"/>
      <c r="N3566" s="183"/>
      <c r="O3566" s="183"/>
      <c r="P3566" s="183"/>
      <c r="Q3566" s="183"/>
      <c r="R3566" s="183"/>
      <c r="S3566" s="183"/>
      <c r="T3566" s="183"/>
      <c r="U3566" s="183"/>
      <c r="V3566" s="183"/>
      <c r="W3566" s="183"/>
      <c r="X3566" s="183"/>
      <c r="Y3566" s="183"/>
      <c r="Z3566" s="183"/>
    </row>
    <row r="3567" spans="2:26">
      <c r="B3567" s="191"/>
      <c r="D3567" s="183"/>
      <c r="I3567" s="183"/>
      <c r="J3567" s="183"/>
      <c r="L3567" s="183"/>
      <c r="M3567" s="183"/>
      <c r="N3567" s="183"/>
      <c r="O3567" s="183"/>
      <c r="P3567" s="183"/>
      <c r="Q3567" s="183"/>
      <c r="R3567" s="183"/>
      <c r="S3567" s="183"/>
      <c r="T3567" s="183"/>
      <c r="U3567" s="183"/>
      <c r="V3567" s="183"/>
      <c r="W3567" s="183"/>
      <c r="X3567" s="183"/>
      <c r="Y3567" s="183"/>
      <c r="Z3567" s="183"/>
    </row>
    <row r="3568" spans="2:26">
      <c r="B3568" s="191"/>
      <c r="D3568" s="183"/>
      <c r="I3568" s="183"/>
      <c r="J3568" s="183"/>
      <c r="L3568" s="183"/>
      <c r="M3568" s="183"/>
      <c r="N3568" s="183"/>
      <c r="O3568" s="183"/>
      <c r="P3568" s="183"/>
      <c r="Q3568" s="183"/>
      <c r="R3568" s="183"/>
      <c r="S3568" s="183"/>
      <c r="T3568" s="183"/>
      <c r="U3568" s="183"/>
      <c r="V3568" s="183"/>
      <c r="W3568" s="183"/>
      <c r="X3568" s="183"/>
      <c r="Y3568" s="183"/>
      <c r="Z3568" s="183"/>
    </row>
    <row r="3569" spans="2:26">
      <c r="B3569" s="191"/>
      <c r="D3569" s="183"/>
      <c r="I3569" s="183"/>
      <c r="J3569" s="183"/>
      <c r="L3569" s="183"/>
      <c r="M3569" s="183"/>
      <c r="N3569" s="183"/>
      <c r="O3569" s="183"/>
      <c r="P3569" s="183"/>
      <c r="Q3569" s="183"/>
      <c r="R3569" s="183"/>
      <c r="S3569" s="183"/>
      <c r="T3569" s="183"/>
      <c r="U3569" s="183"/>
      <c r="V3569" s="183"/>
      <c r="W3569" s="183"/>
      <c r="X3569" s="183"/>
      <c r="Y3569" s="183"/>
      <c r="Z3569" s="183"/>
    </row>
    <row r="3570" spans="2:26">
      <c r="B3570" s="191"/>
      <c r="D3570" s="183"/>
      <c r="I3570" s="183"/>
      <c r="J3570" s="183"/>
      <c r="L3570" s="183"/>
      <c r="M3570" s="183"/>
      <c r="N3570" s="183"/>
      <c r="O3570" s="183"/>
      <c r="P3570" s="183"/>
      <c r="Q3570" s="183"/>
      <c r="R3570" s="183"/>
      <c r="S3570" s="183"/>
      <c r="T3570" s="183"/>
      <c r="U3570" s="183"/>
      <c r="V3570" s="183"/>
      <c r="W3570" s="183"/>
      <c r="X3570" s="183"/>
      <c r="Y3570" s="183"/>
      <c r="Z3570" s="183"/>
    </row>
    <row r="3571" spans="2:26">
      <c r="B3571" s="191"/>
      <c r="D3571" s="183"/>
      <c r="I3571" s="183"/>
      <c r="J3571" s="183"/>
      <c r="L3571" s="183"/>
      <c r="M3571" s="183"/>
      <c r="N3571" s="183"/>
      <c r="O3571" s="183"/>
      <c r="P3571" s="183"/>
      <c r="Q3571" s="183"/>
      <c r="R3571" s="183"/>
      <c r="S3571" s="183"/>
      <c r="T3571" s="183"/>
      <c r="U3571" s="183"/>
      <c r="V3571" s="183"/>
      <c r="W3571" s="183"/>
      <c r="X3571" s="183"/>
      <c r="Y3571" s="183"/>
      <c r="Z3571" s="183"/>
    </row>
    <row r="3572" spans="2:26">
      <c r="B3572" s="191"/>
      <c r="D3572" s="183"/>
      <c r="I3572" s="183"/>
      <c r="J3572" s="183"/>
      <c r="L3572" s="183"/>
      <c r="M3572" s="183"/>
      <c r="N3572" s="183"/>
      <c r="O3572" s="183"/>
      <c r="P3572" s="183"/>
      <c r="Q3572" s="183"/>
      <c r="R3572" s="183"/>
      <c r="S3572" s="183"/>
      <c r="T3572" s="183"/>
      <c r="U3572" s="183"/>
      <c r="V3572" s="183"/>
      <c r="W3572" s="183"/>
      <c r="X3572" s="183"/>
      <c r="Y3572" s="183"/>
      <c r="Z3572" s="183"/>
    </row>
    <row r="3573" spans="2:26">
      <c r="B3573" s="191"/>
      <c r="D3573" s="183"/>
      <c r="I3573" s="183"/>
      <c r="J3573" s="183"/>
      <c r="L3573" s="183"/>
      <c r="M3573" s="183"/>
      <c r="N3573" s="183"/>
      <c r="O3573" s="183"/>
      <c r="P3573" s="183"/>
      <c r="Q3573" s="183"/>
      <c r="R3573" s="183"/>
      <c r="S3573" s="183"/>
      <c r="T3573" s="183"/>
      <c r="U3573" s="183"/>
      <c r="V3573" s="183"/>
      <c r="W3573" s="183"/>
      <c r="X3573" s="183"/>
      <c r="Y3573" s="183"/>
      <c r="Z3573" s="183"/>
    </row>
    <row r="3574" spans="2:26">
      <c r="B3574" s="191"/>
      <c r="D3574" s="183"/>
      <c r="I3574" s="183"/>
      <c r="J3574" s="183"/>
      <c r="L3574" s="183"/>
      <c r="M3574" s="183"/>
      <c r="N3574" s="183"/>
      <c r="O3574" s="183"/>
      <c r="P3574" s="183"/>
      <c r="Q3574" s="183"/>
      <c r="R3574" s="183"/>
      <c r="S3574" s="183"/>
      <c r="T3574" s="183"/>
      <c r="U3574" s="183"/>
      <c r="V3574" s="183"/>
      <c r="W3574" s="183"/>
      <c r="X3574" s="183"/>
      <c r="Y3574" s="183"/>
      <c r="Z3574" s="183"/>
    </row>
    <row r="3575" spans="2:26">
      <c r="B3575" s="191"/>
      <c r="D3575" s="183"/>
      <c r="I3575" s="183"/>
      <c r="J3575" s="183"/>
      <c r="L3575" s="183"/>
      <c r="M3575" s="183"/>
      <c r="N3575" s="183"/>
      <c r="O3575" s="183"/>
      <c r="P3575" s="183"/>
      <c r="Q3575" s="183"/>
      <c r="R3575" s="183"/>
      <c r="S3575" s="183"/>
      <c r="T3575" s="183"/>
      <c r="U3575" s="183"/>
      <c r="V3575" s="183"/>
      <c r="W3575" s="183"/>
      <c r="X3575" s="183"/>
      <c r="Y3575" s="183"/>
      <c r="Z3575" s="183"/>
    </row>
    <row r="3576" spans="2:26">
      <c r="B3576" s="191"/>
      <c r="D3576" s="183"/>
      <c r="I3576" s="183"/>
      <c r="J3576" s="183"/>
      <c r="L3576" s="183"/>
      <c r="M3576" s="183"/>
      <c r="N3576" s="183"/>
      <c r="O3576" s="183"/>
      <c r="P3576" s="183"/>
      <c r="Q3576" s="183"/>
      <c r="R3576" s="183"/>
      <c r="S3576" s="183"/>
      <c r="T3576" s="183"/>
      <c r="U3576" s="183"/>
      <c r="V3576" s="183"/>
      <c r="W3576" s="183"/>
      <c r="X3576" s="183"/>
      <c r="Y3576" s="183"/>
      <c r="Z3576" s="183"/>
    </row>
    <row r="3577" spans="2:26">
      <c r="B3577" s="191"/>
      <c r="D3577" s="183"/>
      <c r="I3577" s="183"/>
      <c r="J3577" s="183"/>
      <c r="L3577" s="183"/>
      <c r="M3577" s="183"/>
      <c r="N3577" s="183"/>
      <c r="O3577" s="183"/>
      <c r="P3577" s="183"/>
      <c r="Q3577" s="183"/>
      <c r="R3577" s="183"/>
      <c r="S3577" s="183"/>
      <c r="T3577" s="183"/>
      <c r="U3577" s="183"/>
      <c r="V3577" s="183"/>
      <c r="W3577" s="183"/>
      <c r="X3577" s="183"/>
      <c r="Y3577" s="183"/>
      <c r="Z3577" s="183"/>
    </row>
    <row r="3578" spans="2:26">
      <c r="B3578" s="191"/>
      <c r="D3578" s="183"/>
      <c r="I3578" s="183"/>
      <c r="J3578" s="183"/>
      <c r="L3578" s="183"/>
      <c r="M3578" s="183"/>
      <c r="N3578" s="183"/>
      <c r="O3578" s="183"/>
      <c r="P3578" s="183"/>
      <c r="Q3578" s="183"/>
      <c r="R3578" s="183"/>
      <c r="S3578" s="183"/>
      <c r="T3578" s="183"/>
      <c r="U3578" s="183"/>
      <c r="V3578" s="183"/>
      <c r="W3578" s="183"/>
      <c r="X3578" s="183"/>
      <c r="Y3578" s="183"/>
      <c r="Z3578" s="183"/>
    </row>
    <row r="3579" spans="2:26">
      <c r="B3579" s="191"/>
      <c r="D3579" s="183"/>
      <c r="I3579" s="183"/>
      <c r="J3579" s="183"/>
      <c r="L3579" s="183"/>
      <c r="M3579" s="183"/>
      <c r="N3579" s="183"/>
      <c r="O3579" s="183"/>
      <c r="P3579" s="183"/>
      <c r="Q3579" s="183"/>
      <c r="R3579" s="183"/>
      <c r="S3579" s="183"/>
      <c r="T3579" s="183"/>
      <c r="U3579" s="183"/>
      <c r="V3579" s="183"/>
      <c r="W3579" s="183"/>
      <c r="X3579" s="183"/>
      <c r="Y3579" s="183"/>
      <c r="Z3579" s="183"/>
    </row>
    <row r="3580" spans="2:26">
      <c r="B3580" s="191"/>
      <c r="D3580" s="183"/>
      <c r="I3580" s="183"/>
      <c r="J3580" s="183"/>
      <c r="L3580" s="183"/>
      <c r="M3580" s="183"/>
      <c r="N3580" s="183"/>
      <c r="O3580" s="183"/>
      <c r="P3580" s="183"/>
      <c r="Q3580" s="183"/>
      <c r="R3580" s="183"/>
      <c r="S3580" s="183"/>
      <c r="T3580" s="183"/>
      <c r="U3580" s="183"/>
      <c r="V3580" s="183"/>
      <c r="W3580" s="183"/>
      <c r="X3580" s="183"/>
      <c r="Y3580" s="183"/>
      <c r="Z3580" s="183"/>
    </row>
    <row r="3581" spans="2:26">
      <c r="B3581" s="191"/>
      <c r="D3581" s="183"/>
      <c r="I3581" s="183"/>
      <c r="J3581" s="183"/>
      <c r="L3581" s="183"/>
      <c r="M3581" s="183"/>
      <c r="N3581" s="183"/>
      <c r="O3581" s="183"/>
      <c r="P3581" s="183"/>
      <c r="Q3581" s="183"/>
      <c r="R3581" s="183"/>
      <c r="S3581" s="183"/>
      <c r="T3581" s="183"/>
      <c r="U3581" s="183"/>
      <c r="V3581" s="183"/>
      <c r="W3581" s="183"/>
      <c r="X3581" s="183"/>
      <c r="Y3581" s="183"/>
      <c r="Z3581" s="183"/>
    </row>
    <row r="3582" spans="2:26">
      <c r="B3582" s="191"/>
      <c r="D3582" s="183"/>
      <c r="I3582" s="183"/>
      <c r="J3582" s="183"/>
      <c r="L3582" s="183"/>
      <c r="M3582" s="183"/>
      <c r="N3582" s="183"/>
      <c r="O3582" s="183"/>
      <c r="P3582" s="183"/>
      <c r="Q3582" s="183"/>
      <c r="R3582" s="183"/>
      <c r="S3582" s="183"/>
      <c r="T3582" s="183"/>
      <c r="U3582" s="183"/>
      <c r="V3582" s="183"/>
      <c r="W3582" s="183"/>
      <c r="X3582" s="183"/>
      <c r="Y3582" s="183"/>
      <c r="Z3582" s="183"/>
    </row>
    <row r="3583" spans="2:26">
      <c r="B3583" s="191"/>
      <c r="D3583" s="183"/>
      <c r="I3583" s="183"/>
      <c r="J3583" s="183"/>
      <c r="L3583" s="183"/>
      <c r="M3583" s="183"/>
      <c r="N3583" s="183"/>
      <c r="O3583" s="183"/>
      <c r="P3583" s="183"/>
      <c r="Q3583" s="183"/>
      <c r="R3583" s="183"/>
      <c r="S3583" s="183"/>
      <c r="T3583" s="183"/>
      <c r="U3583" s="183"/>
      <c r="V3583" s="183"/>
      <c r="W3583" s="183"/>
      <c r="X3583" s="183"/>
      <c r="Y3583" s="183"/>
      <c r="Z3583" s="183"/>
    </row>
    <row r="3584" spans="2:26">
      <c r="B3584" s="191"/>
      <c r="D3584" s="183"/>
      <c r="I3584" s="183"/>
      <c r="J3584" s="183"/>
      <c r="L3584" s="183"/>
      <c r="M3584" s="183"/>
      <c r="N3584" s="183"/>
      <c r="O3584" s="183"/>
      <c r="P3584" s="183"/>
      <c r="Q3584" s="183"/>
      <c r="R3584" s="183"/>
      <c r="S3584" s="183"/>
      <c r="T3584" s="183"/>
      <c r="U3584" s="183"/>
      <c r="V3584" s="183"/>
      <c r="W3584" s="183"/>
      <c r="X3584" s="183"/>
      <c r="Y3584" s="183"/>
      <c r="Z3584" s="183"/>
    </row>
    <row r="3585" spans="2:26">
      <c r="B3585" s="191"/>
      <c r="D3585" s="183"/>
      <c r="I3585" s="183"/>
      <c r="J3585" s="183"/>
      <c r="L3585" s="183"/>
      <c r="M3585" s="183"/>
      <c r="N3585" s="183"/>
      <c r="O3585" s="183"/>
      <c r="P3585" s="183"/>
      <c r="Q3585" s="183"/>
      <c r="R3585" s="183"/>
      <c r="S3585" s="183"/>
      <c r="T3585" s="183"/>
      <c r="U3585" s="183"/>
      <c r="V3585" s="183"/>
      <c r="W3585" s="183"/>
      <c r="X3585" s="183"/>
      <c r="Y3585" s="183"/>
      <c r="Z3585" s="183"/>
    </row>
    <row r="3586" spans="2:26">
      <c r="B3586" s="191"/>
      <c r="D3586" s="183"/>
      <c r="I3586" s="183"/>
      <c r="J3586" s="183"/>
      <c r="L3586" s="183"/>
      <c r="M3586" s="183"/>
      <c r="N3586" s="183"/>
      <c r="O3586" s="183"/>
      <c r="P3586" s="183"/>
      <c r="Q3586" s="183"/>
      <c r="R3586" s="183"/>
      <c r="S3586" s="183"/>
      <c r="T3586" s="183"/>
      <c r="U3586" s="183"/>
      <c r="V3586" s="183"/>
      <c r="W3586" s="183"/>
      <c r="X3586" s="183"/>
      <c r="Y3586" s="183"/>
      <c r="Z3586" s="183"/>
    </row>
    <row r="3587" spans="2:26">
      <c r="B3587" s="191"/>
      <c r="D3587" s="183"/>
      <c r="I3587" s="183"/>
      <c r="J3587" s="183"/>
      <c r="L3587" s="183"/>
      <c r="M3587" s="183"/>
      <c r="N3587" s="183"/>
      <c r="O3587" s="183"/>
      <c r="P3587" s="183"/>
      <c r="Q3587" s="183"/>
      <c r="R3587" s="183"/>
      <c r="S3587" s="183"/>
      <c r="T3587" s="183"/>
      <c r="U3587" s="183"/>
      <c r="V3587" s="183"/>
      <c r="W3587" s="183"/>
      <c r="X3587" s="183"/>
      <c r="Y3587" s="183"/>
      <c r="Z3587" s="183"/>
    </row>
    <row r="3588" spans="2:26">
      <c r="B3588" s="191"/>
      <c r="D3588" s="183"/>
      <c r="I3588" s="183"/>
      <c r="J3588" s="183"/>
      <c r="L3588" s="183"/>
      <c r="M3588" s="183"/>
      <c r="N3588" s="183"/>
      <c r="O3588" s="183"/>
      <c r="P3588" s="183"/>
      <c r="Q3588" s="183"/>
      <c r="R3588" s="183"/>
      <c r="S3588" s="183"/>
      <c r="T3588" s="183"/>
      <c r="U3588" s="183"/>
      <c r="V3588" s="183"/>
      <c r="W3588" s="183"/>
      <c r="X3588" s="183"/>
      <c r="Y3588" s="183"/>
      <c r="Z3588" s="183"/>
    </row>
    <row r="3589" spans="2:26">
      <c r="B3589" s="191"/>
      <c r="D3589" s="183"/>
      <c r="I3589" s="183"/>
      <c r="J3589" s="183"/>
      <c r="L3589" s="183"/>
      <c r="M3589" s="183"/>
      <c r="N3589" s="183"/>
      <c r="O3589" s="183"/>
      <c r="P3589" s="183"/>
      <c r="Q3589" s="183"/>
      <c r="R3589" s="183"/>
      <c r="S3589" s="183"/>
      <c r="T3589" s="183"/>
      <c r="U3589" s="183"/>
      <c r="V3589" s="183"/>
      <c r="W3589" s="183"/>
      <c r="X3589" s="183"/>
      <c r="Y3589" s="183"/>
      <c r="Z3589" s="183"/>
    </row>
    <row r="3590" spans="2:26">
      <c r="B3590" s="191"/>
      <c r="D3590" s="183"/>
      <c r="I3590" s="183"/>
      <c r="J3590" s="183"/>
      <c r="L3590" s="183"/>
      <c r="M3590" s="183"/>
      <c r="N3590" s="183"/>
      <c r="O3590" s="183"/>
      <c r="P3590" s="183"/>
      <c r="Q3590" s="183"/>
      <c r="R3590" s="183"/>
      <c r="S3590" s="183"/>
      <c r="T3590" s="183"/>
      <c r="U3590" s="183"/>
      <c r="V3590" s="183"/>
      <c r="W3590" s="183"/>
      <c r="X3590" s="183"/>
      <c r="Y3590" s="183"/>
      <c r="Z3590" s="183"/>
    </row>
    <row r="3591" spans="2:26">
      <c r="B3591" s="191"/>
      <c r="D3591" s="183"/>
      <c r="I3591" s="183"/>
      <c r="J3591" s="183"/>
      <c r="L3591" s="183"/>
      <c r="M3591" s="183"/>
      <c r="N3591" s="183"/>
      <c r="O3591" s="183"/>
      <c r="P3591" s="183"/>
      <c r="Q3591" s="183"/>
      <c r="R3591" s="183"/>
      <c r="S3591" s="183"/>
      <c r="T3591" s="183"/>
      <c r="U3591" s="183"/>
      <c r="V3591" s="183"/>
      <c r="W3591" s="183"/>
      <c r="X3591" s="183"/>
      <c r="Y3591" s="183"/>
      <c r="Z3591" s="183"/>
    </row>
    <row r="3592" spans="2:26">
      <c r="B3592" s="191"/>
      <c r="D3592" s="183"/>
      <c r="I3592" s="183"/>
      <c r="J3592" s="183"/>
      <c r="L3592" s="183"/>
      <c r="M3592" s="183"/>
      <c r="N3592" s="183"/>
      <c r="O3592" s="183"/>
      <c r="P3592" s="183"/>
      <c r="Q3592" s="183"/>
      <c r="R3592" s="183"/>
      <c r="S3592" s="183"/>
      <c r="T3592" s="183"/>
      <c r="U3592" s="183"/>
      <c r="V3592" s="183"/>
      <c r="W3592" s="183"/>
      <c r="X3592" s="183"/>
      <c r="Y3592" s="183"/>
      <c r="Z3592" s="183"/>
    </row>
    <row r="3593" spans="2:26">
      <c r="B3593" s="191"/>
      <c r="D3593" s="183"/>
      <c r="I3593" s="183"/>
      <c r="J3593" s="183"/>
      <c r="L3593" s="183"/>
      <c r="M3593" s="183"/>
      <c r="N3593" s="183"/>
      <c r="O3593" s="183"/>
      <c r="P3593" s="183"/>
      <c r="Q3593" s="183"/>
      <c r="R3593" s="183"/>
      <c r="S3593" s="183"/>
      <c r="T3593" s="183"/>
      <c r="U3593" s="183"/>
      <c r="V3593" s="183"/>
      <c r="W3593" s="183"/>
      <c r="X3593" s="183"/>
      <c r="Y3593" s="183"/>
      <c r="Z3593" s="183"/>
    </row>
    <row r="3594" spans="2:26">
      <c r="B3594" s="191"/>
      <c r="D3594" s="183"/>
      <c r="I3594" s="183"/>
      <c r="J3594" s="183"/>
      <c r="L3594" s="183"/>
      <c r="M3594" s="183"/>
      <c r="N3594" s="183"/>
      <c r="O3594" s="183"/>
      <c r="P3594" s="183"/>
      <c r="Q3594" s="183"/>
      <c r="R3594" s="183"/>
      <c r="S3594" s="183"/>
      <c r="T3594" s="183"/>
      <c r="U3594" s="183"/>
      <c r="V3594" s="183"/>
      <c r="W3594" s="183"/>
      <c r="X3594" s="183"/>
      <c r="Y3594" s="183"/>
      <c r="Z3594" s="183"/>
    </row>
    <row r="3595" spans="2:26">
      <c r="B3595" s="191"/>
      <c r="D3595" s="183"/>
      <c r="I3595" s="183"/>
      <c r="J3595" s="183"/>
      <c r="L3595" s="183"/>
      <c r="M3595" s="183"/>
      <c r="N3595" s="183"/>
      <c r="O3595" s="183"/>
      <c r="P3595" s="183"/>
      <c r="Q3595" s="183"/>
      <c r="R3595" s="183"/>
      <c r="S3595" s="183"/>
      <c r="T3595" s="183"/>
      <c r="U3595" s="183"/>
      <c r="V3595" s="183"/>
      <c r="W3595" s="183"/>
      <c r="X3595" s="183"/>
      <c r="Y3595" s="183"/>
      <c r="Z3595" s="183"/>
    </row>
    <row r="3596" spans="2:26">
      <c r="B3596" s="191"/>
      <c r="D3596" s="183"/>
      <c r="I3596" s="183"/>
      <c r="J3596" s="183"/>
      <c r="L3596" s="183"/>
      <c r="M3596" s="183"/>
      <c r="N3596" s="183"/>
      <c r="O3596" s="183"/>
      <c r="P3596" s="183"/>
      <c r="Q3596" s="183"/>
      <c r="R3596" s="183"/>
      <c r="S3596" s="183"/>
      <c r="T3596" s="183"/>
      <c r="U3596" s="183"/>
      <c r="V3596" s="183"/>
      <c r="W3596" s="183"/>
      <c r="X3596" s="183"/>
      <c r="Y3596" s="183"/>
      <c r="Z3596" s="183"/>
    </row>
    <row r="3597" spans="2:26">
      <c r="B3597" s="191"/>
      <c r="D3597" s="183"/>
      <c r="I3597" s="183"/>
      <c r="J3597" s="183"/>
      <c r="L3597" s="183"/>
      <c r="M3597" s="183"/>
      <c r="N3597" s="183"/>
      <c r="O3597" s="183"/>
      <c r="P3597" s="183"/>
      <c r="Q3597" s="183"/>
      <c r="R3597" s="183"/>
      <c r="S3597" s="183"/>
      <c r="T3597" s="183"/>
      <c r="U3597" s="183"/>
      <c r="V3597" s="183"/>
      <c r="W3597" s="183"/>
      <c r="X3597" s="183"/>
      <c r="Y3597" s="183"/>
      <c r="Z3597" s="183"/>
    </row>
    <row r="3598" spans="2:26">
      <c r="B3598" s="191"/>
      <c r="D3598" s="183"/>
      <c r="I3598" s="183"/>
      <c r="J3598" s="183"/>
      <c r="L3598" s="183"/>
      <c r="M3598" s="183"/>
      <c r="N3598" s="183"/>
      <c r="O3598" s="183"/>
      <c r="P3598" s="183"/>
      <c r="Q3598" s="183"/>
      <c r="R3598" s="183"/>
      <c r="S3598" s="183"/>
      <c r="T3598" s="183"/>
      <c r="U3598" s="183"/>
      <c r="V3598" s="183"/>
      <c r="W3598" s="183"/>
      <c r="X3598" s="183"/>
      <c r="Y3598" s="183"/>
      <c r="Z3598" s="183"/>
    </row>
    <row r="3599" spans="2:26">
      <c r="B3599" s="191"/>
      <c r="D3599" s="183"/>
      <c r="I3599" s="183"/>
      <c r="J3599" s="183"/>
      <c r="L3599" s="183"/>
      <c r="M3599" s="183"/>
      <c r="N3599" s="183"/>
      <c r="O3599" s="183"/>
      <c r="P3599" s="183"/>
      <c r="Q3599" s="183"/>
      <c r="R3599" s="183"/>
      <c r="S3599" s="183"/>
      <c r="T3599" s="183"/>
      <c r="U3599" s="183"/>
      <c r="V3599" s="183"/>
      <c r="W3599" s="183"/>
      <c r="X3599" s="183"/>
      <c r="Y3599" s="183"/>
      <c r="Z3599" s="183"/>
    </row>
    <row r="3600" spans="2:26">
      <c r="B3600" s="191"/>
      <c r="D3600" s="183"/>
      <c r="I3600" s="183"/>
      <c r="J3600" s="183"/>
      <c r="L3600" s="183"/>
      <c r="M3600" s="183"/>
      <c r="N3600" s="183"/>
      <c r="O3600" s="183"/>
      <c r="P3600" s="183"/>
      <c r="Q3600" s="183"/>
      <c r="R3600" s="183"/>
      <c r="S3600" s="183"/>
      <c r="T3600" s="183"/>
      <c r="U3600" s="183"/>
      <c r="V3600" s="183"/>
      <c r="W3600" s="183"/>
      <c r="X3600" s="183"/>
      <c r="Y3600" s="183"/>
      <c r="Z3600" s="183"/>
    </row>
    <row r="3601" spans="2:26">
      <c r="B3601" s="191"/>
      <c r="D3601" s="183"/>
      <c r="I3601" s="183"/>
      <c r="J3601" s="183"/>
      <c r="L3601" s="183"/>
      <c r="M3601" s="183"/>
      <c r="N3601" s="183"/>
      <c r="O3601" s="183"/>
      <c r="P3601" s="183"/>
      <c r="Q3601" s="183"/>
      <c r="R3601" s="183"/>
      <c r="S3601" s="183"/>
      <c r="T3601" s="183"/>
      <c r="U3601" s="183"/>
      <c r="V3601" s="183"/>
      <c r="W3601" s="183"/>
      <c r="X3601" s="183"/>
      <c r="Y3601" s="183"/>
      <c r="Z3601" s="183"/>
    </row>
    <row r="3602" spans="2:26">
      <c r="B3602" s="191"/>
      <c r="D3602" s="183"/>
      <c r="I3602" s="183"/>
      <c r="J3602" s="183"/>
      <c r="L3602" s="183"/>
      <c r="M3602" s="183"/>
      <c r="N3602" s="183"/>
      <c r="O3602" s="183"/>
      <c r="P3602" s="183"/>
      <c r="Q3602" s="183"/>
      <c r="R3602" s="183"/>
      <c r="S3602" s="183"/>
      <c r="T3602" s="183"/>
      <c r="U3602" s="183"/>
      <c r="V3602" s="183"/>
      <c r="W3602" s="183"/>
      <c r="X3602" s="183"/>
      <c r="Y3602" s="183"/>
      <c r="Z3602" s="183"/>
    </row>
    <row r="3603" spans="2:26">
      <c r="B3603" s="191"/>
      <c r="D3603" s="183"/>
      <c r="I3603" s="183"/>
      <c r="J3603" s="183"/>
      <c r="L3603" s="183"/>
      <c r="M3603" s="183"/>
      <c r="N3603" s="183"/>
      <c r="O3603" s="183"/>
      <c r="P3603" s="183"/>
      <c r="Q3603" s="183"/>
      <c r="R3603" s="183"/>
      <c r="S3603" s="183"/>
      <c r="T3603" s="183"/>
      <c r="U3603" s="183"/>
      <c r="V3603" s="183"/>
      <c r="W3603" s="183"/>
      <c r="X3603" s="183"/>
      <c r="Y3603" s="183"/>
      <c r="Z3603" s="183"/>
    </row>
    <row r="3604" spans="2:26">
      <c r="B3604" s="191"/>
      <c r="D3604" s="183"/>
      <c r="I3604" s="183"/>
      <c r="J3604" s="183"/>
      <c r="L3604" s="183"/>
      <c r="M3604" s="183"/>
      <c r="N3604" s="183"/>
      <c r="O3604" s="183"/>
      <c r="P3604" s="183"/>
      <c r="Q3604" s="183"/>
      <c r="R3604" s="183"/>
      <c r="S3604" s="183"/>
      <c r="T3604" s="183"/>
      <c r="U3604" s="183"/>
      <c r="V3604" s="183"/>
      <c r="W3604" s="183"/>
      <c r="X3604" s="183"/>
      <c r="Y3604" s="183"/>
      <c r="Z3604" s="183"/>
    </row>
    <row r="3605" spans="2:26">
      <c r="B3605" s="191"/>
      <c r="D3605" s="183"/>
      <c r="I3605" s="183"/>
      <c r="J3605" s="183"/>
      <c r="L3605" s="183"/>
      <c r="M3605" s="183"/>
      <c r="N3605" s="183"/>
      <c r="O3605" s="183"/>
      <c r="P3605" s="183"/>
      <c r="Q3605" s="183"/>
      <c r="R3605" s="183"/>
      <c r="S3605" s="183"/>
      <c r="T3605" s="183"/>
      <c r="U3605" s="183"/>
      <c r="V3605" s="183"/>
      <c r="W3605" s="183"/>
      <c r="X3605" s="183"/>
      <c r="Y3605" s="183"/>
      <c r="Z3605" s="183"/>
    </row>
    <row r="3606" spans="2:26">
      <c r="B3606" s="191"/>
      <c r="D3606" s="183"/>
      <c r="I3606" s="183"/>
      <c r="J3606" s="183"/>
      <c r="L3606" s="183"/>
      <c r="M3606" s="183"/>
      <c r="N3606" s="183"/>
      <c r="O3606" s="183"/>
      <c r="P3606" s="183"/>
      <c r="Q3606" s="183"/>
      <c r="R3606" s="183"/>
      <c r="S3606" s="183"/>
      <c r="T3606" s="183"/>
      <c r="U3606" s="183"/>
      <c r="V3606" s="183"/>
      <c r="W3606" s="183"/>
      <c r="X3606" s="183"/>
      <c r="Y3606" s="183"/>
      <c r="Z3606" s="183"/>
    </row>
    <row r="3607" spans="2:26">
      <c r="B3607" s="191"/>
      <c r="D3607" s="183"/>
      <c r="I3607" s="183"/>
      <c r="J3607" s="183"/>
      <c r="L3607" s="183"/>
      <c r="M3607" s="183"/>
      <c r="N3607" s="183"/>
      <c r="O3607" s="183"/>
      <c r="P3607" s="183"/>
      <c r="Q3607" s="183"/>
      <c r="R3607" s="183"/>
      <c r="S3607" s="183"/>
      <c r="T3607" s="183"/>
      <c r="U3607" s="183"/>
      <c r="V3607" s="183"/>
      <c r="W3607" s="183"/>
      <c r="X3607" s="183"/>
      <c r="Y3607" s="183"/>
      <c r="Z3607" s="183"/>
    </row>
    <row r="3608" spans="2:26">
      <c r="B3608" s="191"/>
      <c r="D3608" s="183"/>
      <c r="I3608" s="183"/>
      <c r="J3608" s="183"/>
      <c r="L3608" s="183"/>
      <c r="M3608" s="183"/>
      <c r="N3608" s="183"/>
      <c r="O3608" s="183"/>
      <c r="P3608" s="183"/>
      <c r="Q3608" s="183"/>
      <c r="R3608" s="183"/>
      <c r="S3608" s="183"/>
      <c r="T3608" s="183"/>
      <c r="U3608" s="183"/>
      <c r="V3608" s="183"/>
      <c r="W3608" s="183"/>
      <c r="X3608" s="183"/>
      <c r="Y3608" s="183"/>
      <c r="Z3608" s="183"/>
    </row>
    <row r="3609" spans="2:26">
      <c r="B3609" s="191"/>
      <c r="D3609" s="183"/>
      <c r="I3609" s="183"/>
      <c r="J3609" s="183"/>
      <c r="L3609" s="183"/>
      <c r="M3609" s="183"/>
      <c r="N3609" s="183"/>
      <c r="O3609" s="183"/>
      <c r="P3609" s="183"/>
      <c r="Q3609" s="183"/>
      <c r="R3609" s="183"/>
      <c r="S3609" s="183"/>
      <c r="T3609" s="183"/>
      <c r="U3609" s="183"/>
      <c r="V3609" s="183"/>
      <c r="W3609" s="183"/>
      <c r="X3609" s="183"/>
      <c r="Y3609" s="183"/>
      <c r="Z3609" s="183"/>
    </row>
    <row r="3610" spans="2:26">
      <c r="B3610" s="191"/>
      <c r="D3610" s="183"/>
      <c r="I3610" s="183"/>
      <c r="J3610" s="183"/>
      <c r="L3610" s="183"/>
      <c r="M3610" s="183"/>
      <c r="N3610" s="183"/>
      <c r="O3610" s="183"/>
      <c r="P3610" s="183"/>
      <c r="Q3610" s="183"/>
      <c r="R3610" s="183"/>
      <c r="S3610" s="183"/>
      <c r="T3610" s="183"/>
      <c r="U3610" s="183"/>
      <c r="V3610" s="183"/>
      <c r="W3610" s="183"/>
      <c r="X3610" s="183"/>
      <c r="Y3610" s="183"/>
      <c r="Z3610" s="183"/>
    </row>
    <row r="3611" spans="2:26">
      <c r="B3611" s="191"/>
      <c r="D3611" s="183"/>
      <c r="I3611" s="183"/>
      <c r="J3611" s="183"/>
      <c r="L3611" s="183"/>
      <c r="M3611" s="183"/>
      <c r="N3611" s="183"/>
      <c r="O3611" s="183"/>
      <c r="P3611" s="183"/>
      <c r="Q3611" s="183"/>
      <c r="R3611" s="183"/>
      <c r="S3611" s="183"/>
      <c r="T3611" s="183"/>
      <c r="U3611" s="183"/>
      <c r="V3611" s="183"/>
      <c r="W3611" s="183"/>
      <c r="X3611" s="183"/>
      <c r="Y3611" s="183"/>
      <c r="Z3611" s="183"/>
    </row>
    <row r="3612" spans="2:26">
      <c r="B3612" s="191"/>
      <c r="D3612" s="183"/>
      <c r="I3612" s="183"/>
      <c r="J3612" s="183"/>
      <c r="L3612" s="183"/>
      <c r="M3612" s="183"/>
      <c r="N3612" s="183"/>
      <c r="O3612" s="183"/>
      <c r="P3612" s="183"/>
      <c r="Q3612" s="183"/>
      <c r="R3612" s="183"/>
      <c r="S3612" s="183"/>
      <c r="T3612" s="183"/>
      <c r="U3612" s="183"/>
      <c r="V3612" s="183"/>
      <c r="W3612" s="183"/>
      <c r="X3612" s="183"/>
      <c r="Y3612" s="183"/>
      <c r="Z3612" s="183"/>
    </row>
    <row r="3613" spans="2:26">
      <c r="B3613" s="191"/>
      <c r="D3613" s="183"/>
      <c r="I3613" s="183"/>
      <c r="J3613" s="183"/>
      <c r="L3613" s="183"/>
      <c r="M3613" s="183"/>
      <c r="N3613" s="183"/>
      <c r="O3613" s="183"/>
      <c r="P3613" s="183"/>
      <c r="Q3613" s="183"/>
      <c r="R3613" s="183"/>
      <c r="S3613" s="183"/>
      <c r="T3613" s="183"/>
      <c r="U3613" s="183"/>
      <c r="V3613" s="183"/>
      <c r="W3613" s="183"/>
      <c r="X3613" s="183"/>
      <c r="Y3613" s="183"/>
      <c r="Z3613" s="183"/>
    </row>
    <row r="3614" spans="2:26">
      <c r="B3614" s="191"/>
      <c r="D3614" s="183"/>
      <c r="I3614" s="183"/>
      <c r="J3614" s="183"/>
      <c r="L3614" s="183"/>
      <c r="M3614" s="183"/>
      <c r="N3614" s="183"/>
      <c r="O3614" s="183"/>
      <c r="P3614" s="183"/>
      <c r="Q3614" s="183"/>
      <c r="R3614" s="183"/>
      <c r="S3614" s="183"/>
      <c r="T3614" s="183"/>
      <c r="U3614" s="183"/>
      <c r="V3614" s="183"/>
      <c r="W3614" s="183"/>
      <c r="X3614" s="183"/>
      <c r="Y3614" s="183"/>
      <c r="Z3614" s="183"/>
    </row>
    <row r="3615" spans="2:26">
      <c r="B3615" s="191"/>
      <c r="D3615" s="183"/>
      <c r="I3615" s="183"/>
      <c r="J3615" s="183"/>
      <c r="L3615" s="183"/>
      <c r="M3615" s="183"/>
      <c r="N3615" s="183"/>
      <c r="O3615" s="183"/>
      <c r="P3615" s="183"/>
      <c r="Q3615" s="183"/>
      <c r="R3615" s="183"/>
      <c r="S3615" s="183"/>
      <c r="T3615" s="183"/>
      <c r="U3615" s="183"/>
      <c r="V3615" s="183"/>
      <c r="W3615" s="183"/>
      <c r="X3615" s="183"/>
      <c r="Y3615" s="183"/>
      <c r="Z3615" s="183"/>
    </row>
    <row r="3616" spans="2:26">
      <c r="B3616" s="191"/>
      <c r="D3616" s="183"/>
      <c r="I3616" s="183"/>
      <c r="J3616" s="183"/>
      <c r="L3616" s="183"/>
      <c r="M3616" s="183"/>
      <c r="N3616" s="183"/>
      <c r="O3616" s="183"/>
      <c r="P3616" s="183"/>
      <c r="Q3616" s="183"/>
      <c r="R3616" s="183"/>
      <c r="S3616" s="183"/>
      <c r="T3616" s="183"/>
      <c r="U3616" s="183"/>
      <c r="V3616" s="183"/>
      <c r="W3616" s="183"/>
      <c r="X3616" s="183"/>
      <c r="Y3616" s="183"/>
      <c r="Z3616" s="183"/>
    </row>
    <row r="3617" spans="2:26">
      <c r="B3617" s="191"/>
      <c r="D3617" s="183"/>
      <c r="I3617" s="183"/>
      <c r="J3617" s="183"/>
      <c r="L3617" s="183"/>
      <c r="M3617" s="183"/>
      <c r="N3617" s="183"/>
      <c r="O3617" s="183"/>
      <c r="P3617" s="183"/>
      <c r="Q3617" s="183"/>
      <c r="R3617" s="183"/>
      <c r="S3617" s="183"/>
      <c r="T3617" s="183"/>
      <c r="U3617" s="183"/>
      <c r="V3617" s="183"/>
      <c r="W3617" s="183"/>
      <c r="X3617" s="183"/>
      <c r="Y3617" s="183"/>
      <c r="Z3617" s="183"/>
    </row>
    <row r="3618" spans="2:26">
      <c r="B3618" s="191"/>
      <c r="D3618" s="183"/>
      <c r="I3618" s="183"/>
      <c r="J3618" s="183"/>
      <c r="L3618" s="183"/>
      <c r="M3618" s="183"/>
      <c r="N3618" s="183"/>
      <c r="O3618" s="183"/>
      <c r="P3618" s="183"/>
      <c r="Q3618" s="183"/>
      <c r="R3618" s="183"/>
      <c r="S3618" s="183"/>
      <c r="T3618" s="183"/>
      <c r="U3618" s="183"/>
      <c r="V3618" s="183"/>
      <c r="W3618" s="183"/>
      <c r="X3618" s="183"/>
      <c r="Y3618" s="183"/>
      <c r="Z3618" s="183"/>
    </row>
    <row r="3619" spans="2:26">
      <c r="B3619" s="191"/>
      <c r="D3619" s="183"/>
      <c r="I3619" s="183"/>
      <c r="J3619" s="183"/>
      <c r="L3619" s="183"/>
      <c r="M3619" s="183"/>
      <c r="N3619" s="183"/>
      <c r="O3619" s="183"/>
      <c r="P3619" s="183"/>
      <c r="Q3619" s="183"/>
      <c r="R3619" s="183"/>
      <c r="S3619" s="183"/>
      <c r="T3619" s="183"/>
      <c r="U3619" s="183"/>
      <c r="V3619" s="183"/>
      <c r="W3619" s="183"/>
      <c r="X3619" s="183"/>
      <c r="Y3619" s="183"/>
      <c r="Z3619" s="183"/>
    </row>
    <row r="3620" spans="2:26">
      <c r="B3620" s="191"/>
      <c r="D3620" s="183"/>
      <c r="I3620" s="183"/>
      <c r="J3620" s="183"/>
      <c r="L3620" s="183"/>
      <c r="M3620" s="183"/>
      <c r="N3620" s="183"/>
      <c r="O3620" s="183"/>
      <c r="P3620" s="183"/>
      <c r="Q3620" s="183"/>
      <c r="R3620" s="183"/>
      <c r="S3620" s="183"/>
      <c r="T3620" s="183"/>
      <c r="U3620" s="183"/>
      <c r="V3620" s="183"/>
      <c r="W3620" s="183"/>
      <c r="X3620" s="183"/>
      <c r="Y3620" s="183"/>
      <c r="Z3620" s="183"/>
    </row>
    <row r="3621" spans="2:26">
      <c r="B3621" s="191"/>
      <c r="D3621" s="183"/>
      <c r="I3621" s="183"/>
      <c r="J3621" s="183"/>
      <c r="L3621" s="183"/>
      <c r="M3621" s="183"/>
      <c r="N3621" s="183"/>
      <c r="O3621" s="183"/>
      <c r="P3621" s="183"/>
      <c r="Q3621" s="183"/>
      <c r="R3621" s="183"/>
      <c r="S3621" s="183"/>
      <c r="T3621" s="183"/>
      <c r="U3621" s="183"/>
      <c r="V3621" s="183"/>
      <c r="W3621" s="183"/>
      <c r="X3621" s="183"/>
      <c r="Y3621" s="183"/>
      <c r="Z3621" s="183"/>
    </row>
    <row r="3622" spans="2:26">
      <c r="B3622" s="191"/>
      <c r="D3622" s="183"/>
      <c r="I3622" s="183"/>
      <c r="J3622" s="183"/>
      <c r="L3622" s="183"/>
      <c r="M3622" s="183"/>
      <c r="N3622" s="183"/>
      <c r="O3622" s="183"/>
      <c r="P3622" s="183"/>
      <c r="Q3622" s="183"/>
      <c r="R3622" s="183"/>
      <c r="S3622" s="183"/>
      <c r="T3622" s="183"/>
      <c r="U3622" s="183"/>
      <c r="V3622" s="183"/>
      <c r="W3622" s="183"/>
      <c r="X3622" s="183"/>
      <c r="Y3622" s="183"/>
      <c r="Z3622" s="183"/>
    </row>
    <row r="3623" spans="2:26">
      <c r="B3623" s="191"/>
      <c r="D3623" s="183"/>
      <c r="I3623" s="183"/>
      <c r="J3623" s="183"/>
      <c r="L3623" s="183"/>
      <c r="M3623" s="183"/>
      <c r="N3623" s="183"/>
      <c r="O3623" s="183"/>
      <c r="P3623" s="183"/>
      <c r="Q3623" s="183"/>
      <c r="R3623" s="183"/>
      <c r="S3623" s="183"/>
      <c r="T3623" s="183"/>
      <c r="U3623" s="183"/>
      <c r="V3623" s="183"/>
      <c r="W3623" s="183"/>
      <c r="X3623" s="183"/>
      <c r="Y3623" s="183"/>
      <c r="Z3623" s="183"/>
    </row>
    <row r="3624" spans="2:26">
      <c r="B3624" s="191"/>
      <c r="D3624" s="183"/>
      <c r="I3624" s="183"/>
      <c r="J3624" s="183"/>
      <c r="L3624" s="183"/>
      <c r="M3624" s="183"/>
      <c r="N3624" s="183"/>
      <c r="O3624" s="183"/>
      <c r="P3624" s="183"/>
      <c r="Q3624" s="183"/>
      <c r="R3624" s="183"/>
      <c r="S3624" s="183"/>
      <c r="T3624" s="183"/>
      <c r="U3624" s="183"/>
      <c r="V3624" s="183"/>
      <c r="W3624" s="183"/>
      <c r="X3624" s="183"/>
      <c r="Y3624" s="183"/>
      <c r="Z3624" s="183"/>
    </row>
    <row r="3625" spans="2:26">
      <c r="B3625" s="191"/>
      <c r="D3625" s="183"/>
      <c r="I3625" s="183"/>
      <c r="J3625" s="183"/>
      <c r="L3625" s="183"/>
      <c r="M3625" s="183"/>
      <c r="N3625" s="183"/>
      <c r="O3625" s="183"/>
      <c r="P3625" s="183"/>
      <c r="Q3625" s="183"/>
      <c r="R3625" s="183"/>
      <c r="S3625" s="183"/>
      <c r="T3625" s="183"/>
      <c r="U3625" s="183"/>
      <c r="V3625" s="183"/>
      <c r="W3625" s="183"/>
      <c r="X3625" s="183"/>
      <c r="Y3625" s="183"/>
      <c r="Z3625" s="183"/>
    </row>
    <row r="3626" spans="2:26">
      <c r="B3626" s="191"/>
      <c r="D3626" s="183"/>
      <c r="I3626" s="183"/>
      <c r="J3626" s="183"/>
      <c r="L3626" s="183"/>
      <c r="M3626" s="183"/>
      <c r="N3626" s="183"/>
      <c r="O3626" s="183"/>
      <c r="P3626" s="183"/>
      <c r="Q3626" s="183"/>
      <c r="R3626" s="183"/>
      <c r="S3626" s="183"/>
      <c r="T3626" s="183"/>
      <c r="U3626" s="183"/>
      <c r="V3626" s="183"/>
      <c r="W3626" s="183"/>
      <c r="X3626" s="183"/>
      <c r="Y3626" s="183"/>
      <c r="Z3626" s="183"/>
    </row>
    <row r="3627" spans="2:26">
      <c r="B3627" s="191"/>
      <c r="D3627" s="183"/>
      <c r="I3627" s="183"/>
      <c r="J3627" s="183"/>
      <c r="L3627" s="183"/>
      <c r="M3627" s="183"/>
      <c r="N3627" s="183"/>
      <c r="O3627" s="183"/>
      <c r="P3627" s="183"/>
      <c r="Q3627" s="183"/>
      <c r="R3627" s="183"/>
      <c r="S3627" s="183"/>
      <c r="T3627" s="183"/>
      <c r="U3627" s="183"/>
      <c r="V3627" s="183"/>
      <c r="W3627" s="183"/>
      <c r="X3627" s="183"/>
      <c r="Y3627" s="183"/>
      <c r="Z3627" s="183"/>
    </row>
    <row r="3628" spans="2:26">
      <c r="B3628" s="191"/>
      <c r="D3628" s="183"/>
      <c r="I3628" s="183"/>
      <c r="J3628" s="183"/>
      <c r="L3628" s="183"/>
      <c r="M3628" s="183"/>
      <c r="N3628" s="183"/>
      <c r="O3628" s="183"/>
      <c r="P3628" s="183"/>
      <c r="Q3628" s="183"/>
      <c r="R3628" s="183"/>
      <c r="S3628" s="183"/>
      <c r="T3628" s="183"/>
      <c r="U3628" s="183"/>
      <c r="V3628" s="183"/>
      <c r="W3628" s="183"/>
      <c r="X3628" s="183"/>
      <c r="Y3628" s="183"/>
      <c r="Z3628" s="183"/>
    </row>
    <row r="3629" spans="2:26">
      <c r="B3629" s="191"/>
      <c r="D3629" s="183"/>
      <c r="I3629" s="183"/>
      <c r="J3629" s="183"/>
      <c r="L3629" s="183"/>
      <c r="M3629" s="183"/>
      <c r="N3629" s="183"/>
      <c r="O3629" s="183"/>
      <c r="P3629" s="183"/>
      <c r="Q3629" s="183"/>
      <c r="R3629" s="183"/>
      <c r="S3629" s="183"/>
      <c r="T3629" s="183"/>
      <c r="U3629" s="183"/>
      <c r="V3629" s="183"/>
      <c r="W3629" s="183"/>
      <c r="X3629" s="183"/>
      <c r="Y3629" s="183"/>
      <c r="Z3629" s="183"/>
    </row>
    <row r="3630" spans="2:26">
      <c r="B3630" s="191"/>
      <c r="D3630" s="183"/>
      <c r="I3630" s="183"/>
      <c r="J3630" s="183"/>
      <c r="L3630" s="183"/>
      <c r="M3630" s="183"/>
      <c r="N3630" s="183"/>
      <c r="O3630" s="183"/>
      <c r="P3630" s="183"/>
      <c r="Q3630" s="183"/>
      <c r="R3630" s="183"/>
      <c r="S3630" s="183"/>
      <c r="T3630" s="183"/>
      <c r="U3630" s="183"/>
      <c r="V3630" s="183"/>
      <c r="W3630" s="183"/>
      <c r="X3630" s="183"/>
      <c r="Y3630" s="183"/>
      <c r="Z3630" s="183"/>
    </row>
    <row r="3631" spans="2:26">
      <c r="B3631" s="191"/>
      <c r="D3631" s="183"/>
      <c r="I3631" s="183"/>
      <c r="J3631" s="183"/>
      <c r="L3631" s="183"/>
      <c r="M3631" s="183"/>
      <c r="N3631" s="183"/>
      <c r="O3631" s="183"/>
      <c r="P3631" s="183"/>
      <c r="Q3631" s="183"/>
      <c r="R3631" s="183"/>
      <c r="S3631" s="183"/>
      <c r="T3631" s="183"/>
      <c r="U3631" s="183"/>
      <c r="V3631" s="183"/>
      <c r="W3631" s="183"/>
      <c r="X3631" s="183"/>
      <c r="Y3631" s="183"/>
      <c r="Z3631" s="183"/>
    </row>
    <row r="3632" spans="2:26">
      <c r="B3632" s="191"/>
      <c r="D3632" s="183"/>
      <c r="I3632" s="183"/>
      <c r="J3632" s="183"/>
      <c r="L3632" s="183"/>
      <c r="M3632" s="183"/>
      <c r="N3632" s="183"/>
      <c r="O3632" s="183"/>
      <c r="P3632" s="183"/>
      <c r="Q3632" s="183"/>
      <c r="R3632" s="183"/>
      <c r="S3632" s="183"/>
      <c r="T3632" s="183"/>
      <c r="U3632" s="183"/>
      <c r="V3632" s="183"/>
      <c r="W3632" s="183"/>
      <c r="X3632" s="183"/>
      <c r="Y3632" s="183"/>
      <c r="Z3632" s="183"/>
    </row>
    <row r="3633" spans="2:26">
      <c r="B3633" s="191"/>
      <c r="D3633" s="183"/>
      <c r="I3633" s="183"/>
      <c r="J3633" s="183"/>
      <c r="L3633" s="183"/>
      <c r="M3633" s="183"/>
      <c r="N3633" s="183"/>
      <c r="O3633" s="183"/>
      <c r="P3633" s="183"/>
      <c r="Q3633" s="183"/>
      <c r="R3633" s="183"/>
      <c r="S3633" s="183"/>
      <c r="T3633" s="183"/>
      <c r="U3633" s="183"/>
      <c r="V3633" s="183"/>
      <c r="W3633" s="183"/>
      <c r="X3633" s="183"/>
      <c r="Y3633" s="183"/>
      <c r="Z3633" s="183"/>
    </row>
    <row r="3634" spans="2:26">
      <c r="B3634" s="191"/>
      <c r="D3634" s="183"/>
      <c r="I3634" s="183"/>
      <c r="J3634" s="183"/>
      <c r="L3634" s="183"/>
      <c r="M3634" s="183"/>
      <c r="N3634" s="183"/>
      <c r="O3634" s="183"/>
      <c r="P3634" s="183"/>
      <c r="Q3634" s="183"/>
      <c r="R3634" s="183"/>
      <c r="S3634" s="183"/>
      <c r="T3634" s="183"/>
      <c r="U3634" s="183"/>
      <c r="V3634" s="183"/>
      <c r="W3634" s="183"/>
      <c r="X3634" s="183"/>
      <c r="Y3634" s="183"/>
      <c r="Z3634" s="183"/>
    </row>
    <row r="3635" spans="2:26">
      <c r="B3635" s="191"/>
      <c r="D3635" s="183"/>
      <c r="I3635" s="183"/>
      <c r="J3635" s="183"/>
      <c r="L3635" s="183"/>
      <c r="M3635" s="183"/>
      <c r="N3635" s="183"/>
      <c r="O3635" s="183"/>
      <c r="P3635" s="183"/>
      <c r="Q3635" s="183"/>
      <c r="R3635" s="183"/>
      <c r="S3635" s="183"/>
      <c r="T3635" s="183"/>
      <c r="U3635" s="183"/>
      <c r="V3635" s="183"/>
      <c r="W3635" s="183"/>
      <c r="X3635" s="183"/>
      <c r="Y3635" s="183"/>
      <c r="Z3635" s="183"/>
    </row>
    <row r="3636" spans="2:26">
      <c r="B3636" s="191"/>
      <c r="D3636" s="183"/>
      <c r="I3636" s="183"/>
      <c r="J3636" s="183"/>
      <c r="L3636" s="183"/>
      <c r="M3636" s="183"/>
      <c r="N3636" s="183"/>
      <c r="O3636" s="183"/>
      <c r="P3636" s="183"/>
      <c r="Q3636" s="183"/>
      <c r="R3636" s="183"/>
      <c r="S3636" s="183"/>
      <c r="T3636" s="183"/>
      <c r="U3636" s="183"/>
      <c r="V3636" s="183"/>
      <c r="W3636" s="183"/>
      <c r="X3636" s="183"/>
      <c r="Y3636" s="183"/>
      <c r="Z3636" s="183"/>
    </row>
    <row r="3637" spans="2:26">
      <c r="B3637" s="191"/>
      <c r="D3637" s="183"/>
      <c r="I3637" s="183"/>
      <c r="J3637" s="183"/>
      <c r="L3637" s="183"/>
      <c r="M3637" s="183"/>
      <c r="N3637" s="183"/>
      <c r="O3637" s="183"/>
      <c r="P3637" s="183"/>
      <c r="Q3637" s="183"/>
      <c r="R3637" s="183"/>
      <c r="S3637" s="183"/>
      <c r="T3637" s="183"/>
      <c r="U3637" s="183"/>
      <c r="V3637" s="183"/>
      <c r="W3637" s="183"/>
      <c r="X3637" s="183"/>
      <c r="Y3637" s="183"/>
      <c r="Z3637" s="183"/>
    </row>
    <row r="3638" spans="2:26">
      <c r="B3638" s="191"/>
      <c r="D3638" s="183"/>
      <c r="I3638" s="183"/>
      <c r="J3638" s="183"/>
      <c r="L3638" s="183"/>
      <c r="M3638" s="183"/>
      <c r="N3638" s="183"/>
      <c r="O3638" s="183"/>
      <c r="P3638" s="183"/>
      <c r="Q3638" s="183"/>
      <c r="R3638" s="183"/>
      <c r="S3638" s="183"/>
      <c r="T3638" s="183"/>
      <c r="U3638" s="183"/>
      <c r="V3638" s="183"/>
      <c r="W3638" s="183"/>
      <c r="X3638" s="183"/>
      <c r="Y3638" s="183"/>
      <c r="Z3638" s="183"/>
    </row>
    <row r="3639" spans="2:26">
      <c r="B3639" s="191"/>
      <c r="D3639" s="183"/>
      <c r="I3639" s="183"/>
      <c r="J3639" s="183"/>
      <c r="L3639" s="183"/>
      <c r="M3639" s="183"/>
      <c r="N3639" s="183"/>
      <c r="O3639" s="183"/>
      <c r="P3639" s="183"/>
      <c r="Q3639" s="183"/>
      <c r="R3639" s="183"/>
      <c r="S3639" s="183"/>
      <c r="T3639" s="183"/>
      <c r="U3639" s="183"/>
      <c r="V3639" s="183"/>
      <c r="W3639" s="183"/>
      <c r="X3639" s="183"/>
      <c r="Y3639" s="183"/>
      <c r="Z3639" s="183"/>
    </row>
    <row r="3640" spans="2:26">
      <c r="B3640" s="191"/>
      <c r="D3640" s="183"/>
      <c r="I3640" s="183"/>
      <c r="J3640" s="183"/>
      <c r="L3640" s="183"/>
      <c r="M3640" s="183"/>
      <c r="N3640" s="183"/>
      <c r="O3640" s="183"/>
      <c r="P3640" s="183"/>
      <c r="Q3640" s="183"/>
      <c r="R3640" s="183"/>
      <c r="S3640" s="183"/>
      <c r="T3640" s="183"/>
      <c r="U3640" s="183"/>
      <c r="V3640" s="183"/>
      <c r="W3640" s="183"/>
      <c r="X3640" s="183"/>
      <c r="Y3640" s="183"/>
      <c r="Z3640" s="183"/>
    </row>
    <row r="3641" spans="2:26">
      <c r="B3641" s="191"/>
      <c r="D3641" s="183"/>
      <c r="I3641" s="183"/>
      <c r="J3641" s="183"/>
      <c r="L3641" s="183"/>
      <c r="M3641" s="183"/>
      <c r="N3641" s="183"/>
      <c r="O3641" s="183"/>
      <c r="P3641" s="183"/>
      <c r="Q3641" s="183"/>
      <c r="R3641" s="183"/>
      <c r="S3641" s="183"/>
      <c r="T3641" s="183"/>
      <c r="U3641" s="183"/>
      <c r="V3641" s="183"/>
      <c r="W3641" s="183"/>
      <c r="X3641" s="183"/>
      <c r="Y3641" s="183"/>
      <c r="Z3641" s="183"/>
    </row>
    <row r="3642" spans="2:26">
      <c r="B3642" s="191"/>
      <c r="D3642" s="183"/>
      <c r="I3642" s="183"/>
      <c r="J3642" s="183"/>
      <c r="L3642" s="183"/>
      <c r="M3642" s="183"/>
      <c r="N3642" s="183"/>
      <c r="O3642" s="183"/>
      <c r="P3642" s="183"/>
      <c r="Q3642" s="183"/>
      <c r="R3642" s="183"/>
      <c r="S3642" s="183"/>
      <c r="T3642" s="183"/>
      <c r="U3642" s="183"/>
      <c r="V3642" s="183"/>
      <c r="W3642" s="183"/>
      <c r="X3642" s="183"/>
      <c r="Y3642" s="183"/>
      <c r="Z3642" s="183"/>
    </row>
    <row r="3643" spans="2:26">
      <c r="B3643" s="191"/>
      <c r="D3643" s="183"/>
      <c r="I3643" s="183"/>
      <c r="J3643" s="183"/>
      <c r="L3643" s="183"/>
      <c r="M3643" s="183"/>
      <c r="N3643" s="183"/>
      <c r="O3643" s="183"/>
      <c r="P3643" s="183"/>
      <c r="Q3643" s="183"/>
      <c r="R3643" s="183"/>
      <c r="S3643" s="183"/>
      <c r="T3643" s="183"/>
      <c r="U3643" s="183"/>
      <c r="V3643" s="183"/>
      <c r="W3643" s="183"/>
      <c r="X3643" s="183"/>
      <c r="Y3643" s="183"/>
      <c r="Z3643" s="183"/>
    </row>
    <row r="3644" spans="2:26">
      <c r="B3644" s="191"/>
      <c r="D3644" s="183"/>
      <c r="I3644" s="183"/>
      <c r="J3644" s="183"/>
      <c r="L3644" s="183"/>
      <c r="M3644" s="183"/>
      <c r="N3644" s="183"/>
      <c r="O3644" s="183"/>
      <c r="P3644" s="183"/>
      <c r="Q3644" s="183"/>
      <c r="R3644" s="183"/>
      <c r="S3644" s="183"/>
      <c r="T3644" s="183"/>
      <c r="U3644" s="183"/>
      <c r="V3644" s="183"/>
      <c r="W3644" s="183"/>
      <c r="X3644" s="183"/>
      <c r="Y3644" s="183"/>
      <c r="Z3644" s="183"/>
    </row>
    <row r="3645" spans="2:26">
      <c r="B3645" s="191"/>
      <c r="D3645" s="183"/>
      <c r="I3645" s="183"/>
      <c r="J3645" s="183"/>
      <c r="L3645" s="183"/>
      <c r="M3645" s="183"/>
      <c r="N3645" s="183"/>
      <c r="O3645" s="183"/>
      <c r="P3645" s="183"/>
      <c r="Q3645" s="183"/>
      <c r="R3645" s="183"/>
      <c r="S3645" s="183"/>
      <c r="T3645" s="183"/>
      <c r="U3645" s="183"/>
      <c r="V3645" s="183"/>
      <c r="W3645" s="183"/>
      <c r="X3645" s="183"/>
      <c r="Y3645" s="183"/>
      <c r="Z3645" s="183"/>
    </row>
    <row r="3646" spans="2:26">
      <c r="B3646" s="191"/>
      <c r="D3646" s="183"/>
      <c r="I3646" s="183"/>
      <c r="J3646" s="183"/>
      <c r="L3646" s="183"/>
      <c r="M3646" s="183"/>
      <c r="N3646" s="183"/>
      <c r="O3646" s="183"/>
      <c r="P3646" s="183"/>
      <c r="Q3646" s="183"/>
      <c r="R3646" s="183"/>
      <c r="S3646" s="183"/>
      <c r="T3646" s="183"/>
      <c r="U3646" s="183"/>
      <c r="V3646" s="183"/>
      <c r="W3646" s="183"/>
      <c r="X3646" s="183"/>
      <c r="Y3646" s="183"/>
      <c r="Z3646" s="183"/>
    </row>
    <row r="3647" spans="2:26">
      <c r="B3647" s="191"/>
      <c r="D3647" s="183"/>
      <c r="I3647" s="183"/>
      <c r="J3647" s="183"/>
      <c r="L3647" s="183"/>
      <c r="M3647" s="183"/>
      <c r="N3647" s="183"/>
      <c r="O3647" s="183"/>
      <c r="P3647" s="183"/>
      <c r="Q3647" s="183"/>
      <c r="R3647" s="183"/>
      <c r="S3647" s="183"/>
      <c r="T3647" s="183"/>
      <c r="U3647" s="183"/>
      <c r="V3647" s="183"/>
      <c r="W3647" s="183"/>
      <c r="X3647" s="183"/>
      <c r="Y3647" s="183"/>
      <c r="Z3647" s="183"/>
    </row>
    <row r="3648" spans="2:26">
      <c r="B3648" s="191"/>
      <c r="D3648" s="183"/>
      <c r="I3648" s="183"/>
      <c r="J3648" s="183"/>
      <c r="L3648" s="183"/>
      <c r="M3648" s="183"/>
      <c r="N3648" s="183"/>
      <c r="O3648" s="183"/>
      <c r="P3648" s="183"/>
      <c r="Q3648" s="183"/>
      <c r="R3648" s="183"/>
      <c r="S3648" s="183"/>
      <c r="T3648" s="183"/>
      <c r="U3648" s="183"/>
      <c r="V3648" s="183"/>
      <c r="W3648" s="183"/>
      <c r="X3648" s="183"/>
      <c r="Y3648" s="183"/>
      <c r="Z3648" s="183"/>
    </row>
    <row r="3649" spans="2:26">
      <c r="B3649" s="191"/>
      <c r="D3649" s="183"/>
      <c r="I3649" s="183"/>
      <c r="J3649" s="183"/>
      <c r="L3649" s="183"/>
      <c r="M3649" s="183"/>
      <c r="N3649" s="183"/>
      <c r="O3649" s="183"/>
      <c r="P3649" s="183"/>
      <c r="Q3649" s="183"/>
      <c r="R3649" s="183"/>
      <c r="S3649" s="183"/>
      <c r="T3649" s="183"/>
      <c r="U3649" s="183"/>
      <c r="V3649" s="183"/>
      <c r="W3649" s="183"/>
      <c r="X3649" s="183"/>
      <c r="Y3649" s="183"/>
      <c r="Z3649" s="183"/>
    </row>
    <row r="3650" spans="2:26">
      <c r="B3650" s="191"/>
      <c r="D3650" s="183"/>
      <c r="I3650" s="183"/>
      <c r="J3650" s="183"/>
      <c r="L3650" s="183"/>
      <c r="M3650" s="183"/>
      <c r="N3650" s="183"/>
      <c r="O3650" s="183"/>
      <c r="P3650" s="183"/>
      <c r="Q3650" s="183"/>
      <c r="R3650" s="183"/>
      <c r="S3650" s="183"/>
      <c r="T3650" s="183"/>
      <c r="U3650" s="183"/>
      <c r="V3650" s="183"/>
      <c r="W3650" s="183"/>
      <c r="X3650" s="183"/>
      <c r="Y3650" s="183"/>
      <c r="Z3650" s="183"/>
    </row>
    <row r="3651" spans="2:26">
      <c r="B3651" s="191"/>
      <c r="D3651" s="183"/>
      <c r="I3651" s="183"/>
      <c r="J3651" s="183"/>
      <c r="L3651" s="183"/>
      <c r="M3651" s="183"/>
      <c r="N3651" s="183"/>
      <c r="O3651" s="183"/>
      <c r="P3651" s="183"/>
      <c r="Q3651" s="183"/>
      <c r="R3651" s="183"/>
      <c r="S3651" s="183"/>
      <c r="T3651" s="183"/>
      <c r="U3651" s="183"/>
      <c r="V3651" s="183"/>
      <c r="W3651" s="183"/>
      <c r="X3651" s="183"/>
      <c r="Y3651" s="183"/>
      <c r="Z3651" s="183"/>
    </row>
    <row r="3652" spans="2:26">
      <c r="B3652" s="191"/>
      <c r="D3652" s="183"/>
      <c r="I3652" s="183"/>
      <c r="J3652" s="183"/>
      <c r="L3652" s="183"/>
      <c r="M3652" s="183"/>
      <c r="N3652" s="183"/>
      <c r="O3652" s="183"/>
      <c r="P3652" s="183"/>
      <c r="Q3652" s="183"/>
      <c r="R3652" s="183"/>
      <c r="S3652" s="183"/>
      <c r="T3652" s="183"/>
      <c r="U3652" s="183"/>
      <c r="V3652" s="183"/>
      <c r="W3652" s="183"/>
      <c r="X3652" s="183"/>
      <c r="Y3652" s="183"/>
      <c r="Z3652" s="183"/>
    </row>
    <row r="3653" spans="2:26">
      <c r="B3653" s="191"/>
      <c r="D3653" s="183"/>
      <c r="I3653" s="183"/>
      <c r="J3653" s="183"/>
      <c r="L3653" s="183"/>
      <c r="M3653" s="183"/>
      <c r="N3653" s="183"/>
      <c r="O3653" s="183"/>
      <c r="P3653" s="183"/>
      <c r="Q3653" s="183"/>
      <c r="R3653" s="183"/>
      <c r="S3653" s="183"/>
      <c r="T3653" s="183"/>
      <c r="U3653" s="183"/>
      <c r="V3653" s="183"/>
      <c r="W3653" s="183"/>
      <c r="X3653" s="183"/>
      <c r="Y3653" s="183"/>
      <c r="Z3653" s="183"/>
    </row>
    <row r="3654" spans="2:26">
      <c r="B3654" s="191"/>
      <c r="D3654" s="183"/>
      <c r="I3654" s="183"/>
      <c r="J3654" s="183"/>
      <c r="L3654" s="183"/>
      <c r="M3654" s="183"/>
      <c r="N3654" s="183"/>
      <c r="O3654" s="183"/>
      <c r="P3654" s="183"/>
      <c r="Q3654" s="183"/>
      <c r="R3654" s="183"/>
      <c r="S3654" s="183"/>
      <c r="T3654" s="183"/>
      <c r="U3654" s="183"/>
      <c r="V3654" s="183"/>
      <c r="W3654" s="183"/>
      <c r="X3654" s="183"/>
      <c r="Y3654" s="183"/>
      <c r="Z3654" s="183"/>
    </row>
    <row r="3655" spans="2:26">
      <c r="B3655" s="191"/>
      <c r="D3655" s="183"/>
      <c r="I3655" s="183"/>
      <c r="J3655" s="183"/>
      <c r="L3655" s="183"/>
      <c r="M3655" s="183"/>
      <c r="N3655" s="183"/>
      <c r="O3655" s="183"/>
      <c r="P3655" s="183"/>
      <c r="Q3655" s="183"/>
      <c r="R3655" s="183"/>
      <c r="S3655" s="183"/>
      <c r="T3655" s="183"/>
      <c r="U3655" s="183"/>
      <c r="V3655" s="183"/>
      <c r="W3655" s="183"/>
      <c r="X3655" s="183"/>
      <c r="Y3655" s="183"/>
      <c r="Z3655" s="183"/>
    </row>
    <row r="3656" spans="2:26">
      <c r="B3656" s="191"/>
      <c r="D3656" s="183"/>
      <c r="I3656" s="183"/>
      <c r="J3656" s="183"/>
      <c r="L3656" s="183"/>
      <c r="M3656" s="183"/>
      <c r="N3656" s="183"/>
      <c r="O3656" s="183"/>
      <c r="P3656" s="183"/>
      <c r="Q3656" s="183"/>
      <c r="R3656" s="183"/>
      <c r="S3656" s="183"/>
      <c r="T3656" s="183"/>
      <c r="U3656" s="183"/>
      <c r="V3656" s="183"/>
      <c r="W3656" s="183"/>
      <c r="X3656" s="183"/>
      <c r="Y3656" s="183"/>
      <c r="Z3656" s="183"/>
    </row>
    <row r="3657" spans="2:26">
      <c r="B3657" s="191"/>
      <c r="D3657" s="183"/>
      <c r="I3657" s="183"/>
      <c r="J3657" s="183"/>
      <c r="L3657" s="183"/>
      <c r="M3657" s="183"/>
      <c r="N3657" s="183"/>
      <c r="O3657" s="183"/>
      <c r="P3657" s="183"/>
      <c r="Q3657" s="183"/>
      <c r="R3657" s="183"/>
      <c r="S3657" s="183"/>
      <c r="T3657" s="183"/>
      <c r="U3657" s="183"/>
      <c r="V3657" s="183"/>
      <c r="W3657" s="183"/>
      <c r="X3657" s="183"/>
      <c r="Y3657" s="183"/>
      <c r="Z3657" s="183"/>
    </row>
    <row r="3658" spans="2:26">
      <c r="B3658" s="191"/>
      <c r="D3658" s="183"/>
      <c r="I3658" s="183"/>
      <c r="J3658" s="183"/>
      <c r="L3658" s="183"/>
      <c r="M3658" s="183"/>
      <c r="N3658" s="183"/>
      <c r="O3658" s="183"/>
      <c r="P3658" s="183"/>
      <c r="Q3658" s="183"/>
      <c r="R3658" s="183"/>
      <c r="S3658" s="183"/>
      <c r="T3658" s="183"/>
      <c r="U3658" s="183"/>
      <c r="V3658" s="183"/>
      <c r="W3658" s="183"/>
      <c r="X3658" s="183"/>
      <c r="Y3658" s="183"/>
      <c r="Z3658" s="183"/>
    </row>
    <row r="3659" spans="2:26">
      <c r="B3659" s="191"/>
      <c r="D3659" s="183"/>
      <c r="I3659" s="183"/>
      <c r="J3659" s="183"/>
      <c r="L3659" s="183"/>
      <c r="M3659" s="183"/>
      <c r="N3659" s="183"/>
      <c r="O3659" s="183"/>
      <c r="P3659" s="183"/>
      <c r="Q3659" s="183"/>
      <c r="R3659" s="183"/>
      <c r="S3659" s="183"/>
      <c r="T3659" s="183"/>
      <c r="U3659" s="183"/>
      <c r="V3659" s="183"/>
      <c r="W3659" s="183"/>
      <c r="X3659" s="183"/>
      <c r="Y3659" s="183"/>
      <c r="Z3659" s="183"/>
    </row>
    <row r="3660" spans="2:26">
      <c r="B3660" s="191"/>
      <c r="D3660" s="183"/>
      <c r="I3660" s="183"/>
      <c r="J3660" s="183"/>
      <c r="L3660" s="183"/>
      <c r="M3660" s="183"/>
      <c r="N3660" s="183"/>
      <c r="O3660" s="183"/>
      <c r="P3660" s="183"/>
      <c r="Q3660" s="183"/>
      <c r="R3660" s="183"/>
      <c r="S3660" s="183"/>
      <c r="T3660" s="183"/>
      <c r="U3660" s="183"/>
      <c r="V3660" s="183"/>
      <c r="W3660" s="183"/>
      <c r="X3660" s="183"/>
      <c r="Y3660" s="183"/>
      <c r="Z3660" s="183"/>
    </row>
    <row r="3661" spans="2:26">
      <c r="B3661" s="191"/>
      <c r="D3661" s="183"/>
      <c r="I3661" s="183"/>
      <c r="J3661" s="183"/>
      <c r="L3661" s="183"/>
      <c r="M3661" s="183"/>
      <c r="N3661" s="183"/>
      <c r="O3661" s="183"/>
      <c r="P3661" s="183"/>
      <c r="Q3661" s="183"/>
      <c r="R3661" s="183"/>
      <c r="S3661" s="183"/>
      <c r="T3661" s="183"/>
      <c r="U3661" s="183"/>
      <c r="V3661" s="183"/>
      <c r="W3661" s="183"/>
      <c r="X3661" s="183"/>
      <c r="Y3661" s="183"/>
      <c r="Z3661" s="183"/>
    </row>
    <row r="3662" spans="2:26">
      <c r="B3662" s="191"/>
      <c r="D3662" s="183"/>
      <c r="I3662" s="183"/>
      <c r="J3662" s="183"/>
      <c r="L3662" s="183"/>
      <c r="M3662" s="183"/>
      <c r="N3662" s="183"/>
      <c r="O3662" s="183"/>
      <c r="P3662" s="183"/>
      <c r="Q3662" s="183"/>
      <c r="R3662" s="183"/>
      <c r="S3662" s="183"/>
      <c r="T3662" s="183"/>
      <c r="U3662" s="183"/>
      <c r="V3662" s="183"/>
      <c r="W3662" s="183"/>
      <c r="X3662" s="183"/>
      <c r="Y3662" s="183"/>
      <c r="Z3662" s="183"/>
    </row>
    <row r="3663" spans="2:26">
      <c r="B3663" s="191"/>
      <c r="D3663" s="183"/>
      <c r="I3663" s="183"/>
      <c r="J3663" s="183"/>
      <c r="L3663" s="183"/>
      <c r="M3663" s="183"/>
      <c r="N3663" s="183"/>
      <c r="O3663" s="183"/>
      <c r="P3663" s="183"/>
      <c r="Q3663" s="183"/>
      <c r="R3663" s="183"/>
      <c r="S3663" s="183"/>
      <c r="T3663" s="183"/>
      <c r="U3663" s="183"/>
      <c r="V3663" s="183"/>
      <c r="W3663" s="183"/>
      <c r="X3663" s="183"/>
      <c r="Y3663" s="183"/>
      <c r="Z3663" s="183"/>
    </row>
    <row r="3664" spans="2:26">
      <c r="B3664" s="191"/>
      <c r="D3664" s="183"/>
      <c r="I3664" s="183"/>
      <c r="J3664" s="183"/>
      <c r="L3664" s="183"/>
      <c r="M3664" s="183"/>
      <c r="N3664" s="183"/>
      <c r="O3664" s="183"/>
      <c r="P3664" s="183"/>
      <c r="Q3664" s="183"/>
      <c r="R3664" s="183"/>
      <c r="S3664" s="183"/>
      <c r="T3664" s="183"/>
      <c r="U3664" s="183"/>
      <c r="V3664" s="183"/>
      <c r="W3664" s="183"/>
      <c r="X3664" s="183"/>
      <c r="Y3664" s="183"/>
      <c r="Z3664" s="183"/>
    </row>
    <row r="3665" spans="2:26">
      <c r="B3665" s="191"/>
      <c r="D3665" s="183"/>
      <c r="I3665" s="183"/>
      <c r="J3665" s="183"/>
      <c r="L3665" s="183"/>
      <c r="M3665" s="183"/>
      <c r="N3665" s="183"/>
      <c r="O3665" s="183"/>
      <c r="P3665" s="183"/>
      <c r="Q3665" s="183"/>
      <c r="R3665" s="183"/>
      <c r="S3665" s="183"/>
      <c r="T3665" s="183"/>
      <c r="U3665" s="183"/>
      <c r="V3665" s="183"/>
      <c r="W3665" s="183"/>
      <c r="X3665" s="183"/>
      <c r="Y3665" s="183"/>
      <c r="Z3665" s="183"/>
    </row>
    <row r="3666" spans="2:26">
      <c r="B3666" s="191"/>
      <c r="D3666" s="183"/>
      <c r="I3666" s="183"/>
      <c r="J3666" s="183"/>
      <c r="L3666" s="183"/>
      <c r="M3666" s="183"/>
      <c r="N3666" s="183"/>
      <c r="O3666" s="183"/>
      <c r="P3666" s="183"/>
      <c r="Q3666" s="183"/>
      <c r="R3666" s="183"/>
      <c r="S3666" s="183"/>
      <c r="T3666" s="183"/>
      <c r="U3666" s="183"/>
      <c r="V3666" s="183"/>
      <c r="W3666" s="183"/>
      <c r="X3666" s="183"/>
      <c r="Y3666" s="183"/>
      <c r="Z3666" s="183"/>
    </row>
    <row r="3667" spans="2:26">
      <c r="B3667" s="191"/>
      <c r="D3667" s="183"/>
      <c r="I3667" s="183"/>
      <c r="J3667" s="183"/>
      <c r="L3667" s="183"/>
      <c r="M3667" s="183"/>
      <c r="N3667" s="183"/>
      <c r="O3667" s="183"/>
      <c r="P3667" s="183"/>
      <c r="Q3667" s="183"/>
      <c r="R3667" s="183"/>
      <c r="S3667" s="183"/>
      <c r="T3667" s="183"/>
      <c r="U3667" s="183"/>
      <c r="V3667" s="183"/>
      <c r="W3667" s="183"/>
      <c r="X3667" s="183"/>
      <c r="Y3667" s="183"/>
      <c r="Z3667" s="183"/>
    </row>
    <row r="3668" spans="2:26">
      <c r="B3668" s="191"/>
      <c r="D3668" s="183"/>
      <c r="I3668" s="183"/>
      <c r="J3668" s="183"/>
      <c r="L3668" s="183"/>
      <c r="M3668" s="183"/>
      <c r="N3668" s="183"/>
      <c r="O3668" s="183"/>
      <c r="P3668" s="183"/>
      <c r="Q3668" s="183"/>
      <c r="R3668" s="183"/>
      <c r="S3668" s="183"/>
      <c r="T3668" s="183"/>
      <c r="U3668" s="183"/>
      <c r="V3668" s="183"/>
      <c r="W3668" s="183"/>
      <c r="X3668" s="183"/>
      <c r="Y3668" s="183"/>
      <c r="Z3668" s="183"/>
    </row>
    <row r="3669" spans="2:26">
      <c r="B3669" s="191"/>
      <c r="D3669" s="183"/>
      <c r="I3669" s="183"/>
      <c r="J3669" s="183"/>
      <c r="L3669" s="183"/>
      <c r="M3669" s="183"/>
      <c r="N3669" s="183"/>
      <c r="O3669" s="183"/>
      <c r="P3669" s="183"/>
      <c r="Q3669" s="183"/>
      <c r="R3669" s="183"/>
      <c r="S3669" s="183"/>
      <c r="T3669" s="183"/>
      <c r="U3669" s="183"/>
      <c r="V3669" s="183"/>
      <c r="W3669" s="183"/>
      <c r="X3669" s="183"/>
      <c r="Y3669" s="183"/>
      <c r="Z3669" s="183"/>
    </row>
    <row r="3670" spans="2:26">
      <c r="B3670" s="191"/>
      <c r="D3670" s="183"/>
      <c r="I3670" s="183"/>
      <c r="J3670" s="183"/>
      <c r="L3670" s="183"/>
      <c r="M3670" s="183"/>
      <c r="N3670" s="183"/>
      <c r="O3670" s="183"/>
      <c r="P3670" s="183"/>
      <c r="Q3670" s="183"/>
      <c r="R3670" s="183"/>
      <c r="S3670" s="183"/>
      <c r="T3670" s="183"/>
      <c r="U3670" s="183"/>
      <c r="V3670" s="183"/>
      <c r="W3670" s="183"/>
      <c r="X3670" s="183"/>
      <c r="Y3670" s="183"/>
      <c r="Z3670" s="183"/>
    </row>
    <row r="3671" spans="2:26">
      <c r="B3671" s="191"/>
      <c r="D3671" s="183"/>
      <c r="I3671" s="183"/>
      <c r="J3671" s="183"/>
      <c r="L3671" s="183"/>
      <c r="M3671" s="183"/>
      <c r="N3671" s="183"/>
      <c r="O3671" s="183"/>
      <c r="P3671" s="183"/>
      <c r="Q3671" s="183"/>
      <c r="R3671" s="183"/>
      <c r="S3671" s="183"/>
      <c r="T3671" s="183"/>
      <c r="U3671" s="183"/>
      <c r="V3671" s="183"/>
      <c r="W3671" s="183"/>
      <c r="X3671" s="183"/>
      <c r="Y3671" s="183"/>
      <c r="Z3671" s="183"/>
    </row>
    <row r="3672" spans="2:26">
      <c r="B3672" s="191"/>
      <c r="D3672" s="183"/>
      <c r="I3672" s="183"/>
      <c r="J3672" s="183"/>
      <c r="L3672" s="183"/>
      <c r="M3672" s="183"/>
      <c r="N3672" s="183"/>
      <c r="O3672" s="183"/>
      <c r="P3672" s="183"/>
      <c r="Q3672" s="183"/>
      <c r="R3672" s="183"/>
      <c r="S3672" s="183"/>
      <c r="T3672" s="183"/>
      <c r="U3672" s="183"/>
      <c r="V3672" s="183"/>
      <c r="W3672" s="183"/>
      <c r="X3672" s="183"/>
      <c r="Y3672" s="183"/>
      <c r="Z3672" s="183"/>
    </row>
    <row r="3673" spans="2:26">
      <c r="B3673" s="191"/>
      <c r="D3673" s="183"/>
      <c r="I3673" s="183"/>
      <c r="J3673" s="183"/>
      <c r="L3673" s="183"/>
      <c r="M3673" s="183"/>
      <c r="N3673" s="183"/>
      <c r="O3673" s="183"/>
      <c r="P3673" s="183"/>
      <c r="Q3673" s="183"/>
      <c r="R3673" s="183"/>
      <c r="S3673" s="183"/>
      <c r="T3673" s="183"/>
      <c r="U3673" s="183"/>
      <c r="V3673" s="183"/>
      <c r="W3673" s="183"/>
      <c r="X3673" s="183"/>
      <c r="Y3673" s="183"/>
      <c r="Z3673" s="183"/>
    </row>
    <row r="3674" spans="2:26">
      <c r="B3674" s="191"/>
      <c r="D3674" s="183"/>
      <c r="I3674" s="183"/>
      <c r="J3674" s="183"/>
      <c r="L3674" s="183"/>
      <c r="M3674" s="183"/>
      <c r="N3674" s="183"/>
      <c r="O3674" s="183"/>
      <c r="P3674" s="183"/>
      <c r="Q3674" s="183"/>
      <c r="R3674" s="183"/>
      <c r="S3674" s="183"/>
      <c r="T3674" s="183"/>
      <c r="U3674" s="183"/>
      <c r="V3674" s="183"/>
      <c r="W3674" s="183"/>
      <c r="X3674" s="183"/>
      <c r="Y3674" s="183"/>
      <c r="Z3674" s="183"/>
    </row>
    <row r="3675" spans="2:26">
      <c r="B3675" s="191"/>
      <c r="D3675" s="183"/>
      <c r="I3675" s="183"/>
      <c r="J3675" s="183"/>
      <c r="L3675" s="183"/>
      <c r="M3675" s="183"/>
      <c r="N3675" s="183"/>
      <c r="O3675" s="183"/>
      <c r="P3675" s="183"/>
      <c r="Q3675" s="183"/>
      <c r="R3675" s="183"/>
      <c r="S3675" s="183"/>
      <c r="T3675" s="183"/>
      <c r="U3675" s="183"/>
      <c r="V3675" s="183"/>
      <c r="W3675" s="183"/>
      <c r="X3675" s="183"/>
      <c r="Y3675" s="183"/>
      <c r="Z3675" s="183"/>
    </row>
    <row r="3676" spans="2:26">
      <c r="B3676" s="191"/>
      <c r="D3676" s="183"/>
      <c r="I3676" s="183"/>
      <c r="J3676" s="183"/>
      <c r="L3676" s="183"/>
      <c r="M3676" s="183"/>
      <c r="N3676" s="183"/>
      <c r="O3676" s="183"/>
      <c r="P3676" s="183"/>
      <c r="Q3676" s="183"/>
      <c r="R3676" s="183"/>
      <c r="S3676" s="183"/>
      <c r="T3676" s="183"/>
      <c r="U3676" s="183"/>
      <c r="V3676" s="183"/>
      <c r="W3676" s="183"/>
      <c r="X3676" s="183"/>
      <c r="Y3676" s="183"/>
      <c r="Z3676" s="183"/>
    </row>
    <row r="3677" spans="2:26">
      <c r="B3677" s="191"/>
      <c r="D3677" s="183"/>
      <c r="I3677" s="183"/>
      <c r="J3677" s="183"/>
      <c r="L3677" s="183"/>
      <c r="M3677" s="183"/>
      <c r="N3677" s="183"/>
      <c r="O3677" s="183"/>
      <c r="P3677" s="183"/>
      <c r="Q3677" s="183"/>
      <c r="R3677" s="183"/>
      <c r="S3677" s="183"/>
      <c r="T3677" s="183"/>
      <c r="U3677" s="183"/>
      <c r="V3677" s="183"/>
      <c r="W3677" s="183"/>
      <c r="X3677" s="183"/>
      <c r="Y3677" s="183"/>
      <c r="Z3677" s="183"/>
    </row>
    <row r="3678" spans="2:26">
      <c r="B3678" s="191"/>
      <c r="D3678" s="183"/>
      <c r="I3678" s="183"/>
      <c r="J3678" s="183"/>
      <c r="L3678" s="183"/>
      <c r="M3678" s="183"/>
      <c r="N3678" s="183"/>
      <c r="O3678" s="183"/>
      <c r="P3678" s="183"/>
      <c r="Q3678" s="183"/>
      <c r="R3678" s="183"/>
      <c r="S3678" s="183"/>
      <c r="T3678" s="183"/>
      <c r="U3678" s="183"/>
      <c r="V3678" s="183"/>
      <c r="W3678" s="183"/>
      <c r="X3678" s="183"/>
      <c r="Y3678" s="183"/>
      <c r="Z3678" s="183"/>
    </row>
    <row r="3679" spans="2:26">
      <c r="B3679" s="191"/>
      <c r="D3679" s="183"/>
      <c r="I3679" s="183"/>
      <c r="J3679" s="183"/>
      <c r="L3679" s="183"/>
      <c r="M3679" s="183"/>
      <c r="N3679" s="183"/>
      <c r="O3679" s="183"/>
      <c r="P3679" s="183"/>
      <c r="Q3679" s="183"/>
      <c r="R3679" s="183"/>
      <c r="S3679" s="183"/>
      <c r="T3679" s="183"/>
      <c r="U3679" s="183"/>
      <c r="V3679" s="183"/>
      <c r="W3679" s="183"/>
      <c r="X3679" s="183"/>
      <c r="Y3679" s="183"/>
      <c r="Z3679" s="183"/>
    </row>
    <row r="3680" spans="2:26">
      <c r="B3680" s="191"/>
      <c r="D3680" s="183"/>
      <c r="I3680" s="183"/>
      <c r="J3680" s="183"/>
      <c r="L3680" s="183"/>
      <c r="M3680" s="183"/>
      <c r="N3680" s="183"/>
      <c r="O3680" s="183"/>
      <c r="P3680" s="183"/>
      <c r="Q3680" s="183"/>
      <c r="R3680" s="183"/>
      <c r="S3680" s="183"/>
      <c r="T3680" s="183"/>
      <c r="U3680" s="183"/>
      <c r="V3680" s="183"/>
      <c r="W3680" s="183"/>
      <c r="X3680" s="183"/>
      <c r="Y3680" s="183"/>
      <c r="Z3680" s="183"/>
    </row>
    <row r="3681" spans="2:26">
      <c r="B3681" s="191"/>
      <c r="D3681" s="183"/>
      <c r="I3681" s="183"/>
      <c r="J3681" s="183"/>
      <c r="L3681" s="183"/>
      <c r="M3681" s="183"/>
      <c r="N3681" s="183"/>
      <c r="O3681" s="183"/>
      <c r="P3681" s="183"/>
      <c r="Q3681" s="183"/>
      <c r="R3681" s="183"/>
      <c r="S3681" s="183"/>
      <c r="T3681" s="183"/>
      <c r="U3681" s="183"/>
      <c r="V3681" s="183"/>
      <c r="W3681" s="183"/>
      <c r="X3681" s="183"/>
      <c r="Y3681" s="183"/>
      <c r="Z3681" s="183"/>
    </row>
    <row r="3682" spans="2:26">
      <c r="B3682" s="191"/>
      <c r="D3682" s="183"/>
      <c r="I3682" s="183"/>
      <c r="J3682" s="183"/>
      <c r="L3682" s="183"/>
      <c r="M3682" s="183"/>
      <c r="N3682" s="183"/>
      <c r="O3682" s="183"/>
      <c r="P3682" s="183"/>
      <c r="Q3682" s="183"/>
      <c r="R3682" s="183"/>
      <c r="S3682" s="183"/>
      <c r="T3682" s="183"/>
      <c r="U3682" s="183"/>
      <c r="V3682" s="183"/>
      <c r="W3682" s="183"/>
      <c r="X3682" s="183"/>
      <c r="Y3682" s="183"/>
      <c r="Z3682" s="183"/>
    </row>
    <row r="3683" spans="2:26">
      <c r="B3683" s="191"/>
      <c r="D3683" s="183"/>
      <c r="I3683" s="183"/>
      <c r="J3683" s="183"/>
      <c r="L3683" s="183"/>
      <c r="M3683" s="183"/>
      <c r="N3683" s="183"/>
      <c r="O3683" s="183"/>
      <c r="P3683" s="183"/>
      <c r="Q3683" s="183"/>
      <c r="R3683" s="183"/>
      <c r="S3683" s="183"/>
      <c r="T3683" s="183"/>
      <c r="U3683" s="183"/>
      <c r="V3683" s="183"/>
      <c r="W3683" s="183"/>
      <c r="X3683" s="183"/>
      <c r="Y3683" s="183"/>
      <c r="Z3683" s="183"/>
    </row>
    <row r="3684" spans="2:26">
      <c r="B3684" s="191"/>
      <c r="D3684" s="183"/>
      <c r="I3684" s="183"/>
      <c r="J3684" s="183"/>
      <c r="L3684" s="183"/>
      <c r="M3684" s="183"/>
      <c r="N3684" s="183"/>
      <c r="O3684" s="183"/>
      <c r="P3684" s="183"/>
      <c r="Q3684" s="183"/>
      <c r="R3684" s="183"/>
      <c r="S3684" s="183"/>
      <c r="T3684" s="183"/>
      <c r="U3684" s="183"/>
      <c r="V3684" s="183"/>
      <c r="W3684" s="183"/>
      <c r="X3684" s="183"/>
      <c r="Y3684" s="183"/>
      <c r="Z3684" s="183"/>
    </row>
    <row r="3685" spans="2:26">
      <c r="B3685" s="191"/>
      <c r="D3685" s="183"/>
      <c r="I3685" s="183"/>
      <c r="J3685" s="183"/>
      <c r="L3685" s="183"/>
      <c r="M3685" s="183"/>
      <c r="N3685" s="183"/>
      <c r="O3685" s="183"/>
      <c r="P3685" s="183"/>
      <c r="Q3685" s="183"/>
      <c r="R3685" s="183"/>
      <c r="S3685" s="183"/>
      <c r="T3685" s="183"/>
      <c r="U3685" s="183"/>
      <c r="V3685" s="183"/>
      <c r="W3685" s="183"/>
      <c r="X3685" s="183"/>
      <c r="Y3685" s="183"/>
      <c r="Z3685" s="183"/>
    </row>
    <row r="3686" spans="2:26">
      <c r="B3686" s="191"/>
      <c r="D3686" s="183"/>
      <c r="I3686" s="183"/>
      <c r="J3686" s="183"/>
      <c r="L3686" s="183"/>
      <c r="M3686" s="183"/>
      <c r="N3686" s="183"/>
      <c r="O3686" s="183"/>
      <c r="P3686" s="183"/>
      <c r="Q3686" s="183"/>
      <c r="R3686" s="183"/>
      <c r="S3686" s="183"/>
      <c r="T3686" s="183"/>
      <c r="U3686" s="183"/>
      <c r="V3686" s="183"/>
      <c r="W3686" s="183"/>
      <c r="X3686" s="183"/>
      <c r="Y3686" s="183"/>
      <c r="Z3686" s="183"/>
    </row>
    <row r="3687" spans="2:26">
      <c r="B3687" s="191"/>
      <c r="D3687" s="183"/>
      <c r="I3687" s="183"/>
      <c r="J3687" s="183"/>
      <c r="L3687" s="183"/>
      <c r="M3687" s="183"/>
      <c r="N3687" s="183"/>
      <c r="O3687" s="183"/>
      <c r="P3687" s="183"/>
      <c r="Q3687" s="183"/>
      <c r="R3687" s="183"/>
      <c r="S3687" s="183"/>
      <c r="T3687" s="183"/>
      <c r="U3687" s="183"/>
      <c r="V3687" s="183"/>
      <c r="W3687" s="183"/>
      <c r="X3687" s="183"/>
      <c r="Y3687" s="183"/>
      <c r="Z3687" s="183"/>
    </row>
    <row r="3688" spans="2:26">
      <c r="B3688" s="191"/>
      <c r="D3688" s="183"/>
      <c r="I3688" s="183"/>
      <c r="J3688" s="183"/>
      <c r="L3688" s="183"/>
      <c r="M3688" s="183"/>
      <c r="N3688" s="183"/>
      <c r="O3688" s="183"/>
      <c r="P3688" s="183"/>
      <c r="Q3688" s="183"/>
      <c r="R3688" s="183"/>
      <c r="S3688" s="183"/>
      <c r="T3688" s="183"/>
      <c r="U3688" s="183"/>
      <c r="V3688" s="183"/>
      <c r="W3688" s="183"/>
      <c r="X3688" s="183"/>
      <c r="Y3688" s="183"/>
      <c r="Z3688" s="183"/>
    </row>
    <row r="3689" spans="2:26">
      <c r="B3689" s="191"/>
      <c r="D3689" s="183"/>
      <c r="I3689" s="183"/>
      <c r="J3689" s="183"/>
      <c r="L3689" s="183"/>
      <c r="M3689" s="183"/>
      <c r="N3689" s="183"/>
      <c r="O3689" s="183"/>
      <c r="P3689" s="183"/>
      <c r="Q3689" s="183"/>
      <c r="R3689" s="183"/>
      <c r="S3689" s="183"/>
      <c r="T3689" s="183"/>
      <c r="U3689" s="183"/>
      <c r="V3689" s="183"/>
      <c r="W3689" s="183"/>
      <c r="X3689" s="183"/>
      <c r="Y3689" s="183"/>
      <c r="Z3689" s="183"/>
    </row>
    <row r="3690" spans="2:26">
      <c r="B3690" s="191"/>
      <c r="D3690" s="183"/>
      <c r="I3690" s="183"/>
      <c r="J3690" s="183"/>
      <c r="L3690" s="183"/>
      <c r="M3690" s="183"/>
      <c r="N3690" s="183"/>
      <c r="O3690" s="183"/>
      <c r="P3690" s="183"/>
      <c r="Q3690" s="183"/>
      <c r="R3690" s="183"/>
      <c r="S3690" s="183"/>
      <c r="T3690" s="183"/>
      <c r="U3690" s="183"/>
      <c r="V3690" s="183"/>
      <c r="W3690" s="183"/>
      <c r="X3690" s="183"/>
      <c r="Y3690" s="183"/>
      <c r="Z3690" s="183"/>
    </row>
    <row r="3691" spans="2:26">
      <c r="B3691" s="191"/>
      <c r="D3691" s="183"/>
      <c r="I3691" s="183"/>
      <c r="J3691" s="183"/>
      <c r="L3691" s="183"/>
      <c r="M3691" s="183"/>
      <c r="N3691" s="183"/>
      <c r="O3691" s="183"/>
      <c r="P3691" s="183"/>
      <c r="Q3691" s="183"/>
      <c r="R3691" s="183"/>
      <c r="S3691" s="183"/>
      <c r="T3691" s="183"/>
      <c r="U3691" s="183"/>
      <c r="V3691" s="183"/>
      <c r="W3691" s="183"/>
      <c r="X3691" s="183"/>
      <c r="Y3691" s="183"/>
      <c r="Z3691" s="183"/>
    </row>
    <row r="3692" spans="2:26">
      <c r="B3692" s="191"/>
      <c r="D3692" s="183"/>
      <c r="I3692" s="183"/>
      <c r="J3692" s="183"/>
      <c r="L3692" s="183"/>
      <c r="M3692" s="183"/>
      <c r="N3692" s="183"/>
      <c r="O3692" s="183"/>
      <c r="P3692" s="183"/>
      <c r="Q3692" s="183"/>
      <c r="R3692" s="183"/>
      <c r="S3692" s="183"/>
      <c r="T3692" s="183"/>
      <c r="U3692" s="183"/>
      <c r="V3692" s="183"/>
      <c r="W3692" s="183"/>
      <c r="X3692" s="183"/>
      <c r="Y3692" s="183"/>
      <c r="Z3692" s="183"/>
    </row>
    <row r="3693" spans="2:26">
      <c r="B3693" s="191"/>
      <c r="D3693" s="183"/>
      <c r="I3693" s="183"/>
      <c r="J3693" s="183"/>
      <c r="L3693" s="183"/>
      <c r="M3693" s="183"/>
      <c r="N3693" s="183"/>
      <c r="O3693" s="183"/>
      <c r="P3693" s="183"/>
      <c r="Q3693" s="183"/>
      <c r="R3693" s="183"/>
      <c r="S3693" s="183"/>
      <c r="T3693" s="183"/>
      <c r="U3693" s="183"/>
      <c r="V3693" s="183"/>
      <c r="W3693" s="183"/>
      <c r="X3693" s="183"/>
      <c r="Y3693" s="183"/>
      <c r="Z3693" s="183"/>
    </row>
    <row r="3694" spans="2:26">
      <c r="B3694" s="191"/>
      <c r="D3694" s="183"/>
      <c r="I3694" s="183"/>
      <c r="J3694" s="183"/>
      <c r="L3694" s="183"/>
      <c r="M3694" s="183"/>
      <c r="N3694" s="183"/>
      <c r="O3694" s="183"/>
      <c r="P3694" s="183"/>
      <c r="Q3694" s="183"/>
      <c r="R3694" s="183"/>
      <c r="S3694" s="183"/>
      <c r="T3694" s="183"/>
      <c r="U3694" s="183"/>
      <c r="V3694" s="183"/>
      <c r="W3694" s="183"/>
      <c r="X3694" s="183"/>
      <c r="Y3694" s="183"/>
      <c r="Z3694" s="183"/>
    </row>
    <row r="3695" spans="2:26">
      <c r="B3695" s="191"/>
      <c r="D3695" s="183"/>
      <c r="I3695" s="183"/>
      <c r="J3695" s="183"/>
      <c r="L3695" s="183"/>
      <c r="M3695" s="183"/>
      <c r="N3695" s="183"/>
      <c r="O3695" s="183"/>
      <c r="P3695" s="183"/>
      <c r="Q3695" s="183"/>
      <c r="R3695" s="183"/>
      <c r="S3695" s="183"/>
      <c r="T3695" s="183"/>
      <c r="U3695" s="183"/>
      <c r="V3695" s="183"/>
      <c r="W3695" s="183"/>
      <c r="X3695" s="183"/>
      <c r="Y3695" s="183"/>
      <c r="Z3695" s="183"/>
    </row>
    <row r="3696" spans="2:26">
      <c r="B3696" s="191"/>
      <c r="D3696" s="183"/>
      <c r="I3696" s="183"/>
      <c r="J3696" s="183"/>
      <c r="L3696" s="183"/>
      <c r="M3696" s="183"/>
      <c r="N3696" s="183"/>
      <c r="O3696" s="183"/>
      <c r="P3696" s="183"/>
      <c r="Q3696" s="183"/>
      <c r="R3696" s="183"/>
      <c r="S3696" s="183"/>
      <c r="T3696" s="183"/>
      <c r="U3696" s="183"/>
      <c r="V3696" s="183"/>
      <c r="W3696" s="183"/>
      <c r="X3696" s="183"/>
      <c r="Y3696" s="183"/>
      <c r="Z3696" s="183"/>
    </row>
    <row r="3697" spans="2:26">
      <c r="B3697" s="191"/>
      <c r="D3697" s="183"/>
      <c r="I3697" s="183"/>
      <c r="J3697" s="183"/>
      <c r="L3697" s="183"/>
      <c r="M3697" s="183"/>
      <c r="N3697" s="183"/>
      <c r="O3697" s="183"/>
      <c r="P3697" s="183"/>
      <c r="Q3697" s="183"/>
      <c r="R3697" s="183"/>
      <c r="S3697" s="183"/>
      <c r="T3697" s="183"/>
      <c r="U3697" s="183"/>
      <c r="V3697" s="183"/>
      <c r="W3697" s="183"/>
      <c r="X3697" s="183"/>
      <c r="Y3697" s="183"/>
      <c r="Z3697" s="183"/>
    </row>
    <row r="3698" spans="2:26">
      <c r="B3698" s="191"/>
      <c r="D3698" s="183"/>
      <c r="I3698" s="183"/>
      <c r="J3698" s="183"/>
      <c r="L3698" s="183"/>
      <c r="M3698" s="183"/>
      <c r="N3698" s="183"/>
      <c r="O3698" s="183"/>
      <c r="P3698" s="183"/>
      <c r="Q3698" s="183"/>
      <c r="R3698" s="183"/>
      <c r="S3698" s="183"/>
      <c r="T3698" s="183"/>
      <c r="U3698" s="183"/>
      <c r="V3698" s="183"/>
      <c r="W3698" s="183"/>
      <c r="X3698" s="183"/>
      <c r="Y3698" s="183"/>
      <c r="Z3698" s="183"/>
    </row>
    <row r="3699" spans="2:26">
      <c r="B3699" s="191"/>
      <c r="D3699" s="183"/>
      <c r="I3699" s="183"/>
      <c r="J3699" s="183"/>
      <c r="L3699" s="183"/>
      <c r="M3699" s="183"/>
      <c r="N3699" s="183"/>
      <c r="O3699" s="183"/>
      <c r="P3699" s="183"/>
      <c r="Q3699" s="183"/>
      <c r="R3699" s="183"/>
      <c r="S3699" s="183"/>
      <c r="T3699" s="183"/>
      <c r="U3699" s="183"/>
      <c r="V3699" s="183"/>
      <c r="W3699" s="183"/>
      <c r="X3699" s="183"/>
      <c r="Y3699" s="183"/>
      <c r="Z3699" s="183"/>
    </row>
    <row r="3700" spans="2:26">
      <c r="B3700" s="191"/>
      <c r="D3700" s="183"/>
      <c r="I3700" s="183"/>
      <c r="J3700" s="183"/>
      <c r="L3700" s="183"/>
      <c r="M3700" s="183"/>
      <c r="N3700" s="183"/>
      <c r="O3700" s="183"/>
      <c r="P3700" s="183"/>
      <c r="Q3700" s="183"/>
      <c r="R3700" s="183"/>
      <c r="S3700" s="183"/>
      <c r="T3700" s="183"/>
      <c r="U3700" s="183"/>
      <c r="V3700" s="183"/>
      <c r="W3700" s="183"/>
      <c r="X3700" s="183"/>
      <c r="Y3700" s="183"/>
      <c r="Z3700" s="183"/>
    </row>
    <row r="3701" spans="2:26">
      <c r="B3701" s="191"/>
      <c r="D3701" s="183"/>
      <c r="I3701" s="183"/>
      <c r="J3701" s="183"/>
      <c r="L3701" s="183"/>
      <c r="M3701" s="183"/>
      <c r="N3701" s="183"/>
      <c r="O3701" s="183"/>
      <c r="P3701" s="183"/>
      <c r="Q3701" s="183"/>
      <c r="R3701" s="183"/>
      <c r="S3701" s="183"/>
      <c r="T3701" s="183"/>
      <c r="U3701" s="183"/>
      <c r="V3701" s="183"/>
      <c r="W3701" s="183"/>
      <c r="X3701" s="183"/>
      <c r="Y3701" s="183"/>
      <c r="Z3701" s="183"/>
    </row>
    <row r="3702" spans="2:26">
      <c r="B3702" s="191"/>
      <c r="D3702" s="183"/>
      <c r="I3702" s="183"/>
      <c r="J3702" s="183"/>
      <c r="L3702" s="183"/>
      <c r="M3702" s="183"/>
      <c r="N3702" s="183"/>
      <c r="O3702" s="183"/>
      <c r="P3702" s="183"/>
      <c r="Q3702" s="183"/>
      <c r="R3702" s="183"/>
      <c r="S3702" s="183"/>
      <c r="T3702" s="183"/>
      <c r="U3702" s="183"/>
      <c r="V3702" s="183"/>
      <c r="W3702" s="183"/>
      <c r="X3702" s="183"/>
      <c r="Y3702" s="183"/>
      <c r="Z3702" s="183"/>
    </row>
    <row r="3703" spans="2:26">
      <c r="B3703" s="191"/>
      <c r="D3703" s="183"/>
      <c r="I3703" s="183"/>
      <c r="J3703" s="183"/>
      <c r="L3703" s="183"/>
      <c r="M3703" s="183"/>
      <c r="N3703" s="183"/>
      <c r="O3703" s="183"/>
      <c r="P3703" s="183"/>
      <c r="Q3703" s="183"/>
      <c r="R3703" s="183"/>
      <c r="S3703" s="183"/>
      <c r="T3703" s="183"/>
      <c r="U3703" s="183"/>
      <c r="V3703" s="183"/>
      <c r="W3703" s="183"/>
      <c r="X3703" s="183"/>
      <c r="Y3703" s="183"/>
      <c r="Z3703" s="183"/>
    </row>
    <row r="3704" spans="2:26">
      <c r="B3704" s="191"/>
      <c r="D3704" s="183"/>
      <c r="I3704" s="183"/>
      <c r="J3704" s="183"/>
      <c r="L3704" s="183"/>
      <c r="M3704" s="183"/>
      <c r="N3704" s="183"/>
      <c r="O3704" s="183"/>
      <c r="P3704" s="183"/>
      <c r="Q3704" s="183"/>
      <c r="R3704" s="183"/>
      <c r="S3704" s="183"/>
      <c r="T3704" s="183"/>
      <c r="U3704" s="183"/>
      <c r="V3704" s="183"/>
      <c r="W3704" s="183"/>
      <c r="X3704" s="183"/>
      <c r="Y3704" s="183"/>
      <c r="Z3704" s="183"/>
    </row>
    <row r="3705" spans="2:26">
      <c r="B3705" s="191"/>
      <c r="D3705" s="183"/>
      <c r="I3705" s="183"/>
      <c r="J3705" s="183"/>
      <c r="L3705" s="183"/>
      <c r="M3705" s="183"/>
      <c r="N3705" s="183"/>
      <c r="O3705" s="183"/>
      <c r="P3705" s="183"/>
      <c r="Q3705" s="183"/>
      <c r="R3705" s="183"/>
      <c r="S3705" s="183"/>
      <c r="T3705" s="183"/>
      <c r="U3705" s="183"/>
      <c r="V3705" s="183"/>
      <c r="W3705" s="183"/>
      <c r="X3705" s="183"/>
      <c r="Y3705" s="183"/>
      <c r="Z3705" s="183"/>
    </row>
    <row r="3706" spans="2:26">
      <c r="B3706" s="191"/>
      <c r="D3706" s="183"/>
      <c r="I3706" s="183"/>
      <c r="J3706" s="183"/>
      <c r="L3706" s="183"/>
      <c r="M3706" s="183"/>
      <c r="N3706" s="183"/>
      <c r="O3706" s="183"/>
      <c r="P3706" s="183"/>
      <c r="Q3706" s="183"/>
      <c r="R3706" s="183"/>
      <c r="S3706" s="183"/>
      <c r="T3706" s="183"/>
      <c r="U3706" s="183"/>
      <c r="V3706" s="183"/>
      <c r="W3706" s="183"/>
      <c r="X3706" s="183"/>
      <c r="Y3706" s="183"/>
      <c r="Z3706" s="183"/>
    </row>
    <row r="3707" spans="2:26">
      <c r="B3707" s="191"/>
      <c r="D3707" s="183"/>
      <c r="I3707" s="183"/>
      <c r="J3707" s="183"/>
      <c r="L3707" s="183"/>
      <c r="M3707" s="183"/>
      <c r="N3707" s="183"/>
      <c r="O3707" s="183"/>
      <c r="P3707" s="183"/>
      <c r="Q3707" s="183"/>
      <c r="R3707" s="183"/>
      <c r="S3707" s="183"/>
      <c r="T3707" s="183"/>
      <c r="U3707" s="183"/>
      <c r="V3707" s="183"/>
      <c r="W3707" s="183"/>
      <c r="X3707" s="183"/>
      <c r="Y3707" s="183"/>
      <c r="Z3707" s="183"/>
    </row>
    <row r="3708" spans="2:26">
      <c r="B3708" s="191"/>
      <c r="D3708" s="183"/>
      <c r="I3708" s="183"/>
      <c r="J3708" s="183"/>
      <c r="L3708" s="183"/>
      <c r="M3708" s="183"/>
      <c r="N3708" s="183"/>
      <c r="O3708" s="183"/>
      <c r="P3708" s="183"/>
      <c r="Q3708" s="183"/>
      <c r="R3708" s="183"/>
      <c r="S3708" s="183"/>
      <c r="T3708" s="183"/>
      <c r="U3708" s="183"/>
      <c r="V3708" s="183"/>
      <c r="W3708" s="183"/>
      <c r="X3708" s="183"/>
      <c r="Y3708" s="183"/>
      <c r="Z3708" s="183"/>
    </row>
    <row r="3709" spans="2:26">
      <c r="B3709" s="191"/>
      <c r="D3709" s="183"/>
      <c r="I3709" s="183"/>
      <c r="J3709" s="183"/>
      <c r="L3709" s="183"/>
      <c r="M3709" s="183"/>
      <c r="N3709" s="183"/>
      <c r="O3709" s="183"/>
      <c r="P3709" s="183"/>
      <c r="Q3709" s="183"/>
      <c r="R3709" s="183"/>
      <c r="S3709" s="183"/>
      <c r="T3709" s="183"/>
      <c r="U3709" s="183"/>
      <c r="V3709" s="183"/>
      <c r="W3709" s="183"/>
      <c r="X3709" s="183"/>
      <c r="Y3709" s="183"/>
      <c r="Z3709" s="183"/>
    </row>
    <row r="3710" spans="2:26">
      <c r="B3710" s="191"/>
      <c r="D3710" s="183"/>
      <c r="I3710" s="183"/>
      <c r="J3710" s="183"/>
      <c r="L3710" s="183"/>
      <c r="M3710" s="183"/>
      <c r="N3710" s="183"/>
      <c r="O3710" s="183"/>
      <c r="P3710" s="183"/>
      <c r="Q3710" s="183"/>
      <c r="R3710" s="183"/>
      <c r="S3710" s="183"/>
      <c r="T3710" s="183"/>
      <c r="U3710" s="183"/>
      <c r="V3710" s="183"/>
      <c r="W3710" s="183"/>
      <c r="X3710" s="183"/>
      <c r="Y3710" s="183"/>
      <c r="Z3710" s="183"/>
    </row>
    <row r="3711" spans="2:26">
      <c r="B3711" s="191"/>
      <c r="D3711" s="183"/>
      <c r="I3711" s="183"/>
      <c r="J3711" s="183"/>
      <c r="L3711" s="183"/>
      <c r="M3711" s="183"/>
      <c r="N3711" s="183"/>
      <c r="O3711" s="183"/>
      <c r="P3711" s="183"/>
      <c r="Q3711" s="183"/>
      <c r="R3711" s="183"/>
      <c r="S3711" s="183"/>
      <c r="T3711" s="183"/>
      <c r="U3711" s="183"/>
      <c r="V3711" s="183"/>
      <c r="W3711" s="183"/>
      <c r="X3711" s="183"/>
      <c r="Y3711" s="183"/>
      <c r="Z3711" s="183"/>
    </row>
    <row r="3712" spans="2:26">
      <c r="B3712" s="191"/>
      <c r="D3712" s="183"/>
      <c r="I3712" s="183"/>
      <c r="J3712" s="183"/>
      <c r="L3712" s="183"/>
      <c r="M3712" s="183"/>
      <c r="N3712" s="183"/>
      <c r="O3712" s="183"/>
      <c r="P3712" s="183"/>
      <c r="Q3712" s="183"/>
      <c r="R3712" s="183"/>
      <c r="S3712" s="183"/>
      <c r="T3712" s="183"/>
      <c r="U3712" s="183"/>
      <c r="V3712" s="183"/>
      <c r="W3712" s="183"/>
      <c r="X3712" s="183"/>
      <c r="Y3712" s="183"/>
      <c r="Z3712" s="183"/>
    </row>
    <row r="3713" spans="2:26">
      <c r="B3713" s="191"/>
      <c r="D3713" s="183"/>
      <c r="I3713" s="183"/>
      <c r="J3713" s="183"/>
      <c r="L3713" s="183"/>
      <c r="M3713" s="183"/>
      <c r="N3713" s="183"/>
      <c r="O3713" s="183"/>
      <c r="P3713" s="183"/>
      <c r="Q3713" s="183"/>
      <c r="R3713" s="183"/>
      <c r="S3713" s="183"/>
      <c r="T3713" s="183"/>
      <c r="U3713" s="183"/>
      <c r="V3713" s="183"/>
      <c r="W3713" s="183"/>
      <c r="X3713" s="183"/>
      <c r="Y3713" s="183"/>
      <c r="Z3713" s="183"/>
    </row>
    <row r="3714" spans="2:26">
      <c r="B3714" s="191"/>
      <c r="D3714" s="183"/>
      <c r="I3714" s="183"/>
      <c r="J3714" s="183"/>
      <c r="L3714" s="183"/>
      <c r="M3714" s="183"/>
      <c r="N3714" s="183"/>
      <c r="O3714" s="183"/>
      <c r="P3714" s="183"/>
      <c r="Q3714" s="183"/>
      <c r="R3714" s="183"/>
      <c r="S3714" s="183"/>
      <c r="T3714" s="183"/>
      <c r="U3714" s="183"/>
      <c r="V3714" s="183"/>
      <c r="W3714" s="183"/>
      <c r="X3714" s="183"/>
      <c r="Y3714" s="183"/>
      <c r="Z3714" s="183"/>
    </row>
    <row r="3715" spans="2:26">
      <c r="B3715" s="191"/>
      <c r="D3715" s="183"/>
      <c r="I3715" s="183"/>
      <c r="J3715" s="183"/>
      <c r="L3715" s="183"/>
      <c r="M3715" s="183"/>
      <c r="N3715" s="183"/>
      <c r="O3715" s="183"/>
      <c r="P3715" s="183"/>
      <c r="Q3715" s="183"/>
      <c r="R3715" s="183"/>
      <c r="S3715" s="183"/>
      <c r="T3715" s="183"/>
      <c r="U3715" s="183"/>
      <c r="V3715" s="183"/>
      <c r="W3715" s="183"/>
      <c r="X3715" s="183"/>
      <c r="Y3715" s="183"/>
      <c r="Z3715" s="183"/>
    </row>
    <row r="3716" spans="2:26">
      <c r="B3716" s="191"/>
      <c r="D3716" s="183"/>
      <c r="I3716" s="183"/>
      <c r="J3716" s="183"/>
      <c r="L3716" s="183"/>
      <c r="M3716" s="183"/>
      <c r="N3716" s="183"/>
      <c r="O3716" s="183"/>
      <c r="P3716" s="183"/>
      <c r="Q3716" s="183"/>
      <c r="R3716" s="183"/>
      <c r="S3716" s="183"/>
      <c r="T3716" s="183"/>
      <c r="U3716" s="183"/>
      <c r="V3716" s="183"/>
      <c r="W3716" s="183"/>
      <c r="X3716" s="183"/>
      <c r="Y3716" s="183"/>
      <c r="Z3716" s="183"/>
    </row>
    <row r="3717" spans="2:26">
      <c r="B3717" s="191"/>
      <c r="D3717" s="183"/>
      <c r="I3717" s="183"/>
      <c r="J3717" s="183"/>
      <c r="L3717" s="183"/>
      <c r="M3717" s="183"/>
      <c r="N3717" s="183"/>
      <c r="O3717" s="183"/>
      <c r="P3717" s="183"/>
      <c r="Q3717" s="183"/>
      <c r="R3717" s="183"/>
      <c r="S3717" s="183"/>
      <c r="T3717" s="183"/>
      <c r="U3717" s="183"/>
      <c r="V3717" s="183"/>
      <c r="W3717" s="183"/>
      <c r="X3717" s="183"/>
      <c r="Y3717" s="183"/>
      <c r="Z3717" s="183"/>
    </row>
    <row r="3718" spans="2:26">
      <c r="B3718" s="191"/>
      <c r="D3718" s="183"/>
      <c r="I3718" s="183"/>
      <c r="J3718" s="183"/>
      <c r="L3718" s="183"/>
      <c r="M3718" s="183"/>
      <c r="N3718" s="183"/>
      <c r="O3718" s="183"/>
      <c r="P3718" s="183"/>
      <c r="Q3718" s="183"/>
      <c r="R3718" s="183"/>
      <c r="S3718" s="183"/>
      <c r="T3718" s="183"/>
      <c r="U3718" s="183"/>
      <c r="V3718" s="183"/>
      <c r="W3718" s="183"/>
      <c r="X3718" s="183"/>
      <c r="Y3718" s="183"/>
      <c r="Z3718" s="183"/>
    </row>
    <row r="3719" spans="2:26">
      <c r="B3719" s="191"/>
      <c r="D3719" s="183"/>
      <c r="I3719" s="183"/>
      <c r="J3719" s="183"/>
      <c r="L3719" s="183"/>
      <c r="M3719" s="183"/>
      <c r="N3719" s="183"/>
      <c r="O3719" s="183"/>
      <c r="P3719" s="183"/>
      <c r="Q3719" s="183"/>
      <c r="R3719" s="183"/>
      <c r="S3719" s="183"/>
      <c r="T3719" s="183"/>
      <c r="U3719" s="183"/>
      <c r="V3719" s="183"/>
      <c r="W3719" s="183"/>
      <c r="X3719" s="183"/>
      <c r="Y3719" s="183"/>
      <c r="Z3719" s="183"/>
    </row>
    <row r="3720" spans="2:26">
      <c r="B3720" s="191"/>
      <c r="D3720" s="183"/>
      <c r="I3720" s="183"/>
      <c r="J3720" s="183"/>
      <c r="L3720" s="183"/>
      <c r="M3720" s="183"/>
      <c r="N3720" s="183"/>
      <c r="O3720" s="183"/>
      <c r="P3720" s="183"/>
      <c r="Q3720" s="183"/>
      <c r="R3720" s="183"/>
      <c r="S3720" s="183"/>
      <c r="T3720" s="183"/>
      <c r="U3720" s="183"/>
      <c r="V3720" s="183"/>
      <c r="W3720" s="183"/>
      <c r="X3720" s="183"/>
      <c r="Y3720" s="183"/>
      <c r="Z3720" s="183"/>
    </row>
    <row r="3721" spans="2:26">
      <c r="B3721" s="191"/>
      <c r="D3721" s="183"/>
      <c r="I3721" s="183"/>
      <c r="J3721" s="183"/>
      <c r="L3721" s="183"/>
      <c r="M3721" s="183"/>
      <c r="N3721" s="183"/>
      <c r="O3721" s="183"/>
      <c r="P3721" s="183"/>
      <c r="Q3721" s="183"/>
      <c r="R3721" s="183"/>
      <c r="S3721" s="183"/>
      <c r="T3721" s="183"/>
      <c r="U3721" s="183"/>
      <c r="V3721" s="183"/>
      <c r="W3721" s="183"/>
      <c r="X3721" s="183"/>
      <c r="Y3721" s="183"/>
      <c r="Z3721" s="183"/>
    </row>
    <row r="3722" spans="2:26">
      <c r="B3722" s="191"/>
      <c r="D3722" s="183"/>
      <c r="I3722" s="183"/>
      <c r="J3722" s="183"/>
      <c r="L3722" s="183"/>
      <c r="M3722" s="183"/>
      <c r="N3722" s="183"/>
      <c r="O3722" s="183"/>
      <c r="P3722" s="183"/>
      <c r="Q3722" s="183"/>
      <c r="R3722" s="183"/>
      <c r="S3722" s="183"/>
      <c r="T3722" s="183"/>
      <c r="U3722" s="183"/>
      <c r="V3722" s="183"/>
      <c r="W3722" s="183"/>
      <c r="X3722" s="183"/>
      <c r="Y3722" s="183"/>
      <c r="Z3722" s="183"/>
    </row>
    <row r="3723" spans="2:26">
      <c r="B3723" s="191"/>
      <c r="D3723" s="183"/>
      <c r="I3723" s="183"/>
      <c r="J3723" s="183"/>
      <c r="L3723" s="183"/>
      <c r="M3723" s="183"/>
      <c r="N3723" s="183"/>
      <c r="O3723" s="183"/>
      <c r="P3723" s="183"/>
      <c r="Q3723" s="183"/>
      <c r="R3723" s="183"/>
      <c r="S3723" s="183"/>
      <c r="T3723" s="183"/>
      <c r="U3723" s="183"/>
      <c r="V3723" s="183"/>
      <c r="W3723" s="183"/>
      <c r="X3723" s="183"/>
      <c r="Y3723" s="183"/>
      <c r="Z3723" s="183"/>
    </row>
    <row r="3724" spans="2:26">
      <c r="B3724" s="191"/>
      <c r="D3724" s="183"/>
      <c r="I3724" s="183"/>
      <c r="J3724" s="183"/>
      <c r="L3724" s="183"/>
      <c r="M3724" s="183"/>
      <c r="N3724" s="183"/>
      <c r="O3724" s="183"/>
      <c r="P3724" s="183"/>
      <c r="Q3724" s="183"/>
      <c r="R3724" s="183"/>
      <c r="S3724" s="183"/>
      <c r="T3724" s="183"/>
      <c r="U3724" s="183"/>
      <c r="V3724" s="183"/>
      <c r="W3724" s="183"/>
      <c r="X3724" s="183"/>
      <c r="Y3724" s="183"/>
      <c r="Z3724" s="183"/>
    </row>
    <row r="3725" spans="2:26">
      <c r="B3725" s="191"/>
      <c r="D3725" s="183"/>
      <c r="I3725" s="183"/>
      <c r="J3725" s="183"/>
      <c r="L3725" s="183"/>
      <c r="M3725" s="183"/>
      <c r="N3725" s="183"/>
      <c r="O3725" s="183"/>
      <c r="P3725" s="183"/>
      <c r="Q3725" s="183"/>
      <c r="R3725" s="183"/>
      <c r="S3725" s="183"/>
      <c r="T3725" s="183"/>
      <c r="U3725" s="183"/>
      <c r="V3725" s="183"/>
      <c r="W3725" s="183"/>
      <c r="X3725" s="183"/>
      <c r="Y3725" s="183"/>
      <c r="Z3725" s="183"/>
    </row>
    <row r="3726" spans="2:26">
      <c r="B3726" s="191"/>
      <c r="D3726" s="183"/>
      <c r="I3726" s="183"/>
      <c r="J3726" s="183"/>
      <c r="L3726" s="183"/>
      <c r="M3726" s="183"/>
      <c r="N3726" s="183"/>
      <c r="O3726" s="183"/>
      <c r="P3726" s="183"/>
      <c r="Q3726" s="183"/>
      <c r="R3726" s="183"/>
      <c r="S3726" s="183"/>
      <c r="T3726" s="183"/>
      <c r="U3726" s="183"/>
      <c r="V3726" s="183"/>
      <c r="W3726" s="183"/>
      <c r="X3726" s="183"/>
      <c r="Y3726" s="183"/>
      <c r="Z3726" s="183"/>
    </row>
    <row r="3727" spans="2:26">
      <c r="B3727" s="191"/>
      <c r="D3727" s="183"/>
      <c r="I3727" s="183"/>
      <c r="J3727" s="183"/>
      <c r="L3727" s="183"/>
      <c r="M3727" s="183"/>
      <c r="N3727" s="183"/>
      <c r="O3727" s="183"/>
      <c r="P3727" s="183"/>
      <c r="Q3727" s="183"/>
      <c r="R3727" s="183"/>
      <c r="S3727" s="183"/>
      <c r="T3727" s="183"/>
      <c r="U3727" s="183"/>
      <c r="V3727" s="183"/>
      <c r="W3727" s="183"/>
      <c r="X3727" s="183"/>
      <c r="Y3727" s="183"/>
      <c r="Z3727" s="183"/>
    </row>
    <row r="3728" spans="2:26">
      <c r="B3728" s="191"/>
      <c r="D3728" s="183"/>
      <c r="I3728" s="183"/>
      <c r="J3728" s="183"/>
      <c r="L3728" s="183"/>
      <c r="M3728" s="183"/>
      <c r="N3728" s="183"/>
      <c r="O3728" s="183"/>
      <c r="P3728" s="183"/>
      <c r="Q3728" s="183"/>
      <c r="R3728" s="183"/>
      <c r="S3728" s="183"/>
      <c r="T3728" s="183"/>
      <c r="U3728" s="183"/>
      <c r="V3728" s="183"/>
      <c r="W3728" s="183"/>
      <c r="X3728" s="183"/>
      <c r="Y3728" s="183"/>
      <c r="Z3728" s="183"/>
    </row>
    <row r="3729" spans="2:26">
      <c r="B3729" s="191"/>
      <c r="D3729" s="183"/>
      <c r="I3729" s="183"/>
      <c r="J3729" s="183"/>
      <c r="L3729" s="183"/>
      <c r="M3729" s="183"/>
      <c r="N3729" s="183"/>
      <c r="O3729" s="183"/>
      <c r="P3729" s="183"/>
      <c r="Q3729" s="183"/>
      <c r="R3729" s="183"/>
      <c r="S3729" s="183"/>
      <c r="T3729" s="183"/>
      <c r="U3729" s="183"/>
      <c r="V3729" s="183"/>
      <c r="W3729" s="183"/>
      <c r="X3729" s="183"/>
      <c r="Y3729" s="183"/>
      <c r="Z3729" s="183"/>
    </row>
    <row r="3730" spans="2:26">
      <c r="B3730" s="191"/>
      <c r="D3730" s="183"/>
      <c r="I3730" s="183"/>
      <c r="J3730" s="183"/>
      <c r="L3730" s="183"/>
      <c r="M3730" s="183"/>
      <c r="N3730" s="183"/>
      <c r="O3730" s="183"/>
      <c r="P3730" s="183"/>
      <c r="Q3730" s="183"/>
      <c r="R3730" s="183"/>
      <c r="S3730" s="183"/>
      <c r="T3730" s="183"/>
      <c r="U3730" s="183"/>
      <c r="V3730" s="183"/>
      <c r="W3730" s="183"/>
      <c r="X3730" s="183"/>
      <c r="Y3730" s="183"/>
      <c r="Z3730" s="183"/>
    </row>
    <row r="3731" spans="2:26">
      <c r="B3731" s="191"/>
      <c r="D3731" s="183"/>
      <c r="I3731" s="183"/>
      <c r="J3731" s="183"/>
      <c r="L3731" s="183"/>
      <c r="M3731" s="183"/>
      <c r="N3731" s="183"/>
      <c r="O3731" s="183"/>
      <c r="P3731" s="183"/>
      <c r="Q3731" s="183"/>
      <c r="R3731" s="183"/>
      <c r="S3731" s="183"/>
      <c r="T3731" s="183"/>
      <c r="U3731" s="183"/>
      <c r="V3731" s="183"/>
      <c r="W3731" s="183"/>
      <c r="X3731" s="183"/>
      <c r="Y3731" s="183"/>
      <c r="Z3731" s="183"/>
    </row>
    <row r="3732" spans="2:26">
      <c r="B3732" s="191"/>
      <c r="D3732" s="183"/>
      <c r="I3732" s="183"/>
      <c r="J3732" s="183"/>
      <c r="L3732" s="183"/>
      <c r="M3732" s="183"/>
      <c r="N3732" s="183"/>
      <c r="O3732" s="183"/>
      <c r="P3732" s="183"/>
      <c r="Q3732" s="183"/>
      <c r="R3732" s="183"/>
      <c r="S3732" s="183"/>
      <c r="T3732" s="183"/>
      <c r="U3732" s="183"/>
      <c r="V3732" s="183"/>
      <c r="W3732" s="183"/>
      <c r="X3732" s="183"/>
      <c r="Y3732" s="183"/>
      <c r="Z3732" s="183"/>
    </row>
    <row r="3733" spans="2:26">
      <c r="B3733" s="191"/>
      <c r="D3733" s="183"/>
      <c r="I3733" s="183"/>
      <c r="J3733" s="183"/>
      <c r="L3733" s="183"/>
      <c r="M3733" s="183"/>
      <c r="N3733" s="183"/>
      <c r="O3733" s="183"/>
      <c r="P3733" s="183"/>
      <c r="Q3733" s="183"/>
      <c r="R3733" s="183"/>
      <c r="S3733" s="183"/>
      <c r="T3733" s="183"/>
      <c r="U3733" s="183"/>
      <c r="V3733" s="183"/>
      <c r="W3733" s="183"/>
      <c r="X3733" s="183"/>
      <c r="Y3733" s="183"/>
      <c r="Z3733" s="183"/>
    </row>
    <row r="3734" spans="2:26">
      <c r="B3734" s="191"/>
      <c r="D3734" s="183"/>
      <c r="I3734" s="183"/>
      <c r="J3734" s="183"/>
      <c r="L3734" s="183"/>
      <c r="M3734" s="183"/>
      <c r="N3734" s="183"/>
      <c r="O3734" s="183"/>
      <c r="P3734" s="183"/>
      <c r="Q3734" s="183"/>
      <c r="R3734" s="183"/>
      <c r="S3734" s="183"/>
      <c r="T3734" s="183"/>
      <c r="U3734" s="183"/>
      <c r="V3734" s="183"/>
      <c r="W3734" s="183"/>
      <c r="X3734" s="183"/>
      <c r="Y3734" s="183"/>
      <c r="Z3734" s="183"/>
    </row>
    <row r="3735" spans="2:26">
      <c r="B3735" s="191"/>
      <c r="D3735" s="183"/>
      <c r="I3735" s="183"/>
      <c r="J3735" s="183"/>
      <c r="L3735" s="183"/>
      <c r="M3735" s="183"/>
      <c r="N3735" s="183"/>
      <c r="O3735" s="183"/>
      <c r="P3735" s="183"/>
      <c r="Q3735" s="183"/>
      <c r="R3735" s="183"/>
      <c r="S3735" s="183"/>
      <c r="T3735" s="183"/>
      <c r="U3735" s="183"/>
      <c r="V3735" s="183"/>
      <c r="W3735" s="183"/>
      <c r="X3735" s="183"/>
      <c r="Y3735" s="183"/>
      <c r="Z3735" s="183"/>
    </row>
    <row r="3736" spans="2:26">
      <c r="B3736" s="191"/>
      <c r="D3736" s="183"/>
      <c r="I3736" s="183"/>
      <c r="J3736" s="183"/>
      <c r="L3736" s="183"/>
      <c r="M3736" s="183"/>
      <c r="N3736" s="183"/>
      <c r="O3736" s="183"/>
      <c r="P3736" s="183"/>
      <c r="Q3736" s="183"/>
      <c r="R3736" s="183"/>
      <c r="S3736" s="183"/>
      <c r="T3736" s="183"/>
      <c r="U3736" s="183"/>
      <c r="V3736" s="183"/>
      <c r="W3736" s="183"/>
      <c r="X3736" s="183"/>
      <c r="Y3736" s="183"/>
      <c r="Z3736" s="183"/>
    </row>
    <row r="3737" spans="2:26">
      <c r="B3737" s="191"/>
      <c r="D3737" s="183"/>
      <c r="I3737" s="183"/>
      <c r="J3737" s="183"/>
      <c r="L3737" s="183"/>
      <c r="M3737" s="183"/>
      <c r="N3737" s="183"/>
      <c r="O3737" s="183"/>
      <c r="P3737" s="183"/>
      <c r="Q3737" s="183"/>
      <c r="R3737" s="183"/>
      <c r="S3737" s="183"/>
      <c r="T3737" s="183"/>
      <c r="U3737" s="183"/>
      <c r="V3737" s="183"/>
      <c r="W3737" s="183"/>
      <c r="X3737" s="183"/>
      <c r="Y3737" s="183"/>
      <c r="Z3737" s="183"/>
    </row>
    <row r="3738" spans="2:26">
      <c r="B3738" s="191"/>
      <c r="D3738" s="183"/>
      <c r="I3738" s="183"/>
      <c r="J3738" s="183"/>
      <c r="L3738" s="183"/>
      <c r="M3738" s="183"/>
      <c r="N3738" s="183"/>
      <c r="O3738" s="183"/>
      <c r="P3738" s="183"/>
      <c r="Q3738" s="183"/>
      <c r="R3738" s="183"/>
      <c r="S3738" s="183"/>
      <c r="T3738" s="183"/>
      <c r="U3738" s="183"/>
      <c r="V3738" s="183"/>
      <c r="W3738" s="183"/>
      <c r="X3738" s="183"/>
      <c r="Y3738" s="183"/>
      <c r="Z3738" s="183"/>
    </row>
    <row r="3739" spans="2:26">
      <c r="B3739" s="191"/>
      <c r="D3739" s="183"/>
      <c r="I3739" s="183"/>
      <c r="J3739" s="183"/>
      <c r="L3739" s="183"/>
      <c r="M3739" s="183"/>
      <c r="N3739" s="183"/>
      <c r="O3739" s="183"/>
      <c r="P3739" s="183"/>
      <c r="Q3739" s="183"/>
      <c r="R3739" s="183"/>
      <c r="S3739" s="183"/>
      <c r="T3739" s="183"/>
      <c r="U3739" s="183"/>
      <c r="V3739" s="183"/>
      <c r="W3739" s="183"/>
      <c r="X3739" s="183"/>
      <c r="Y3739" s="183"/>
      <c r="Z3739" s="183"/>
    </row>
    <row r="3740" spans="2:26">
      <c r="B3740" s="191"/>
      <c r="D3740" s="183"/>
      <c r="I3740" s="183"/>
      <c r="J3740" s="183"/>
      <c r="L3740" s="183"/>
      <c r="M3740" s="183"/>
      <c r="N3740" s="183"/>
      <c r="O3740" s="183"/>
      <c r="P3740" s="183"/>
      <c r="Q3740" s="183"/>
      <c r="R3740" s="183"/>
      <c r="S3740" s="183"/>
      <c r="T3740" s="183"/>
      <c r="U3740" s="183"/>
      <c r="V3740" s="183"/>
      <c r="W3740" s="183"/>
      <c r="X3740" s="183"/>
      <c r="Y3740" s="183"/>
      <c r="Z3740" s="183"/>
    </row>
    <row r="3741" spans="2:26">
      <c r="B3741" s="191"/>
      <c r="D3741" s="183"/>
      <c r="I3741" s="183"/>
      <c r="J3741" s="183"/>
      <c r="L3741" s="183"/>
      <c r="M3741" s="183"/>
      <c r="N3741" s="183"/>
      <c r="O3741" s="183"/>
      <c r="P3741" s="183"/>
      <c r="Q3741" s="183"/>
      <c r="R3741" s="183"/>
      <c r="S3741" s="183"/>
      <c r="T3741" s="183"/>
      <c r="U3741" s="183"/>
      <c r="V3741" s="183"/>
      <c r="W3741" s="183"/>
      <c r="X3741" s="183"/>
      <c r="Y3741" s="183"/>
      <c r="Z3741" s="183"/>
    </row>
    <row r="3742" spans="2:26">
      <c r="B3742" s="191"/>
      <c r="D3742" s="183"/>
      <c r="I3742" s="183"/>
      <c r="J3742" s="183"/>
      <c r="L3742" s="183"/>
      <c r="M3742" s="183"/>
      <c r="N3742" s="183"/>
      <c r="O3742" s="183"/>
      <c r="P3742" s="183"/>
      <c r="Q3742" s="183"/>
      <c r="R3742" s="183"/>
      <c r="S3742" s="183"/>
      <c r="T3742" s="183"/>
      <c r="U3742" s="183"/>
      <c r="V3742" s="183"/>
      <c r="W3742" s="183"/>
      <c r="X3742" s="183"/>
      <c r="Y3742" s="183"/>
      <c r="Z3742" s="183"/>
    </row>
    <row r="3743" spans="2:26">
      <c r="B3743" s="191"/>
      <c r="D3743" s="183"/>
      <c r="I3743" s="183"/>
      <c r="J3743" s="183"/>
      <c r="L3743" s="183"/>
      <c r="M3743" s="183"/>
      <c r="N3743" s="183"/>
      <c r="O3743" s="183"/>
      <c r="P3743" s="183"/>
      <c r="Q3743" s="183"/>
      <c r="R3743" s="183"/>
      <c r="S3743" s="183"/>
      <c r="T3743" s="183"/>
      <c r="U3743" s="183"/>
      <c r="V3743" s="183"/>
      <c r="W3743" s="183"/>
      <c r="X3743" s="183"/>
      <c r="Y3743" s="183"/>
      <c r="Z3743" s="183"/>
    </row>
    <row r="3744" spans="2:26">
      <c r="B3744" s="191"/>
      <c r="D3744" s="183"/>
      <c r="I3744" s="183"/>
      <c r="J3744" s="183"/>
      <c r="L3744" s="183"/>
      <c r="M3744" s="183"/>
      <c r="N3744" s="183"/>
      <c r="O3744" s="183"/>
      <c r="P3744" s="183"/>
      <c r="Q3744" s="183"/>
      <c r="R3744" s="183"/>
      <c r="S3744" s="183"/>
      <c r="T3744" s="183"/>
      <c r="U3744" s="183"/>
      <c r="V3744" s="183"/>
      <c r="W3744" s="183"/>
      <c r="X3744" s="183"/>
      <c r="Y3744" s="183"/>
      <c r="Z3744" s="183"/>
    </row>
    <row r="3745" spans="2:26">
      <c r="B3745" s="191"/>
      <c r="D3745" s="183"/>
      <c r="I3745" s="183"/>
      <c r="J3745" s="183"/>
      <c r="L3745" s="183"/>
      <c r="M3745" s="183"/>
      <c r="N3745" s="183"/>
      <c r="O3745" s="183"/>
      <c r="P3745" s="183"/>
      <c r="Q3745" s="183"/>
      <c r="R3745" s="183"/>
      <c r="S3745" s="183"/>
      <c r="T3745" s="183"/>
      <c r="U3745" s="183"/>
      <c r="V3745" s="183"/>
      <c r="W3745" s="183"/>
      <c r="X3745" s="183"/>
      <c r="Y3745" s="183"/>
      <c r="Z3745" s="183"/>
    </row>
    <row r="3746" spans="2:26">
      <c r="B3746" s="191"/>
      <c r="D3746" s="183"/>
      <c r="I3746" s="183"/>
      <c r="J3746" s="183"/>
      <c r="L3746" s="183"/>
      <c r="M3746" s="183"/>
      <c r="N3746" s="183"/>
      <c r="O3746" s="183"/>
      <c r="P3746" s="183"/>
      <c r="Q3746" s="183"/>
      <c r="R3746" s="183"/>
      <c r="S3746" s="183"/>
      <c r="T3746" s="183"/>
      <c r="U3746" s="183"/>
      <c r="V3746" s="183"/>
      <c r="W3746" s="183"/>
      <c r="X3746" s="183"/>
      <c r="Y3746" s="183"/>
      <c r="Z3746" s="183"/>
    </row>
    <row r="3747" spans="2:26">
      <c r="B3747" s="191"/>
      <c r="D3747" s="183"/>
      <c r="I3747" s="183"/>
      <c r="J3747" s="183"/>
      <c r="L3747" s="183"/>
      <c r="M3747" s="183"/>
      <c r="N3747" s="183"/>
      <c r="O3747" s="183"/>
      <c r="P3747" s="183"/>
      <c r="Q3747" s="183"/>
      <c r="R3747" s="183"/>
      <c r="S3747" s="183"/>
      <c r="T3747" s="183"/>
      <c r="U3747" s="183"/>
      <c r="V3747" s="183"/>
      <c r="W3747" s="183"/>
      <c r="X3747" s="183"/>
      <c r="Y3747" s="183"/>
      <c r="Z3747" s="183"/>
    </row>
    <row r="3748" spans="2:26">
      <c r="B3748" s="191"/>
      <c r="D3748" s="183"/>
      <c r="I3748" s="183"/>
      <c r="J3748" s="183"/>
      <c r="L3748" s="183"/>
      <c r="M3748" s="183"/>
      <c r="N3748" s="183"/>
      <c r="O3748" s="183"/>
      <c r="P3748" s="183"/>
      <c r="Q3748" s="183"/>
      <c r="R3748" s="183"/>
      <c r="S3748" s="183"/>
      <c r="T3748" s="183"/>
      <c r="U3748" s="183"/>
      <c r="V3748" s="183"/>
      <c r="W3748" s="183"/>
      <c r="X3748" s="183"/>
      <c r="Y3748" s="183"/>
      <c r="Z3748" s="183"/>
    </row>
    <row r="3749" spans="2:26">
      <c r="B3749" s="191"/>
      <c r="D3749" s="183"/>
      <c r="I3749" s="183"/>
      <c r="J3749" s="183"/>
      <c r="L3749" s="183"/>
      <c r="M3749" s="183"/>
      <c r="N3749" s="183"/>
      <c r="O3749" s="183"/>
      <c r="P3749" s="183"/>
      <c r="Q3749" s="183"/>
      <c r="R3749" s="183"/>
      <c r="S3749" s="183"/>
      <c r="T3749" s="183"/>
      <c r="U3749" s="183"/>
      <c r="V3749" s="183"/>
      <c r="W3749" s="183"/>
      <c r="X3749" s="183"/>
      <c r="Y3749" s="183"/>
      <c r="Z3749" s="183"/>
    </row>
    <row r="3750" spans="2:26">
      <c r="B3750" s="191"/>
      <c r="D3750" s="183"/>
      <c r="I3750" s="183"/>
      <c r="J3750" s="183"/>
      <c r="L3750" s="183"/>
      <c r="M3750" s="183"/>
      <c r="N3750" s="183"/>
      <c r="O3750" s="183"/>
      <c r="P3750" s="183"/>
      <c r="Q3750" s="183"/>
      <c r="R3750" s="183"/>
      <c r="S3750" s="183"/>
      <c r="T3750" s="183"/>
      <c r="U3750" s="183"/>
      <c r="V3750" s="183"/>
      <c r="W3750" s="183"/>
      <c r="X3750" s="183"/>
      <c r="Y3750" s="183"/>
      <c r="Z3750" s="183"/>
    </row>
    <row r="3751" spans="2:26">
      <c r="B3751" s="191"/>
      <c r="D3751" s="183"/>
      <c r="I3751" s="183"/>
      <c r="J3751" s="183"/>
      <c r="L3751" s="183"/>
      <c r="M3751" s="183"/>
      <c r="N3751" s="183"/>
      <c r="O3751" s="183"/>
      <c r="P3751" s="183"/>
      <c r="Q3751" s="183"/>
      <c r="R3751" s="183"/>
      <c r="S3751" s="183"/>
      <c r="T3751" s="183"/>
      <c r="U3751" s="183"/>
      <c r="V3751" s="183"/>
      <c r="W3751" s="183"/>
      <c r="X3751" s="183"/>
      <c r="Y3751" s="183"/>
      <c r="Z3751" s="183"/>
    </row>
    <row r="3752" spans="2:26">
      <c r="B3752" s="191"/>
      <c r="D3752" s="183"/>
      <c r="I3752" s="183"/>
      <c r="J3752" s="183"/>
      <c r="L3752" s="183"/>
      <c r="M3752" s="183"/>
      <c r="N3752" s="183"/>
      <c r="O3752" s="183"/>
      <c r="P3752" s="183"/>
      <c r="Q3752" s="183"/>
      <c r="R3752" s="183"/>
      <c r="S3752" s="183"/>
      <c r="T3752" s="183"/>
      <c r="U3752" s="183"/>
      <c r="V3752" s="183"/>
      <c r="W3752" s="183"/>
      <c r="X3752" s="183"/>
      <c r="Y3752" s="183"/>
      <c r="Z3752" s="183"/>
    </row>
    <row r="3753" spans="2:26">
      <c r="B3753" s="191"/>
      <c r="D3753" s="183"/>
      <c r="I3753" s="183"/>
      <c r="J3753" s="183"/>
      <c r="L3753" s="183"/>
      <c r="M3753" s="183"/>
      <c r="N3753" s="183"/>
      <c r="O3753" s="183"/>
      <c r="P3753" s="183"/>
      <c r="Q3753" s="183"/>
      <c r="R3753" s="183"/>
      <c r="S3753" s="183"/>
      <c r="T3753" s="183"/>
      <c r="U3753" s="183"/>
      <c r="V3753" s="183"/>
      <c r="W3753" s="183"/>
      <c r="X3753" s="183"/>
      <c r="Y3753" s="183"/>
      <c r="Z3753" s="183"/>
    </row>
    <row r="3754" spans="2:26">
      <c r="B3754" s="191"/>
      <c r="D3754" s="183"/>
      <c r="I3754" s="183"/>
      <c r="J3754" s="183"/>
      <c r="L3754" s="183"/>
      <c r="M3754" s="183"/>
      <c r="N3754" s="183"/>
      <c r="O3754" s="183"/>
      <c r="P3754" s="183"/>
      <c r="Q3754" s="183"/>
      <c r="R3754" s="183"/>
      <c r="S3754" s="183"/>
      <c r="T3754" s="183"/>
      <c r="U3754" s="183"/>
      <c r="V3754" s="183"/>
      <c r="W3754" s="183"/>
      <c r="X3754" s="183"/>
      <c r="Y3754" s="183"/>
      <c r="Z3754" s="183"/>
    </row>
  </sheetData>
  <mergeCells count="7">
    <mergeCell ref="F2022:I2023"/>
    <mergeCell ref="Q2024:Z2024"/>
    <mergeCell ref="A1:A5"/>
    <mergeCell ref="F4:I5"/>
    <mergeCell ref="N1987:N1996"/>
    <mergeCell ref="C1998:C1999"/>
    <mergeCell ref="N1998:N1999"/>
  </mergeCells>
  <phoneticPr fontId="59" type="noConversion"/>
  <printOptions gridLines="1"/>
  <pageMargins left="0.19685039370078741" right="0.19685039370078741" top="0.59055118110236227" bottom="0.39370078740157483" header="0.11811023622047245" footer="0.19685039370078741"/>
  <pageSetup paperSize="9" scale="39" fitToHeight="0" orientation="landscape" horizontalDpi="4294967293" r:id="rId1"/>
  <headerFooter alignWithMargins="0">
    <oddHeader>&amp;LIng. Montali Bruno</oddHeader>
    <oddFooter>&amp;L&amp;F[&amp;A]&amp;C&amp;P/&amp;N&amp;R&amp;D-&amp;T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workbookViewId="0">
      <selection activeCell="F189" sqref="F189"/>
    </sheetView>
  </sheetViews>
  <sheetFormatPr defaultRowHeight="12.75"/>
  <cols>
    <col min="1" max="1" width="33.28515625" customWidth="1"/>
    <col min="2" max="2" width="19.140625" customWidth="1"/>
    <col min="3" max="3" width="10" bestFit="1" customWidth="1"/>
    <col min="4" max="4" width="13.140625" customWidth="1"/>
    <col min="5" max="5" width="11.28515625" customWidth="1"/>
    <col min="6" max="6" width="17.42578125" customWidth="1"/>
    <col min="7" max="7" width="12.42578125" customWidth="1"/>
    <col min="8" max="8" width="14.5703125" bestFit="1" customWidth="1"/>
    <col min="9" max="9" width="12.7109375" bestFit="1" customWidth="1"/>
    <col min="10" max="10" width="11" bestFit="1" customWidth="1"/>
    <col min="11" max="11" width="12" bestFit="1" customWidth="1"/>
    <col min="12" max="12" width="11.5703125" bestFit="1" customWidth="1"/>
  </cols>
  <sheetData>
    <row r="1" spans="1:9">
      <c r="A1" s="4" t="s">
        <v>470</v>
      </c>
      <c r="B1" s="5"/>
      <c r="C1" s="5"/>
      <c r="D1" s="5"/>
      <c r="E1" s="5"/>
      <c r="F1" s="5"/>
      <c r="G1" s="5"/>
      <c r="H1" s="5"/>
    </row>
    <row r="2" spans="1:9">
      <c r="A2" s="6" t="s">
        <v>471</v>
      </c>
      <c r="B2" s="7" t="s">
        <v>1940</v>
      </c>
      <c r="C2" s="8"/>
      <c r="D2" s="8"/>
      <c r="E2" s="8"/>
      <c r="F2" s="9"/>
      <c r="G2" s="10"/>
      <c r="H2" s="11"/>
    </row>
    <row r="3" spans="1:9">
      <c r="A3" s="472"/>
      <c r="B3" s="473" t="s">
        <v>2386</v>
      </c>
      <c r="C3" s="8"/>
      <c r="D3" s="8"/>
      <c r="E3" s="8"/>
      <c r="F3" s="8"/>
      <c r="G3" s="8"/>
      <c r="H3" s="8"/>
    </row>
    <row r="4" spans="1:9" ht="15.75">
      <c r="A4" s="469" t="s">
        <v>472</v>
      </c>
      <c r="B4" s="1"/>
      <c r="E4" s="1"/>
      <c r="F4" s="470"/>
      <c r="G4" s="471"/>
      <c r="H4" s="35"/>
    </row>
    <row r="5" spans="1:9">
      <c r="A5" s="12" t="s">
        <v>473</v>
      </c>
      <c r="B5" s="2"/>
      <c r="E5" s="2"/>
      <c r="F5" s="615">
        <f>('Wolf ridotto 2013'!I1979+'Wolf ridotto 2013'!N2000+'Wolf ridotto 2013'!I2009)-'Wolf ridotto 2013'!N1998</f>
        <v>1305230.0520000001</v>
      </c>
      <c r="G5" s="3" t="s">
        <v>474</v>
      </c>
      <c r="H5" s="17"/>
      <c r="I5" s="468" t="s">
        <v>552</v>
      </c>
    </row>
    <row r="6" spans="1:9">
      <c r="A6" s="12" t="s">
        <v>475</v>
      </c>
      <c r="B6" s="2"/>
      <c r="E6" s="2"/>
      <c r="F6" s="18" t="s">
        <v>476</v>
      </c>
      <c r="G6" s="3" t="s">
        <v>474</v>
      </c>
      <c r="H6" s="19"/>
      <c r="I6" s="468"/>
    </row>
    <row r="7" spans="1:9">
      <c r="A7" s="12" t="s">
        <v>477</v>
      </c>
      <c r="B7" s="2"/>
      <c r="E7" s="2"/>
      <c r="F7" s="20" t="s">
        <v>478</v>
      </c>
      <c r="G7" s="3" t="s">
        <v>474</v>
      </c>
      <c r="H7" s="21"/>
    </row>
    <row r="8" spans="1:9">
      <c r="A8" s="12" t="s">
        <v>479</v>
      </c>
      <c r="B8" s="2"/>
      <c r="E8" s="2"/>
      <c r="F8" s="687">
        <v>1500000</v>
      </c>
      <c r="G8" s="3" t="s">
        <v>474</v>
      </c>
      <c r="H8" s="21"/>
    </row>
    <row r="9" spans="1:9">
      <c r="A9" s="12" t="s">
        <v>480</v>
      </c>
      <c r="B9" s="2"/>
      <c r="C9" s="2"/>
      <c r="D9" s="2"/>
      <c r="E9" s="2"/>
      <c r="F9" s="687">
        <v>2000000</v>
      </c>
      <c r="G9" s="3" t="s">
        <v>474</v>
      </c>
      <c r="H9" s="21"/>
    </row>
    <row r="10" spans="1:9">
      <c r="A10" s="12" t="s">
        <v>481</v>
      </c>
      <c r="B10" s="2"/>
      <c r="C10" s="2"/>
      <c r="D10" s="2"/>
      <c r="E10" s="2"/>
      <c r="F10" s="688">
        <v>4.694</v>
      </c>
      <c r="G10" s="3" t="s">
        <v>474</v>
      </c>
      <c r="H10" s="21"/>
    </row>
    <row r="11" spans="1:9">
      <c r="A11" s="12" t="s">
        <v>482</v>
      </c>
      <c r="B11" s="2"/>
      <c r="C11" s="2"/>
      <c r="D11" s="2"/>
      <c r="E11" s="2"/>
      <c r="F11" s="688">
        <v>4.4565999999999999</v>
      </c>
      <c r="G11" s="3" t="s">
        <v>474</v>
      </c>
      <c r="H11" s="21"/>
    </row>
    <row r="12" spans="1:9">
      <c r="A12" s="24" t="s">
        <v>483</v>
      </c>
      <c r="B12" s="2"/>
      <c r="C12" s="25" t="s">
        <v>484</v>
      </c>
      <c r="D12" s="2"/>
      <c r="E12" s="2"/>
      <c r="F12" s="26">
        <f>SpeseTecniche!F12</f>
        <v>4.5871661277686</v>
      </c>
      <c r="G12" s="27"/>
      <c r="H12" s="21"/>
    </row>
    <row r="13" spans="1:9" ht="15.75">
      <c r="A13" s="28" t="s">
        <v>485</v>
      </c>
      <c r="B13" s="13"/>
      <c r="C13" s="5"/>
      <c r="D13" s="5"/>
      <c r="E13" s="5"/>
      <c r="F13" s="29">
        <f>F5</f>
        <v>1305230.0520000001</v>
      </c>
      <c r="G13" s="3"/>
      <c r="H13" s="21"/>
    </row>
    <row r="14" spans="1:9">
      <c r="A14" s="30" t="s">
        <v>486</v>
      </c>
      <c r="B14" s="1" t="s">
        <v>487</v>
      </c>
      <c r="C14" s="31" t="s">
        <v>488</v>
      </c>
      <c r="D14" s="2"/>
      <c r="E14" s="2"/>
      <c r="F14" s="32">
        <f>0.07+0.01</f>
        <v>0.08</v>
      </c>
      <c r="G14" s="3" t="s">
        <v>474</v>
      </c>
      <c r="H14" s="21"/>
    </row>
    <row r="15" spans="1:9">
      <c r="A15" s="30" t="s">
        <v>489</v>
      </c>
      <c r="B15" s="1"/>
      <c r="C15" s="2"/>
      <c r="D15" s="2"/>
      <c r="E15" s="2"/>
      <c r="F15" s="29">
        <f>F13*F12/100*F14</f>
        <v>4789.8456667840392</v>
      </c>
      <c r="G15" s="3"/>
      <c r="H15" s="21"/>
    </row>
    <row r="16" spans="1:9" hidden="1">
      <c r="A16" s="30" t="s">
        <v>490</v>
      </c>
      <c r="B16" s="1"/>
      <c r="C16" s="2"/>
      <c r="D16" s="2"/>
      <c r="E16" s="2"/>
      <c r="F16" s="33">
        <v>0</v>
      </c>
      <c r="G16" s="3" t="s">
        <v>474</v>
      </c>
      <c r="H16" s="21" t="s">
        <v>491</v>
      </c>
    </row>
    <row r="17" spans="1:8" hidden="1">
      <c r="A17" s="30" t="s">
        <v>492</v>
      </c>
      <c r="B17" s="1"/>
      <c r="C17" s="2"/>
      <c r="D17" s="2"/>
      <c r="E17" s="2"/>
      <c r="F17" s="29">
        <f>F15*(1+F16/100)</f>
        <v>4789.8456667840392</v>
      </c>
      <c r="G17" s="3"/>
      <c r="H17" s="21"/>
    </row>
    <row r="18" spans="1:8" hidden="1">
      <c r="A18" s="30"/>
      <c r="B18" s="1"/>
      <c r="C18" s="2"/>
      <c r="D18" s="2"/>
      <c r="E18" s="2"/>
      <c r="F18" s="34"/>
      <c r="G18" s="3"/>
      <c r="H18" s="35"/>
    </row>
    <row r="19" spans="1:8" hidden="1">
      <c r="A19" s="36" t="s">
        <v>605</v>
      </c>
      <c r="B19" s="37"/>
      <c r="C19" s="38"/>
      <c r="D19" s="38"/>
      <c r="E19" s="38"/>
      <c r="F19" s="39">
        <v>0</v>
      </c>
      <c r="G19" s="3" t="s">
        <v>474</v>
      </c>
      <c r="H19" s="17"/>
    </row>
    <row r="20" spans="1:8" hidden="1">
      <c r="A20" s="30" t="s">
        <v>606</v>
      </c>
      <c r="B20" s="1"/>
      <c r="C20" s="2"/>
      <c r="D20" s="2"/>
      <c r="E20" s="2"/>
      <c r="F20" s="39"/>
      <c r="G20" s="3"/>
      <c r="H20" s="21"/>
    </row>
    <row r="21" spans="1:8" hidden="1">
      <c r="A21" s="30" t="s">
        <v>607</v>
      </c>
      <c r="B21" s="1"/>
      <c r="C21" s="2"/>
      <c r="D21" s="2"/>
      <c r="E21" s="2"/>
      <c r="F21" s="39">
        <f>F19-F20</f>
        <v>0</v>
      </c>
      <c r="G21" s="3"/>
      <c r="H21" s="21"/>
    </row>
    <row r="22" spans="1:8" hidden="1">
      <c r="A22" s="30" t="s">
        <v>608</v>
      </c>
      <c r="B22" s="1"/>
      <c r="C22" s="2"/>
      <c r="D22" s="2"/>
      <c r="E22" s="2"/>
      <c r="F22" s="39">
        <f>F21*0.02</f>
        <v>0</v>
      </c>
      <c r="G22" s="3"/>
      <c r="H22" s="21"/>
    </row>
    <row r="23" spans="1:8" hidden="1">
      <c r="A23" s="30" t="s">
        <v>609</v>
      </c>
      <c r="B23" s="1"/>
      <c r="C23" s="2"/>
      <c r="D23" s="2"/>
      <c r="E23" s="2"/>
      <c r="F23" s="39">
        <f>(F21+F22)*0.2</f>
        <v>0</v>
      </c>
      <c r="G23" s="3"/>
      <c r="H23" s="21"/>
    </row>
    <row r="24" spans="1:8" hidden="1">
      <c r="A24" s="36" t="s">
        <v>610</v>
      </c>
      <c r="B24" s="37"/>
      <c r="C24" s="38"/>
      <c r="D24" s="38"/>
      <c r="E24" s="38"/>
      <c r="F24" s="39">
        <f>SUM(F21:F23)</f>
        <v>0</v>
      </c>
      <c r="G24" s="3"/>
      <c r="H24" s="21"/>
    </row>
    <row r="25" spans="1:8" hidden="1">
      <c r="A25" s="30" t="s">
        <v>611</v>
      </c>
      <c r="B25" s="1"/>
      <c r="C25" s="2"/>
      <c r="D25" s="2"/>
      <c r="E25" s="2"/>
      <c r="F25" s="34">
        <f>F21*20/100</f>
        <v>0</v>
      </c>
      <c r="G25" s="3"/>
      <c r="H25" s="21"/>
    </row>
    <row r="26" spans="1:8">
      <c r="A26" s="36"/>
      <c r="B26" s="37"/>
      <c r="C26" s="38"/>
      <c r="D26" s="38"/>
      <c r="E26" s="38"/>
      <c r="F26" s="40"/>
      <c r="G26" s="3"/>
      <c r="H26" s="21"/>
    </row>
    <row r="27" spans="1:8" ht="15.75">
      <c r="A27" s="28" t="s">
        <v>612</v>
      </c>
      <c r="B27" s="1"/>
      <c r="C27" s="5"/>
      <c r="D27" s="5"/>
      <c r="E27" s="5"/>
      <c r="F27" s="29">
        <f>F5</f>
        <v>1305230.0520000001</v>
      </c>
      <c r="G27" s="3"/>
      <c r="H27" s="21"/>
    </row>
    <row r="28" spans="1:8">
      <c r="A28" s="30" t="s">
        <v>486</v>
      </c>
      <c r="B28" s="1" t="s">
        <v>1906</v>
      </c>
      <c r="C28" s="31" t="s">
        <v>613</v>
      </c>
      <c r="D28" s="2"/>
      <c r="E28" s="2"/>
      <c r="F28" s="32">
        <f>0.15</f>
        <v>0.15</v>
      </c>
      <c r="G28" s="3" t="s">
        <v>474</v>
      </c>
      <c r="H28" s="21"/>
    </row>
    <row r="29" spans="1:8">
      <c r="A29" s="36" t="s">
        <v>489</v>
      </c>
      <c r="B29" s="37"/>
      <c r="C29" s="38"/>
      <c r="D29" s="38"/>
      <c r="E29" s="38"/>
      <c r="F29" s="29">
        <f>F27*F12/100*F28</f>
        <v>8980.9606252200738</v>
      </c>
      <c r="G29" s="3"/>
      <c r="H29" s="41"/>
    </row>
    <row r="30" spans="1:8" hidden="1">
      <c r="A30" s="30" t="s">
        <v>490</v>
      </c>
      <c r="B30" s="1"/>
      <c r="C30" s="2"/>
      <c r="D30" s="2"/>
      <c r="E30" s="2"/>
      <c r="F30" s="33">
        <v>0</v>
      </c>
      <c r="G30" s="3" t="s">
        <v>474</v>
      </c>
      <c r="H30" s="42"/>
    </row>
    <row r="31" spans="1:8" hidden="1">
      <c r="A31" s="30" t="s">
        <v>492</v>
      </c>
      <c r="B31" s="1"/>
      <c r="C31" s="2"/>
      <c r="D31" s="2"/>
      <c r="E31" s="2"/>
      <c r="F31" s="29">
        <f>F29*(1+F30/100)</f>
        <v>8980.9606252200738</v>
      </c>
      <c r="G31" s="3"/>
      <c r="H31" s="17"/>
    </row>
    <row r="32" spans="1:8" hidden="1">
      <c r="A32" s="30" t="s">
        <v>614</v>
      </c>
      <c r="B32" s="1"/>
      <c r="C32" s="2"/>
      <c r="D32" s="2"/>
      <c r="E32" s="2"/>
      <c r="F32" s="43">
        <v>1</v>
      </c>
      <c r="G32" s="3"/>
      <c r="H32" s="44"/>
    </row>
    <row r="33" spans="1:8" hidden="1">
      <c r="A33" s="30"/>
      <c r="B33" s="1"/>
      <c r="C33" s="2"/>
      <c r="D33" s="2"/>
      <c r="E33" s="2"/>
      <c r="F33" s="45">
        <f>F31*F32</f>
        <v>8980.9606252200738</v>
      </c>
      <c r="G33" s="3"/>
      <c r="H33" s="46"/>
    </row>
    <row r="34" spans="1:8" hidden="1">
      <c r="A34" s="36" t="s">
        <v>615</v>
      </c>
      <c r="B34" s="37"/>
      <c r="C34" s="38"/>
      <c r="D34" s="38"/>
      <c r="E34" s="38"/>
      <c r="F34" s="45">
        <f>F33</f>
        <v>8980.9606252200738</v>
      </c>
      <c r="G34" s="3" t="s">
        <v>474</v>
      </c>
      <c r="H34" s="46"/>
    </row>
    <row r="35" spans="1:8" hidden="1">
      <c r="A35" s="30" t="s">
        <v>606</v>
      </c>
      <c r="B35" s="1"/>
      <c r="C35" s="2"/>
      <c r="D35" s="2"/>
      <c r="E35" s="2"/>
      <c r="F35" s="47">
        <f>F19</f>
        <v>0</v>
      </c>
      <c r="G35" s="3"/>
      <c r="H35" s="48"/>
    </row>
    <row r="36" spans="1:8" hidden="1">
      <c r="A36" s="30" t="s">
        <v>607</v>
      </c>
      <c r="B36" s="1"/>
      <c r="C36" s="2"/>
      <c r="D36" s="2"/>
      <c r="E36" s="2"/>
      <c r="F36" s="47">
        <f>F34-F35</f>
        <v>8980.9606252200738</v>
      </c>
      <c r="G36" s="3"/>
      <c r="H36" s="48"/>
    </row>
    <row r="37" spans="1:8" hidden="1">
      <c r="A37" s="30" t="s">
        <v>608</v>
      </c>
      <c r="B37" s="1"/>
      <c r="C37" s="2"/>
      <c r="D37" s="2"/>
      <c r="E37" s="2"/>
      <c r="F37" s="47">
        <f>F36*0.02</f>
        <v>179.61921250440147</v>
      </c>
      <c r="G37" s="3"/>
      <c r="H37" s="48"/>
    </row>
    <row r="38" spans="1:8" hidden="1">
      <c r="A38" s="30" t="s">
        <v>609</v>
      </c>
      <c r="B38" s="1"/>
      <c r="C38" s="2"/>
      <c r="D38" s="2"/>
      <c r="E38" s="2"/>
      <c r="F38" s="47">
        <f>(F36+F37)*0.2</f>
        <v>1832.1159675448953</v>
      </c>
      <c r="G38" s="3"/>
      <c r="H38" s="48"/>
    </row>
    <row r="39" spans="1:8" hidden="1">
      <c r="A39" s="36" t="s">
        <v>610</v>
      </c>
      <c r="B39" s="37"/>
      <c r="C39" s="38"/>
      <c r="D39" s="38"/>
      <c r="E39" s="38"/>
      <c r="F39" s="47">
        <f>SUM(F36:F38)</f>
        <v>10992.69580526937</v>
      </c>
      <c r="G39" s="3"/>
      <c r="H39" s="48"/>
    </row>
    <row r="40" spans="1:8" hidden="1">
      <c r="A40" s="30" t="s">
        <v>611</v>
      </c>
      <c r="B40" s="1"/>
      <c r="C40" s="2"/>
      <c r="D40" s="2"/>
      <c r="E40" s="2"/>
      <c r="F40" s="29">
        <f>F36*20/100</f>
        <v>1796.1921250440148</v>
      </c>
      <c r="G40" s="3"/>
      <c r="H40" s="49"/>
    </row>
    <row r="41" spans="1:8">
      <c r="A41" s="30"/>
      <c r="B41" s="37"/>
      <c r="C41" s="2"/>
      <c r="D41" s="2"/>
      <c r="E41" s="2"/>
      <c r="F41" s="40"/>
      <c r="G41" s="3"/>
      <c r="H41" s="21"/>
    </row>
    <row r="42" spans="1:8" ht="15.75">
      <c r="A42" s="28" t="s">
        <v>616</v>
      </c>
      <c r="B42" s="50"/>
      <c r="C42" s="51"/>
      <c r="D42" s="5"/>
      <c r="E42" s="5"/>
      <c r="F42" s="52">
        <f>F5</f>
        <v>1305230.0520000001</v>
      </c>
      <c r="G42" s="53"/>
      <c r="H42" s="54"/>
    </row>
    <row r="43" spans="1:8">
      <c r="A43" s="30" t="s">
        <v>486</v>
      </c>
      <c r="B43" s="1" t="s">
        <v>617</v>
      </c>
      <c r="C43" s="31" t="s">
        <v>618</v>
      </c>
      <c r="D43" s="2"/>
      <c r="E43" s="2"/>
      <c r="F43" s="32">
        <f>0.1+0.05+0.14+0.03</f>
        <v>0.32000000000000006</v>
      </c>
      <c r="G43" s="3" t="s">
        <v>474</v>
      </c>
      <c r="H43" s="55"/>
    </row>
    <row r="44" spans="1:8">
      <c r="A44" s="56" t="s">
        <v>489</v>
      </c>
      <c r="B44" s="38"/>
      <c r="C44" s="38"/>
      <c r="D44" s="38"/>
      <c r="E44" s="38"/>
      <c r="F44" s="57">
        <f>F42*F12/100*F43</f>
        <v>19159.38266713616</v>
      </c>
      <c r="G44" s="27"/>
      <c r="H44" s="58"/>
    </row>
    <row r="45" spans="1:8" hidden="1">
      <c r="A45" s="12" t="s">
        <v>490</v>
      </c>
      <c r="B45" s="2"/>
      <c r="C45" s="2"/>
      <c r="D45" s="2"/>
      <c r="E45" s="2"/>
      <c r="F45" s="33">
        <v>0</v>
      </c>
      <c r="G45" s="3" t="s">
        <v>474</v>
      </c>
      <c r="H45" s="21"/>
    </row>
    <row r="46" spans="1:8" hidden="1">
      <c r="A46" s="56" t="s">
        <v>619</v>
      </c>
      <c r="B46" s="38"/>
      <c r="C46" s="38"/>
      <c r="D46" s="38"/>
      <c r="E46" s="38"/>
      <c r="F46" s="47">
        <f>F44*(1+F45/100)</f>
        <v>19159.38266713616</v>
      </c>
      <c r="G46" s="3"/>
      <c r="H46" s="21"/>
    </row>
    <row r="47" spans="1:8" hidden="1">
      <c r="A47" s="59" t="s">
        <v>605</v>
      </c>
      <c r="B47" s="38"/>
      <c r="C47" s="38"/>
      <c r="D47" s="38"/>
      <c r="E47" s="38"/>
      <c r="F47" s="47"/>
      <c r="G47" s="3" t="s">
        <v>474</v>
      </c>
      <c r="H47" s="21"/>
    </row>
    <row r="48" spans="1:8" hidden="1">
      <c r="A48" s="60" t="s">
        <v>606</v>
      </c>
      <c r="B48" s="2"/>
      <c r="C48" s="2"/>
      <c r="D48" s="2"/>
      <c r="E48" s="2"/>
      <c r="F48" s="39"/>
      <c r="G48" s="3"/>
      <c r="H48" s="21"/>
    </row>
    <row r="49" spans="1:8" hidden="1">
      <c r="A49" s="24" t="s">
        <v>607</v>
      </c>
      <c r="B49" s="2"/>
      <c r="C49" s="2"/>
      <c r="D49" s="2"/>
      <c r="E49" s="2"/>
      <c r="F49" s="47">
        <f>F47-F48</f>
        <v>0</v>
      </c>
      <c r="G49" s="3"/>
      <c r="H49" s="21"/>
    </row>
    <row r="50" spans="1:8" hidden="1">
      <c r="A50" s="24" t="s">
        <v>608</v>
      </c>
      <c r="B50" s="2"/>
      <c r="C50" s="2"/>
      <c r="D50" s="2"/>
      <c r="E50" s="2"/>
      <c r="F50" s="47">
        <f>F49*0.02</f>
        <v>0</v>
      </c>
      <c r="G50" s="3"/>
      <c r="H50" s="21"/>
    </row>
    <row r="51" spans="1:8" hidden="1">
      <c r="A51" s="24" t="s">
        <v>609</v>
      </c>
      <c r="B51" s="2"/>
      <c r="C51" s="2"/>
      <c r="D51" s="2"/>
      <c r="E51" s="2"/>
      <c r="F51" s="47">
        <f>(F49+F50)*0.2</f>
        <v>0</v>
      </c>
      <c r="G51" s="3"/>
      <c r="H51" s="21"/>
    </row>
    <row r="52" spans="1:8" hidden="1">
      <c r="A52" s="59" t="s">
        <v>610</v>
      </c>
      <c r="B52" s="38"/>
      <c r="C52" s="38"/>
      <c r="D52" s="38"/>
      <c r="E52" s="38"/>
      <c r="F52" s="47">
        <f>SUM(F49:F51)</f>
        <v>0</v>
      </c>
      <c r="G52" s="3"/>
      <c r="H52" s="21"/>
    </row>
    <row r="53" spans="1:8" hidden="1">
      <c r="A53" s="61" t="s">
        <v>611</v>
      </c>
      <c r="B53" s="5"/>
      <c r="C53" s="5"/>
      <c r="D53" s="5"/>
      <c r="E53" s="5"/>
      <c r="F53" s="29">
        <f>F49*20/100</f>
        <v>0</v>
      </c>
      <c r="G53" s="3"/>
      <c r="H53" s="21"/>
    </row>
    <row r="54" spans="1:8" hidden="1">
      <c r="A54" s="62" t="s">
        <v>620</v>
      </c>
      <c r="B54" s="38"/>
      <c r="C54" s="38"/>
      <c r="D54" s="38"/>
      <c r="E54" s="38"/>
      <c r="F54" s="29">
        <f>F52-F53</f>
        <v>0</v>
      </c>
      <c r="G54" s="3"/>
      <c r="H54" s="21"/>
    </row>
    <row r="55" spans="1:8">
      <c r="A55" s="12"/>
      <c r="B55" s="2"/>
      <c r="C55" s="2"/>
      <c r="D55" s="2"/>
      <c r="E55" s="2"/>
      <c r="F55" s="33"/>
      <c r="G55" s="3"/>
      <c r="H55" s="21"/>
    </row>
    <row r="56" spans="1:8">
      <c r="A56" s="63" t="s">
        <v>621</v>
      </c>
      <c r="B56" s="13"/>
      <c r="C56" s="13" t="s">
        <v>622</v>
      </c>
      <c r="D56" s="13"/>
      <c r="E56" s="5"/>
      <c r="F56" s="64"/>
      <c r="G56" s="53" t="s">
        <v>623</v>
      </c>
      <c r="H56" s="65">
        <f>$F$42*0.4/(350000/1936.27)</f>
        <v>2888.31747746976</v>
      </c>
    </row>
    <row r="57" spans="1:8">
      <c r="A57" s="60" t="s">
        <v>624</v>
      </c>
      <c r="B57" s="66">
        <v>0.1</v>
      </c>
      <c r="C57" s="67">
        <v>0.05</v>
      </c>
      <c r="D57" s="67">
        <v>0</v>
      </c>
      <c r="E57" s="67">
        <v>0</v>
      </c>
      <c r="F57" s="68">
        <f>B57*(1+C57)*(1+D57)*(1-E57)</f>
        <v>0.10500000000000001</v>
      </c>
      <c r="G57" s="3"/>
      <c r="H57" s="21"/>
    </row>
    <row r="58" spans="1:8">
      <c r="A58" s="62" t="s">
        <v>489</v>
      </c>
      <c r="B58" s="38"/>
      <c r="C58" s="38"/>
      <c r="D58" s="38"/>
      <c r="E58" s="38"/>
      <c r="F58" s="57">
        <f>F42*F12/100*F57</f>
        <v>6286.6724376540524</v>
      </c>
      <c r="G58" s="27" t="s">
        <v>625</v>
      </c>
      <c r="H58" s="69"/>
    </row>
    <row r="59" spans="1:8" hidden="1">
      <c r="A59" s="60" t="s">
        <v>626</v>
      </c>
      <c r="B59" s="2"/>
      <c r="C59" s="2"/>
      <c r="D59" s="2"/>
      <c r="E59" s="2"/>
      <c r="F59" s="34"/>
      <c r="G59" s="3"/>
      <c r="H59" s="21"/>
    </row>
    <row r="60" spans="1:8" hidden="1">
      <c r="A60" s="12" t="s">
        <v>490</v>
      </c>
      <c r="B60" s="2"/>
      <c r="C60" s="2"/>
      <c r="D60" s="2"/>
      <c r="E60" s="2"/>
      <c r="F60" s="33"/>
      <c r="G60" s="3" t="s">
        <v>474</v>
      </c>
      <c r="H60" s="21"/>
    </row>
    <row r="61" spans="1:8" hidden="1">
      <c r="A61" s="12" t="s">
        <v>619</v>
      </c>
      <c r="B61" s="2"/>
      <c r="C61" s="2"/>
      <c r="D61" s="2"/>
      <c r="E61" s="2"/>
      <c r="F61" s="34">
        <f>F59*(1+F60/100)</f>
        <v>0</v>
      </c>
      <c r="G61" s="3"/>
      <c r="H61" s="21"/>
    </row>
    <row r="62" spans="1:8" hidden="1">
      <c r="A62" s="59" t="s">
        <v>627</v>
      </c>
      <c r="B62" s="38"/>
      <c r="C62" s="38"/>
      <c r="D62" s="38"/>
      <c r="E62" s="38"/>
      <c r="F62" s="39"/>
      <c r="G62" s="3" t="s">
        <v>474</v>
      </c>
      <c r="H62" s="21"/>
    </row>
    <row r="63" spans="1:8" hidden="1">
      <c r="A63" s="24" t="s">
        <v>607</v>
      </c>
      <c r="B63" s="2"/>
      <c r="C63" s="2"/>
      <c r="D63" s="2"/>
      <c r="E63" s="2"/>
      <c r="F63" s="39">
        <f>F62</f>
        <v>0</v>
      </c>
      <c r="G63" s="3"/>
      <c r="H63" s="21"/>
    </row>
    <row r="64" spans="1:8" hidden="1">
      <c r="A64" s="24" t="s">
        <v>608</v>
      </c>
      <c r="B64" s="2"/>
      <c r="C64" s="2"/>
      <c r="D64" s="2"/>
      <c r="E64" s="2"/>
      <c r="F64" s="39">
        <f>F63*0.02</f>
        <v>0</v>
      </c>
      <c r="G64" s="3"/>
      <c r="H64" s="21"/>
    </row>
    <row r="65" spans="1:8" hidden="1">
      <c r="A65" s="24" t="s">
        <v>609</v>
      </c>
      <c r="B65" s="2"/>
      <c r="C65" s="2"/>
      <c r="D65" s="2"/>
      <c r="E65" s="2"/>
      <c r="F65" s="39">
        <f>(F63+F64)*0.2</f>
        <v>0</v>
      </c>
      <c r="G65" s="3"/>
      <c r="H65" s="21"/>
    </row>
    <row r="66" spans="1:8" hidden="1">
      <c r="A66" s="59" t="s">
        <v>610</v>
      </c>
      <c r="B66" s="38"/>
      <c r="C66" s="38"/>
      <c r="D66" s="38"/>
      <c r="E66" s="38"/>
      <c r="F66" s="39">
        <f>SUM(F63:F65)</f>
        <v>0</v>
      </c>
      <c r="G66" s="3"/>
      <c r="H66" s="21"/>
    </row>
    <row r="67" spans="1:8" hidden="1">
      <c r="A67" s="60" t="s">
        <v>611</v>
      </c>
      <c r="B67" s="2"/>
      <c r="C67" s="2"/>
      <c r="D67" s="2"/>
      <c r="E67" s="2"/>
      <c r="F67" s="34">
        <f>F63*20/100</f>
        <v>0</v>
      </c>
      <c r="G67" s="3"/>
      <c r="H67" s="21"/>
    </row>
    <row r="68" spans="1:8" hidden="1">
      <c r="A68" s="12"/>
      <c r="B68" s="2"/>
      <c r="C68" s="2"/>
      <c r="D68" s="2"/>
      <c r="E68" s="2"/>
      <c r="F68" s="34"/>
      <c r="G68" s="3"/>
      <c r="H68" s="21"/>
    </row>
    <row r="69" spans="1:8" hidden="1">
      <c r="A69" s="12"/>
      <c r="B69" s="2"/>
      <c r="C69" s="2"/>
      <c r="D69" s="2"/>
      <c r="E69" s="2"/>
      <c r="F69" s="34"/>
      <c r="G69" s="3"/>
      <c r="H69" s="21"/>
    </row>
    <row r="70" spans="1:8">
      <c r="A70" s="12"/>
      <c r="B70" s="2"/>
      <c r="C70" s="2"/>
      <c r="D70" s="2"/>
      <c r="E70" s="2"/>
      <c r="F70" s="34"/>
      <c r="G70" s="3"/>
      <c r="H70" s="21"/>
    </row>
    <row r="71" spans="1:8" ht="15.75">
      <c r="A71" s="28" t="s">
        <v>628</v>
      </c>
      <c r="B71" s="13"/>
      <c r="C71" s="13"/>
      <c r="D71" s="13"/>
      <c r="E71" s="13"/>
      <c r="F71" s="70"/>
      <c r="G71" s="14"/>
      <c r="H71" s="15"/>
    </row>
    <row r="72" spans="1:8">
      <c r="A72" s="12" t="s">
        <v>473</v>
      </c>
      <c r="B72" s="2"/>
      <c r="C72" s="2"/>
      <c r="D72" s="2"/>
      <c r="E72" s="2"/>
      <c r="F72" s="29">
        <v>0</v>
      </c>
      <c r="G72" s="3" t="s">
        <v>474</v>
      </c>
      <c r="H72" s="17"/>
    </row>
    <row r="73" spans="1:8">
      <c r="A73" s="12" t="s">
        <v>475</v>
      </c>
      <c r="B73" s="2"/>
      <c r="C73" s="2"/>
      <c r="D73" s="2"/>
      <c r="E73" s="2"/>
      <c r="F73" s="34" t="s">
        <v>629</v>
      </c>
      <c r="G73" s="3" t="s">
        <v>474</v>
      </c>
      <c r="H73" s="19"/>
    </row>
    <row r="74" spans="1:8">
      <c r="A74" s="12" t="s">
        <v>477</v>
      </c>
      <c r="B74" s="2"/>
      <c r="C74" s="2"/>
      <c r="D74" s="2"/>
      <c r="E74" s="2"/>
      <c r="F74" s="71" t="s">
        <v>630</v>
      </c>
      <c r="G74" s="3" t="s">
        <v>474</v>
      </c>
      <c r="H74" s="21"/>
    </row>
    <row r="75" spans="1:8">
      <c r="A75" s="12" t="s">
        <v>479</v>
      </c>
      <c r="B75" s="2"/>
      <c r="C75" s="2"/>
      <c r="D75" s="2"/>
      <c r="E75" s="2"/>
      <c r="F75" s="29">
        <v>206582.76</v>
      </c>
      <c r="G75" s="3" t="s">
        <v>474</v>
      </c>
      <c r="H75" s="21"/>
    </row>
    <row r="76" spans="1:8">
      <c r="A76" s="12" t="s">
        <v>480</v>
      </c>
      <c r="B76" s="2"/>
      <c r="C76" s="2"/>
      <c r="D76" s="2"/>
      <c r="E76" s="2"/>
      <c r="F76" s="29">
        <v>258228.45</v>
      </c>
      <c r="G76" s="3" t="s">
        <v>474</v>
      </c>
      <c r="H76" s="21"/>
    </row>
    <row r="77" spans="1:8">
      <c r="A77" s="12" t="s">
        <v>481</v>
      </c>
      <c r="B77" s="2"/>
      <c r="C77" s="2"/>
      <c r="D77" s="2"/>
      <c r="E77" s="2"/>
      <c r="F77" s="72">
        <v>5.2119999999999997</v>
      </c>
      <c r="G77" s="3" t="s">
        <v>474</v>
      </c>
      <c r="H77" s="21"/>
    </row>
    <row r="78" spans="1:8">
      <c r="A78" s="12" t="s">
        <v>482</v>
      </c>
      <c r="B78" s="2"/>
      <c r="C78" s="2"/>
      <c r="D78" s="2"/>
      <c r="E78" s="2"/>
      <c r="F78" s="72">
        <v>5.0590000000000002</v>
      </c>
      <c r="G78" s="3" t="s">
        <v>474</v>
      </c>
      <c r="H78" s="21"/>
    </row>
    <row r="79" spans="1:8">
      <c r="A79" s="24" t="s">
        <v>483</v>
      </c>
      <c r="B79" s="2"/>
      <c r="C79" s="25" t="s">
        <v>484</v>
      </c>
      <c r="D79" s="2"/>
      <c r="E79" s="2"/>
      <c r="F79" s="73">
        <f>F12</f>
        <v>4.5871661277686</v>
      </c>
      <c r="G79" s="3"/>
      <c r="H79" s="21"/>
    </row>
    <row r="80" spans="1:8">
      <c r="A80" s="30" t="s">
        <v>486</v>
      </c>
      <c r="B80" s="74" t="s">
        <v>631</v>
      </c>
      <c r="C80" s="75" t="s">
        <v>632</v>
      </c>
      <c r="D80" s="76"/>
      <c r="E80" s="2"/>
      <c r="F80" s="32">
        <f>0.1+0.03+0.15+0.12</f>
        <v>0.4</v>
      </c>
      <c r="G80" s="3" t="s">
        <v>474</v>
      </c>
      <c r="H80" s="21"/>
    </row>
    <row r="81" spans="1:8">
      <c r="A81" s="30" t="s">
        <v>633</v>
      </c>
      <c r="B81" s="1"/>
      <c r="C81" s="31"/>
      <c r="D81" s="2"/>
      <c r="E81" s="2"/>
      <c r="F81" s="77">
        <v>0</v>
      </c>
      <c r="G81" s="3"/>
      <c r="H81" s="21"/>
    </row>
    <row r="82" spans="1:8">
      <c r="A82" s="36" t="s">
        <v>489</v>
      </c>
      <c r="B82" s="37"/>
      <c r="C82" s="38"/>
      <c r="D82" s="38"/>
      <c r="E82" s="38"/>
      <c r="F82" s="57">
        <f>F72*F79/100*F80*(1+F81)</f>
        <v>0</v>
      </c>
      <c r="G82" s="27"/>
      <c r="H82" s="78" t="s">
        <v>634</v>
      </c>
    </row>
    <row r="83" spans="1:8">
      <c r="A83" s="30"/>
      <c r="B83" s="1"/>
      <c r="C83" s="2"/>
      <c r="D83" s="2"/>
      <c r="E83" s="2"/>
      <c r="F83" s="29"/>
      <c r="G83" s="3"/>
      <c r="H83" s="35"/>
    </row>
    <row r="84" spans="1:8">
      <c r="A84" s="12"/>
      <c r="B84" s="2"/>
      <c r="C84" s="2"/>
      <c r="D84" s="2"/>
      <c r="E84" s="2"/>
      <c r="F84" s="34"/>
      <c r="G84" s="3"/>
      <c r="H84" s="21"/>
    </row>
    <row r="85" spans="1:8" ht="15.75">
      <c r="A85" s="79" t="s">
        <v>635</v>
      </c>
      <c r="B85" s="5"/>
      <c r="C85" s="5"/>
      <c r="D85" s="5"/>
      <c r="E85" s="5"/>
      <c r="F85" s="29"/>
      <c r="G85" s="3"/>
      <c r="H85" s="21"/>
    </row>
    <row r="86" spans="1:8" ht="15.75">
      <c r="A86" s="80" t="s">
        <v>636</v>
      </c>
      <c r="B86" s="5"/>
      <c r="C86" s="5"/>
      <c r="D86" s="5"/>
      <c r="E86" s="5"/>
      <c r="F86" s="174">
        <f>F15</f>
        <v>4789.8456667840392</v>
      </c>
      <c r="G86" s="53"/>
      <c r="H86" s="54"/>
    </row>
    <row r="87" spans="1:8" ht="15.75">
      <c r="A87" s="81" t="s">
        <v>637</v>
      </c>
      <c r="B87" s="2"/>
      <c r="C87" s="2"/>
      <c r="D87" s="2"/>
      <c r="E87" s="2"/>
      <c r="F87" s="161">
        <f>F29</f>
        <v>8980.9606252200738</v>
      </c>
      <c r="G87" s="3"/>
      <c r="H87" s="21"/>
    </row>
    <row r="88" spans="1:8" ht="15.75">
      <c r="A88" s="81" t="s">
        <v>638</v>
      </c>
      <c r="B88" s="2"/>
      <c r="C88" s="2"/>
      <c r="D88" s="2"/>
      <c r="E88" s="2"/>
      <c r="F88" s="161">
        <f>F44</f>
        <v>19159.38266713616</v>
      </c>
      <c r="G88" s="3"/>
      <c r="H88" s="21"/>
    </row>
    <row r="89" spans="1:8" ht="15.75">
      <c r="A89" s="81" t="s">
        <v>639</v>
      </c>
      <c r="B89" s="2"/>
      <c r="C89" s="2"/>
      <c r="D89" s="2"/>
      <c r="E89" s="2"/>
      <c r="F89" s="161">
        <f>F58</f>
        <v>6286.6724376540524</v>
      </c>
      <c r="G89" s="3"/>
      <c r="H89" s="21"/>
    </row>
    <row r="90" spans="1:8" ht="15.75">
      <c r="A90" s="81" t="s">
        <v>640</v>
      </c>
      <c r="B90" s="2"/>
      <c r="C90" s="2"/>
      <c r="D90" s="2"/>
      <c r="E90" s="2"/>
      <c r="F90" s="160">
        <f>F82</f>
        <v>0</v>
      </c>
      <c r="G90" s="3"/>
      <c r="H90" s="82"/>
    </row>
    <row r="91" spans="1:8" ht="15.75">
      <c r="A91" s="83" t="s">
        <v>641</v>
      </c>
      <c r="B91" s="38"/>
      <c r="C91" s="38"/>
      <c r="D91" s="38"/>
      <c r="E91" s="38"/>
      <c r="F91" s="160">
        <f>SUM(F86:F90)</f>
        <v>39216.861396794324</v>
      </c>
      <c r="G91" s="27"/>
      <c r="H91" s="84"/>
    </row>
    <row r="92" spans="1:8">
      <c r="A92" s="12" t="s">
        <v>642</v>
      </c>
      <c r="B92" s="2"/>
      <c r="C92" s="2"/>
      <c r="D92" s="2"/>
      <c r="E92" s="2"/>
      <c r="F92" s="172">
        <v>0.2142</v>
      </c>
      <c r="G92" s="3"/>
      <c r="H92" s="21"/>
    </row>
    <row r="93" spans="1:8">
      <c r="A93" s="12" t="s">
        <v>643</v>
      </c>
      <c r="B93" s="2"/>
      <c r="C93" s="2"/>
      <c r="D93" s="2"/>
      <c r="E93" s="2"/>
      <c r="F93" s="175">
        <v>1</v>
      </c>
      <c r="G93" s="3"/>
      <c r="H93" s="21"/>
    </row>
    <row r="94" spans="1:8">
      <c r="A94" s="12" t="s">
        <v>642</v>
      </c>
      <c r="B94" s="2"/>
      <c r="C94" s="2"/>
      <c r="D94" s="2"/>
      <c r="E94" s="2"/>
      <c r="F94" s="172">
        <f>F92*F93</f>
        <v>0.2142</v>
      </c>
      <c r="G94" s="3"/>
      <c r="H94" s="21"/>
    </row>
    <row r="95" spans="1:8">
      <c r="A95" s="12" t="s">
        <v>644</v>
      </c>
      <c r="B95" s="2"/>
      <c r="C95" s="2"/>
      <c r="D95" s="2"/>
      <c r="E95" s="2"/>
      <c r="F95" s="176">
        <f>INT(F91*F92*F93*100+0.5)/100</f>
        <v>8400.25</v>
      </c>
      <c r="G95" s="3"/>
      <c r="H95" s="21"/>
    </row>
    <row r="96" spans="1:8">
      <c r="A96" s="12" t="s">
        <v>645</v>
      </c>
      <c r="B96" s="2"/>
      <c r="C96" s="2"/>
      <c r="D96" s="2"/>
      <c r="E96" s="2"/>
      <c r="F96" s="177">
        <f>INT(F91*(1+F94)*100+0.5)/100</f>
        <v>47617.11</v>
      </c>
      <c r="G96" s="3"/>
      <c r="H96" s="21"/>
    </row>
    <row r="97" spans="1:8">
      <c r="A97" s="85" t="s">
        <v>646</v>
      </c>
      <c r="B97" s="2"/>
      <c r="C97" s="2"/>
      <c r="D97" s="2"/>
      <c r="E97" s="2"/>
      <c r="F97" s="175">
        <v>0.2</v>
      </c>
      <c r="G97" s="3"/>
      <c r="H97" s="21"/>
    </row>
    <row r="98" spans="1:8" ht="13.5" thickBot="1">
      <c r="A98" s="12" t="s">
        <v>647</v>
      </c>
      <c r="B98" s="2"/>
      <c r="C98" s="2"/>
      <c r="D98" s="2"/>
      <c r="E98" s="2"/>
      <c r="F98" s="161">
        <f>-INT(F96*F97*100+0.5)/100</f>
        <v>-9523.42</v>
      </c>
      <c r="G98" s="3"/>
      <c r="H98" s="21"/>
    </row>
    <row r="99" spans="1:8" ht="16.5" thickBot="1">
      <c r="A99" s="83" t="s">
        <v>645</v>
      </c>
      <c r="B99" s="38"/>
      <c r="C99" s="38"/>
      <c r="D99" s="38"/>
      <c r="E99" s="38"/>
      <c r="F99" s="171">
        <f>F96+F98</f>
        <v>38093.69</v>
      </c>
      <c r="G99" s="86"/>
      <c r="H99" s="21"/>
    </row>
    <row r="100" spans="1:8">
      <c r="A100" s="24" t="s">
        <v>608</v>
      </c>
      <c r="B100" s="2"/>
      <c r="C100" s="2"/>
      <c r="D100" s="2"/>
      <c r="E100" s="672">
        <v>0.04</v>
      </c>
      <c r="F100" s="173">
        <f>INT(F99*E100*100+0.5)/100</f>
        <v>1523.75</v>
      </c>
      <c r="G100" s="3"/>
      <c r="H100" s="21"/>
    </row>
    <row r="101" spans="1:8">
      <c r="A101" s="24" t="s">
        <v>648</v>
      </c>
      <c r="B101" s="2"/>
      <c r="C101" s="2"/>
      <c r="D101" s="2"/>
      <c r="E101" s="2"/>
      <c r="F101" s="173">
        <f>F99+F100</f>
        <v>39617.440000000002</v>
      </c>
      <c r="G101" s="3"/>
      <c r="H101" s="21"/>
    </row>
    <row r="102" spans="1:8">
      <c r="A102" s="24" t="s">
        <v>609</v>
      </c>
      <c r="B102" s="2"/>
      <c r="C102" s="2"/>
      <c r="D102" s="2"/>
      <c r="E102" s="672">
        <v>0.22</v>
      </c>
      <c r="F102" s="173">
        <f>INT(F101*E102*100+0.5)/100</f>
        <v>8715.84</v>
      </c>
      <c r="G102" s="3"/>
      <c r="H102" s="21"/>
    </row>
    <row r="103" spans="1:8">
      <c r="A103" s="59" t="s">
        <v>610</v>
      </c>
      <c r="B103" s="38"/>
      <c r="C103" s="38"/>
      <c r="D103" s="38"/>
      <c r="E103" s="38"/>
      <c r="F103" s="132">
        <f>F101+F102</f>
        <v>48333.279999999999</v>
      </c>
      <c r="G103" s="3"/>
      <c r="H103" s="21"/>
    </row>
    <row r="104" spans="1:8">
      <c r="A104" s="61" t="s">
        <v>649</v>
      </c>
      <c r="B104" s="5"/>
      <c r="C104" s="5"/>
      <c r="D104" s="5"/>
      <c r="E104" s="5"/>
      <c r="F104" s="127">
        <f>INT(F99*20/100*100+0.5)/100</f>
        <v>7618.74</v>
      </c>
      <c r="G104" s="3"/>
      <c r="H104" s="21"/>
    </row>
    <row r="105" spans="1:8">
      <c r="A105" s="62" t="s">
        <v>650</v>
      </c>
      <c r="B105" s="38"/>
      <c r="C105" s="38"/>
      <c r="D105" s="38"/>
      <c r="E105" s="38"/>
      <c r="F105" s="132">
        <f>F103-F104</f>
        <v>40714.54</v>
      </c>
      <c r="G105" s="3"/>
      <c r="H105" s="21"/>
    </row>
    <row r="106" spans="1:8">
      <c r="A106" s="60"/>
      <c r="B106" s="2"/>
      <c r="C106" s="2"/>
      <c r="D106" s="2"/>
      <c r="E106" s="2"/>
      <c r="F106" s="87"/>
      <c r="G106" s="3"/>
      <c r="H106" s="21"/>
    </row>
    <row r="107" spans="1:8" ht="15.75">
      <c r="A107" s="88" t="s">
        <v>651</v>
      </c>
      <c r="B107" s="89"/>
      <c r="C107" s="89"/>
      <c r="D107" s="89"/>
      <c r="E107" s="89"/>
      <c r="F107" s="90"/>
      <c r="G107" s="91"/>
      <c r="H107" s="92"/>
    </row>
    <row r="108" spans="1:8" ht="15.75">
      <c r="A108" s="93" t="s">
        <v>652</v>
      </c>
      <c r="B108" s="2"/>
      <c r="C108" s="2"/>
      <c r="D108" s="94"/>
      <c r="E108" s="2"/>
      <c r="F108" s="16">
        <f>F5</f>
        <v>1305230.0520000001</v>
      </c>
      <c r="G108" s="3"/>
      <c r="H108" s="21"/>
    </row>
    <row r="109" spans="1:8">
      <c r="A109" s="12" t="s">
        <v>475</v>
      </c>
      <c r="B109" s="2"/>
      <c r="C109" s="2"/>
      <c r="D109" s="94"/>
      <c r="E109" s="2"/>
      <c r="F109" s="18" t="s">
        <v>476</v>
      </c>
      <c r="G109" s="3" t="s">
        <v>474</v>
      </c>
      <c r="H109" s="19"/>
    </row>
    <row r="110" spans="1:8">
      <c r="A110" s="12" t="s">
        <v>477</v>
      </c>
      <c r="B110" s="2"/>
      <c r="C110" s="2"/>
      <c r="D110" s="94"/>
      <c r="E110" s="2"/>
      <c r="F110" s="20" t="s">
        <v>478</v>
      </c>
      <c r="G110" s="3" t="s">
        <v>474</v>
      </c>
      <c r="H110" s="21"/>
    </row>
    <row r="111" spans="1:8">
      <c r="A111" s="12" t="s">
        <v>479</v>
      </c>
      <c r="B111" s="2"/>
      <c r="C111" s="2"/>
      <c r="D111" s="2"/>
      <c r="E111" s="2"/>
      <c r="F111" s="687">
        <v>1500000</v>
      </c>
      <c r="G111" s="3" t="s">
        <v>474</v>
      </c>
      <c r="H111" s="21"/>
    </row>
    <row r="112" spans="1:8">
      <c r="A112" s="12" t="s">
        <v>480</v>
      </c>
      <c r="B112" s="2"/>
      <c r="C112" s="2"/>
      <c r="D112" s="2"/>
      <c r="E112" s="2"/>
      <c r="F112" s="687">
        <v>2000000</v>
      </c>
      <c r="G112" s="3" t="s">
        <v>474</v>
      </c>
      <c r="H112" s="21"/>
    </row>
    <row r="113" spans="1:8">
      <c r="A113" s="12" t="s">
        <v>481</v>
      </c>
      <c r="B113" s="2"/>
      <c r="C113" s="2"/>
      <c r="D113" s="2"/>
      <c r="E113" s="2"/>
      <c r="F113" s="688">
        <v>4.694</v>
      </c>
      <c r="G113" s="3" t="s">
        <v>474</v>
      </c>
      <c r="H113" s="21"/>
    </row>
    <row r="114" spans="1:8">
      <c r="A114" s="12" t="s">
        <v>482</v>
      </c>
      <c r="B114" s="2"/>
      <c r="C114" s="2"/>
      <c r="D114" s="2"/>
      <c r="E114" s="2"/>
      <c r="F114" s="688">
        <v>4.4565999999999999</v>
      </c>
      <c r="G114" s="3" t="s">
        <v>474</v>
      </c>
      <c r="H114" s="21"/>
    </row>
    <row r="115" spans="1:8">
      <c r="A115" s="24" t="s">
        <v>483</v>
      </c>
      <c r="B115" s="2"/>
      <c r="C115" s="25" t="s">
        <v>484</v>
      </c>
      <c r="D115" s="2"/>
      <c r="E115" s="2"/>
      <c r="F115" s="26">
        <f>F12</f>
        <v>4.5871661277686</v>
      </c>
      <c r="G115" s="3"/>
      <c r="H115" s="21"/>
    </row>
    <row r="116" spans="1:8">
      <c r="A116" s="95" t="s">
        <v>486</v>
      </c>
      <c r="B116" s="5"/>
      <c r="C116" s="96"/>
      <c r="D116" s="5"/>
      <c r="E116" s="53"/>
      <c r="F116" s="54"/>
      <c r="G116" s="5"/>
      <c r="H116" s="97"/>
    </row>
    <row r="117" spans="1:8">
      <c r="A117" s="12" t="s">
        <v>653</v>
      </c>
      <c r="B117" s="2" t="s">
        <v>654</v>
      </c>
      <c r="C117" s="98">
        <v>0.42</v>
      </c>
      <c r="D117" s="2">
        <v>1</v>
      </c>
      <c r="E117" s="2">
        <f>C117*D117</f>
        <v>0.42</v>
      </c>
      <c r="F117" s="99"/>
      <c r="G117" s="3"/>
      <c r="H117" s="55"/>
    </row>
    <row r="118" spans="1:8">
      <c r="A118" s="12"/>
      <c r="B118" s="2" t="s">
        <v>655</v>
      </c>
      <c r="C118" s="98">
        <v>0.03</v>
      </c>
      <c r="D118" s="2">
        <v>1</v>
      </c>
      <c r="E118" s="2">
        <f>C118*D118</f>
        <v>0.03</v>
      </c>
      <c r="F118" s="99"/>
      <c r="G118" s="3"/>
      <c r="H118" s="55"/>
    </row>
    <row r="119" spans="1:8">
      <c r="A119" s="56"/>
      <c r="B119" s="38"/>
      <c r="C119" s="100"/>
      <c r="D119" s="38"/>
      <c r="E119" s="38"/>
      <c r="F119" s="101">
        <f>SUM(E117:E118)</f>
        <v>0.44999999999999996</v>
      </c>
      <c r="G119" s="27" t="s">
        <v>474</v>
      </c>
      <c r="H119" s="102"/>
    </row>
    <row r="120" spans="1:8" hidden="1">
      <c r="A120" s="12" t="s">
        <v>656</v>
      </c>
      <c r="B120" s="2"/>
      <c r="C120" s="2"/>
      <c r="D120" s="2"/>
      <c r="E120" s="2"/>
      <c r="F120" s="103">
        <f>INT(F115*F119*F108/100*100+0.5)/100</f>
        <v>26942.880000000001</v>
      </c>
      <c r="G120" s="3"/>
      <c r="H120" s="21"/>
    </row>
    <row r="121" spans="1:8" hidden="1">
      <c r="A121" s="12" t="s">
        <v>490</v>
      </c>
      <c r="B121" s="2"/>
      <c r="C121" s="2"/>
      <c r="D121" s="2"/>
      <c r="E121" s="2"/>
      <c r="F121" s="42">
        <v>0</v>
      </c>
      <c r="G121" s="3" t="s">
        <v>474</v>
      </c>
      <c r="H121" s="21"/>
    </row>
    <row r="122" spans="1:8" hidden="1">
      <c r="A122" s="56" t="s">
        <v>657</v>
      </c>
      <c r="B122" s="38"/>
      <c r="C122" s="38"/>
      <c r="D122" s="38"/>
      <c r="E122" s="38"/>
      <c r="F122" s="104">
        <f>F120*(1+F121/100)</f>
        <v>26942.880000000001</v>
      </c>
      <c r="G122" s="3"/>
      <c r="H122" s="21"/>
    </row>
    <row r="123" spans="1:8" hidden="1">
      <c r="A123" s="59" t="s">
        <v>658</v>
      </c>
      <c r="B123" s="38"/>
      <c r="C123" s="38"/>
      <c r="D123" s="38"/>
      <c r="E123" s="38"/>
      <c r="F123" s="48"/>
      <c r="G123" s="3" t="s">
        <v>474</v>
      </c>
      <c r="H123" s="21"/>
    </row>
    <row r="124" spans="1:8" hidden="1">
      <c r="A124" s="60" t="s">
        <v>606</v>
      </c>
      <c r="B124" s="2"/>
      <c r="C124" s="2"/>
      <c r="D124" s="2"/>
      <c r="E124" s="2"/>
      <c r="F124" s="48"/>
      <c r="G124" s="3"/>
      <c r="H124" s="21"/>
    </row>
    <row r="125" spans="1:8" hidden="1">
      <c r="A125" s="24" t="s">
        <v>607</v>
      </c>
      <c r="B125" s="2"/>
      <c r="C125" s="2"/>
      <c r="D125" s="2"/>
      <c r="E125" s="2"/>
      <c r="F125" s="48">
        <f>F123-F124</f>
        <v>0</v>
      </c>
      <c r="G125" s="3"/>
      <c r="H125" s="21"/>
    </row>
    <row r="126" spans="1:8" hidden="1">
      <c r="A126" s="24" t="s">
        <v>608</v>
      </c>
      <c r="B126" s="2"/>
      <c r="C126" s="2"/>
      <c r="D126" s="2"/>
      <c r="E126" s="2"/>
      <c r="F126" s="48">
        <f>F125*0.02</f>
        <v>0</v>
      </c>
      <c r="G126" s="3"/>
      <c r="H126" s="21"/>
    </row>
    <row r="127" spans="1:8" hidden="1">
      <c r="A127" s="24" t="s">
        <v>609</v>
      </c>
      <c r="B127" s="2"/>
      <c r="C127" s="2"/>
      <c r="D127" s="2"/>
      <c r="E127" s="2"/>
      <c r="F127" s="48">
        <f>(F125+F126)*0.2</f>
        <v>0</v>
      </c>
      <c r="G127" s="3"/>
      <c r="H127" s="21"/>
    </row>
    <row r="128" spans="1:8" hidden="1">
      <c r="A128" s="59" t="s">
        <v>610</v>
      </c>
      <c r="B128" s="38"/>
      <c r="C128" s="38"/>
      <c r="D128" s="38"/>
      <c r="E128" s="38"/>
      <c r="F128" s="48">
        <f>SUM(F125:F127)</f>
        <v>0</v>
      </c>
      <c r="G128" s="3"/>
      <c r="H128" s="21"/>
    </row>
    <row r="129" spans="1:8" hidden="1">
      <c r="A129" s="60" t="s">
        <v>659</v>
      </c>
      <c r="B129" s="2"/>
      <c r="C129" s="2"/>
      <c r="D129" s="2"/>
      <c r="E129" s="2"/>
      <c r="F129" s="49">
        <f>F125*20/100</f>
        <v>0</v>
      </c>
      <c r="G129" s="3"/>
      <c r="H129" s="21"/>
    </row>
    <row r="130" spans="1:8">
      <c r="A130" s="56"/>
      <c r="B130" s="38"/>
      <c r="C130" s="38"/>
      <c r="D130" s="38"/>
      <c r="E130" s="38"/>
      <c r="F130" s="105"/>
      <c r="G130" s="27"/>
      <c r="H130" s="69"/>
    </row>
    <row r="131" spans="1:8">
      <c r="A131" s="106" t="s">
        <v>660</v>
      </c>
      <c r="B131" s="89"/>
      <c r="C131" s="89"/>
      <c r="D131" s="5"/>
      <c r="E131" s="53"/>
      <c r="F131" s="107"/>
      <c r="G131" s="5" t="s">
        <v>623</v>
      </c>
      <c r="H131" s="108">
        <f>$F$5*0.4/(350000/1936.27)</f>
        <v>2888.31747746976</v>
      </c>
    </row>
    <row r="132" spans="1:8">
      <c r="A132" s="109" t="s">
        <v>661</v>
      </c>
      <c r="B132" s="1"/>
      <c r="C132" s="1"/>
      <c r="D132" s="2"/>
      <c r="E132" s="3"/>
      <c r="F132" s="49"/>
      <c r="G132" s="2"/>
      <c r="H132" s="110"/>
    </row>
    <row r="133" spans="1:8">
      <c r="A133" s="60" t="s">
        <v>662</v>
      </c>
      <c r="B133" s="66"/>
      <c r="C133" s="66"/>
      <c r="D133" s="111"/>
      <c r="E133" s="3"/>
      <c r="F133" s="112">
        <v>0.2</v>
      </c>
      <c r="G133" s="2"/>
      <c r="H133" s="3"/>
    </row>
    <row r="134" spans="1:8">
      <c r="A134" s="85" t="s">
        <v>663</v>
      </c>
      <c r="B134" s="66"/>
      <c r="C134" s="66"/>
      <c r="D134" s="111"/>
      <c r="E134" s="3"/>
      <c r="F134" s="112"/>
      <c r="G134" s="2"/>
      <c r="H134" s="3"/>
    </row>
    <row r="135" spans="1:8">
      <c r="A135" s="85" t="s">
        <v>664</v>
      </c>
      <c r="B135" s="66"/>
      <c r="C135" s="66"/>
      <c r="D135" s="111"/>
      <c r="E135" s="3"/>
      <c r="F135" s="112"/>
      <c r="G135" s="2"/>
      <c r="H135" s="3"/>
    </row>
    <row r="136" spans="1:8">
      <c r="A136" s="60" t="s">
        <v>665</v>
      </c>
      <c r="B136" s="66"/>
      <c r="C136" s="66"/>
      <c r="D136" s="111"/>
      <c r="E136" s="113">
        <v>0.05</v>
      </c>
      <c r="F136" s="112">
        <f>F133+F133*E136</f>
        <v>0.21000000000000002</v>
      </c>
      <c r="G136" s="2"/>
      <c r="H136" s="3"/>
    </row>
    <row r="137" spans="1:8">
      <c r="A137" s="62" t="s">
        <v>489</v>
      </c>
      <c r="B137" s="38"/>
      <c r="C137" s="38"/>
      <c r="D137" s="38"/>
      <c r="E137" s="27"/>
      <c r="F137" s="114">
        <f>F108*F12/100*F136</f>
        <v>12573.344875308105</v>
      </c>
      <c r="G137" s="38" t="s">
        <v>666</v>
      </c>
      <c r="H137" s="27"/>
    </row>
    <row r="138" spans="1:8" hidden="1">
      <c r="A138" s="12" t="s">
        <v>490</v>
      </c>
      <c r="B138" s="2"/>
      <c r="C138" s="2"/>
      <c r="D138" s="2"/>
      <c r="E138" s="2"/>
      <c r="F138" s="42"/>
      <c r="G138" s="2" t="s">
        <v>474</v>
      </c>
      <c r="H138" s="3"/>
    </row>
    <row r="139" spans="1:8" hidden="1">
      <c r="A139" s="12" t="s">
        <v>667</v>
      </c>
      <c r="B139" s="2"/>
      <c r="C139" s="2"/>
      <c r="D139" s="2"/>
      <c r="E139" s="2"/>
      <c r="F139" s="17"/>
      <c r="G139" s="2"/>
      <c r="H139" s="3"/>
    </row>
    <row r="140" spans="1:8" hidden="1">
      <c r="A140" s="59" t="s">
        <v>668</v>
      </c>
      <c r="B140" s="38"/>
      <c r="C140" s="38"/>
      <c r="D140" s="38"/>
      <c r="E140" s="38"/>
      <c r="F140" s="84">
        <f>F5</f>
        <v>1305230.0520000001</v>
      </c>
      <c r="G140" s="38" t="s">
        <v>474</v>
      </c>
      <c r="H140" s="27"/>
    </row>
    <row r="141" spans="1:8" hidden="1">
      <c r="A141" s="60" t="s">
        <v>606</v>
      </c>
      <c r="B141" s="2"/>
      <c r="C141" s="2"/>
      <c r="D141" s="2"/>
      <c r="E141" s="2"/>
      <c r="F141" s="115"/>
      <c r="G141" s="2"/>
      <c r="H141" s="2"/>
    </row>
    <row r="142" spans="1:8" hidden="1">
      <c r="A142" s="24" t="s">
        <v>607</v>
      </c>
      <c r="B142" s="2"/>
      <c r="C142" s="2"/>
      <c r="D142" s="2"/>
      <c r="E142" s="2"/>
      <c r="F142" s="115">
        <f>F140-F141</f>
        <v>1305230.0520000001</v>
      </c>
      <c r="G142" s="2"/>
      <c r="H142" s="2"/>
    </row>
    <row r="143" spans="1:8" hidden="1">
      <c r="A143" s="24" t="s">
        <v>608</v>
      </c>
      <c r="B143" s="2"/>
      <c r="C143" s="2"/>
      <c r="D143" s="2"/>
      <c r="E143" s="2"/>
      <c r="F143" s="115">
        <f>F142*0.02</f>
        <v>26104.601040000005</v>
      </c>
      <c r="G143" s="2"/>
      <c r="H143" s="2"/>
    </row>
    <row r="144" spans="1:8" hidden="1">
      <c r="A144" s="24" t="s">
        <v>609</v>
      </c>
      <c r="B144" s="2"/>
      <c r="C144" s="2"/>
      <c r="D144" s="2"/>
      <c r="E144" s="2"/>
      <c r="F144" s="115">
        <f>(F142+F143)*0.2</f>
        <v>266266.93060800008</v>
      </c>
      <c r="G144" s="2"/>
      <c r="H144" s="2"/>
    </row>
    <row r="145" spans="1:8" hidden="1">
      <c r="A145" s="59" t="s">
        <v>610</v>
      </c>
      <c r="B145" s="38"/>
      <c r="C145" s="38"/>
      <c r="D145" s="38"/>
      <c r="E145" s="38"/>
      <c r="F145" s="116">
        <f>SUM(F142:F144)</f>
        <v>1597601.5836480004</v>
      </c>
      <c r="G145" s="38"/>
      <c r="H145" s="38"/>
    </row>
    <row r="146" spans="1:8" hidden="1">
      <c r="A146" s="60" t="s">
        <v>611</v>
      </c>
      <c r="B146" s="2"/>
      <c r="C146" s="2"/>
      <c r="D146" s="2"/>
      <c r="E146" s="2"/>
      <c r="F146" s="87">
        <f>F142*29/100</f>
        <v>378516.71507999999</v>
      </c>
      <c r="G146" s="2"/>
      <c r="H146" s="2"/>
    </row>
    <row r="147" spans="1:8">
      <c r="A147" s="12"/>
      <c r="B147" s="2"/>
      <c r="C147" s="2"/>
      <c r="D147" s="2"/>
      <c r="E147" s="2"/>
      <c r="F147" s="117"/>
      <c r="G147" s="2"/>
      <c r="H147" s="2"/>
    </row>
    <row r="148" spans="1:8" ht="15.75">
      <c r="A148" s="118" t="s">
        <v>669</v>
      </c>
      <c r="B148" s="119"/>
      <c r="C148" s="119"/>
      <c r="D148" s="119"/>
      <c r="E148" s="119"/>
      <c r="F148" s="120"/>
      <c r="G148" s="119"/>
      <c r="H148" s="121"/>
    </row>
    <row r="149" spans="1:8">
      <c r="A149" s="12" t="s">
        <v>670</v>
      </c>
      <c r="B149" s="122">
        <v>2500</v>
      </c>
      <c r="C149" s="2">
        <v>2.3915999999999999</v>
      </c>
      <c r="D149" s="122">
        <f>INT(B149*C149/100*100+0.5)/100</f>
        <v>59.79</v>
      </c>
      <c r="E149" s="2"/>
      <c r="F149" s="17"/>
      <c r="G149" s="2"/>
      <c r="H149" s="3"/>
    </row>
    <row r="150" spans="1:8">
      <c r="A150" s="12" t="s">
        <v>671</v>
      </c>
      <c r="B150" s="122">
        <v>7500</v>
      </c>
      <c r="C150" s="2">
        <v>2.1922000000000001</v>
      </c>
      <c r="D150" s="122">
        <f>INT(B150*C150/100*100+0.5)/100</f>
        <v>164.42</v>
      </c>
      <c r="E150" s="2"/>
      <c r="F150" s="17"/>
      <c r="G150" s="2"/>
      <c r="H150" s="3"/>
    </row>
    <row r="151" spans="1:8">
      <c r="A151" s="12" t="s">
        <v>672</v>
      </c>
      <c r="B151" s="122">
        <v>15000</v>
      </c>
      <c r="C151" s="2">
        <v>1.9928999999999999</v>
      </c>
      <c r="D151" s="122">
        <f>INT(B151*C151/100*100+0.5)/100</f>
        <v>298.94</v>
      </c>
      <c r="E151" s="2" t="s">
        <v>474</v>
      </c>
      <c r="F151" s="17"/>
      <c r="G151" s="2"/>
      <c r="H151" s="3"/>
    </row>
    <row r="152" spans="1:8">
      <c r="A152" s="12" t="s">
        <v>673</v>
      </c>
      <c r="B152" s="122">
        <v>25000</v>
      </c>
      <c r="C152" s="2">
        <v>1.5943000000000001</v>
      </c>
      <c r="D152" s="122">
        <f>INT(B152*C152/100*100+0.5)/100</f>
        <v>398.58</v>
      </c>
      <c r="E152" s="2" t="s">
        <v>474</v>
      </c>
      <c r="F152" s="17"/>
      <c r="G152" s="2"/>
      <c r="H152" s="3"/>
    </row>
    <row r="153" spans="1:8">
      <c r="A153" s="12" t="s">
        <v>674</v>
      </c>
      <c r="B153" s="122">
        <f>F108-'Wolf ridotto 2013'!N2000-50000</f>
        <v>1140491.3020000001</v>
      </c>
      <c r="C153" s="2">
        <v>1.395</v>
      </c>
      <c r="D153" s="123">
        <f>INT(B153*C153/100*100+0.5)/100</f>
        <v>15909.85</v>
      </c>
      <c r="E153" s="2" t="s">
        <v>474</v>
      </c>
      <c r="F153" s="17"/>
      <c r="G153" s="2"/>
      <c r="H153" s="3"/>
    </row>
    <row r="154" spans="1:8">
      <c r="A154" s="12" t="s">
        <v>675</v>
      </c>
      <c r="B154" s="690" t="s">
        <v>871</v>
      </c>
      <c r="C154" s="2"/>
      <c r="D154" s="122">
        <f>SUM(D149:D153)</f>
        <v>16831.580000000002</v>
      </c>
      <c r="E154" s="2" t="s">
        <v>676</v>
      </c>
      <c r="F154" s="104">
        <f>D154</f>
        <v>16831.580000000002</v>
      </c>
      <c r="G154" s="2" t="s">
        <v>474</v>
      </c>
      <c r="H154" s="3"/>
    </row>
    <row r="155" spans="1:8">
      <c r="A155" s="12" t="s">
        <v>2074</v>
      </c>
      <c r="B155" s="2"/>
      <c r="C155" s="2"/>
      <c r="D155" s="2"/>
      <c r="E155" s="2"/>
      <c r="F155" s="17">
        <v>30</v>
      </c>
      <c r="G155" s="2" t="s">
        <v>474</v>
      </c>
      <c r="H155" s="3"/>
    </row>
    <row r="156" spans="1:8">
      <c r="A156" s="12" t="s">
        <v>2075</v>
      </c>
      <c r="B156" s="2"/>
      <c r="C156" s="2"/>
      <c r="D156" s="2"/>
      <c r="E156" s="2"/>
      <c r="F156" s="104">
        <f>INT(F154*(1-F155/100)*100+0.5)/100</f>
        <v>11782.11</v>
      </c>
      <c r="G156" s="2"/>
      <c r="H156" s="3"/>
    </row>
    <row r="157" spans="1:8" hidden="1">
      <c r="A157" s="12" t="s">
        <v>2076</v>
      </c>
      <c r="B157" s="2"/>
      <c r="C157" s="2"/>
      <c r="D157" s="2"/>
      <c r="E157" s="2"/>
      <c r="F157" s="17"/>
      <c r="G157" s="2" t="s">
        <v>474</v>
      </c>
      <c r="H157" s="3"/>
    </row>
    <row r="158" spans="1:8" hidden="1">
      <c r="A158" s="12" t="s">
        <v>2077</v>
      </c>
      <c r="B158" s="2"/>
      <c r="C158" s="2"/>
      <c r="D158" s="2"/>
      <c r="E158" s="2"/>
      <c r="F158" s="104">
        <f>F156*(1+F157/100)</f>
        <v>11782.11</v>
      </c>
      <c r="G158" s="2"/>
      <c r="H158" s="3"/>
    </row>
    <row r="159" spans="1:8" hidden="1">
      <c r="A159" s="59" t="s">
        <v>2078</v>
      </c>
      <c r="B159" s="38"/>
      <c r="C159" s="38"/>
      <c r="D159" s="38"/>
      <c r="E159" s="38"/>
      <c r="F159" s="84"/>
      <c r="G159" s="38" t="s">
        <v>474</v>
      </c>
      <c r="H159" s="27"/>
    </row>
    <row r="160" spans="1:8" hidden="1">
      <c r="A160" s="60" t="s">
        <v>606</v>
      </c>
      <c r="B160" s="2"/>
      <c r="C160" s="2"/>
      <c r="D160" s="2"/>
      <c r="E160" s="2"/>
      <c r="F160" s="48"/>
      <c r="G160" s="2"/>
      <c r="H160" s="3"/>
    </row>
    <row r="161" spans="1:8" hidden="1">
      <c r="A161" s="24" t="s">
        <v>607</v>
      </c>
      <c r="B161" s="2"/>
      <c r="C161" s="2"/>
      <c r="D161" s="2"/>
      <c r="E161" s="2"/>
      <c r="F161" s="48">
        <f>(F159-F160)</f>
        <v>0</v>
      </c>
      <c r="G161" s="2"/>
      <c r="H161" s="3"/>
    </row>
    <row r="162" spans="1:8" hidden="1">
      <c r="A162" s="24" t="s">
        <v>608</v>
      </c>
      <c r="B162" s="2"/>
      <c r="C162" s="2"/>
      <c r="D162" s="2"/>
      <c r="E162" s="2"/>
      <c r="F162" s="48">
        <f>F161*0.02</f>
        <v>0</v>
      </c>
      <c r="G162" s="2"/>
      <c r="H162" s="3"/>
    </row>
    <row r="163" spans="1:8" hidden="1">
      <c r="A163" s="24" t="s">
        <v>609</v>
      </c>
      <c r="B163" s="2"/>
      <c r="C163" s="2"/>
      <c r="D163" s="2"/>
      <c r="E163" s="2"/>
      <c r="F163" s="48">
        <f>(F161+F162)*0.2</f>
        <v>0</v>
      </c>
      <c r="G163" s="2"/>
      <c r="H163" s="3"/>
    </row>
    <row r="164" spans="1:8" hidden="1">
      <c r="A164" s="59" t="s">
        <v>610</v>
      </c>
      <c r="B164" s="38"/>
      <c r="C164" s="38"/>
      <c r="D164" s="38"/>
      <c r="E164" s="38"/>
      <c r="F164" s="124">
        <f>SUM(F161:F163)</f>
        <v>0</v>
      </c>
      <c r="G164" s="38"/>
      <c r="H164" s="27"/>
    </row>
    <row r="165" spans="1:8" hidden="1">
      <c r="A165" s="60" t="s">
        <v>649</v>
      </c>
      <c r="B165" s="2"/>
      <c r="C165" s="2"/>
      <c r="D165" s="2"/>
      <c r="E165" s="2"/>
      <c r="F165" s="49">
        <f>F161*20/100</f>
        <v>0</v>
      </c>
      <c r="G165" s="2"/>
      <c r="H165" s="3"/>
    </row>
    <row r="166" spans="1:8" hidden="1">
      <c r="A166" s="60"/>
      <c r="B166" s="2"/>
      <c r="C166" s="2"/>
      <c r="D166" s="2"/>
      <c r="E166" s="2"/>
      <c r="F166" s="49"/>
      <c r="G166" s="2"/>
      <c r="H166" s="3"/>
    </row>
    <row r="167" spans="1:8">
      <c r="A167" s="62"/>
      <c r="B167" s="38"/>
      <c r="C167" s="38"/>
      <c r="D167" s="38"/>
      <c r="E167" s="38"/>
      <c r="F167" s="125"/>
      <c r="G167" s="38"/>
      <c r="H167" s="27"/>
    </row>
    <row r="168" spans="1:8" ht="15.75">
      <c r="A168" s="80" t="s">
        <v>2082</v>
      </c>
      <c r="B168" s="5"/>
      <c r="C168" s="5"/>
      <c r="D168" s="5"/>
      <c r="E168" s="5"/>
      <c r="F168" s="126"/>
      <c r="G168" s="5"/>
      <c r="H168" s="53"/>
    </row>
    <row r="169" spans="1:8" ht="15.75">
      <c r="A169" s="81" t="s">
        <v>2083</v>
      </c>
      <c r="B169" s="2"/>
      <c r="C169" s="2"/>
      <c r="D169" s="2"/>
      <c r="E169" s="2"/>
      <c r="F169" s="127">
        <f>F120</f>
        <v>26942.880000000001</v>
      </c>
      <c r="G169" s="2"/>
      <c r="H169" s="3"/>
    </row>
    <row r="170" spans="1:8" ht="15.75">
      <c r="A170" s="81" t="s">
        <v>2084</v>
      </c>
      <c r="B170" s="2"/>
      <c r="C170" s="2"/>
      <c r="D170" s="2"/>
      <c r="E170" s="2"/>
      <c r="F170" s="127">
        <f>F137</f>
        <v>12573.344875308105</v>
      </c>
      <c r="G170" s="2"/>
      <c r="H170" s="3"/>
    </row>
    <row r="171" spans="1:8" ht="15.75">
      <c r="A171" s="81" t="s">
        <v>2085</v>
      </c>
      <c r="B171" s="2"/>
      <c r="C171" s="2"/>
      <c r="D171" s="2"/>
      <c r="E171" s="2"/>
      <c r="F171" s="127">
        <f>F156</f>
        <v>11782.11</v>
      </c>
      <c r="G171" s="2"/>
      <c r="H171" s="3"/>
    </row>
    <row r="172" spans="1:8" ht="15.75">
      <c r="A172" s="81" t="s">
        <v>1822</v>
      </c>
      <c r="B172" s="2"/>
      <c r="C172" s="2"/>
      <c r="D172" s="2"/>
      <c r="E172" s="2"/>
      <c r="F172" s="127">
        <f>F212</f>
        <v>15159.06196860508</v>
      </c>
      <c r="G172" s="2"/>
      <c r="H172" s="3"/>
    </row>
    <row r="173" spans="1:8" ht="15.75">
      <c r="A173" s="81" t="s">
        <v>2086</v>
      </c>
      <c r="B173" s="2"/>
      <c r="C173" s="2"/>
      <c r="D173" s="2"/>
      <c r="E173" s="2"/>
      <c r="F173" s="128">
        <v>0</v>
      </c>
      <c r="G173" s="2"/>
      <c r="H173" s="3"/>
    </row>
    <row r="174" spans="1:8" ht="15.75">
      <c r="A174" s="81" t="s">
        <v>2087</v>
      </c>
      <c r="B174" s="2"/>
      <c r="C174" s="2"/>
      <c r="D174" s="2"/>
      <c r="E174" s="2"/>
      <c r="F174" s="129">
        <f>SUM(F169:F173)</f>
        <v>66457.396843913186</v>
      </c>
      <c r="G174" s="2"/>
      <c r="H174" s="3"/>
    </row>
    <row r="175" spans="1:8">
      <c r="A175" s="12" t="s">
        <v>642</v>
      </c>
      <c r="B175" s="2"/>
      <c r="C175" s="2"/>
      <c r="D175" s="2"/>
      <c r="E175" s="2"/>
      <c r="F175" s="689">
        <v>0.2142</v>
      </c>
      <c r="G175" s="2"/>
      <c r="H175" s="3"/>
    </row>
    <row r="176" spans="1:8">
      <c r="A176" s="12" t="s">
        <v>2158</v>
      </c>
      <c r="B176" s="2"/>
      <c r="C176" s="2"/>
      <c r="D176" s="2"/>
      <c r="E176" s="2"/>
      <c r="F176" s="130">
        <v>1</v>
      </c>
      <c r="G176" s="2"/>
      <c r="H176" s="3"/>
    </row>
    <row r="177" spans="1:8">
      <c r="A177" s="12" t="s">
        <v>2088</v>
      </c>
      <c r="B177" s="2"/>
      <c r="C177" s="2"/>
      <c r="D177" s="2"/>
      <c r="E177" s="2"/>
      <c r="F177" s="84">
        <f>INT(F174*F175*F176*100+0.5)/100</f>
        <v>14235.17</v>
      </c>
      <c r="G177" s="2"/>
      <c r="H177" s="3"/>
    </row>
    <row r="178" spans="1:8">
      <c r="A178" s="85" t="s">
        <v>2089</v>
      </c>
      <c r="B178" s="2"/>
      <c r="C178" s="2"/>
      <c r="D178" s="2"/>
      <c r="E178" s="2"/>
      <c r="F178" s="104">
        <f>F174+F177</f>
        <v>80692.566843913184</v>
      </c>
      <c r="G178" s="2"/>
      <c r="H178" s="3"/>
    </row>
    <row r="179" spans="1:8">
      <c r="A179" s="85" t="s">
        <v>646</v>
      </c>
      <c r="B179" s="2"/>
      <c r="C179" s="2"/>
      <c r="D179" s="2"/>
      <c r="E179" s="2"/>
      <c r="F179" s="44">
        <v>-0.2</v>
      </c>
      <c r="G179" s="2"/>
      <c r="H179" s="3"/>
    </row>
    <row r="180" spans="1:8">
      <c r="A180" s="85" t="s">
        <v>2090</v>
      </c>
      <c r="B180" s="2"/>
      <c r="C180" s="2"/>
      <c r="D180" s="2"/>
      <c r="E180" s="2"/>
      <c r="F180" s="128">
        <f>INT(F178*F179*100+0.5)/100</f>
        <v>-16138.51</v>
      </c>
      <c r="G180" s="2"/>
      <c r="H180" s="3"/>
    </row>
    <row r="181" spans="1:8" ht="15.75">
      <c r="A181" s="131" t="s">
        <v>2091</v>
      </c>
      <c r="B181" s="38"/>
      <c r="C181" s="38"/>
      <c r="D181" s="38"/>
      <c r="E181" s="38"/>
      <c r="F181" s="132">
        <f>F178+F180</f>
        <v>64554.056843913182</v>
      </c>
      <c r="G181" s="38" t="s">
        <v>474</v>
      </c>
      <c r="H181" s="27"/>
    </row>
    <row r="182" spans="1:8">
      <c r="A182" s="133" t="s">
        <v>2159</v>
      </c>
      <c r="B182" s="5"/>
      <c r="C182" s="5"/>
      <c r="D182" s="5"/>
      <c r="E182" s="672">
        <v>0.04</v>
      </c>
      <c r="F182" s="173">
        <f>INT(F181*E182*100+0.5)/100</f>
        <v>2582.16</v>
      </c>
      <c r="G182" s="5"/>
      <c r="H182" s="53"/>
    </row>
    <row r="183" spans="1:8">
      <c r="A183" s="24" t="s">
        <v>648</v>
      </c>
      <c r="B183" s="2"/>
      <c r="C183" s="2"/>
      <c r="D183" s="2"/>
      <c r="E183" s="2"/>
      <c r="F183" s="173">
        <f>F181+F182</f>
        <v>67136.216843913178</v>
      </c>
      <c r="G183" s="2"/>
      <c r="H183" s="3"/>
    </row>
    <row r="184" spans="1:8">
      <c r="A184" s="24" t="s">
        <v>609</v>
      </c>
      <c r="B184" s="2"/>
      <c r="C184" s="2"/>
      <c r="D184" s="2"/>
      <c r="E184" s="672">
        <v>0.22</v>
      </c>
      <c r="F184" s="173">
        <f>INT(F183*E184*100+0.5)/100</f>
        <v>14769.97</v>
      </c>
      <c r="G184" s="2"/>
      <c r="H184" s="3"/>
    </row>
    <row r="185" spans="1:8">
      <c r="A185" s="59" t="s">
        <v>610</v>
      </c>
      <c r="B185" s="38"/>
      <c r="C185" s="38"/>
      <c r="D185" s="38"/>
      <c r="E185" s="38"/>
      <c r="F185" s="84">
        <f>F183+F184</f>
        <v>81906.186843913179</v>
      </c>
      <c r="G185" s="38"/>
      <c r="H185" s="27"/>
    </row>
    <row r="186" spans="1:8">
      <c r="A186" s="61" t="s">
        <v>649</v>
      </c>
      <c r="B186" s="5"/>
      <c r="C186" s="5"/>
      <c r="D186" s="5"/>
      <c r="E186" s="5"/>
      <c r="F186" s="126">
        <f>INT(F181*20/100*100+0.5)/100</f>
        <v>12910.81</v>
      </c>
      <c r="G186" s="5"/>
      <c r="H186" s="53"/>
    </row>
    <row r="187" spans="1:8">
      <c r="A187" s="62" t="s">
        <v>650</v>
      </c>
      <c r="B187" s="38"/>
      <c r="C187" s="38"/>
      <c r="D187" s="38"/>
      <c r="E187" s="38"/>
      <c r="F187" s="84">
        <f>F185-F186</f>
        <v>68995.376843913182</v>
      </c>
      <c r="G187" s="38"/>
      <c r="H187" s="27"/>
    </row>
    <row r="188" spans="1:8" ht="13.5" thickBot="1">
      <c r="A188" s="60"/>
      <c r="B188" s="2"/>
      <c r="C188" s="2"/>
      <c r="D188" s="2"/>
      <c r="E188" s="2"/>
      <c r="F188" s="16"/>
      <c r="G188" s="2"/>
      <c r="H188" s="2"/>
    </row>
    <row r="189" spans="1:8">
      <c r="A189" s="134" t="s">
        <v>2092</v>
      </c>
      <c r="B189" s="135"/>
      <c r="C189" s="135"/>
      <c r="D189" s="135"/>
      <c r="E189" s="135"/>
      <c r="F189" s="136">
        <f>F99+F181</f>
        <v>102647.74684391319</v>
      </c>
      <c r="G189" s="137"/>
      <c r="H189" s="138" t="s">
        <v>2093</v>
      </c>
    </row>
    <row r="190" spans="1:8">
      <c r="A190" s="139" t="s">
        <v>2094</v>
      </c>
      <c r="B190" s="140"/>
      <c r="C190" s="140"/>
      <c r="D190" s="140"/>
      <c r="E190" s="140"/>
      <c r="F190" s="141">
        <f>INT(F189*1.04*100+0.5)/100</f>
        <v>106753.66</v>
      </c>
      <c r="G190" s="142"/>
      <c r="H190" s="143">
        <f>(F190-G190)/F190</f>
        <v>1</v>
      </c>
    </row>
    <row r="191" spans="1:8">
      <c r="A191" s="144" t="s">
        <v>2095</v>
      </c>
      <c r="B191" s="140"/>
      <c r="C191" s="140"/>
      <c r="D191" s="140"/>
      <c r="E191" s="140" t="s">
        <v>2096</v>
      </c>
      <c r="F191" s="145">
        <f>F190/F5</f>
        <v>8.1789152675746074E-2</v>
      </c>
      <c r="G191" s="146"/>
      <c r="H191" s="147"/>
    </row>
    <row r="192" spans="1:8" ht="13.5" thickBot="1">
      <c r="A192" s="148"/>
      <c r="B192" s="149"/>
      <c r="C192" s="149"/>
      <c r="D192" s="149"/>
      <c r="E192" s="149"/>
      <c r="F192" s="150"/>
      <c r="G192" s="151"/>
      <c r="H192" s="152" t="s">
        <v>1817</v>
      </c>
    </row>
    <row r="193" spans="1:8">
      <c r="A193" s="12"/>
      <c r="B193" s="2"/>
      <c r="C193" s="2"/>
      <c r="D193" s="2"/>
      <c r="E193" s="2"/>
      <c r="F193" s="153" t="s">
        <v>1818</v>
      </c>
      <c r="G193" s="154"/>
      <c r="H193" s="155"/>
    </row>
    <row r="194" spans="1:8">
      <c r="A194" s="12"/>
      <c r="B194" s="2"/>
      <c r="C194" s="2"/>
      <c r="D194" s="2"/>
      <c r="E194" s="2"/>
      <c r="F194" s="156"/>
      <c r="G194" s="5"/>
      <c r="H194" s="5"/>
    </row>
    <row r="195" spans="1:8" ht="15.75">
      <c r="A195" s="157" t="s">
        <v>1819</v>
      </c>
      <c r="B195" s="5"/>
      <c r="C195" s="5"/>
      <c r="D195" s="5"/>
      <c r="E195" s="5"/>
      <c r="F195" s="156"/>
      <c r="G195" s="5"/>
      <c r="H195" s="53"/>
    </row>
    <row r="196" spans="1:8">
      <c r="A196" s="59" t="s">
        <v>1820</v>
      </c>
      <c r="B196" s="38"/>
      <c r="C196" s="38"/>
      <c r="D196" s="38"/>
      <c r="E196" s="38"/>
      <c r="F196" s="158">
        <f>450000/1936.27</f>
        <v>232.40560459026892</v>
      </c>
      <c r="G196" s="38" t="s">
        <v>474</v>
      </c>
      <c r="H196" s="27" t="s">
        <v>1821</v>
      </c>
    </row>
    <row r="197" spans="1:8">
      <c r="A197" s="24" t="s">
        <v>608</v>
      </c>
      <c r="B197" s="2"/>
      <c r="C197" s="2"/>
      <c r="D197" s="2"/>
      <c r="E197" s="2"/>
      <c r="F197" s="159">
        <f>F196*0.02</f>
        <v>4.6481120918053787</v>
      </c>
      <c r="G197" s="2"/>
      <c r="H197" s="3"/>
    </row>
    <row r="198" spans="1:8">
      <c r="A198" s="24" t="s">
        <v>609</v>
      </c>
      <c r="B198" s="2"/>
      <c r="C198" s="2"/>
      <c r="D198" s="2"/>
      <c r="E198" s="2"/>
      <c r="F198" s="159">
        <f>(F196+F197)*0.2</f>
        <v>47.410743336414868</v>
      </c>
      <c r="G198" s="2"/>
      <c r="H198" s="3"/>
    </row>
    <row r="199" spans="1:8">
      <c r="A199" s="59" t="s">
        <v>610</v>
      </c>
      <c r="B199" s="38"/>
      <c r="C199" s="38"/>
      <c r="D199" s="38"/>
      <c r="E199" s="38"/>
      <c r="F199" s="158">
        <f>SUM(F196:F198)</f>
        <v>284.46446001848915</v>
      </c>
      <c r="G199" s="38"/>
      <c r="H199" s="27"/>
    </row>
    <row r="200" spans="1:8">
      <c r="A200" s="62" t="s">
        <v>649</v>
      </c>
      <c r="B200" s="38"/>
      <c r="C200" s="38"/>
      <c r="D200" s="38"/>
      <c r="E200" s="38"/>
      <c r="F200" s="160">
        <f>F196*20/100</f>
        <v>46.481120918053783</v>
      </c>
      <c r="G200" s="38"/>
      <c r="H200" s="27"/>
    </row>
    <row r="201" spans="1:8">
      <c r="A201" s="60"/>
      <c r="B201" s="2"/>
      <c r="C201" s="2"/>
      <c r="D201" s="2"/>
      <c r="E201" s="2"/>
      <c r="F201" s="161"/>
      <c r="G201" s="2"/>
      <c r="H201" s="2"/>
    </row>
    <row r="202" spans="1:8" ht="15.75">
      <c r="A202" s="80" t="s">
        <v>1822</v>
      </c>
      <c r="B202" s="5"/>
      <c r="C202" s="5"/>
      <c r="D202" s="5"/>
      <c r="E202" s="5"/>
      <c r="F202" s="22">
        <f>F5</f>
        <v>1305230.0520000001</v>
      </c>
      <c r="G202" s="5"/>
      <c r="H202" s="5"/>
    </row>
    <row r="203" spans="1:8">
      <c r="A203" s="12" t="s">
        <v>479</v>
      </c>
      <c r="B203" s="2"/>
      <c r="C203" s="2"/>
      <c r="D203" s="2"/>
      <c r="E203" s="2"/>
      <c r="F203" s="22">
        <v>1500000</v>
      </c>
      <c r="G203" s="2" t="s">
        <v>474</v>
      </c>
      <c r="H203" s="2"/>
    </row>
    <row r="204" spans="1:8">
      <c r="A204" s="12" t="s">
        <v>480</v>
      </c>
      <c r="B204" s="2"/>
      <c r="C204" s="2"/>
      <c r="D204" s="2"/>
      <c r="E204" s="2"/>
      <c r="F204" s="22">
        <v>2000000</v>
      </c>
      <c r="G204" s="2" t="s">
        <v>474</v>
      </c>
      <c r="H204" s="2"/>
    </row>
    <row r="205" spans="1:8">
      <c r="A205" s="12" t="s">
        <v>481</v>
      </c>
      <c r="B205" s="2"/>
      <c r="C205" s="2"/>
      <c r="D205" s="2"/>
      <c r="E205" s="2"/>
      <c r="F205" s="23">
        <v>4.694</v>
      </c>
      <c r="G205" s="2" t="s">
        <v>474</v>
      </c>
      <c r="H205" s="2"/>
    </row>
    <row r="206" spans="1:8">
      <c r="A206" s="12" t="s">
        <v>482</v>
      </c>
      <c r="B206" s="2"/>
      <c r="C206" s="2"/>
      <c r="D206" s="2"/>
      <c r="E206" s="2"/>
      <c r="F206" s="23">
        <v>4.4565999999999999</v>
      </c>
      <c r="G206" s="2" t="s">
        <v>474</v>
      </c>
      <c r="H206" s="2"/>
    </row>
    <row r="207" spans="1:8">
      <c r="A207" s="12" t="s">
        <v>1823</v>
      </c>
      <c r="B207" s="2"/>
      <c r="C207" s="163" t="s">
        <v>1824</v>
      </c>
      <c r="D207" s="2"/>
      <c r="E207" s="2"/>
      <c r="F207" s="26">
        <f>F205-((F200-F203)*(F205-F206)/(F204-F203))</f>
        <v>5.4061779307637883</v>
      </c>
      <c r="G207" s="2"/>
      <c r="H207" s="2"/>
    </row>
    <row r="208" spans="1:8">
      <c r="A208" s="12"/>
      <c r="B208" s="2"/>
      <c r="C208" s="162" t="s">
        <v>2081</v>
      </c>
      <c r="D208" s="2"/>
      <c r="E208" s="2"/>
      <c r="F208" s="163">
        <v>0.1953</v>
      </c>
      <c r="G208" s="2"/>
      <c r="H208" s="2"/>
    </row>
    <row r="209" spans="1:8">
      <c r="A209" s="12" t="s">
        <v>528</v>
      </c>
      <c r="B209" s="2"/>
      <c r="C209" s="164" t="s">
        <v>1825</v>
      </c>
      <c r="D209" s="2"/>
      <c r="E209" s="2"/>
      <c r="F209" s="22">
        <f>F108*F207*F208/100</f>
        <v>13780.965426004617</v>
      </c>
      <c r="G209" s="2"/>
      <c r="H209" s="2"/>
    </row>
    <row r="210" spans="1:8">
      <c r="A210" s="12" t="s">
        <v>642</v>
      </c>
      <c r="B210" s="2" t="s">
        <v>2073</v>
      </c>
      <c r="C210" s="2"/>
      <c r="D210" s="2"/>
      <c r="E210" s="2"/>
      <c r="F210" s="22">
        <f>F209*0.1</f>
        <v>1378.0965426004618</v>
      </c>
      <c r="G210" s="2" t="s">
        <v>474</v>
      </c>
      <c r="H210" s="2"/>
    </row>
    <row r="211" spans="1:8">
      <c r="A211" s="12" t="s">
        <v>1941</v>
      </c>
      <c r="B211" s="2"/>
      <c r="C211" s="2"/>
      <c r="D211" s="2"/>
      <c r="E211" s="2"/>
      <c r="F211" s="117"/>
      <c r="G211" s="2"/>
      <c r="H211" s="2"/>
    </row>
    <row r="212" spans="1:8">
      <c r="A212" s="12" t="s">
        <v>2072</v>
      </c>
      <c r="B212" s="2"/>
      <c r="C212" s="2"/>
      <c r="D212" s="2"/>
      <c r="E212" s="2"/>
      <c r="F212" s="22">
        <f>SUM(F209:F210)</f>
        <v>15159.06196860508</v>
      </c>
      <c r="G212" s="2"/>
      <c r="H212" s="2"/>
    </row>
    <row r="213" spans="1:8">
      <c r="A213" s="59" t="s">
        <v>1826</v>
      </c>
      <c r="B213" s="38"/>
      <c r="C213" s="38"/>
      <c r="D213" s="38"/>
      <c r="E213" s="38"/>
      <c r="F213" s="116"/>
      <c r="G213" s="38" t="s">
        <v>474</v>
      </c>
      <c r="H213" s="38" t="s">
        <v>1827</v>
      </c>
    </row>
    <row r="214" spans="1:8">
      <c r="A214" s="24" t="s">
        <v>608</v>
      </c>
      <c r="B214" s="2"/>
      <c r="C214" s="2"/>
      <c r="D214" s="2"/>
      <c r="E214" s="2"/>
      <c r="F214" s="115">
        <f>F213*0.02</f>
        <v>0</v>
      </c>
      <c r="G214" s="2"/>
      <c r="H214" s="2"/>
    </row>
    <row r="215" spans="1:8">
      <c r="A215" s="24" t="s">
        <v>609</v>
      </c>
      <c r="B215" s="2"/>
      <c r="C215" s="2"/>
      <c r="D215" s="2"/>
      <c r="E215" s="2"/>
      <c r="F215" s="115">
        <f>(F213+F214)*0.2</f>
        <v>0</v>
      </c>
      <c r="G215" s="2"/>
      <c r="H215" s="2"/>
    </row>
    <row r="216" spans="1:8">
      <c r="A216" s="59" t="s">
        <v>610</v>
      </c>
      <c r="B216" s="38"/>
      <c r="C216" s="38"/>
      <c r="D216" s="38"/>
      <c r="E216" s="38"/>
      <c r="F216" s="116">
        <f>SUM(F213:F215)</f>
        <v>0</v>
      </c>
      <c r="G216" s="38"/>
      <c r="H216" s="38"/>
    </row>
    <row r="217" spans="1:8">
      <c r="A217" s="60" t="s">
        <v>649</v>
      </c>
      <c r="B217" s="2"/>
      <c r="C217" s="2"/>
      <c r="D217" s="2"/>
      <c r="E217" s="2"/>
      <c r="F217" s="87">
        <f>F213*20/100</f>
        <v>0</v>
      </c>
      <c r="G217" s="2"/>
      <c r="H217" s="2"/>
    </row>
    <row r="218" spans="1:8">
      <c r="A218" s="12"/>
      <c r="B218" s="2"/>
      <c r="C218" s="2"/>
      <c r="D218" s="2"/>
      <c r="E218" s="2"/>
      <c r="F218" s="117"/>
      <c r="G218" s="2"/>
      <c r="H218" s="2"/>
    </row>
    <row r="219" spans="1:8" ht="15.75">
      <c r="A219" s="80" t="s">
        <v>1828</v>
      </c>
      <c r="B219" s="5"/>
      <c r="C219" s="5"/>
      <c r="D219" s="5"/>
      <c r="E219" s="5"/>
      <c r="F219" s="156"/>
      <c r="G219" s="5"/>
      <c r="H219" s="5"/>
    </row>
    <row r="220" spans="1:8">
      <c r="A220" s="12" t="s">
        <v>1829</v>
      </c>
      <c r="B220" s="2"/>
      <c r="C220" s="2"/>
      <c r="D220" s="2"/>
      <c r="E220" s="2"/>
      <c r="F220" s="117"/>
      <c r="G220" s="2" t="s">
        <v>474</v>
      </c>
      <c r="H220" s="2"/>
    </row>
    <row r="221" spans="1:8">
      <c r="A221" s="12" t="s">
        <v>1830</v>
      </c>
      <c r="B221" s="2"/>
      <c r="C221" s="2"/>
      <c r="D221" s="2"/>
      <c r="E221" s="2"/>
      <c r="F221" s="117">
        <v>45000</v>
      </c>
      <c r="G221" s="2"/>
      <c r="H221" s="2"/>
    </row>
    <row r="222" spans="1:8">
      <c r="A222" s="12" t="s">
        <v>1831</v>
      </c>
      <c r="B222" s="2"/>
      <c r="C222" s="2"/>
      <c r="D222" s="2"/>
      <c r="E222" s="2"/>
      <c r="F222" s="117">
        <v>0</v>
      </c>
      <c r="G222" s="2" t="s">
        <v>474</v>
      </c>
      <c r="H222" s="2"/>
    </row>
    <row r="223" spans="1:8">
      <c r="A223" s="12" t="s">
        <v>1832</v>
      </c>
      <c r="B223" s="2"/>
      <c r="C223" s="2"/>
      <c r="D223" s="2"/>
      <c r="E223" s="2"/>
      <c r="F223" s="117">
        <v>50000</v>
      </c>
      <c r="G223" s="2"/>
      <c r="H223" s="2"/>
    </row>
    <row r="224" spans="1:8">
      <c r="A224" s="12"/>
      <c r="B224" s="2"/>
      <c r="C224" s="2"/>
      <c r="D224" s="2"/>
      <c r="E224" s="2"/>
      <c r="F224" s="117"/>
      <c r="G224" s="2"/>
      <c r="H224" s="2"/>
    </row>
    <row r="225" spans="1:8">
      <c r="A225" s="60" t="s">
        <v>1833</v>
      </c>
      <c r="B225" s="2"/>
      <c r="C225" s="2"/>
      <c r="D225" s="2"/>
      <c r="E225" s="2"/>
      <c r="F225" s="117">
        <f>F220*F221+F222*F223</f>
        <v>0</v>
      </c>
      <c r="G225" s="2"/>
      <c r="H225" s="2"/>
    </row>
    <row r="226" spans="1:8">
      <c r="A226" s="59" t="s">
        <v>1834</v>
      </c>
      <c r="B226" s="38"/>
      <c r="C226" s="38"/>
      <c r="D226" s="38"/>
      <c r="E226" s="38"/>
      <c r="F226" s="116"/>
      <c r="G226" s="38" t="s">
        <v>474</v>
      </c>
      <c r="H226" s="38"/>
    </row>
    <row r="227" spans="1:8">
      <c r="A227" s="24" t="s">
        <v>608</v>
      </c>
      <c r="B227" s="2"/>
      <c r="C227" s="2"/>
      <c r="D227" s="2"/>
      <c r="E227" s="2"/>
      <c r="F227" s="115">
        <f>F226*0.02</f>
        <v>0</v>
      </c>
      <c r="G227" s="2"/>
      <c r="H227" s="2"/>
    </row>
    <row r="228" spans="1:8">
      <c r="A228" s="24" t="s">
        <v>609</v>
      </c>
      <c r="B228" s="2"/>
      <c r="C228" s="2"/>
      <c r="D228" s="2"/>
      <c r="E228" s="2"/>
      <c r="F228" s="115">
        <f>(F226+F227)*0.2</f>
        <v>0</v>
      </c>
      <c r="G228" s="2"/>
      <c r="H228" s="2"/>
    </row>
    <row r="229" spans="1:8">
      <c r="A229" s="59" t="s">
        <v>610</v>
      </c>
      <c r="B229" s="38"/>
      <c r="C229" s="38"/>
      <c r="D229" s="38"/>
      <c r="E229" s="38"/>
      <c r="F229" s="116">
        <f>SUM(F226:F228)</f>
        <v>0</v>
      </c>
      <c r="G229" s="38"/>
      <c r="H229" s="38"/>
    </row>
    <row r="230" spans="1:8">
      <c r="A230" s="60" t="s">
        <v>649</v>
      </c>
      <c r="B230" s="2"/>
      <c r="C230" s="2"/>
      <c r="D230" s="2"/>
      <c r="E230" s="2"/>
      <c r="F230" s="87">
        <f>F226*20/100</f>
        <v>0</v>
      </c>
      <c r="G230" s="2"/>
    </row>
    <row r="231" spans="1:8">
      <c r="F231" s="117"/>
    </row>
    <row r="232" spans="1:8">
      <c r="A232" s="133" t="s">
        <v>1835</v>
      </c>
      <c r="B232" s="5"/>
      <c r="C232" s="5"/>
      <c r="D232" s="5"/>
      <c r="F232" s="165"/>
      <c r="G232" s="166" t="s">
        <v>474</v>
      </c>
      <c r="H232" s="5"/>
    </row>
    <row r="233" spans="1:8">
      <c r="A233" s="12" t="s">
        <v>1836</v>
      </c>
      <c r="B233" s="2"/>
      <c r="C233" s="2"/>
      <c r="D233" s="2">
        <v>6000</v>
      </c>
      <c r="E233" s="2">
        <v>1</v>
      </c>
      <c r="F233" s="167">
        <f>D233*E233</f>
        <v>6000</v>
      </c>
      <c r="G233" s="2" t="s">
        <v>1837</v>
      </c>
      <c r="H233" s="2"/>
    </row>
    <row r="234" spans="1:8">
      <c r="A234" s="12" t="s">
        <v>1838</v>
      </c>
      <c r="B234" s="2"/>
      <c r="C234" s="2"/>
      <c r="D234" s="2">
        <v>300</v>
      </c>
      <c r="E234" s="2">
        <f>10+7+7+6</f>
        <v>30</v>
      </c>
      <c r="F234" s="167">
        <f>D234*E234</f>
        <v>9000</v>
      </c>
      <c r="G234" s="2"/>
      <c r="H234" s="2"/>
    </row>
    <row r="235" spans="1:8">
      <c r="A235" s="12" t="s">
        <v>1839</v>
      </c>
      <c r="B235" s="2"/>
      <c r="C235" s="2"/>
      <c r="D235" s="2">
        <v>400</v>
      </c>
      <c r="E235" s="2">
        <v>3</v>
      </c>
      <c r="F235" s="167">
        <f>D235*E235</f>
        <v>1200</v>
      </c>
      <c r="G235" s="2"/>
      <c r="H235" s="2"/>
    </row>
    <row r="236" spans="1:8">
      <c r="A236" s="12" t="s">
        <v>1840</v>
      </c>
      <c r="B236" s="2"/>
      <c r="C236" s="2"/>
      <c r="D236" s="2"/>
      <c r="E236" s="2"/>
      <c r="F236" s="167">
        <v>0</v>
      </c>
      <c r="G236" s="2"/>
      <c r="H236" s="2"/>
    </row>
    <row r="237" spans="1:8">
      <c r="A237" s="12" t="s">
        <v>1841</v>
      </c>
      <c r="B237" s="2"/>
      <c r="C237" s="2"/>
      <c r="D237" s="2">
        <v>2500</v>
      </c>
      <c r="E237" s="2">
        <v>3</v>
      </c>
      <c r="F237" s="167">
        <f>D237*E237</f>
        <v>7500</v>
      </c>
      <c r="G237" s="2"/>
      <c r="H237" s="2"/>
    </row>
    <row r="238" spans="1:8">
      <c r="A238" s="12" t="s">
        <v>1842</v>
      </c>
      <c r="B238" s="2"/>
      <c r="C238" s="2"/>
      <c r="D238" s="2">
        <v>1200</v>
      </c>
      <c r="E238" s="2">
        <f>(2+2+6)*3</f>
        <v>30</v>
      </c>
      <c r="F238" s="167">
        <f>D238*E238</f>
        <v>36000</v>
      </c>
      <c r="G238" s="2"/>
      <c r="H238" s="2"/>
    </row>
    <row r="239" spans="1:8">
      <c r="A239" s="12" t="s">
        <v>1843</v>
      </c>
      <c r="B239" s="2"/>
      <c r="C239" s="2"/>
      <c r="D239" s="2">
        <v>50000</v>
      </c>
      <c r="E239" s="168">
        <f>1/2</f>
        <v>0.5</v>
      </c>
      <c r="F239" s="167">
        <f>D239*E239</f>
        <v>25000</v>
      </c>
      <c r="G239" s="2"/>
      <c r="H239" s="2"/>
    </row>
    <row r="240" spans="1:8">
      <c r="A240" s="12" t="s">
        <v>1844</v>
      </c>
      <c r="B240" s="2"/>
      <c r="C240" s="2"/>
      <c r="D240" s="2"/>
      <c r="E240" s="2"/>
      <c r="F240" s="167">
        <f>SUM(F233:F239)</f>
        <v>84700</v>
      </c>
      <c r="G240" s="2"/>
      <c r="H240" s="2"/>
    </row>
    <row r="241" spans="1:8">
      <c r="A241" s="12" t="s">
        <v>1845</v>
      </c>
      <c r="B241" s="2"/>
      <c r="C241" s="2"/>
      <c r="D241" s="2"/>
      <c r="E241" s="2"/>
      <c r="F241" s="167">
        <v>85000</v>
      </c>
      <c r="G241" s="2"/>
      <c r="H241" s="2"/>
    </row>
    <row r="242" spans="1:8">
      <c r="A242" s="12" t="s">
        <v>1846</v>
      </c>
      <c r="B242" s="2"/>
      <c r="C242" s="2"/>
      <c r="D242" s="2"/>
      <c r="E242" s="2"/>
      <c r="F242" s="167"/>
      <c r="G242" s="2"/>
      <c r="H242" s="2"/>
    </row>
    <row r="243" spans="1:8">
      <c r="A243" s="12" t="s">
        <v>1847</v>
      </c>
      <c r="B243" s="2"/>
      <c r="C243" s="2"/>
      <c r="D243" s="2"/>
      <c r="E243" s="2"/>
      <c r="F243" s="167">
        <f>F241*F242</f>
        <v>0</v>
      </c>
      <c r="G243" s="2"/>
      <c r="H243" s="2"/>
    </row>
    <row r="244" spans="1:8">
      <c r="A244" s="56" t="s">
        <v>1873</v>
      </c>
      <c r="B244" s="38"/>
      <c r="C244" s="38"/>
      <c r="D244" s="38"/>
      <c r="E244" s="38"/>
      <c r="F244" s="169">
        <v>0</v>
      </c>
      <c r="G244" s="38" t="s">
        <v>1837</v>
      </c>
      <c r="H244" s="38"/>
    </row>
    <row r="245" spans="1:8">
      <c r="A245" s="24" t="s">
        <v>608</v>
      </c>
      <c r="B245" s="2"/>
      <c r="C245" s="2"/>
      <c r="D245" s="2"/>
      <c r="E245" s="2"/>
      <c r="F245" s="115">
        <f>F244*0.02</f>
        <v>0</v>
      </c>
      <c r="G245" s="2"/>
      <c r="H245" s="2"/>
    </row>
    <row r="246" spans="1:8">
      <c r="A246" s="24" t="s">
        <v>609</v>
      </c>
      <c r="B246" s="2"/>
      <c r="C246" s="2"/>
      <c r="D246" s="2"/>
      <c r="E246" s="2"/>
      <c r="F246" s="115">
        <f>(F244+F245)*0.2</f>
        <v>0</v>
      </c>
      <c r="G246" s="2"/>
      <c r="H246" s="2"/>
    </row>
    <row r="247" spans="1:8">
      <c r="A247" s="59" t="s">
        <v>610</v>
      </c>
      <c r="B247" s="38"/>
      <c r="C247" s="38"/>
      <c r="D247" s="38"/>
      <c r="E247" s="38"/>
      <c r="F247" s="116">
        <f>SUM(F244:F246)</f>
        <v>0</v>
      </c>
      <c r="G247" s="38"/>
      <c r="H247" s="38"/>
    </row>
    <row r="248" spans="1:8">
      <c r="A248" s="62" t="s">
        <v>649</v>
      </c>
      <c r="B248" s="38"/>
      <c r="C248" s="38"/>
      <c r="D248" s="38"/>
      <c r="E248" s="38"/>
      <c r="F248" s="170">
        <f>F244*20/100</f>
        <v>0</v>
      </c>
      <c r="G248" s="38"/>
      <c r="H248" s="38"/>
    </row>
  </sheetData>
  <phoneticPr fontId="5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03"/>
  <sheetViews>
    <sheetView topLeftCell="D6" workbookViewId="0">
      <pane ySplit="1110" topLeftCell="A63" activePane="bottomLeft"/>
      <selection activeCell="D4" sqref="D4"/>
      <selection pane="bottomLeft" activeCell="N11" sqref="N11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5.85546875" style="183" bestFit="1" customWidth="1"/>
    <col min="4" max="4" width="60" style="420" customWidth="1"/>
    <col min="5" max="5" width="8.7109375" style="183" bestFit="1" customWidth="1"/>
    <col min="6" max="6" width="13.85546875" style="183" bestFit="1" customWidth="1"/>
    <col min="7" max="7" width="13.7109375" style="183" bestFit="1" customWidth="1"/>
    <col min="8" max="8" width="20.28515625" style="183" hidden="1" customWidth="1"/>
    <col min="9" max="9" width="21.7109375" style="218" bestFit="1" customWidth="1"/>
    <col min="10" max="10" width="20.42578125" style="218" hidden="1" customWidth="1"/>
    <col min="11" max="11" width="8.7109375" style="183" bestFit="1" customWidth="1"/>
    <col min="12" max="12" width="13.5703125" style="218" bestFit="1" customWidth="1"/>
    <col min="13" max="13" width="11.42578125" style="218" bestFit="1" customWidth="1"/>
    <col min="14" max="14" width="17.7109375" style="218" bestFit="1" customWidth="1"/>
    <col min="15" max="15" width="12.7109375" style="218" bestFit="1" customWidth="1"/>
    <col min="16" max="16" width="17.85546875" style="218" bestFit="1" customWidth="1"/>
    <col min="17" max="17" width="13.140625" style="218" bestFit="1" customWidth="1"/>
    <col min="18" max="18" width="18.7109375" style="218" bestFit="1" customWidth="1"/>
    <col min="19" max="19" width="9.28515625" style="220" bestFit="1" customWidth="1"/>
    <col min="20" max="20" width="16.28515625" style="218" customWidth="1"/>
    <col min="21" max="21" width="13" style="218" bestFit="1" customWidth="1"/>
    <col min="22" max="22" width="19.42578125" style="218" bestFit="1" customWidth="1"/>
    <col min="23" max="23" width="9.28515625" style="220" bestFit="1" customWidth="1"/>
    <col min="24" max="24" width="15.7109375" style="218" customWidth="1"/>
    <col min="25" max="25" width="13" style="220" bestFit="1" customWidth="1"/>
    <col min="26" max="26" width="17.7109375" style="218" bestFit="1" customWidth="1"/>
    <col min="27" max="32" width="9.140625" style="183"/>
    <col min="33" max="33" width="9.7109375" style="183" bestFit="1" customWidth="1"/>
    <col min="34" max="16384" width="9.140625" style="183"/>
  </cols>
  <sheetData>
    <row r="1" spans="1:26">
      <c r="D1" s="710" t="s">
        <v>2500</v>
      </c>
      <c r="E1" s="711"/>
      <c r="F1" s="711"/>
      <c r="G1" s="711"/>
      <c r="H1" s="711"/>
      <c r="I1" s="712"/>
      <c r="J1" s="712"/>
      <c r="K1" s="711"/>
      <c r="L1" s="712"/>
      <c r="M1" s="712"/>
    </row>
    <row r="3" spans="1:26">
      <c r="A3" s="946" t="s">
        <v>1368</v>
      </c>
      <c r="B3" s="578"/>
      <c r="C3" s="579" t="s">
        <v>1035</v>
      </c>
      <c r="D3" s="580"/>
      <c r="E3" s="581"/>
      <c r="F3" s="581"/>
      <c r="G3" s="581"/>
      <c r="H3" s="581"/>
      <c r="I3" s="582"/>
      <c r="J3" s="582"/>
      <c r="K3" s="581"/>
      <c r="L3" s="582"/>
      <c r="M3" s="582"/>
      <c r="N3" s="582"/>
      <c r="O3" s="582"/>
      <c r="P3" s="582"/>
      <c r="Q3" s="582"/>
      <c r="R3" s="582"/>
      <c r="S3" s="583"/>
      <c r="T3" s="582"/>
      <c r="U3" s="582"/>
      <c r="V3" s="582"/>
      <c r="W3" s="583"/>
      <c r="X3" s="582"/>
      <c r="Y3" s="583"/>
      <c r="Z3" s="584"/>
    </row>
    <row r="4" spans="1:26">
      <c r="A4" s="947"/>
      <c r="B4" s="178"/>
      <c r="C4" s="179" t="s">
        <v>2213</v>
      </c>
      <c r="D4" s="585"/>
      <c r="E4" s="180"/>
      <c r="F4" s="180"/>
      <c r="G4" s="180"/>
      <c r="H4" s="180"/>
      <c r="I4" s="181"/>
      <c r="J4" s="181"/>
      <c r="K4" s="180"/>
      <c r="L4" s="181"/>
      <c r="M4" s="181"/>
      <c r="N4" s="181"/>
      <c r="O4" s="181"/>
      <c r="P4" s="181"/>
      <c r="Q4" s="181"/>
      <c r="R4" s="181"/>
      <c r="S4" s="182"/>
      <c r="T4" s="181"/>
      <c r="U4" s="181"/>
      <c r="V4" s="181"/>
      <c r="W4" s="182"/>
      <c r="X4" s="181"/>
      <c r="Y4" s="182"/>
      <c r="Z4" s="586"/>
    </row>
    <row r="5" spans="1:26">
      <c r="A5" s="947"/>
      <c r="B5" s="178"/>
      <c r="C5" s="179" t="s">
        <v>1036</v>
      </c>
      <c r="D5" s="585"/>
      <c r="E5" s="180"/>
      <c r="F5" s="180"/>
      <c r="G5" s="180"/>
      <c r="H5" s="180"/>
      <c r="I5" s="181"/>
      <c r="J5" s="181"/>
      <c r="K5" s="180"/>
      <c r="L5" s="181"/>
      <c r="M5" s="181"/>
      <c r="N5" s="181"/>
      <c r="O5" s="181"/>
      <c r="P5" s="181"/>
      <c r="Q5" s="181"/>
      <c r="R5" s="181"/>
      <c r="S5" s="182"/>
      <c r="T5" s="181"/>
      <c r="U5" s="181"/>
      <c r="V5" s="181"/>
      <c r="W5" s="182"/>
      <c r="X5" s="181"/>
      <c r="Y5" s="182"/>
      <c r="Z5" s="586"/>
    </row>
    <row r="6" spans="1:26">
      <c r="A6" s="947"/>
      <c r="B6" s="178"/>
      <c r="C6" s="179"/>
      <c r="D6" s="585"/>
      <c r="E6" s="180"/>
      <c r="F6" s="935" t="s">
        <v>1806</v>
      </c>
      <c r="G6" s="936"/>
      <c r="H6" s="936"/>
      <c r="I6" s="937"/>
      <c r="J6" s="393"/>
      <c r="K6" s="180"/>
      <c r="L6" s="181"/>
      <c r="M6" s="184" t="s">
        <v>1806</v>
      </c>
      <c r="N6" s="184"/>
      <c r="O6" s="184"/>
      <c r="P6" s="184"/>
      <c r="Q6" s="184"/>
      <c r="R6" s="493"/>
      <c r="S6" s="493"/>
      <c r="T6" s="493"/>
      <c r="U6" s="184"/>
      <c r="V6" s="184"/>
      <c r="W6" s="184"/>
      <c r="X6" s="184"/>
      <c r="Y6" s="184"/>
      <c r="Z6" s="184"/>
    </row>
    <row r="7" spans="1:26">
      <c r="A7" s="948"/>
      <c r="B7" s="178"/>
      <c r="C7" s="186"/>
      <c r="D7" s="587"/>
      <c r="E7" s="187"/>
      <c r="F7" s="938"/>
      <c r="G7" s="939"/>
      <c r="H7" s="939"/>
      <c r="I7" s="940"/>
      <c r="J7" s="394"/>
      <c r="K7" s="187"/>
      <c r="L7" s="188"/>
      <c r="M7" s="607" t="s">
        <v>2466</v>
      </c>
      <c r="N7" s="607"/>
      <c r="O7" s="610" t="s">
        <v>2467</v>
      </c>
      <c r="P7" s="610"/>
      <c r="Q7" s="608" t="s">
        <v>2468</v>
      </c>
      <c r="R7" s="608"/>
      <c r="S7" s="609" t="s">
        <v>23</v>
      </c>
      <c r="T7" s="608"/>
      <c r="U7" s="608" t="s">
        <v>2469</v>
      </c>
      <c r="V7" s="608"/>
      <c r="W7" s="609" t="s">
        <v>341</v>
      </c>
      <c r="X7" s="608"/>
      <c r="Y7" s="609" t="s">
        <v>2470</v>
      </c>
      <c r="Z7" s="608"/>
    </row>
    <row r="8" spans="1:26" ht="14.25">
      <c r="A8" s="192" t="s">
        <v>1788</v>
      </c>
      <c r="B8" s="193" t="s">
        <v>462</v>
      </c>
      <c r="C8" s="194"/>
      <c r="D8" s="195" t="s">
        <v>1889</v>
      </c>
      <c r="E8" s="194" t="s">
        <v>1890</v>
      </c>
      <c r="F8" s="204" t="s">
        <v>1891</v>
      </c>
      <c r="G8" s="196" t="s">
        <v>1892</v>
      </c>
      <c r="H8" s="205" t="s">
        <v>1893</v>
      </c>
      <c r="I8" s="199" t="s">
        <v>2207</v>
      </c>
      <c r="J8" s="206"/>
      <c r="K8" s="194" t="s">
        <v>1890</v>
      </c>
      <c r="L8" s="197" t="s">
        <v>1892</v>
      </c>
      <c r="M8" s="198" t="s">
        <v>1891</v>
      </c>
      <c r="N8" s="199" t="s">
        <v>2207</v>
      </c>
      <c r="O8" s="198" t="s">
        <v>1891</v>
      </c>
      <c r="P8" s="199" t="s">
        <v>2207</v>
      </c>
      <c r="Q8" s="198" t="s">
        <v>1891</v>
      </c>
      <c r="R8" s="199" t="s">
        <v>2207</v>
      </c>
      <c r="S8" s="200" t="s">
        <v>1891</v>
      </c>
      <c r="T8" s="199" t="s">
        <v>2207</v>
      </c>
      <c r="U8" s="198" t="s">
        <v>1891</v>
      </c>
      <c r="V8" s="199" t="s">
        <v>2207</v>
      </c>
      <c r="W8" s="200" t="s">
        <v>1891</v>
      </c>
      <c r="X8" s="199" t="s">
        <v>2207</v>
      </c>
      <c r="Y8" s="200" t="s">
        <v>1891</v>
      </c>
      <c r="Z8" s="199" t="s">
        <v>2207</v>
      </c>
    </row>
    <row r="9" spans="1:26">
      <c r="A9" s="201"/>
      <c r="B9" s="202"/>
      <c r="C9" s="202"/>
      <c r="D9" s="203"/>
      <c r="E9" s="202"/>
      <c r="F9" s="204" t="s">
        <v>1894</v>
      </c>
      <c r="G9" s="196" t="s">
        <v>1895</v>
      </c>
      <c r="H9" s="205" t="s">
        <v>1896</v>
      </c>
      <c r="I9" s="392" t="s">
        <v>1779</v>
      </c>
      <c r="J9" s="206"/>
      <c r="K9" s="202"/>
      <c r="L9" s="206" t="s">
        <v>1895</v>
      </c>
      <c r="M9" s="207" t="s">
        <v>1894</v>
      </c>
      <c r="N9" s="208"/>
      <c r="O9" s="207" t="s">
        <v>1894</v>
      </c>
      <c r="P9" s="208"/>
      <c r="Q9" s="207" t="s">
        <v>1894</v>
      </c>
      <c r="R9" s="208"/>
      <c r="S9" s="209" t="s">
        <v>1894</v>
      </c>
      <c r="T9" s="208"/>
      <c r="U9" s="207" t="s">
        <v>1894</v>
      </c>
      <c r="V9" s="208"/>
      <c r="W9" s="209" t="s">
        <v>1894</v>
      </c>
      <c r="X9" s="208"/>
      <c r="Y9" s="209" t="s">
        <v>1894</v>
      </c>
      <c r="Z9" s="208"/>
    </row>
    <row r="10" spans="1:26" ht="15">
      <c r="A10" s="210"/>
      <c r="B10" s="211"/>
      <c r="C10" s="211"/>
      <c r="D10" s="212"/>
      <c r="E10" s="211"/>
      <c r="F10" s="213" t="s">
        <v>1890</v>
      </c>
      <c r="G10" s="395" t="s">
        <v>1897</v>
      </c>
      <c r="H10" s="396" t="s">
        <v>1897</v>
      </c>
      <c r="I10" s="215"/>
      <c r="J10" s="413"/>
      <c r="K10" s="211"/>
      <c r="L10" s="214" t="s">
        <v>1897</v>
      </c>
      <c r="M10" s="215" t="s">
        <v>1890</v>
      </c>
      <c r="N10" s="215"/>
      <c r="O10" s="215" t="s">
        <v>1890</v>
      </c>
      <c r="P10" s="215"/>
      <c r="Q10" s="215" t="s">
        <v>1890</v>
      </c>
      <c r="R10" s="215"/>
      <c r="S10" s="216" t="s">
        <v>1890</v>
      </c>
      <c r="T10" s="215"/>
      <c r="U10" s="215" t="s">
        <v>1890</v>
      </c>
      <c r="V10" s="215"/>
      <c r="W10" s="216" t="s">
        <v>1890</v>
      </c>
      <c r="X10" s="215"/>
      <c r="Y10" s="216" t="s">
        <v>1890</v>
      </c>
      <c r="Z10" s="215"/>
    </row>
    <row r="11" spans="1:26" s="351" customFormat="1" ht="31.5">
      <c r="A11" s="492" t="s">
        <v>1455</v>
      </c>
      <c r="B11" s="400"/>
      <c r="C11" s="401"/>
      <c r="D11" s="402" t="s">
        <v>1457</v>
      </c>
      <c r="E11" s="400"/>
      <c r="F11" s="403"/>
      <c r="G11" s="403"/>
      <c r="H11" s="405">
        <v>2888710.9200000004</v>
      </c>
      <c r="I11" s="524">
        <v>1092340.4200000002</v>
      </c>
      <c r="J11" s="406"/>
      <c r="K11" s="400"/>
      <c r="L11" s="407"/>
      <c r="M11" s="407"/>
      <c r="N11" s="408">
        <v>137672.22999999998</v>
      </c>
      <c r="O11" s="407"/>
      <c r="P11" s="408">
        <v>336413.35</v>
      </c>
      <c r="Q11" s="407"/>
      <c r="R11" s="408">
        <v>203153.81000000003</v>
      </c>
      <c r="S11" s="407"/>
      <c r="T11" s="408">
        <v>6979.62</v>
      </c>
      <c r="U11" s="407"/>
      <c r="V11" s="408">
        <v>237055.09000000003</v>
      </c>
      <c r="W11" s="407"/>
      <c r="X11" s="408">
        <v>22277.339999999997</v>
      </c>
      <c r="Y11" s="407"/>
      <c r="Z11" s="566">
        <v>148788.98000000001</v>
      </c>
    </row>
    <row r="12" spans="1:26" ht="14.25">
      <c r="A12" s="250"/>
      <c r="B12" s="251"/>
      <c r="C12" s="326"/>
      <c r="D12" s="292"/>
      <c r="E12" s="307"/>
      <c r="F12" s="307"/>
      <c r="G12" s="307"/>
      <c r="H12" s="307"/>
      <c r="I12" s="694">
        <v>0.75911310821965094</v>
      </c>
      <c r="J12" s="225"/>
      <c r="K12" s="307"/>
      <c r="L12" s="568"/>
      <c r="M12" s="568"/>
      <c r="N12" s="495"/>
      <c r="O12" s="568"/>
      <c r="P12" s="495"/>
      <c r="Q12" s="568"/>
      <c r="R12" s="495"/>
      <c r="S12" s="309"/>
      <c r="T12" s="495"/>
      <c r="U12" s="568"/>
      <c r="V12" s="495"/>
      <c r="W12" s="309"/>
      <c r="X12" s="495"/>
      <c r="Y12" s="309"/>
      <c r="Z12" s="570"/>
    </row>
    <row r="13" spans="1:26" ht="25.5">
      <c r="A13" s="356" t="s">
        <v>1456</v>
      </c>
      <c r="B13" s="357"/>
      <c r="C13" s="375"/>
      <c r="D13" s="359" t="s">
        <v>2099</v>
      </c>
      <c r="E13" s="361"/>
      <c r="F13" s="361"/>
      <c r="G13" s="364"/>
      <c r="H13" s="376">
        <v>2938687.91</v>
      </c>
      <c r="I13" s="376">
        <v>31595.870000000003</v>
      </c>
      <c r="J13" s="414"/>
      <c r="K13" s="361"/>
      <c r="L13" s="363"/>
      <c r="M13" s="363"/>
      <c r="N13" s="364">
        <v>5591.9699999999993</v>
      </c>
      <c r="O13" s="363"/>
      <c r="P13" s="364">
        <v>9036.65</v>
      </c>
      <c r="Q13" s="363"/>
      <c r="R13" s="364">
        <v>5439.35</v>
      </c>
      <c r="S13" s="363"/>
      <c r="T13" s="364">
        <v>0</v>
      </c>
      <c r="U13" s="363"/>
      <c r="V13" s="364">
        <v>5439.35</v>
      </c>
      <c r="W13" s="363"/>
      <c r="X13" s="364">
        <v>649.20000000000005</v>
      </c>
      <c r="Y13" s="363"/>
      <c r="Z13" s="365">
        <v>5439.35</v>
      </c>
    </row>
    <row r="14" spans="1:26" ht="14.25">
      <c r="A14" s="250"/>
      <c r="B14" s="251"/>
      <c r="C14" s="326"/>
      <c r="D14" s="292"/>
      <c r="E14" s="307"/>
      <c r="F14" s="307"/>
      <c r="G14" s="307"/>
      <c r="H14" s="307"/>
      <c r="I14" s="225">
        <v>1123937.0491131085</v>
      </c>
      <c r="J14" s="225"/>
      <c r="K14" s="307"/>
      <c r="L14" s="568"/>
      <c r="M14" s="568"/>
      <c r="N14" s="225">
        <v>143264.19999999998</v>
      </c>
      <c r="O14" s="571">
        <v>863.625</v>
      </c>
      <c r="P14" s="225">
        <v>345450</v>
      </c>
      <c r="Q14" s="568"/>
      <c r="R14" s="225">
        <v>208593.16000000003</v>
      </c>
      <c r="S14" s="309"/>
      <c r="T14" s="225">
        <v>6979.62</v>
      </c>
      <c r="U14" s="568"/>
      <c r="V14" s="225">
        <v>242494.44000000003</v>
      </c>
      <c r="W14" s="309"/>
      <c r="X14" s="225">
        <v>22926.539999999997</v>
      </c>
      <c r="Y14" s="309"/>
      <c r="Z14" s="260">
        <v>154228.33000000002</v>
      </c>
    </row>
    <row r="15" spans="1:26" ht="14.25">
      <c r="A15" s="250"/>
      <c r="B15" s="251"/>
      <c r="C15" s="326"/>
      <c r="D15" s="292"/>
      <c r="E15" s="307"/>
      <c r="F15" s="307"/>
      <c r="G15" s="307"/>
      <c r="H15" s="307"/>
      <c r="I15" s="694">
        <v>0.75731133858975141</v>
      </c>
      <c r="J15" s="225"/>
      <c r="K15" s="307"/>
      <c r="L15" s="568"/>
      <c r="M15" s="568"/>
      <c r="N15" s="495">
        <v>0.71354886266853257</v>
      </c>
      <c r="O15" s="462" t="s">
        <v>2390</v>
      </c>
      <c r="P15" s="495"/>
      <c r="Q15" s="568"/>
      <c r="R15" s="495"/>
      <c r="S15" s="309"/>
      <c r="T15" s="495"/>
      <c r="U15" s="568"/>
      <c r="V15" s="495"/>
      <c r="W15" s="309"/>
      <c r="X15" s="495"/>
      <c r="Y15" s="309"/>
      <c r="Z15" s="570"/>
    </row>
    <row r="16" spans="1:26" s="383" customFormat="1" ht="31.5">
      <c r="A16" s="377" t="s">
        <v>1368</v>
      </c>
      <c r="B16" s="378"/>
      <c r="C16" s="379"/>
      <c r="D16" s="380" t="s">
        <v>342</v>
      </c>
      <c r="E16" s="381"/>
      <c r="F16" s="381"/>
      <c r="G16" s="381"/>
      <c r="H16" s="382">
        <v>1120648.5500000003</v>
      </c>
      <c r="I16" s="382">
        <v>1123936.2900000003</v>
      </c>
      <c r="J16" s="382"/>
      <c r="K16" s="381"/>
      <c r="L16" s="382"/>
      <c r="M16" s="382"/>
      <c r="N16" s="382">
        <v>143264.19999999998</v>
      </c>
      <c r="O16" s="382"/>
      <c r="P16" s="382">
        <v>345450</v>
      </c>
      <c r="Q16" s="382"/>
      <c r="R16" s="382">
        <v>208593.16000000003</v>
      </c>
      <c r="S16" s="382"/>
      <c r="T16" s="382">
        <v>6979.62</v>
      </c>
      <c r="U16" s="382"/>
      <c r="V16" s="382">
        <v>242494.44000000003</v>
      </c>
      <c r="W16" s="382"/>
      <c r="X16" s="382">
        <v>22926.539999999997</v>
      </c>
      <c r="Y16" s="382"/>
      <c r="Z16" s="572">
        <v>154228.33000000002</v>
      </c>
    </row>
    <row r="17" spans="1:26" ht="15">
      <c r="A17" s="201"/>
      <c r="B17" s="202"/>
      <c r="C17" s="573"/>
      <c r="D17" s="529"/>
      <c r="E17" s="226"/>
      <c r="F17" s="226"/>
      <c r="G17" s="226"/>
      <c r="H17" s="226"/>
      <c r="I17" s="694">
        <v>0.75731082709761344</v>
      </c>
      <c r="J17" s="222"/>
      <c r="K17" s="686">
        <v>0.99999999999999978</v>
      </c>
      <c r="L17" s="253"/>
      <c r="M17" s="222"/>
      <c r="N17" s="574">
        <v>0.12746647765951213</v>
      </c>
      <c r="O17" s="222"/>
      <c r="P17" s="574">
        <v>0.30735727912122129</v>
      </c>
      <c r="Q17" s="223"/>
      <c r="R17" s="574">
        <v>0.18559162281342476</v>
      </c>
      <c r="S17" s="224"/>
      <c r="T17" s="574">
        <v>6.2099783253728716E-3</v>
      </c>
      <c r="U17" s="222"/>
      <c r="V17" s="574">
        <v>0.21575461363561807</v>
      </c>
      <c r="W17" s="224"/>
      <c r="X17" s="574">
        <v>2.0398433793787363E-2</v>
      </c>
      <c r="Y17" s="224"/>
      <c r="Z17" s="575">
        <v>0.13722159465106334</v>
      </c>
    </row>
    <row r="18" spans="1:26" ht="15.75" thickBot="1">
      <c r="A18" s="201"/>
      <c r="B18" s="202"/>
      <c r="C18" s="573"/>
      <c r="D18" s="529"/>
      <c r="E18" s="226"/>
      <c r="F18" s="226"/>
      <c r="G18" s="226"/>
      <c r="H18" s="226"/>
      <c r="I18" s="222"/>
      <c r="J18" s="222"/>
      <c r="K18" s="226"/>
      <c r="L18" s="253"/>
      <c r="M18" s="184" t="s">
        <v>1806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8">
      <c r="A19" s="210"/>
      <c r="B19" s="211"/>
      <c r="C19" s="576"/>
      <c r="D19" s="577" t="s">
        <v>1806</v>
      </c>
      <c r="E19" s="466"/>
      <c r="F19" s="466"/>
      <c r="G19" s="466"/>
      <c r="H19" s="466"/>
      <c r="I19" s="500"/>
      <c r="J19" s="500"/>
      <c r="K19" s="466"/>
      <c r="L19" s="523"/>
      <c r="M19" s="189" t="s">
        <v>2466</v>
      </c>
      <c r="N19" s="189"/>
      <c r="O19" s="189" t="s">
        <v>2467</v>
      </c>
      <c r="P19" s="189"/>
      <c r="Q19" s="189" t="s">
        <v>2468</v>
      </c>
      <c r="R19" s="189"/>
      <c r="S19" s="190" t="s">
        <v>23</v>
      </c>
      <c r="T19" s="189"/>
      <c r="U19" s="189" t="s">
        <v>2469</v>
      </c>
      <c r="V19" s="189"/>
      <c r="W19" s="190" t="s">
        <v>341</v>
      </c>
      <c r="X19" s="189"/>
      <c r="Y19" s="190" t="s">
        <v>2470</v>
      </c>
      <c r="Z19" s="189"/>
    </row>
    <row r="20" spans="1:26" s="247" customFormat="1" ht="18.75" thickBot="1">
      <c r="A20" s="385"/>
      <c r="B20" s="385"/>
      <c r="C20" s="386"/>
      <c r="D20" s="423"/>
      <c r="I20" s="220"/>
      <c r="J20" s="220"/>
      <c r="L20" s="305"/>
      <c r="M20" s="220"/>
      <c r="N20" s="220"/>
      <c r="O20" s="220"/>
      <c r="P20" s="220"/>
      <c r="Q20" s="387"/>
      <c r="R20" s="220"/>
      <c r="S20" s="220"/>
      <c r="T20" s="220"/>
      <c r="U20" s="220"/>
      <c r="V20" s="220"/>
      <c r="W20" s="220"/>
      <c r="X20" s="220"/>
      <c r="Y20" s="220"/>
      <c r="Z20" s="220"/>
    </row>
    <row r="21" spans="1:26" ht="32.25" thickBot="1">
      <c r="A21" s="616" t="s">
        <v>553</v>
      </c>
      <c r="B21" s="191"/>
      <c r="C21" s="384"/>
      <c r="D21" s="681" t="s">
        <v>346</v>
      </c>
      <c r="I21" s="612">
        <v>1123936.29</v>
      </c>
      <c r="L21" s="287"/>
      <c r="O21" s="388"/>
      <c r="P21" s="388"/>
      <c r="Q21" s="388"/>
      <c r="R21" s="388"/>
    </row>
    <row r="22" spans="1:26" ht="16.5" thickBot="1">
      <c r="A22" s="191"/>
      <c r="B22" s="191"/>
      <c r="C22" s="384"/>
      <c r="D22" s="682" t="s">
        <v>343</v>
      </c>
      <c r="I22" s="693">
        <v>0.75731082709761333</v>
      </c>
      <c r="L22" s="287"/>
      <c r="N22" s="389">
        <v>143264.19999999998</v>
      </c>
      <c r="O22" s="388"/>
      <c r="P22" s="388"/>
      <c r="Q22" s="388"/>
      <c r="R22" s="388"/>
    </row>
    <row r="23" spans="1:26" ht="16.5" thickBot="1">
      <c r="A23" s="191"/>
      <c r="B23" s="191"/>
      <c r="C23" s="384"/>
      <c r="D23" s="683" t="s">
        <v>344</v>
      </c>
      <c r="L23" s="287"/>
      <c r="M23"/>
      <c r="N23"/>
      <c r="O23" s="388"/>
      <c r="P23" s="611">
        <v>345450</v>
      </c>
      <c r="Q23" s="388"/>
      <c r="R23" s="388"/>
    </row>
    <row r="24" spans="1:26" ht="16.5" thickBot="1">
      <c r="A24" s="191"/>
      <c r="B24" s="191"/>
      <c r="C24" s="384"/>
      <c r="D24" s="684" t="s">
        <v>345</v>
      </c>
      <c r="L24" s="287"/>
      <c r="M24"/>
      <c r="N24"/>
      <c r="O24" s="388"/>
      <c r="P24"/>
      <c r="Q24" s="388"/>
      <c r="R24" s="428">
        <v>208593.16000000003</v>
      </c>
      <c r="S24" s="429"/>
      <c r="T24" s="428">
        <v>6979.62</v>
      </c>
      <c r="U24" s="429"/>
      <c r="V24" s="428">
        <v>242494.44000000003</v>
      </c>
      <c r="W24" s="429"/>
      <c r="X24" s="428">
        <v>22926.539999999997</v>
      </c>
      <c r="Y24" s="429"/>
      <c r="Z24" s="428">
        <v>154228.33000000002</v>
      </c>
    </row>
    <row r="25" spans="1:26" ht="16.5" thickBot="1">
      <c r="A25" s="191"/>
      <c r="B25" s="191"/>
      <c r="C25" s="384"/>
      <c r="L25" s="287"/>
      <c r="M25"/>
      <c r="N25"/>
      <c r="O25" s="219"/>
      <c r="P25" s="219"/>
      <c r="Q25" s="219"/>
      <c r="R25" s="496">
        <v>635222.09000000008</v>
      </c>
      <c r="S25" s="497"/>
      <c r="T25" s="497"/>
      <c r="U25" s="497"/>
      <c r="V25" s="497"/>
      <c r="W25" s="497"/>
      <c r="X25" s="497"/>
      <c r="Y25" s="497"/>
      <c r="Z25" s="498"/>
    </row>
    <row r="26" spans="1:26" s="303" customFormat="1" ht="14.25">
      <c r="A26" s="415"/>
      <c r="B26" s="415"/>
      <c r="C26" s="417"/>
      <c r="D26" s="427" t="s">
        <v>1971</v>
      </c>
      <c r="I26" s="302"/>
      <c r="J26" s="419"/>
      <c r="L26" s="355"/>
      <c r="M26" s="302"/>
      <c r="N26" s="602">
        <v>0.12746647765951216</v>
      </c>
      <c r="O26" s="302"/>
      <c r="P26" s="602">
        <v>0.30735727912122135</v>
      </c>
      <c r="Q26" s="302"/>
      <c r="R26" s="601">
        <v>0.56517624321926652</v>
      </c>
      <c r="S26" s="598"/>
      <c r="T26" s="599"/>
      <c r="U26" s="599"/>
      <c r="V26" s="599"/>
      <c r="W26" s="598"/>
      <c r="X26" s="599"/>
      <c r="Y26" s="598"/>
      <c r="Z26" s="600"/>
    </row>
    <row r="27" spans="1:26" s="303" customFormat="1" ht="15">
      <c r="A27" s="415"/>
      <c r="B27" s="415"/>
      <c r="C27" s="417"/>
      <c r="D27" s="427"/>
      <c r="I27" s="302"/>
      <c r="J27" s="419"/>
      <c r="L27" s="355"/>
      <c r="M27" s="302"/>
      <c r="N27" s="499"/>
      <c r="O27" s="302"/>
      <c r="P27" s="302"/>
      <c r="Q27" s="302"/>
      <c r="R27" s="302"/>
      <c r="S27" s="418"/>
      <c r="T27" s="302"/>
      <c r="U27" s="302"/>
      <c r="V27" s="302"/>
      <c r="W27" s="418"/>
      <c r="X27" s="302"/>
      <c r="Y27" s="418"/>
      <c r="Z27" s="302"/>
    </row>
    <row r="28" spans="1:26" s="303" customFormat="1" ht="31.5">
      <c r="A28" s="415"/>
      <c r="B28" s="415"/>
      <c r="C28" s="417"/>
      <c r="D28" s="685" t="s">
        <v>2378</v>
      </c>
      <c r="I28" s="302"/>
      <c r="J28" s="419"/>
      <c r="L28" s="355"/>
      <c r="M28" s="302"/>
      <c r="N28" s="302"/>
      <c r="O28" s="302"/>
      <c r="P28" s="302"/>
      <c r="Q28" s="302"/>
      <c r="R28" s="302"/>
      <c r="S28" s="418"/>
      <c r="T28" s="302"/>
      <c r="U28" s="302"/>
      <c r="V28" s="302"/>
      <c r="W28" s="418"/>
      <c r="X28" s="302"/>
      <c r="Y28" s="418"/>
      <c r="Z28" s="302"/>
    </row>
    <row r="29" spans="1:26" s="303" customFormat="1" ht="28.5">
      <c r="A29" s="415"/>
      <c r="B29" s="415"/>
      <c r="C29" s="417"/>
      <c r="D29" s="603" t="s">
        <v>2023</v>
      </c>
      <c r="I29" s="302"/>
      <c r="J29" s="419"/>
      <c r="L29" s="355"/>
      <c r="M29" s="302"/>
      <c r="N29" s="949">
        <v>88830</v>
      </c>
      <c r="O29" s="302"/>
      <c r="P29" s="302"/>
      <c r="Q29" s="302"/>
      <c r="R29" s="302"/>
      <c r="S29" s="418"/>
      <c r="T29" s="302"/>
      <c r="U29" s="302"/>
      <c r="V29" s="302"/>
      <c r="W29" s="418"/>
      <c r="X29" s="302"/>
      <c r="Y29" s="418"/>
      <c r="Z29" s="302"/>
    </row>
    <row r="30" spans="1:26" s="303" customFormat="1" ht="14.25">
      <c r="A30" s="415"/>
      <c r="B30" s="415"/>
      <c r="C30" s="417"/>
      <c r="D30" s="604" t="s">
        <v>2176</v>
      </c>
      <c r="I30" s="302"/>
      <c r="J30" s="419"/>
      <c r="L30" s="355"/>
      <c r="M30" s="309"/>
      <c r="N30" s="950"/>
      <c r="O30" s="302"/>
      <c r="P30" s="302"/>
      <c r="Q30" s="302"/>
      <c r="R30" s="302"/>
      <c r="S30" s="418"/>
      <c r="T30" s="302"/>
      <c r="U30" s="302"/>
      <c r="V30" s="302"/>
      <c r="W30" s="418"/>
      <c r="X30" s="302"/>
      <c r="Y30" s="418"/>
      <c r="Z30" s="302"/>
    </row>
    <row r="31" spans="1:26" s="303" customFormat="1" ht="14.25">
      <c r="A31" s="415"/>
      <c r="B31" s="415"/>
      <c r="C31" s="417"/>
      <c r="D31" s="604" t="s">
        <v>2177</v>
      </c>
      <c r="I31" s="302"/>
      <c r="J31" s="419"/>
      <c r="L31" s="355"/>
      <c r="M31" s="309"/>
      <c r="N31" s="950"/>
      <c r="O31" s="302"/>
      <c r="P31" s="302"/>
      <c r="Q31" s="302"/>
      <c r="R31" s="302"/>
      <c r="S31" s="418"/>
      <c r="T31" s="302"/>
      <c r="U31" s="302"/>
      <c r="V31" s="302"/>
      <c r="W31" s="418"/>
      <c r="X31" s="302"/>
      <c r="Y31" s="418"/>
      <c r="Z31" s="302"/>
    </row>
    <row r="32" spans="1:26" s="303" customFormat="1" ht="14.25">
      <c r="A32" s="415"/>
      <c r="B32" s="415"/>
      <c r="C32" s="417"/>
      <c r="D32" s="604" t="s">
        <v>2174</v>
      </c>
      <c r="I32" s="302"/>
      <c r="J32" s="419"/>
      <c r="L32" s="355"/>
      <c r="M32" s="309"/>
      <c r="N32" s="950"/>
      <c r="O32" s="302"/>
      <c r="P32" s="302"/>
      <c r="Q32" s="302"/>
      <c r="R32" s="302"/>
      <c r="S32" s="418"/>
      <c r="T32" s="302"/>
      <c r="U32" s="302"/>
      <c r="V32" s="302"/>
      <c r="W32" s="418"/>
      <c r="X32" s="302"/>
      <c r="Y32" s="418"/>
      <c r="Z32" s="302"/>
    </row>
    <row r="33" spans="1:27" s="303" customFormat="1" ht="14.25">
      <c r="A33" s="415"/>
      <c r="B33" s="415"/>
      <c r="C33" s="417"/>
      <c r="D33" s="604" t="s">
        <v>1774</v>
      </c>
      <c r="I33" s="302"/>
      <c r="J33" s="419"/>
      <c r="L33"/>
      <c r="M33" s="309"/>
      <c r="N33" s="950"/>
      <c r="O33" s="302"/>
      <c r="P33" s="302"/>
      <c r="Q33" s="302"/>
      <c r="R33" s="302"/>
      <c r="S33" s="418"/>
      <c r="T33" s="302"/>
      <c r="U33" s="302"/>
      <c r="V33" s="302"/>
      <c r="W33" s="418"/>
      <c r="X33" s="302"/>
      <c r="Y33" s="418"/>
      <c r="Z33" s="302"/>
    </row>
    <row r="34" spans="1:27" s="303" customFormat="1" ht="14.25">
      <c r="A34" s="415"/>
      <c r="B34" s="415"/>
      <c r="C34" s="417"/>
      <c r="D34" s="604" t="s">
        <v>1945</v>
      </c>
      <c r="I34" s="302"/>
      <c r="J34" s="419"/>
      <c r="L34"/>
      <c r="M34" s="309"/>
      <c r="N34" s="950"/>
      <c r="O34" s="302"/>
      <c r="P34" s="302"/>
      <c r="Q34" s="302"/>
      <c r="R34" s="302"/>
      <c r="S34" s="418"/>
      <c r="T34" s="302"/>
      <c r="U34" s="302"/>
      <c r="V34" s="302"/>
      <c r="W34" s="418"/>
      <c r="X34" s="302"/>
      <c r="Y34" s="418"/>
      <c r="Z34" s="302"/>
    </row>
    <row r="35" spans="1:27" s="303" customFormat="1" ht="28.5">
      <c r="A35" s="415"/>
      <c r="B35" s="415"/>
      <c r="C35" s="708"/>
      <c r="D35" s="604" t="s">
        <v>943</v>
      </c>
      <c r="I35" s="302"/>
      <c r="J35" s="419"/>
      <c r="L35" s="355"/>
      <c r="M35" s="309"/>
      <c r="N35" s="950"/>
      <c r="O35" s="302"/>
      <c r="P35" s="302"/>
      <c r="Q35" s="302"/>
      <c r="R35" s="302"/>
      <c r="S35" s="418"/>
      <c r="T35" s="302"/>
      <c r="U35" s="302"/>
      <c r="V35" s="302"/>
      <c r="W35" s="418"/>
      <c r="X35" s="302"/>
      <c r="Y35" s="418"/>
      <c r="Z35" s="302"/>
    </row>
    <row r="36" spans="1:27" s="303" customFormat="1" ht="14.25">
      <c r="A36" s="415"/>
      <c r="B36" s="415"/>
      <c r="C36" s="708"/>
      <c r="D36" s="604" t="s">
        <v>2389</v>
      </c>
      <c r="I36" s="302"/>
      <c r="J36" s="419"/>
      <c r="L36" s="355"/>
      <c r="M36" s="309"/>
      <c r="N36" s="950"/>
      <c r="O36" s="302"/>
      <c r="P36" s="302"/>
      <c r="Q36" s="302"/>
      <c r="R36" s="302"/>
      <c r="S36" s="418"/>
      <c r="T36" s="302"/>
      <c r="U36" s="302"/>
      <c r="V36" s="302"/>
      <c r="W36" s="418"/>
      <c r="X36" s="302"/>
      <c r="Y36" s="418"/>
      <c r="Z36" s="302"/>
    </row>
    <row r="37" spans="1:27" s="303" customFormat="1" ht="14.25">
      <c r="A37" s="415"/>
      <c r="B37" s="415"/>
      <c r="C37" s="708"/>
      <c r="D37" s="604" t="s">
        <v>1936</v>
      </c>
      <c r="I37" s="302"/>
      <c r="J37" s="419"/>
      <c r="L37" s="355"/>
      <c r="M37" s="309"/>
      <c r="N37" s="950"/>
      <c r="O37" s="302"/>
      <c r="P37" s="302"/>
      <c r="Q37" s="302"/>
      <c r="R37" s="302"/>
      <c r="S37" s="418"/>
      <c r="T37" s="302"/>
      <c r="U37" s="302"/>
      <c r="V37" s="302"/>
      <c r="W37" s="418"/>
      <c r="X37" s="302"/>
      <c r="Y37" s="418"/>
      <c r="Z37" s="302"/>
    </row>
    <row r="38" spans="1:27" s="303" customFormat="1" ht="14.25">
      <c r="A38" s="415"/>
      <c r="B38" s="415"/>
      <c r="C38" s="708"/>
      <c r="D38" s="605" t="s">
        <v>1938</v>
      </c>
      <c r="I38" s="302"/>
      <c r="J38" s="419"/>
      <c r="L38" s="355"/>
      <c r="M38" s="309"/>
      <c r="N38" s="951"/>
      <c r="O38" s="302"/>
      <c r="P38" s="302"/>
      <c r="Q38" s="302"/>
      <c r="R38" s="302"/>
      <c r="S38" s="418"/>
      <c r="T38" s="302"/>
      <c r="U38" s="302"/>
      <c r="V38" s="302"/>
      <c r="W38" s="418"/>
      <c r="X38" s="302"/>
      <c r="Y38" s="418"/>
      <c r="Z38" s="302"/>
    </row>
    <row r="39" spans="1:27" s="303" customFormat="1" ht="14.25">
      <c r="A39" s="415"/>
      <c r="B39" s="415"/>
      <c r="C39" s="708"/>
      <c r="D39" s="606" t="s">
        <v>1937</v>
      </c>
      <c r="I39" s="302"/>
      <c r="J39" s="419"/>
      <c r="L39" s="355"/>
      <c r="M39" s="309"/>
      <c r="N39" s="323">
        <v>12584.25</v>
      </c>
      <c r="O39" s="302"/>
      <c r="P39" s="302"/>
      <c r="Q39" s="302"/>
      <c r="R39" s="302"/>
      <c r="S39" s="418"/>
      <c r="T39" s="302"/>
      <c r="U39" s="302"/>
      <c r="V39" s="302"/>
      <c r="W39" s="418"/>
      <c r="X39" s="302"/>
      <c r="Y39" s="418"/>
      <c r="Z39" s="302"/>
    </row>
    <row r="40" spans="1:27" s="303" customFormat="1" ht="14.25">
      <c r="A40" s="415"/>
      <c r="B40" s="415"/>
      <c r="C40" s="952"/>
      <c r="D40" s="603" t="s">
        <v>2387</v>
      </c>
      <c r="I40" s="302"/>
      <c r="J40" s="419"/>
      <c r="L40" s="355"/>
      <c r="M40" s="309"/>
      <c r="N40" s="949">
        <v>13324.5</v>
      </c>
      <c r="O40" s="302"/>
      <c r="P40" s="302"/>
      <c r="Q40" s="302"/>
      <c r="R40" s="302"/>
      <c r="S40" s="418"/>
      <c r="T40" s="302"/>
      <c r="U40" s="302"/>
      <c r="V40" s="302"/>
      <c r="W40" s="418"/>
      <c r="X40" s="302"/>
      <c r="Y40" s="418"/>
      <c r="Z40" s="302"/>
    </row>
    <row r="41" spans="1:27" s="303" customFormat="1" ht="14.25">
      <c r="A41" s="415"/>
      <c r="B41" s="415"/>
      <c r="C41" s="952"/>
      <c r="D41" s="605" t="s">
        <v>2388</v>
      </c>
      <c r="I41" s="302"/>
      <c r="J41" s="419"/>
      <c r="L41" s="355"/>
      <c r="M41" s="309"/>
      <c r="N41" s="953"/>
      <c r="O41" s="302"/>
      <c r="P41" s="302"/>
      <c r="Q41" s="302"/>
      <c r="R41" s="302"/>
      <c r="S41" s="418"/>
      <c r="T41" s="302"/>
      <c r="U41" s="302"/>
      <c r="V41" s="302"/>
      <c r="W41" s="418"/>
      <c r="X41" s="302"/>
      <c r="Y41" s="418"/>
      <c r="Z41" s="302"/>
    </row>
    <row r="42" spans="1:27" s="303" customFormat="1" ht="29.25">
      <c r="A42" s="415"/>
      <c r="B42" s="415"/>
      <c r="C42" s="708"/>
      <c r="D42" s="606" t="s">
        <v>1939</v>
      </c>
      <c r="I42" s="614">
        <v>114738.75</v>
      </c>
      <c r="J42" s="419"/>
      <c r="L42" s="355"/>
      <c r="M42" s="302"/>
      <c r="N42" s="614">
        <v>114738.75</v>
      </c>
      <c r="O42" s="302"/>
      <c r="P42" s="302"/>
      <c r="Q42" s="302"/>
      <c r="R42" s="302"/>
      <c r="S42" s="418"/>
      <c r="T42" s="302"/>
      <c r="U42" s="302"/>
      <c r="V42" s="302"/>
      <c r="W42" s="418"/>
      <c r="X42" s="302"/>
      <c r="Y42" s="418"/>
      <c r="Z42" s="302"/>
    </row>
    <row r="43" spans="1:27" s="303" customFormat="1" ht="14.25">
      <c r="A43" s="415"/>
      <c r="B43" s="415"/>
      <c r="C43" s="708"/>
      <c r="D43" s="427"/>
      <c r="I43" s="302"/>
      <c r="J43" s="419"/>
      <c r="L43" s="355"/>
      <c r="M43" s="302"/>
      <c r="N43" s="302"/>
      <c r="O43" s="302"/>
      <c r="P43" s="302"/>
      <c r="Q43" s="302"/>
      <c r="R43" s="302"/>
      <c r="S43" s="418"/>
      <c r="T43" s="302"/>
      <c r="U43" s="302"/>
      <c r="V43" s="302"/>
      <c r="W43" s="418"/>
      <c r="X43" s="302"/>
      <c r="Y43" s="418"/>
      <c r="Z43" s="302"/>
    </row>
    <row r="44" spans="1:27" s="433" customFormat="1" ht="31.5">
      <c r="A44" s="616" t="s">
        <v>2382</v>
      </c>
      <c r="B44" s="432"/>
      <c r="C44" s="511"/>
      <c r="D44" s="685" t="s">
        <v>2379</v>
      </c>
      <c r="F44" s="617"/>
      <c r="G44" s="617"/>
      <c r="H44" s="617"/>
      <c r="I44" s="618">
        <v>1238675.0400000003</v>
      </c>
      <c r="J44" s="619">
        <v>1238675.04</v>
      </c>
      <c r="L44" s="434"/>
      <c r="M44" s="434"/>
      <c r="N44" s="620">
        <v>258002.94999999998</v>
      </c>
      <c r="O44" s="434"/>
      <c r="P44" s="621">
        <v>345450</v>
      </c>
      <c r="Q44" s="434"/>
      <c r="R44" s="622">
        <v>208593.16000000003</v>
      </c>
      <c r="S44" s="623"/>
      <c r="T44" s="622">
        <v>6979.62</v>
      </c>
      <c r="U44" s="618"/>
      <c r="V44" s="622">
        <v>242494.44000000003</v>
      </c>
      <c r="W44" s="623"/>
      <c r="X44" s="622">
        <v>22926.539999999997</v>
      </c>
      <c r="Y44" s="623"/>
      <c r="Z44" s="622">
        <v>154228.33000000002</v>
      </c>
    </row>
    <row r="45" spans="1:27" s="439" customFormat="1" ht="15">
      <c r="A45" s="431"/>
      <c r="B45" s="431"/>
      <c r="C45" s="512"/>
      <c r="F45" s="624"/>
      <c r="G45" s="624"/>
      <c r="H45" s="624"/>
      <c r="I45" s="693">
        <v>0.75214125486467509</v>
      </c>
      <c r="J45" s="624"/>
      <c r="L45" s="624"/>
      <c r="M45" s="624"/>
      <c r="N45" s="693">
        <v>0.69250703873016051</v>
      </c>
      <c r="O45" s="624"/>
      <c r="P45" s="693">
        <v>1.1749999999999998</v>
      </c>
      <c r="Q45" s="416"/>
      <c r="R45" s="625">
        <v>0.1684002286830612</v>
      </c>
      <c r="S45" s="626"/>
      <c r="T45" s="625">
        <v>5.6347466241024749E-3</v>
      </c>
      <c r="U45" s="627"/>
      <c r="V45" s="625">
        <v>0.19576921482166942</v>
      </c>
      <c r="W45" s="626"/>
      <c r="X45" s="625">
        <v>1.8508922243238222E-2</v>
      </c>
      <c r="Y45" s="626"/>
      <c r="Z45" s="625">
        <v>0.12451072720412609</v>
      </c>
    </row>
    <row r="46" spans="1:27" s="439" customFormat="1" ht="15">
      <c r="A46" s="431"/>
      <c r="B46" s="431"/>
      <c r="C46" s="512"/>
      <c r="D46" s="438"/>
      <c r="F46" s="624"/>
      <c r="G46" s="624"/>
      <c r="H46" s="624"/>
      <c r="I46" s="628"/>
      <c r="J46" s="629"/>
      <c r="L46" s="416"/>
      <c r="M46" s="416"/>
      <c r="N46" s="628"/>
      <c r="O46" s="416"/>
      <c r="P46" s="628"/>
      <c r="Q46" s="416"/>
      <c r="R46" s="630">
        <v>635222.09000000008</v>
      </c>
      <c r="S46" s="631"/>
      <c r="T46" s="631"/>
      <c r="U46" s="631"/>
      <c r="V46" s="631"/>
      <c r="W46" s="631"/>
      <c r="X46" s="631"/>
      <c r="Y46" s="631"/>
      <c r="Z46" s="632"/>
      <c r="AA46" s="693">
        <v>0.64798660974892552</v>
      </c>
    </row>
    <row r="47" spans="1:27" s="439" customFormat="1" ht="15">
      <c r="A47" s="431"/>
      <c r="B47" s="431"/>
      <c r="C47" s="437"/>
      <c r="D47" s="438" t="s">
        <v>1948</v>
      </c>
      <c r="F47" s="624"/>
      <c r="G47" s="624"/>
      <c r="H47" s="624"/>
      <c r="I47" s="633">
        <v>0.99999999999999989</v>
      </c>
      <c r="J47" s="629"/>
      <c r="L47" s="416"/>
      <c r="M47" s="416"/>
      <c r="N47" s="633">
        <v>0.20828945580432454</v>
      </c>
      <c r="O47" s="416"/>
      <c r="P47" s="633">
        <v>0.27888670461947784</v>
      </c>
      <c r="Q47" s="416"/>
      <c r="R47" s="634">
        <v>0.51282383957619748</v>
      </c>
      <c r="S47" s="635"/>
      <c r="T47" s="636"/>
      <c r="U47" s="636"/>
      <c r="V47" s="637"/>
      <c r="W47" s="635"/>
      <c r="X47" s="637"/>
      <c r="Y47" s="635"/>
      <c r="Z47" s="638"/>
    </row>
    <row r="48" spans="1:27" s="439" customFormat="1" ht="15">
      <c r="A48" s="716"/>
      <c r="B48" s="716"/>
      <c r="C48" s="717"/>
      <c r="D48" s="718"/>
      <c r="E48" s="719"/>
      <c r="F48" s="720"/>
      <c r="G48" s="720"/>
      <c r="H48" s="720"/>
      <c r="I48" s="721"/>
      <c r="J48" s="722"/>
      <c r="K48" s="719"/>
      <c r="L48" s="723"/>
      <c r="M48" s="724"/>
      <c r="N48" s="724"/>
      <c r="O48" s="723"/>
      <c r="P48" s="721"/>
      <c r="Q48" s="723"/>
      <c r="R48" s="721"/>
      <c r="S48" s="723"/>
      <c r="T48" s="723"/>
      <c r="U48" s="723"/>
      <c r="V48" s="721"/>
      <c r="W48" s="723"/>
      <c r="X48" s="721"/>
      <c r="Y48" s="723"/>
      <c r="Z48" s="721"/>
      <c r="AA48" s="719"/>
    </row>
    <row r="49" spans="1:27" s="439" customFormat="1" ht="15">
      <c r="A49" s="431"/>
      <c r="B49" s="431"/>
      <c r="C49" s="437"/>
      <c r="D49" s="713" t="s">
        <v>2501</v>
      </c>
      <c r="F49" s="624"/>
      <c r="G49" s="624"/>
      <c r="H49" s="624"/>
      <c r="I49" s="628">
        <f>SUM(N49:Z49)</f>
        <v>0.99999999999999978</v>
      </c>
      <c r="J49" s="629"/>
      <c r="K49" s="725" t="s">
        <v>2502</v>
      </c>
      <c r="L49" s="416"/>
      <c r="M49" s="639"/>
      <c r="N49" s="628">
        <f>N47</f>
        <v>0.20828945580432454</v>
      </c>
      <c r="O49" s="416"/>
      <c r="P49" s="628">
        <f>P47</f>
        <v>0.27888670461947784</v>
      </c>
      <c r="Q49" s="416"/>
      <c r="R49" s="628">
        <f>R45</f>
        <v>0.1684002286830612</v>
      </c>
      <c r="S49" s="640"/>
      <c r="T49" s="628">
        <f>T45</f>
        <v>5.6347466241024749E-3</v>
      </c>
      <c r="U49" s="416"/>
      <c r="V49" s="714">
        <f>V45+X45+Z45</f>
        <v>0.33878886426903376</v>
      </c>
      <c r="W49" s="715"/>
      <c r="X49" s="714"/>
      <c r="Y49" s="715"/>
      <c r="Z49" s="714"/>
    </row>
    <row r="50" spans="1:27" s="439" customFormat="1" ht="15">
      <c r="A50" s="431"/>
      <c r="B50" s="431"/>
      <c r="C50" s="437"/>
      <c r="D50" s="438"/>
      <c r="F50" s="624"/>
      <c r="G50" s="624"/>
      <c r="H50" s="624"/>
      <c r="I50" s="628"/>
      <c r="J50" s="629"/>
      <c r="L50" s="416"/>
      <c r="M50" s="639"/>
      <c r="N50" s="639"/>
      <c r="O50" s="416"/>
      <c r="P50" s="628"/>
      <c r="Q50" s="416"/>
      <c r="R50" s="628"/>
      <c r="S50" s="640"/>
      <c r="T50" s="416"/>
      <c r="U50" s="416"/>
      <c r="V50" s="628"/>
      <c r="W50" s="640"/>
      <c r="X50" s="628"/>
      <c r="Y50" s="640"/>
      <c r="Z50" s="628"/>
    </row>
    <row r="51" spans="1:27" s="433" customFormat="1" ht="15.75">
      <c r="A51" s="616"/>
      <c r="B51" s="432"/>
      <c r="C51" s="511"/>
      <c r="D51" s="685"/>
      <c r="F51" s="617"/>
      <c r="G51" s="617"/>
      <c r="H51" s="617"/>
      <c r="I51" s="618">
        <v>1350000</v>
      </c>
      <c r="J51" s="619"/>
      <c r="L51" s="434"/>
      <c r="M51" s="434"/>
      <c r="N51" s="620">
        <f>INT($I$51*N49*100+0.5)/100</f>
        <v>281190.77</v>
      </c>
      <c r="O51" s="434"/>
      <c r="P51" s="621">
        <f>INT($I$51*P49*100+0.5)/100</f>
        <v>376497.05</v>
      </c>
      <c r="Q51" s="434"/>
      <c r="R51" s="727">
        <f>INT($I$51*R49*100+0.5)/100</f>
        <v>227340.31</v>
      </c>
      <c r="S51" s="623"/>
      <c r="T51" s="727">
        <f>INT($I$51*T49*100+0.5)/100</f>
        <v>7606.91</v>
      </c>
      <c r="U51" s="618"/>
      <c r="V51" s="726">
        <f>INT($I$51*V49*100+0.5)/100</f>
        <v>457364.97</v>
      </c>
      <c r="W51" s="726"/>
      <c r="X51" s="726"/>
      <c r="Y51" s="726"/>
      <c r="Z51" s="726"/>
    </row>
    <row r="52" spans="1:27" s="439" customFormat="1" ht="15.75">
      <c r="A52" s="431"/>
      <c r="B52" s="431"/>
      <c r="C52" s="437"/>
      <c r="D52" s="438"/>
      <c r="F52" s="624"/>
      <c r="G52" s="624"/>
      <c r="H52" s="624"/>
      <c r="I52" s="628"/>
      <c r="J52" s="629"/>
      <c r="L52" s="416"/>
      <c r="M52" s="639"/>
      <c r="N52" s="639"/>
      <c r="O52" s="416"/>
      <c r="P52" s="628"/>
      <c r="Q52" s="416"/>
      <c r="R52" s="628"/>
      <c r="S52" s="640"/>
      <c r="T52" s="416"/>
      <c r="U52" s="416"/>
      <c r="V52" s="727">
        <f>INT($I$51*V45*100+0.5)/100</f>
        <v>264288.44</v>
      </c>
      <c r="W52" s="623"/>
      <c r="X52" s="727">
        <f>INT($I$51*X45*100+0.5)/100</f>
        <v>24987.05</v>
      </c>
      <c r="Y52" s="623"/>
      <c r="Z52" s="727">
        <f>INT($I$51*Z45*100+0.5)/100</f>
        <v>168089.48</v>
      </c>
    </row>
    <row r="53" spans="1:27" s="439" customFormat="1" ht="15">
      <c r="A53" s="431"/>
      <c r="B53" s="431"/>
      <c r="C53" s="437"/>
      <c r="D53" s="438"/>
      <c r="F53" s="624"/>
      <c r="G53" s="624"/>
      <c r="H53" s="624"/>
      <c r="I53" s="628"/>
      <c r="J53" s="629"/>
      <c r="L53" s="416"/>
      <c r="M53" s="639"/>
      <c r="N53" s="639"/>
      <c r="O53" s="416"/>
      <c r="P53" s="628"/>
      <c r="Q53" s="416"/>
      <c r="R53" s="628"/>
      <c r="S53" s="640"/>
      <c r="T53" s="416"/>
      <c r="U53" s="416"/>
      <c r="V53" s="628"/>
      <c r="W53" s="640"/>
      <c r="X53" s="628"/>
      <c r="Y53" s="640"/>
      <c r="Z53" s="628"/>
    </row>
    <row r="54" spans="1:27" s="439" customFormat="1" ht="15">
      <c r="A54" s="431"/>
      <c r="B54" s="431"/>
      <c r="C54" s="437"/>
      <c r="D54" s="438"/>
      <c r="F54" s="624"/>
      <c r="G54" s="624"/>
      <c r="H54" s="624"/>
      <c r="I54" s="628"/>
      <c r="J54" s="629"/>
      <c r="L54" s="416"/>
      <c r="M54" s="639"/>
      <c r="N54" s="639"/>
      <c r="O54" s="416"/>
      <c r="P54" s="628"/>
      <c r="Q54" s="416"/>
      <c r="R54" s="628"/>
      <c r="S54" s="640"/>
      <c r="T54" s="416"/>
      <c r="U54" s="416"/>
      <c r="V54" s="628"/>
      <c r="W54" s="640"/>
      <c r="X54" s="628"/>
      <c r="Y54" s="640"/>
      <c r="Z54" s="628"/>
    </row>
    <row r="55" spans="1:27" s="439" customFormat="1" ht="15">
      <c r="A55" s="716"/>
      <c r="B55" s="716"/>
      <c r="C55" s="717"/>
      <c r="D55" s="718"/>
      <c r="E55" s="719"/>
      <c r="F55" s="720"/>
      <c r="G55" s="720"/>
      <c r="H55" s="720"/>
      <c r="I55" s="721"/>
      <c r="J55" s="722"/>
      <c r="K55" s="719"/>
      <c r="L55" s="723"/>
      <c r="M55" s="724"/>
      <c r="N55" s="724"/>
      <c r="O55" s="723"/>
      <c r="P55" s="721"/>
      <c r="Q55" s="723"/>
      <c r="R55" s="721"/>
      <c r="S55" s="723"/>
      <c r="T55" s="723"/>
      <c r="U55" s="723"/>
      <c r="V55" s="721"/>
      <c r="W55" s="723"/>
      <c r="X55" s="721"/>
      <c r="Y55" s="723"/>
      <c r="Z55" s="721"/>
      <c r="AA55" s="719"/>
    </row>
    <row r="56" spans="1:27" s="439" customFormat="1" ht="15">
      <c r="A56" s="431"/>
      <c r="B56" s="431"/>
      <c r="C56" s="437"/>
      <c r="D56" s="246" t="s">
        <v>931</v>
      </c>
      <c r="F56" s="624"/>
      <c r="G56" s="624"/>
      <c r="H56" s="624"/>
      <c r="I56" s="628"/>
      <c r="J56" s="629"/>
      <c r="L56" s="416"/>
      <c r="M56" s="639"/>
      <c r="N56" s="639"/>
      <c r="O56" s="416"/>
      <c r="P56" s="628"/>
      <c r="Q56" s="416"/>
      <c r="R56" s="628"/>
      <c r="S56" s="640"/>
      <c r="T56" s="416"/>
      <c r="U56" s="416"/>
      <c r="V56" s="628"/>
      <c r="W56" s="640"/>
      <c r="X56" s="628"/>
      <c r="Y56" s="640"/>
      <c r="Z56" s="628"/>
    </row>
    <row r="57" spans="1:27" s="439" customFormat="1" ht="15">
      <c r="A57" s="431"/>
      <c r="B57" s="431"/>
      <c r="C57" s="437"/>
      <c r="D57" s="438"/>
      <c r="F57" s="624"/>
      <c r="G57" s="624"/>
      <c r="H57" s="624"/>
      <c r="I57" s="628"/>
      <c r="J57" s="629"/>
      <c r="L57" s="416"/>
      <c r="M57" s="416"/>
      <c r="N57" s="628"/>
      <c r="O57" s="416"/>
      <c r="P57" s="628"/>
      <c r="Q57" s="416"/>
      <c r="R57" s="628"/>
      <c r="S57" s="640"/>
      <c r="T57" s="416"/>
      <c r="U57" s="416"/>
      <c r="V57" s="628"/>
      <c r="W57" s="640"/>
      <c r="X57" s="628"/>
      <c r="Y57" s="640"/>
      <c r="Z57" s="628"/>
    </row>
    <row r="58" spans="1:27" s="439" customFormat="1" ht="30">
      <c r="A58" s="616" t="s">
        <v>1942</v>
      </c>
      <c r="B58" s="431"/>
      <c r="C58" s="437"/>
      <c r="D58" s="438" t="s">
        <v>502</v>
      </c>
      <c r="F58" s="624"/>
      <c r="G58" s="624"/>
      <c r="H58" s="624"/>
      <c r="I58" s="416">
        <v>79206.252000000008</v>
      </c>
      <c r="J58" s="629"/>
      <c r="L58" s="416"/>
      <c r="M58" s="416"/>
      <c r="N58" s="416">
        <v>12900.147499999999</v>
      </c>
      <c r="O58" s="416"/>
      <c r="P58" s="416">
        <v>34545</v>
      </c>
      <c r="Q58" s="416"/>
      <c r="R58" s="416">
        <v>10429.658000000001</v>
      </c>
      <c r="S58" s="416"/>
      <c r="T58" s="416">
        <v>348.98099999999999</v>
      </c>
      <c r="U58" s="416"/>
      <c r="V58" s="416">
        <v>12124.722000000002</v>
      </c>
      <c r="W58" s="640"/>
      <c r="X58" s="416">
        <v>1146.3269999999998</v>
      </c>
      <c r="Y58" s="640"/>
      <c r="Z58" s="416">
        <v>7711.4165000000012</v>
      </c>
    </row>
    <row r="59" spans="1:27" s="439" customFormat="1" ht="30">
      <c r="A59" s="616" t="s">
        <v>1943</v>
      </c>
      <c r="B59" s="431"/>
      <c r="C59" s="437"/>
      <c r="D59" s="438" t="s">
        <v>2499</v>
      </c>
      <c r="F59" s="624"/>
      <c r="G59" s="624"/>
      <c r="H59" s="624"/>
      <c r="I59" s="416">
        <v>106698.07</v>
      </c>
      <c r="J59" s="629">
        <v>106698.06999999998</v>
      </c>
      <c r="L59" s="416"/>
      <c r="M59" s="416"/>
      <c r="N59" s="416">
        <v>22224.082935671726</v>
      </c>
      <c r="O59" s="416"/>
      <c r="P59" s="416">
        <v>29756.673131558371</v>
      </c>
      <c r="Q59" s="416"/>
      <c r="R59" s="416">
        <v>17967.979388041273</v>
      </c>
      <c r="S59" s="416"/>
      <c r="T59" s="416">
        <v>601.21658973074955</v>
      </c>
      <c r="U59" s="416"/>
      <c r="V59" s="416">
        <v>20888.197386887525</v>
      </c>
      <c r="W59" s="640"/>
      <c r="X59" s="416">
        <v>1974.8662811335889</v>
      </c>
      <c r="Y59" s="640"/>
      <c r="Z59" s="416">
        <v>13285.054286976751</v>
      </c>
    </row>
    <row r="60" spans="1:27" s="439" customFormat="1" ht="15">
      <c r="A60" s="616" t="s">
        <v>1944</v>
      </c>
      <c r="B60" s="431"/>
      <c r="C60" s="437"/>
      <c r="D60" s="438" t="s">
        <v>1006</v>
      </c>
      <c r="F60" s="624"/>
      <c r="G60" s="624"/>
      <c r="H60" s="624"/>
      <c r="I60" s="416">
        <v>3500</v>
      </c>
      <c r="J60" s="629">
        <v>3499.9999999999995</v>
      </c>
      <c r="L60" s="416"/>
      <c r="M60" s="416"/>
      <c r="N60" s="416">
        <v>729.01309531513584</v>
      </c>
      <c r="O60" s="416"/>
      <c r="P60" s="416">
        <v>976.10346616817242</v>
      </c>
      <c r="Q60" s="416"/>
      <c r="R60" s="416">
        <v>589.40080039071427</v>
      </c>
      <c r="S60" s="416"/>
      <c r="T60" s="416">
        <v>19.721613184358663</v>
      </c>
      <c r="U60" s="416"/>
      <c r="V60" s="416">
        <v>685.192251875843</v>
      </c>
      <c r="W60" s="640"/>
      <c r="X60" s="416">
        <v>64.781227851333782</v>
      </c>
      <c r="Y60" s="640"/>
      <c r="Z60" s="416">
        <v>435.78754521444131</v>
      </c>
    </row>
    <row r="61" spans="1:27" s="439" customFormat="1" ht="15">
      <c r="A61" s="431"/>
      <c r="B61" s="431"/>
      <c r="C61" s="437"/>
      <c r="D61" s="438"/>
      <c r="F61" s="624"/>
      <c r="G61" s="624"/>
      <c r="H61" s="624"/>
      <c r="I61" s="416"/>
      <c r="J61" s="629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640"/>
      <c r="X61" s="416"/>
      <c r="Y61" s="640"/>
      <c r="Z61" s="416"/>
    </row>
    <row r="62" spans="1:27" s="439" customFormat="1" ht="15.75">
      <c r="A62" s="431"/>
      <c r="B62" s="431"/>
      <c r="C62" s="437"/>
      <c r="D62" s="685" t="s">
        <v>2380</v>
      </c>
      <c r="F62" s="624"/>
      <c r="G62" s="624"/>
      <c r="H62" s="624"/>
      <c r="I62" s="434">
        <v>189404.32200000001</v>
      </c>
      <c r="J62" s="629"/>
      <c r="L62" s="416"/>
      <c r="M62" s="416"/>
      <c r="N62" s="434">
        <v>35853.24353098686</v>
      </c>
      <c r="O62" s="416"/>
      <c r="P62" s="434">
        <v>65277.776597726544</v>
      </c>
      <c r="Q62" s="416"/>
      <c r="R62" s="434">
        <v>28987.038188431987</v>
      </c>
      <c r="S62" s="416"/>
      <c r="T62" s="434">
        <v>969.91920291510826</v>
      </c>
      <c r="U62" s="416"/>
      <c r="V62" s="434">
        <v>33698.111638763374</v>
      </c>
      <c r="W62" s="640"/>
      <c r="X62" s="434">
        <v>3185.9745089849225</v>
      </c>
      <c r="Y62" s="640"/>
      <c r="Z62" s="434">
        <v>21432.258332191192</v>
      </c>
    </row>
    <row r="63" spans="1:27" s="439" customFormat="1" ht="15.75">
      <c r="A63" s="431"/>
      <c r="B63" s="431"/>
      <c r="C63" s="437"/>
      <c r="D63" s="685"/>
      <c r="F63" s="624"/>
      <c r="G63" s="624"/>
      <c r="H63" s="624"/>
      <c r="I63" s="692">
        <v>0.77126844484928647</v>
      </c>
      <c r="J63" s="629"/>
      <c r="L63" s="416"/>
      <c r="M63" s="416"/>
      <c r="N63" s="434"/>
      <c r="O63" s="416"/>
      <c r="P63" s="434"/>
      <c r="Q63" s="416"/>
      <c r="R63" s="434"/>
      <c r="S63" s="416"/>
      <c r="T63" s="434"/>
      <c r="U63" s="416"/>
      <c r="V63" s="434"/>
      <c r="W63" s="640"/>
      <c r="X63" s="434"/>
      <c r="Y63" s="640"/>
      <c r="Z63" s="434"/>
    </row>
    <row r="64" spans="1:27" s="439" customFormat="1" ht="15.75">
      <c r="A64" s="431"/>
      <c r="B64" s="431"/>
      <c r="C64" s="437"/>
      <c r="D64" s="685" t="s">
        <v>2384</v>
      </c>
      <c r="F64" s="624"/>
      <c r="G64" s="624"/>
      <c r="H64" s="624"/>
      <c r="I64" s="434">
        <v>1428079.3620000002</v>
      </c>
      <c r="J64" s="629"/>
      <c r="L64" s="416"/>
      <c r="M64" s="416"/>
      <c r="N64" s="434">
        <v>293856.19353098684</v>
      </c>
      <c r="O64" s="416"/>
      <c r="P64" s="434">
        <v>410727.77659772657</v>
      </c>
      <c r="Q64" s="416"/>
      <c r="R64" s="434">
        <v>237580.19818843203</v>
      </c>
      <c r="S64" s="416"/>
      <c r="T64" s="434">
        <v>7949.539202915108</v>
      </c>
      <c r="U64" s="416"/>
      <c r="V64" s="434">
        <v>276192.5516387634</v>
      </c>
      <c r="W64" s="640"/>
      <c r="X64" s="434">
        <v>26112.514508984921</v>
      </c>
      <c r="Y64" s="640"/>
      <c r="Z64" s="434">
        <v>175660.5883321912</v>
      </c>
    </row>
    <row r="65" spans="1:26" s="439" customFormat="1" ht="15">
      <c r="A65" s="431"/>
      <c r="B65" s="431"/>
      <c r="C65" s="437"/>
      <c r="D65" s="438"/>
      <c r="F65" s="624"/>
      <c r="G65" s="624"/>
      <c r="H65" s="624"/>
      <c r="I65" s="692">
        <v>0.77126844484928647</v>
      </c>
      <c r="J65" s="629"/>
      <c r="L65" s="639"/>
      <c r="M65" s="639"/>
      <c r="N65" s="639"/>
      <c r="O65" s="639"/>
      <c r="P65" s="639"/>
      <c r="Q65" s="639"/>
      <c r="R65" s="639"/>
      <c r="S65" s="639"/>
      <c r="T65" s="639"/>
      <c r="U65" s="639"/>
      <c r="V65" s="639"/>
      <c r="W65" s="639"/>
      <c r="X65" s="416"/>
      <c r="Y65" s="640"/>
      <c r="Z65" s="416"/>
    </row>
    <row r="66" spans="1:26" s="439" customFormat="1" ht="15">
      <c r="A66" s="431"/>
      <c r="B66" s="431"/>
      <c r="C66" s="437"/>
      <c r="D66" s="438" t="s">
        <v>2383</v>
      </c>
      <c r="E66" s="673">
        <v>0.1</v>
      </c>
      <c r="F66" s="624"/>
      <c r="G66" s="624"/>
      <c r="H66" s="624"/>
      <c r="I66" s="416">
        <v>131788.12920000005</v>
      </c>
      <c r="J66" s="629"/>
      <c r="L66" s="416"/>
      <c r="M66" s="639"/>
      <c r="N66" s="416">
        <v>27090.30975</v>
      </c>
      <c r="O66" s="416"/>
      <c r="P66" s="416">
        <v>37999.5</v>
      </c>
      <c r="Q66" s="416"/>
      <c r="R66" s="416">
        <v>21902.281800000004</v>
      </c>
      <c r="S66" s="416"/>
      <c r="T66" s="416">
        <v>732.86009999999999</v>
      </c>
      <c r="U66" s="416"/>
      <c r="V66" s="416">
        <v>25461.916200000007</v>
      </c>
      <c r="W66" s="640"/>
      <c r="X66" s="416">
        <v>2407.2867000000001</v>
      </c>
      <c r="Y66" s="640"/>
      <c r="Z66" s="416">
        <v>16193.974650000002</v>
      </c>
    </row>
    <row r="67" spans="1:26" s="439" customFormat="1" ht="15">
      <c r="A67" s="431"/>
      <c r="B67" s="431"/>
      <c r="C67" s="437"/>
      <c r="D67" s="438" t="s">
        <v>867</v>
      </c>
      <c r="E67" s="673">
        <v>0.22</v>
      </c>
      <c r="F67" s="624"/>
      <c r="G67" s="624"/>
      <c r="H67" s="624"/>
      <c r="I67" s="416">
        <v>24243.575400000002</v>
      </c>
      <c r="J67" s="629">
        <v>24243.575399999994</v>
      </c>
      <c r="L67" s="416"/>
      <c r="M67" s="639"/>
      <c r="N67" s="416">
        <v>5049.6811268171095</v>
      </c>
      <c r="O67" s="416"/>
      <c r="P67" s="416">
        <v>6761.2108514998399</v>
      </c>
      <c r="Q67" s="416"/>
      <c r="R67" s="416">
        <v>4082.6236414550372</v>
      </c>
      <c r="S67" s="416"/>
      <c r="T67" s="416">
        <v>136.60640464132382</v>
      </c>
      <c r="U67" s="416"/>
      <c r="V67" s="416">
        <v>4746.1457205279412</v>
      </c>
      <c r="W67" s="640"/>
      <c r="X67" s="416">
        <v>448.72245197668303</v>
      </c>
      <c r="Y67" s="640"/>
      <c r="Z67" s="416">
        <v>3018.5852030820624</v>
      </c>
    </row>
    <row r="68" spans="1:26" s="439" customFormat="1" ht="15">
      <c r="A68" s="431"/>
      <c r="B68" s="431"/>
      <c r="C68" s="437"/>
      <c r="D68" s="438"/>
      <c r="F68" s="624"/>
      <c r="G68" s="624"/>
      <c r="H68" s="624"/>
      <c r="I68" s="416"/>
      <c r="J68" s="629"/>
      <c r="L68" s="416"/>
      <c r="M68" s="639"/>
      <c r="N68" s="416"/>
      <c r="O68" s="416"/>
      <c r="P68" s="416"/>
      <c r="Q68" s="416"/>
      <c r="R68" s="416"/>
      <c r="S68" s="416"/>
      <c r="T68" s="416"/>
      <c r="U68" s="416"/>
      <c r="V68" s="416"/>
      <c r="W68" s="640"/>
      <c r="X68" s="416"/>
      <c r="Y68" s="640"/>
      <c r="Z68" s="416"/>
    </row>
    <row r="69" spans="1:26" s="439" customFormat="1" ht="15">
      <c r="A69" s="431"/>
      <c r="B69" s="431"/>
      <c r="C69" s="437"/>
      <c r="D69" s="438"/>
      <c r="F69" s="624"/>
      <c r="G69" s="624"/>
      <c r="H69" s="624"/>
      <c r="I69" s="416"/>
      <c r="J69" s="629"/>
      <c r="L69" s="416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640"/>
      <c r="X69" s="416"/>
      <c r="Y69" s="640"/>
      <c r="Z69" s="416"/>
    </row>
    <row r="70" spans="1:26" s="439" customFormat="1" ht="15.75">
      <c r="A70" s="431"/>
      <c r="B70" s="431"/>
      <c r="C70" s="437"/>
      <c r="D70" s="685" t="s">
        <v>2385</v>
      </c>
      <c r="F70" s="624"/>
      <c r="G70" s="624"/>
      <c r="H70" s="624"/>
      <c r="I70" s="618">
        <v>1584111.0666000003</v>
      </c>
      <c r="J70" s="629">
        <v>1584111.0665999998</v>
      </c>
      <c r="L70" s="416"/>
      <c r="M70" s="416"/>
      <c r="N70" s="620">
        <v>325996.18440780399</v>
      </c>
      <c r="O70" s="416"/>
      <c r="P70" s="621">
        <v>455488.48744922644</v>
      </c>
      <c r="Q70" s="416"/>
      <c r="R70" s="622">
        <v>263565.10362988705</v>
      </c>
      <c r="S70" s="416"/>
      <c r="T70" s="622">
        <v>8819.0057075564309</v>
      </c>
      <c r="U70" s="416"/>
      <c r="V70" s="622">
        <v>306400.61355929129</v>
      </c>
      <c r="W70" s="640"/>
      <c r="X70" s="622">
        <v>28968.523660961604</v>
      </c>
      <c r="Y70" s="640"/>
      <c r="Z70" s="622">
        <v>194873.14818527325</v>
      </c>
    </row>
    <row r="71" spans="1:26" ht="15">
      <c r="A71" s="191"/>
      <c r="B71" s="191"/>
      <c r="C71" s="384"/>
      <c r="F71" s="935" t="s">
        <v>1806</v>
      </c>
      <c r="G71" s="941"/>
      <c r="H71" s="941"/>
      <c r="I71" s="942"/>
      <c r="J71" s="221"/>
      <c r="L71" s="287"/>
      <c r="M71" s="185" t="s">
        <v>2466</v>
      </c>
      <c r="N71" s="185"/>
      <c r="O71" s="502" t="s">
        <v>2467</v>
      </c>
      <c r="P71" s="502"/>
      <c r="Q71" s="641" t="s">
        <v>2468</v>
      </c>
      <c r="R71" s="641"/>
      <c r="S71" s="641" t="s">
        <v>2468</v>
      </c>
      <c r="T71" s="641"/>
      <c r="U71" s="641" t="s">
        <v>2469</v>
      </c>
      <c r="V71" s="641"/>
      <c r="W71" s="641" t="s">
        <v>341</v>
      </c>
      <c r="X71" s="641"/>
      <c r="Y71" s="641" t="s">
        <v>2470</v>
      </c>
      <c r="Z71" s="641"/>
    </row>
    <row r="72" spans="1:26" ht="15">
      <c r="A72" s="191"/>
      <c r="B72" s="191"/>
      <c r="C72" s="384"/>
      <c r="F72" s="943"/>
      <c r="G72" s="944"/>
      <c r="H72" s="944"/>
      <c r="I72" s="945"/>
      <c r="J72" s="221"/>
      <c r="L72" s="287"/>
      <c r="M72" s="184" t="s">
        <v>1806</v>
      </c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spans="1:26" ht="15.75">
      <c r="A73" s="191"/>
      <c r="B73" s="191"/>
      <c r="C73" s="384"/>
      <c r="D73" s="183" t="s">
        <v>0</v>
      </c>
      <c r="F73" s="286"/>
      <c r="G73" s="286"/>
      <c r="H73" s="286"/>
      <c r="I73" s="696">
        <v>0.75451543711142299</v>
      </c>
      <c r="J73" s="221"/>
      <c r="L73" s="287"/>
      <c r="M73" s="221"/>
      <c r="N73" s="286"/>
      <c r="O73" s="286"/>
      <c r="P73" s="286"/>
      <c r="Q73" s="932">
        <v>802626.39474296966</v>
      </c>
      <c r="R73" s="933"/>
      <c r="S73" s="933"/>
      <c r="T73" s="933"/>
      <c r="U73" s="933"/>
      <c r="V73" s="933"/>
      <c r="W73" s="933"/>
      <c r="X73" s="933"/>
      <c r="Y73" s="933"/>
      <c r="Z73" s="934"/>
    </row>
    <row r="74" spans="1:26" ht="15.75">
      <c r="A74" s="191"/>
      <c r="B74" s="191"/>
      <c r="C74" s="384"/>
      <c r="D74" s="427" t="s">
        <v>1971</v>
      </c>
      <c r="F74" s="286"/>
      <c r="G74" s="286"/>
      <c r="H74" s="286"/>
      <c r="I74" s="642">
        <v>1</v>
      </c>
      <c r="J74" s="221"/>
      <c r="K74" s="691" t="s">
        <v>872</v>
      </c>
      <c r="L74" s="287"/>
      <c r="M74" s="221"/>
      <c r="N74" s="642">
        <v>0.2057912423448276</v>
      </c>
      <c r="O74" s="354"/>
      <c r="P74" s="642">
        <v>0.28753570191694183</v>
      </c>
      <c r="Q74" s="643">
        <v>0.50667305573823052</v>
      </c>
      <c r="R74" s="644"/>
      <c r="S74" s="644"/>
      <c r="T74" s="644"/>
      <c r="U74" s="644"/>
      <c r="V74" s="644"/>
      <c r="W74" s="644"/>
      <c r="X74" s="644"/>
      <c r="Y74" s="644"/>
      <c r="Z74" s="645"/>
    </row>
    <row r="75" spans="1:26" ht="15">
      <c r="A75" s="191"/>
      <c r="B75" s="191"/>
      <c r="C75"/>
      <c r="D75" s="183"/>
      <c r="E75"/>
      <c r="F75"/>
      <c r="G75"/>
      <c r="H75"/>
      <c r="I75"/>
      <c r="J75"/>
      <c r="K75"/>
      <c r="L75"/>
      <c r="M75"/>
      <c r="N75"/>
      <c r="O75"/>
      <c r="P75"/>
      <c r="Q75" s="219"/>
    </row>
    <row r="76" spans="1:26" ht="15">
      <c r="A76" s="191"/>
      <c r="B76" s="191"/>
      <c r="C76"/>
      <c r="D76" s="183"/>
      <c r="E76"/>
      <c r="F76"/>
      <c r="G76"/>
      <c r="H76"/>
      <c r="I76"/>
      <c r="J76"/>
      <c r="K76"/>
      <c r="L76"/>
      <c r="M76"/>
      <c r="N76"/>
      <c r="O76"/>
      <c r="P76"/>
      <c r="Q76" s="219"/>
    </row>
    <row r="77" spans="1:26" ht="15">
      <c r="A77" s="191"/>
      <c r="B77" s="191"/>
      <c r="C77"/>
      <c r="D77" s="183"/>
      <c r="E77"/>
      <c r="F77"/>
      <c r="G77"/>
      <c r="H77"/>
      <c r="I77"/>
      <c r="J77"/>
      <c r="K77"/>
      <c r="L77"/>
      <c r="M77"/>
      <c r="N77"/>
      <c r="O77"/>
      <c r="P77"/>
      <c r="Q77" s="219"/>
    </row>
    <row r="78" spans="1:26" customFormat="1">
      <c r="D78" s="183"/>
    </row>
    <row r="79" spans="1:26" customFormat="1">
      <c r="D79" s="183"/>
    </row>
    <row r="80" spans="1:26" customFormat="1">
      <c r="D80" s="183"/>
    </row>
    <row r="81" spans="4:4" customFormat="1">
      <c r="D81" s="183"/>
    </row>
    <row r="82" spans="4:4" customFormat="1">
      <c r="D82" s="183"/>
    </row>
    <row r="83" spans="4:4" customFormat="1">
      <c r="D83" s="183"/>
    </row>
    <row r="84" spans="4:4" customFormat="1">
      <c r="D84" s="183"/>
    </row>
    <row r="85" spans="4:4" customFormat="1">
      <c r="D85" s="183"/>
    </row>
    <row r="86" spans="4:4" customFormat="1">
      <c r="D86" s="183"/>
    </row>
    <row r="87" spans="4:4" customFormat="1">
      <c r="D87" s="183"/>
    </row>
    <row r="88" spans="4:4" customFormat="1">
      <c r="D88" s="183"/>
    </row>
    <row r="89" spans="4:4" customFormat="1">
      <c r="D89" s="183"/>
    </row>
    <row r="90" spans="4:4" customFormat="1">
      <c r="D90" s="183"/>
    </row>
    <row r="91" spans="4:4" customFormat="1">
      <c r="D91" s="183"/>
    </row>
    <row r="92" spans="4:4" customFormat="1">
      <c r="D92" s="183"/>
    </row>
    <row r="93" spans="4:4" customFormat="1">
      <c r="D93" s="183"/>
    </row>
    <row r="94" spans="4:4" customFormat="1">
      <c r="D94" s="183"/>
    </row>
    <row r="95" spans="4:4" customFormat="1">
      <c r="D95" s="183"/>
    </row>
    <row r="96" spans="4:4" customFormat="1">
      <c r="D96" s="183"/>
    </row>
    <row r="97" spans="4:4" customFormat="1">
      <c r="D97" s="183"/>
    </row>
    <row r="98" spans="4:4" customFormat="1">
      <c r="D98" s="183"/>
    </row>
    <row r="99" spans="4:4" customFormat="1">
      <c r="D99" s="183"/>
    </row>
    <row r="100" spans="4:4" customFormat="1">
      <c r="D100" s="183"/>
    </row>
    <row r="101" spans="4:4" customFormat="1">
      <c r="D101" s="183"/>
    </row>
    <row r="102" spans="4:4" customFormat="1">
      <c r="D102" s="183"/>
    </row>
    <row r="103" spans="4:4" customFormat="1">
      <c r="D103" s="183"/>
    </row>
    <row r="104" spans="4:4" customFormat="1">
      <c r="D104" s="183"/>
    </row>
    <row r="105" spans="4:4" customFormat="1">
      <c r="D105" s="183"/>
    </row>
    <row r="106" spans="4:4" customFormat="1">
      <c r="D106" s="183"/>
    </row>
    <row r="107" spans="4:4" customFormat="1">
      <c r="D107" s="183"/>
    </row>
    <row r="108" spans="4:4" customFormat="1">
      <c r="D108" s="183"/>
    </row>
    <row r="109" spans="4:4" customFormat="1">
      <c r="D109" s="183"/>
    </row>
    <row r="110" spans="4:4" customFormat="1">
      <c r="D110" s="183"/>
    </row>
    <row r="111" spans="4:4" customFormat="1">
      <c r="D111" s="183"/>
    </row>
    <row r="112" spans="4:4" customFormat="1">
      <c r="D112" s="183"/>
    </row>
    <row r="113" spans="4:4" customFormat="1">
      <c r="D113" s="183"/>
    </row>
    <row r="114" spans="4:4" customFormat="1">
      <c r="D114" s="183"/>
    </row>
    <row r="115" spans="4:4" customFormat="1">
      <c r="D115" s="183"/>
    </row>
    <row r="116" spans="4:4" customFormat="1">
      <c r="D116" s="183"/>
    </row>
    <row r="117" spans="4:4" customFormat="1">
      <c r="D117" s="183"/>
    </row>
    <row r="118" spans="4:4" customFormat="1">
      <c r="D118" s="183"/>
    </row>
    <row r="119" spans="4:4" customFormat="1">
      <c r="D119" s="183"/>
    </row>
    <row r="120" spans="4:4" customFormat="1">
      <c r="D120" s="183"/>
    </row>
    <row r="121" spans="4:4" customFormat="1">
      <c r="D121" s="183"/>
    </row>
    <row r="122" spans="4:4" customFormat="1">
      <c r="D122" s="183"/>
    </row>
    <row r="123" spans="4:4" customFormat="1">
      <c r="D123" s="183"/>
    </row>
    <row r="124" spans="4:4" customFormat="1">
      <c r="D124" s="183"/>
    </row>
    <row r="125" spans="4:4" customFormat="1">
      <c r="D125" s="183"/>
    </row>
    <row r="126" spans="4:4" customFormat="1">
      <c r="D126" s="183"/>
    </row>
    <row r="127" spans="4:4" customFormat="1">
      <c r="D127" s="183"/>
    </row>
    <row r="128" spans="4:4" customFormat="1">
      <c r="D128" s="183"/>
    </row>
    <row r="129" spans="4:4" customFormat="1">
      <c r="D129" s="183"/>
    </row>
    <row r="130" spans="4:4" customFormat="1">
      <c r="D130" s="183"/>
    </row>
    <row r="131" spans="4:4" customFormat="1">
      <c r="D131" s="183"/>
    </row>
    <row r="132" spans="4:4" customFormat="1">
      <c r="D132" s="183"/>
    </row>
    <row r="133" spans="4:4" customFormat="1">
      <c r="D133" s="183"/>
    </row>
    <row r="134" spans="4:4" customFormat="1">
      <c r="D134" s="183"/>
    </row>
    <row r="135" spans="4:4" customFormat="1">
      <c r="D135" s="183"/>
    </row>
    <row r="136" spans="4:4" customFormat="1">
      <c r="D136" s="183"/>
    </row>
    <row r="137" spans="4:4" customFormat="1">
      <c r="D137" s="183"/>
    </row>
    <row r="138" spans="4:4" customFormat="1">
      <c r="D138" s="183"/>
    </row>
    <row r="139" spans="4:4" customFormat="1">
      <c r="D139" s="183"/>
    </row>
    <row r="140" spans="4:4" customFormat="1">
      <c r="D140" s="183"/>
    </row>
    <row r="141" spans="4:4" customFormat="1">
      <c r="D141" s="183"/>
    </row>
    <row r="142" spans="4:4" customFormat="1">
      <c r="D142" s="183"/>
    </row>
    <row r="143" spans="4:4" customFormat="1">
      <c r="D143" s="183"/>
    </row>
    <row r="144" spans="4:4" customFormat="1">
      <c r="D144" s="183"/>
    </row>
    <row r="145" spans="4:4" customFormat="1">
      <c r="D145" s="183"/>
    </row>
    <row r="146" spans="4:4" customFormat="1">
      <c r="D146" s="183"/>
    </row>
    <row r="147" spans="4:4" customFormat="1">
      <c r="D147" s="183"/>
    </row>
    <row r="148" spans="4:4" customFormat="1">
      <c r="D148" s="183"/>
    </row>
    <row r="149" spans="4:4" customFormat="1">
      <c r="D149" s="183"/>
    </row>
    <row r="150" spans="4:4" customFormat="1">
      <c r="D150" s="183"/>
    </row>
    <row r="151" spans="4:4" customFormat="1">
      <c r="D151" s="183"/>
    </row>
    <row r="152" spans="4:4" customFormat="1">
      <c r="D152" s="183"/>
    </row>
    <row r="153" spans="4:4" customFormat="1">
      <c r="D153" s="183"/>
    </row>
    <row r="154" spans="4:4" customFormat="1">
      <c r="D154" s="183"/>
    </row>
    <row r="155" spans="4:4" customFormat="1">
      <c r="D155" s="183"/>
    </row>
    <row r="156" spans="4:4" customFormat="1">
      <c r="D156" s="183"/>
    </row>
    <row r="157" spans="4:4" customFormat="1">
      <c r="D157" s="183"/>
    </row>
    <row r="158" spans="4:4" customFormat="1">
      <c r="D158" s="183"/>
    </row>
    <row r="159" spans="4:4" customFormat="1">
      <c r="D159" s="183"/>
    </row>
    <row r="160" spans="4:4" customFormat="1">
      <c r="D160" s="183"/>
    </row>
    <row r="161" spans="4:4" customFormat="1">
      <c r="D161" s="183"/>
    </row>
    <row r="162" spans="4:4" customFormat="1">
      <c r="D162" s="183"/>
    </row>
    <row r="163" spans="4:4" customFormat="1">
      <c r="D163" s="183"/>
    </row>
    <row r="164" spans="4:4" customFormat="1">
      <c r="D164" s="183"/>
    </row>
    <row r="165" spans="4:4" customFormat="1">
      <c r="D165" s="183"/>
    </row>
    <row r="166" spans="4:4" customFormat="1">
      <c r="D166" s="183"/>
    </row>
    <row r="167" spans="4:4" customFormat="1">
      <c r="D167" s="183"/>
    </row>
    <row r="168" spans="4:4" customFormat="1">
      <c r="D168" s="183"/>
    </row>
    <row r="169" spans="4:4" customFormat="1">
      <c r="D169" s="183"/>
    </row>
    <row r="170" spans="4:4" customFormat="1">
      <c r="D170" s="183"/>
    </row>
    <row r="171" spans="4:4" customFormat="1">
      <c r="D171" s="183"/>
    </row>
    <row r="172" spans="4:4" customFormat="1">
      <c r="D172" s="183"/>
    </row>
    <row r="173" spans="4:4" customFormat="1">
      <c r="D173" s="183"/>
    </row>
    <row r="174" spans="4:4" customFormat="1">
      <c r="D174" s="183"/>
    </row>
    <row r="175" spans="4:4" customFormat="1">
      <c r="D175" s="183"/>
    </row>
    <row r="176" spans="4:4" customFormat="1">
      <c r="D176" s="183"/>
    </row>
    <row r="177" spans="4:4" customFormat="1">
      <c r="D177" s="183"/>
    </row>
    <row r="178" spans="4:4" customFormat="1">
      <c r="D178" s="183"/>
    </row>
    <row r="179" spans="4:4" customFormat="1">
      <c r="D179" s="183"/>
    </row>
    <row r="180" spans="4:4" customFormat="1">
      <c r="D180" s="183"/>
    </row>
    <row r="181" spans="4:4" customFormat="1">
      <c r="D181" s="183"/>
    </row>
    <row r="182" spans="4:4" customFormat="1">
      <c r="D182" s="183"/>
    </row>
    <row r="183" spans="4:4" customFormat="1">
      <c r="D183" s="183"/>
    </row>
    <row r="184" spans="4:4" customFormat="1">
      <c r="D184" s="183"/>
    </row>
    <row r="185" spans="4:4" customFormat="1">
      <c r="D185" s="183"/>
    </row>
    <row r="186" spans="4:4" customFormat="1">
      <c r="D186" s="183"/>
    </row>
    <row r="187" spans="4:4" customFormat="1">
      <c r="D187" s="183"/>
    </row>
    <row r="188" spans="4:4" customFormat="1">
      <c r="D188" s="183"/>
    </row>
    <row r="189" spans="4:4" customFormat="1">
      <c r="D189" s="183"/>
    </row>
    <row r="190" spans="4:4" customFormat="1">
      <c r="D190" s="183"/>
    </row>
    <row r="191" spans="4:4" customFormat="1">
      <c r="D191" s="183"/>
    </row>
    <row r="192" spans="4:4" customFormat="1">
      <c r="D192" s="183"/>
    </row>
    <row r="193" spans="4:4" customFormat="1">
      <c r="D193" s="183"/>
    </row>
    <row r="194" spans="4:4" customFormat="1">
      <c r="D194" s="183"/>
    </row>
    <row r="195" spans="4:4" customFormat="1">
      <c r="D195" s="183"/>
    </row>
    <row r="196" spans="4:4" customFormat="1">
      <c r="D196" s="183"/>
    </row>
    <row r="197" spans="4:4" customFormat="1">
      <c r="D197" s="183"/>
    </row>
    <row r="198" spans="4:4" customFormat="1">
      <c r="D198" s="183"/>
    </row>
    <row r="199" spans="4:4" customFormat="1">
      <c r="D199" s="183"/>
    </row>
    <row r="200" spans="4:4" customFormat="1">
      <c r="D200" s="183"/>
    </row>
    <row r="201" spans="4:4" customFormat="1">
      <c r="D201" s="183"/>
    </row>
    <row r="202" spans="4:4" customFormat="1">
      <c r="D202" s="183"/>
    </row>
    <row r="203" spans="4:4" customFormat="1">
      <c r="D203" s="183"/>
    </row>
    <row r="204" spans="4:4" customFormat="1">
      <c r="D204" s="183"/>
    </row>
    <row r="205" spans="4:4" customFormat="1">
      <c r="D205" s="183"/>
    </row>
    <row r="206" spans="4:4" customFormat="1">
      <c r="D206" s="183"/>
    </row>
    <row r="207" spans="4:4" customFormat="1">
      <c r="D207" s="183"/>
    </row>
    <row r="208" spans="4:4" customFormat="1">
      <c r="D208" s="183"/>
    </row>
    <row r="209" spans="4:4" customFormat="1">
      <c r="D209" s="183"/>
    </row>
    <row r="210" spans="4:4" customFormat="1">
      <c r="D210" s="183"/>
    </row>
    <row r="211" spans="4:4" customFormat="1">
      <c r="D211" s="183"/>
    </row>
    <row r="212" spans="4:4" customFormat="1">
      <c r="D212" s="183"/>
    </row>
    <row r="213" spans="4:4" customFormat="1">
      <c r="D213" s="183"/>
    </row>
    <row r="214" spans="4:4" customFormat="1">
      <c r="D214" s="183"/>
    </row>
    <row r="215" spans="4:4" customFormat="1">
      <c r="D215" s="183"/>
    </row>
    <row r="216" spans="4:4" customFormat="1">
      <c r="D216" s="183"/>
    </row>
    <row r="217" spans="4:4" customFormat="1">
      <c r="D217" s="183"/>
    </row>
    <row r="218" spans="4:4" customFormat="1">
      <c r="D218" s="183"/>
    </row>
    <row r="219" spans="4:4" customFormat="1">
      <c r="D219" s="183"/>
    </row>
    <row r="220" spans="4:4" customFormat="1">
      <c r="D220" s="183"/>
    </row>
    <row r="221" spans="4:4" customFormat="1">
      <c r="D221" s="183"/>
    </row>
    <row r="222" spans="4:4" customFormat="1">
      <c r="D222" s="183"/>
    </row>
    <row r="223" spans="4:4" customFormat="1">
      <c r="D223" s="183"/>
    </row>
    <row r="224" spans="4:4" customFormat="1">
      <c r="D224" s="183"/>
    </row>
    <row r="225" spans="4:4" customFormat="1">
      <c r="D225" s="183"/>
    </row>
    <row r="226" spans="4:4" customFormat="1">
      <c r="D226" s="183"/>
    </row>
    <row r="227" spans="4:4" customFormat="1">
      <c r="D227" s="183"/>
    </row>
    <row r="228" spans="4:4" customFormat="1">
      <c r="D228" s="183"/>
    </row>
    <row r="229" spans="4:4" customFormat="1">
      <c r="D229" s="183"/>
    </row>
    <row r="230" spans="4:4" customFormat="1">
      <c r="D230" s="183"/>
    </row>
    <row r="231" spans="4:4" customFormat="1">
      <c r="D231" s="183"/>
    </row>
    <row r="232" spans="4:4" customFormat="1">
      <c r="D232" s="183"/>
    </row>
    <row r="233" spans="4:4" customFormat="1">
      <c r="D233" s="183"/>
    </row>
    <row r="234" spans="4:4" customFormat="1">
      <c r="D234" s="183"/>
    </row>
    <row r="235" spans="4:4" customFormat="1">
      <c r="D235" s="183"/>
    </row>
    <row r="236" spans="4:4" customFormat="1">
      <c r="D236" s="183"/>
    </row>
    <row r="237" spans="4:4" customFormat="1">
      <c r="D237" s="183"/>
    </row>
    <row r="238" spans="4:4" customFormat="1">
      <c r="D238" s="183"/>
    </row>
    <row r="239" spans="4:4" customFormat="1">
      <c r="D239" s="183"/>
    </row>
    <row r="240" spans="4:4" customFormat="1">
      <c r="D240" s="183"/>
    </row>
    <row r="241" spans="4:4" customFormat="1">
      <c r="D241" s="183"/>
    </row>
    <row r="242" spans="4:4" customFormat="1">
      <c r="D242" s="183"/>
    </row>
    <row r="243" spans="4:4" customFormat="1">
      <c r="D243" s="183"/>
    </row>
    <row r="244" spans="4:4" customFormat="1">
      <c r="D244" s="183"/>
    </row>
    <row r="245" spans="4:4" customFormat="1">
      <c r="D245" s="183"/>
    </row>
    <row r="246" spans="4:4" customFormat="1">
      <c r="D246" s="183"/>
    </row>
    <row r="247" spans="4:4" customFormat="1">
      <c r="D247" s="183"/>
    </row>
    <row r="248" spans="4:4" customFormat="1">
      <c r="D248" s="183"/>
    </row>
    <row r="249" spans="4:4" customFormat="1">
      <c r="D249" s="183"/>
    </row>
    <row r="250" spans="4:4" customFormat="1">
      <c r="D250" s="183"/>
    </row>
    <row r="251" spans="4:4" customFormat="1">
      <c r="D251" s="183"/>
    </row>
    <row r="252" spans="4:4" customFormat="1">
      <c r="D252" s="183"/>
    </row>
    <row r="253" spans="4:4" customFormat="1">
      <c r="D253" s="183"/>
    </row>
    <row r="254" spans="4:4" customFormat="1">
      <c r="D254" s="183"/>
    </row>
    <row r="255" spans="4:4" customFormat="1">
      <c r="D255" s="183"/>
    </row>
    <row r="256" spans="4:4" customFormat="1">
      <c r="D256" s="183"/>
    </row>
    <row r="257" spans="4:4" customFormat="1">
      <c r="D257" s="183"/>
    </row>
    <row r="258" spans="4:4" customFormat="1">
      <c r="D258" s="183"/>
    </row>
    <row r="259" spans="4:4" customFormat="1">
      <c r="D259" s="183"/>
    </row>
    <row r="260" spans="4:4" customFormat="1">
      <c r="D260" s="183"/>
    </row>
    <row r="261" spans="4:4" customFormat="1">
      <c r="D261" s="183"/>
    </row>
    <row r="262" spans="4:4" customFormat="1">
      <c r="D262" s="183"/>
    </row>
    <row r="263" spans="4:4" customFormat="1">
      <c r="D263" s="183"/>
    </row>
    <row r="264" spans="4:4" customFormat="1">
      <c r="D264" s="183"/>
    </row>
    <row r="265" spans="4:4" customFormat="1">
      <c r="D265" s="183"/>
    </row>
    <row r="266" spans="4:4" customFormat="1">
      <c r="D266" s="183"/>
    </row>
    <row r="267" spans="4:4" customFormat="1">
      <c r="D267" s="183"/>
    </row>
    <row r="268" spans="4:4" customFormat="1">
      <c r="D268" s="183"/>
    </row>
    <row r="269" spans="4:4" customFormat="1">
      <c r="D269" s="183"/>
    </row>
    <row r="270" spans="4:4" customFormat="1">
      <c r="D270" s="183"/>
    </row>
    <row r="271" spans="4:4" customFormat="1">
      <c r="D271" s="183"/>
    </row>
    <row r="272" spans="4:4" customFormat="1">
      <c r="D272" s="183"/>
    </row>
    <row r="273" spans="2:26" customFormat="1">
      <c r="D273" s="183"/>
    </row>
    <row r="274" spans="2:26" customFormat="1">
      <c r="D274" s="183"/>
    </row>
    <row r="275" spans="2:26" customFormat="1">
      <c r="D275" s="183"/>
    </row>
    <row r="276" spans="2:26" customFormat="1">
      <c r="D276" s="183"/>
    </row>
    <row r="277" spans="2:26" customFormat="1">
      <c r="D277" s="183"/>
    </row>
    <row r="278" spans="2:26" customFormat="1">
      <c r="D278" s="183"/>
    </row>
    <row r="279" spans="2:26" customFormat="1">
      <c r="D279" s="183"/>
    </row>
    <row r="280" spans="2:26" ht="15">
      <c r="B280" s="191"/>
      <c r="L280" s="287"/>
      <c r="Q280" s="219"/>
      <c r="R280" s="183"/>
      <c r="S280" s="183"/>
      <c r="T280" s="183"/>
      <c r="U280" s="183"/>
      <c r="V280" s="183"/>
      <c r="W280" s="183"/>
      <c r="X280" s="183"/>
      <c r="Y280" s="183"/>
      <c r="Z280" s="183"/>
    </row>
    <row r="281" spans="2:26" ht="15">
      <c r="B281" s="191"/>
      <c r="L281" s="287"/>
      <c r="Q281" s="219"/>
      <c r="R281" s="183"/>
      <c r="S281" s="183"/>
      <c r="T281" s="183"/>
      <c r="U281" s="183"/>
      <c r="V281" s="183"/>
      <c r="W281" s="183"/>
      <c r="X281" s="183"/>
      <c r="Y281" s="183"/>
      <c r="Z281" s="183"/>
    </row>
    <row r="282" spans="2:26" ht="15">
      <c r="B282" s="191"/>
      <c r="L282" s="287"/>
      <c r="Q282" s="219"/>
      <c r="R282" s="183"/>
      <c r="S282" s="183"/>
      <c r="T282" s="183"/>
      <c r="U282" s="183"/>
      <c r="V282" s="183"/>
      <c r="W282" s="183"/>
      <c r="X282" s="183"/>
      <c r="Y282" s="183"/>
      <c r="Z282" s="183"/>
    </row>
    <row r="283" spans="2:26" ht="15">
      <c r="B283" s="191"/>
      <c r="L283" s="287"/>
      <c r="Q283" s="219"/>
      <c r="R283" s="183"/>
      <c r="S283" s="183"/>
      <c r="T283" s="183"/>
      <c r="U283" s="183"/>
      <c r="V283" s="183"/>
      <c r="W283" s="183"/>
      <c r="X283" s="183"/>
      <c r="Y283" s="183"/>
      <c r="Z283" s="183"/>
    </row>
    <row r="284" spans="2:26" ht="15">
      <c r="B284" s="191"/>
      <c r="L284" s="287"/>
      <c r="Q284" s="219"/>
      <c r="R284" s="183"/>
      <c r="S284" s="183"/>
      <c r="T284" s="183"/>
      <c r="U284" s="183"/>
      <c r="V284" s="183"/>
      <c r="W284" s="183"/>
      <c r="X284" s="183"/>
      <c r="Y284" s="183"/>
      <c r="Z284" s="183"/>
    </row>
    <row r="285" spans="2:26" ht="15">
      <c r="B285" s="191"/>
      <c r="L285" s="287"/>
      <c r="Q285" s="219"/>
      <c r="R285" s="183"/>
      <c r="S285" s="183"/>
      <c r="T285" s="183"/>
      <c r="U285" s="183"/>
      <c r="V285" s="183"/>
      <c r="W285" s="183"/>
      <c r="X285" s="183"/>
      <c r="Y285" s="183"/>
      <c r="Z285" s="183"/>
    </row>
    <row r="286" spans="2:26" ht="15">
      <c r="B286" s="191"/>
      <c r="L286" s="287"/>
      <c r="Q286" s="219"/>
      <c r="R286" s="183"/>
      <c r="S286" s="183"/>
      <c r="T286" s="183"/>
      <c r="U286" s="183"/>
      <c r="V286" s="183"/>
      <c r="W286" s="183"/>
      <c r="X286" s="183"/>
      <c r="Y286" s="183"/>
      <c r="Z286" s="183"/>
    </row>
    <row r="287" spans="2:26" ht="15">
      <c r="B287" s="191"/>
      <c r="L287" s="287"/>
      <c r="Q287" s="219"/>
      <c r="R287" s="183"/>
      <c r="S287" s="183"/>
      <c r="T287" s="183"/>
      <c r="U287" s="183"/>
      <c r="V287" s="183"/>
      <c r="W287" s="183"/>
      <c r="X287" s="183"/>
      <c r="Y287" s="183"/>
      <c r="Z287" s="183"/>
    </row>
    <row r="288" spans="2:26" ht="15">
      <c r="B288" s="191"/>
      <c r="L288" s="287"/>
      <c r="Q288" s="219"/>
      <c r="R288" s="183"/>
      <c r="S288" s="183"/>
      <c r="T288" s="183"/>
      <c r="U288" s="183"/>
      <c r="V288" s="183"/>
      <c r="W288" s="183"/>
      <c r="X288" s="183"/>
      <c r="Y288" s="183"/>
      <c r="Z288" s="183"/>
    </row>
    <row r="289" spans="2:26" ht="15">
      <c r="B289" s="191"/>
      <c r="L289" s="287"/>
      <c r="Q289" s="219"/>
      <c r="R289" s="183"/>
      <c r="S289" s="183"/>
      <c r="T289" s="183"/>
      <c r="U289" s="183"/>
      <c r="V289" s="183"/>
      <c r="W289" s="183"/>
      <c r="X289" s="183"/>
      <c r="Y289" s="183"/>
      <c r="Z289" s="183"/>
    </row>
    <row r="290" spans="2:26" ht="15">
      <c r="B290" s="191"/>
      <c r="L290" s="287"/>
      <c r="Q290" s="219"/>
      <c r="R290" s="183"/>
      <c r="S290" s="183"/>
      <c r="T290" s="183"/>
      <c r="U290" s="183"/>
      <c r="V290" s="183"/>
      <c r="W290" s="183"/>
      <c r="X290" s="183"/>
      <c r="Y290" s="183"/>
      <c r="Z290" s="183"/>
    </row>
    <row r="291" spans="2:26" ht="15">
      <c r="B291" s="191"/>
      <c r="L291" s="287"/>
      <c r="R291" s="183"/>
      <c r="S291" s="183"/>
      <c r="T291" s="183"/>
      <c r="U291" s="183"/>
      <c r="V291" s="183"/>
      <c r="W291" s="183"/>
      <c r="X291" s="183"/>
      <c r="Y291" s="183"/>
      <c r="Z291" s="183"/>
    </row>
    <row r="292" spans="2:26" ht="15">
      <c r="B292" s="191"/>
      <c r="L292" s="287"/>
      <c r="R292" s="183"/>
      <c r="S292" s="183"/>
      <c r="T292" s="183"/>
      <c r="U292" s="183"/>
      <c r="V292" s="183"/>
      <c r="W292" s="183"/>
      <c r="X292" s="183"/>
      <c r="Y292" s="183"/>
      <c r="Z292" s="183"/>
    </row>
    <row r="293" spans="2:26" ht="15">
      <c r="B293" s="191"/>
      <c r="L293" s="287"/>
      <c r="R293" s="183"/>
      <c r="S293" s="183"/>
      <c r="T293" s="183"/>
      <c r="U293" s="183"/>
      <c r="V293" s="183"/>
      <c r="W293" s="183"/>
      <c r="X293" s="183"/>
      <c r="Y293" s="183"/>
      <c r="Z293" s="183"/>
    </row>
    <row r="294" spans="2:26" ht="15">
      <c r="B294" s="191"/>
      <c r="L294" s="287"/>
      <c r="R294" s="183"/>
      <c r="S294" s="183"/>
      <c r="T294" s="183"/>
      <c r="U294" s="183"/>
      <c r="V294" s="183"/>
      <c r="W294" s="183"/>
      <c r="X294" s="183"/>
      <c r="Y294" s="183"/>
      <c r="Z294" s="183"/>
    </row>
    <row r="295" spans="2:26" ht="15">
      <c r="B295" s="191"/>
      <c r="L295" s="287"/>
      <c r="R295" s="183"/>
      <c r="S295" s="183"/>
      <c r="T295" s="183"/>
      <c r="U295" s="183"/>
      <c r="V295" s="183"/>
      <c r="W295" s="183"/>
      <c r="X295" s="183"/>
      <c r="Y295" s="183"/>
      <c r="Z295" s="183"/>
    </row>
    <row r="296" spans="2:26" ht="15">
      <c r="B296" s="191"/>
      <c r="L296" s="287"/>
      <c r="R296" s="183"/>
      <c r="S296" s="183"/>
      <c r="T296" s="183"/>
      <c r="U296" s="183"/>
      <c r="V296" s="183"/>
      <c r="W296" s="183"/>
      <c r="X296" s="183"/>
      <c r="Y296" s="183"/>
      <c r="Z296" s="183"/>
    </row>
    <row r="297" spans="2:26" ht="15">
      <c r="B297" s="191"/>
      <c r="L297" s="287"/>
      <c r="R297" s="183"/>
      <c r="S297" s="183"/>
      <c r="T297" s="183"/>
      <c r="U297" s="183"/>
      <c r="V297" s="183"/>
      <c r="W297" s="183"/>
      <c r="X297" s="183"/>
      <c r="Y297" s="183"/>
      <c r="Z297" s="183"/>
    </row>
    <row r="298" spans="2:26" ht="15">
      <c r="B298" s="191"/>
      <c r="L298" s="287"/>
      <c r="R298" s="183"/>
      <c r="S298" s="183"/>
      <c r="T298" s="183"/>
      <c r="U298" s="183"/>
      <c r="V298" s="183"/>
      <c r="W298" s="183"/>
      <c r="X298" s="183"/>
      <c r="Y298" s="183"/>
      <c r="Z298" s="183"/>
    </row>
    <row r="299" spans="2:26" ht="15">
      <c r="B299" s="191"/>
      <c r="L299" s="287"/>
      <c r="R299" s="183"/>
      <c r="S299" s="183"/>
      <c r="T299" s="183"/>
      <c r="U299" s="183"/>
      <c r="V299" s="183"/>
      <c r="W299" s="183"/>
      <c r="X299" s="183"/>
      <c r="Y299" s="183"/>
      <c r="Z299" s="183"/>
    </row>
    <row r="300" spans="2:26" ht="15">
      <c r="B300" s="191"/>
      <c r="L300" s="287"/>
      <c r="R300" s="183"/>
      <c r="S300" s="183"/>
      <c r="T300" s="183"/>
      <c r="U300" s="183"/>
      <c r="V300" s="183"/>
      <c r="W300" s="183"/>
      <c r="X300" s="183"/>
      <c r="Y300" s="183"/>
      <c r="Z300" s="183"/>
    </row>
    <row r="301" spans="2:26" ht="15">
      <c r="B301" s="191"/>
      <c r="L301" s="287"/>
      <c r="R301" s="183"/>
      <c r="S301" s="183"/>
      <c r="T301" s="183"/>
      <c r="U301" s="183"/>
      <c r="V301" s="183"/>
      <c r="W301" s="183"/>
      <c r="X301" s="183"/>
      <c r="Y301" s="183"/>
      <c r="Z301" s="183"/>
    </row>
    <row r="302" spans="2:26" ht="15">
      <c r="B302" s="191"/>
      <c r="L302" s="287"/>
      <c r="R302" s="183"/>
      <c r="S302" s="183"/>
      <c r="T302" s="183"/>
      <c r="U302" s="183"/>
      <c r="V302" s="183"/>
      <c r="W302" s="183"/>
      <c r="X302" s="183"/>
      <c r="Y302" s="183"/>
      <c r="Z302" s="183"/>
    </row>
    <row r="303" spans="2:26" ht="15">
      <c r="B303" s="191"/>
      <c r="L303" s="287"/>
      <c r="R303" s="183"/>
      <c r="S303" s="183"/>
      <c r="T303" s="183"/>
      <c r="U303" s="183"/>
      <c r="V303" s="183"/>
      <c r="W303" s="183"/>
      <c r="X303" s="183"/>
      <c r="Y303" s="183"/>
      <c r="Z303" s="183"/>
    </row>
    <row r="304" spans="2:26" ht="15">
      <c r="B304" s="191"/>
      <c r="L304" s="287"/>
      <c r="R304" s="183"/>
      <c r="S304" s="183"/>
      <c r="T304" s="183"/>
      <c r="U304" s="183"/>
      <c r="V304" s="183"/>
      <c r="W304" s="183"/>
      <c r="X304" s="183"/>
      <c r="Y304" s="183"/>
      <c r="Z304" s="183"/>
    </row>
    <row r="305" spans="2:26" ht="15">
      <c r="B305" s="191"/>
      <c r="L305" s="287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</row>
    <row r="306" spans="2:26" ht="15">
      <c r="B306" s="191"/>
      <c r="L306" s="287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</row>
    <row r="307" spans="2:26" ht="15">
      <c r="B307" s="191"/>
      <c r="L307" s="287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</row>
    <row r="308" spans="2:26" ht="15">
      <c r="B308" s="191"/>
      <c r="L308" s="287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</row>
    <row r="309" spans="2:26" ht="15">
      <c r="B309" s="191"/>
      <c r="L309" s="287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</row>
    <row r="310" spans="2:26" ht="15">
      <c r="B310" s="191"/>
      <c r="L310" s="287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</row>
    <row r="311" spans="2:26" ht="15">
      <c r="B311" s="191"/>
      <c r="L311" s="287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</row>
    <row r="312" spans="2:26" ht="15">
      <c r="B312" s="191"/>
      <c r="L312" s="287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</row>
    <row r="313" spans="2:26" ht="15">
      <c r="B313" s="191"/>
      <c r="L313" s="287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</row>
    <row r="314" spans="2:26" ht="15">
      <c r="B314" s="191"/>
      <c r="L314" s="287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</row>
    <row r="315" spans="2:26" ht="15">
      <c r="B315" s="191"/>
      <c r="L315" s="287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</row>
    <row r="316" spans="2:26" ht="15">
      <c r="B316" s="191"/>
      <c r="L316" s="287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</row>
    <row r="317" spans="2:26" ht="15">
      <c r="B317" s="191"/>
      <c r="L317" s="287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</row>
    <row r="318" spans="2:26" ht="15">
      <c r="B318" s="191"/>
      <c r="L318" s="287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</row>
    <row r="319" spans="2:26" ht="15">
      <c r="B319" s="191"/>
      <c r="L319" s="287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</row>
    <row r="320" spans="2:26" ht="15">
      <c r="B320" s="191"/>
      <c r="L320" s="287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</row>
    <row r="321" spans="2:26" ht="15">
      <c r="B321" s="191"/>
      <c r="L321" s="287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</row>
    <row r="322" spans="2:26" ht="15">
      <c r="B322" s="191"/>
      <c r="L322" s="287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</row>
    <row r="323" spans="2:26" ht="15">
      <c r="B323" s="191"/>
      <c r="L323" s="287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</row>
    <row r="324" spans="2:26" ht="15">
      <c r="B324" s="191"/>
      <c r="L324" s="287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</row>
    <row r="325" spans="2:26" ht="15">
      <c r="B325" s="191"/>
      <c r="L325" s="287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</row>
    <row r="326" spans="2:26" ht="15">
      <c r="B326" s="191"/>
      <c r="L326" s="287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</row>
    <row r="327" spans="2:26" ht="15">
      <c r="B327" s="191"/>
      <c r="L327" s="287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</row>
    <row r="328" spans="2:26">
      <c r="B328" s="191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</row>
    <row r="329" spans="2:26">
      <c r="B329" s="191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</row>
    <row r="330" spans="2:26">
      <c r="B330" s="191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</row>
    <row r="331" spans="2:26">
      <c r="B331" s="191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</row>
    <row r="332" spans="2:26">
      <c r="B332" s="191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</row>
    <row r="333" spans="2:26">
      <c r="B333" s="191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</row>
    <row r="334" spans="2:26">
      <c r="B334" s="191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</row>
    <row r="335" spans="2:26">
      <c r="B335" s="191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</row>
    <row r="336" spans="2:26">
      <c r="B336" s="191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</row>
    <row r="337" spans="2:26">
      <c r="B337" s="191"/>
      <c r="D337" s="183"/>
      <c r="I337" s="183"/>
      <c r="J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</row>
    <row r="338" spans="2:26">
      <c r="B338" s="191"/>
      <c r="D338" s="183"/>
      <c r="I338" s="183"/>
      <c r="J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</row>
    <row r="339" spans="2:26">
      <c r="B339" s="191"/>
      <c r="D339" s="183"/>
      <c r="I339" s="183"/>
      <c r="J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</row>
    <row r="340" spans="2:26">
      <c r="B340" s="191"/>
      <c r="D340" s="183"/>
      <c r="I340" s="183"/>
      <c r="J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</row>
    <row r="341" spans="2:26">
      <c r="B341" s="191"/>
      <c r="D341" s="183"/>
      <c r="I341" s="183"/>
      <c r="J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</row>
    <row r="342" spans="2:26">
      <c r="B342" s="191"/>
      <c r="D342" s="183"/>
      <c r="I342" s="183"/>
      <c r="J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</row>
    <row r="343" spans="2:26">
      <c r="B343" s="191"/>
      <c r="D343" s="183"/>
      <c r="I343" s="183"/>
      <c r="J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</row>
    <row r="344" spans="2:26">
      <c r="B344" s="191"/>
      <c r="D344" s="183"/>
      <c r="I344" s="183"/>
      <c r="J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</row>
    <row r="345" spans="2:26">
      <c r="B345" s="191"/>
      <c r="D345" s="183"/>
      <c r="I345" s="183"/>
      <c r="J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</row>
    <row r="346" spans="2:26">
      <c r="B346" s="191"/>
      <c r="D346" s="183"/>
      <c r="I346" s="183"/>
      <c r="J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</row>
    <row r="347" spans="2:26">
      <c r="B347" s="191"/>
      <c r="D347" s="183"/>
      <c r="I347" s="183"/>
      <c r="J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</row>
    <row r="348" spans="2:26">
      <c r="B348" s="191"/>
      <c r="D348" s="183"/>
      <c r="I348" s="183"/>
      <c r="J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</row>
    <row r="349" spans="2:26">
      <c r="B349" s="191"/>
      <c r="D349" s="183"/>
      <c r="I349" s="183"/>
      <c r="J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</row>
    <row r="350" spans="2:26">
      <c r="B350" s="191"/>
      <c r="D350" s="183"/>
      <c r="I350" s="183"/>
      <c r="J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</row>
    <row r="351" spans="2:26">
      <c r="B351" s="191"/>
      <c r="D351" s="183"/>
      <c r="I351" s="183"/>
      <c r="J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</row>
    <row r="352" spans="2:26">
      <c r="B352" s="191"/>
      <c r="D352" s="183"/>
      <c r="I352" s="183"/>
      <c r="J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</row>
    <row r="353" spans="2:26">
      <c r="B353" s="191"/>
      <c r="D353" s="183"/>
      <c r="I353" s="183"/>
      <c r="J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</row>
    <row r="354" spans="2:26">
      <c r="B354" s="191"/>
      <c r="D354" s="183"/>
      <c r="I354" s="183"/>
      <c r="J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</row>
    <row r="355" spans="2:26">
      <c r="B355" s="191"/>
      <c r="D355" s="183"/>
      <c r="I355" s="183"/>
      <c r="J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</row>
    <row r="356" spans="2:26">
      <c r="B356" s="191"/>
      <c r="D356" s="183"/>
      <c r="I356" s="183"/>
      <c r="J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</row>
    <row r="357" spans="2:26">
      <c r="B357" s="191"/>
      <c r="D357" s="183"/>
      <c r="I357" s="183"/>
      <c r="J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</row>
    <row r="358" spans="2:26">
      <c r="B358" s="191"/>
      <c r="D358" s="183"/>
      <c r="I358" s="183"/>
      <c r="J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</row>
    <row r="359" spans="2:26">
      <c r="B359" s="191"/>
      <c r="D359" s="183"/>
      <c r="I359" s="183"/>
      <c r="J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</row>
    <row r="360" spans="2:26">
      <c r="B360" s="191"/>
      <c r="D360" s="183"/>
      <c r="I360" s="183"/>
      <c r="J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</row>
    <row r="361" spans="2:26">
      <c r="B361" s="191"/>
      <c r="D361" s="183"/>
      <c r="I361" s="183"/>
      <c r="J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</row>
    <row r="362" spans="2:26">
      <c r="B362" s="191"/>
      <c r="D362" s="183"/>
      <c r="I362" s="183"/>
      <c r="J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</row>
    <row r="363" spans="2:26">
      <c r="B363" s="191"/>
      <c r="D363" s="183"/>
      <c r="I363" s="183"/>
      <c r="J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</row>
    <row r="364" spans="2:26">
      <c r="B364" s="191"/>
      <c r="D364" s="183"/>
      <c r="I364" s="183"/>
      <c r="J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</row>
    <row r="365" spans="2:26">
      <c r="B365" s="191"/>
      <c r="D365" s="183"/>
      <c r="I365" s="183"/>
      <c r="J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</row>
    <row r="366" spans="2:26">
      <c r="B366" s="191"/>
      <c r="D366" s="183"/>
      <c r="I366" s="183"/>
      <c r="J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</row>
    <row r="367" spans="2:26">
      <c r="B367" s="191"/>
      <c r="D367" s="183"/>
      <c r="I367" s="183"/>
      <c r="J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</row>
    <row r="368" spans="2:26">
      <c r="B368" s="191"/>
      <c r="D368" s="183"/>
      <c r="I368" s="183"/>
      <c r="J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</row>
    <row r="369" spans="2:26">
      <c r="B369" s="191"/>
      <c r="D369" s="183"/>
      <c r="I369" s="183"/>
      <c r="J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</row>
    <row r="370" spans="2:26">
      <c r="B370" s="191"/>
      <c r="D370" s="183"/>
      <c r="I370" s="183"/>
      <c r="J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</row>
    <row r="371" spans="2:26">
      <c r="B371" s="191"/>
      <c r="D371" s="183"/>
      <c r="I371" s="183"/>
      <c r="J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</row>
    <row r="372" spans="2:26">
      <c r="B372" s="191"/>
      <c r="D372" s="183"/>
      <c r="I372" s="183"/>
      <c r="J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</row>
    <row r="373" spans="2:26">
      <c r="B373" s="191"/>
      <c r="D373" s="183"/>
      <c r="I373" s="183"/>
      <c r="J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</row>
    <row r="374" spans="2:26">
      <c r="B374" s="191"/>
      <c r="D374" s="183"/>
      <c r="I374" s="183"/>
      <c r="J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</row>
    <row r="375" spans="2:26">
      <c r="B375" s="191"/>
      <c r="D375" s="183"/>
      <c r="I375" s="183"/>
      <c r="J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</row>
    <row r="376" spans="2:26">
      <c r="B376" s="191"/>
      <c r="D376" s="183"/>
      <c r="I376" s="183"/>
      <c r="J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</row>
    <row r="377" spans="2:26">
      <c r="B377" s="191"/>
      <c r="D377" s="183"/>
      <c r="I377" s="183"/>
      <c r="J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</row>
    <row r="378" spans="2:26">
      <c r="B378" s="191"/>
      <c r="D378" s="183"/>
      <c r="I378" s="183"/>
      <c r="J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</row>
    <row r="379" spans="2:26">
      <c r="B379" s="191"/>
      <c r="D379" s="183"/>
      <c r="I379" s="183"/>
      <c r="J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</row>
    <row r="380" spans="2:26">
      <c r="B380" s="191"/>
      <c r="D380" s="183"/>
      <c r="I380" s="183"/>
      <c r="J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</row>
    <row r="381" spans="2:26">
      <c r="B381" s="191"/>
      <c r="D381" s="183"/>
      <c r="I381" s="183"/>
      <c r="J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</row>
    <row r="382" spans="2:26">
      <c r="B382" s="191"/>
      <c r="D382" s="183"/>
      <c r="I382" s="183"/>
      <c r="J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</row>
    <row r="383" spans="2:26">
      <c r="B383" s="191"/>
      <c r="D383" s="183"/>
      <c r="I383" s="183"/>
      <c r="J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</row>
    <row r="384" spans="2:26">
      <c r="B384" s="191"/>
      <c r="D384" s="183"/>
      <c r="I384" s="183"/>
      <c r="J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</row>
    <row r="385" spans="2:26">
      <c r="B385" s="191"/>
      <c r="D385" s="183"/>
      <c r="I385" s="183"/>
      <c r="J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</row>
    <row r="386" spans="2:26">
      <c r="B386" s="191"/>
      <c r="D386" s="183"/>
      <c r="I386" s="183"/>
      <c r="J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</row>
    <row r="387" spans="2:26">
      <c r="B387" s="191"/>
      <c r="D387" s="183"/>
      <c r="I387" s="183"/>
      <c r="J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</row>
    <row r="388" spans="2:26">
      <c r="B388" s="191"/>
      <c r="D388" s="183"/>
      <c r="I388" s="183"/>
      <c r="J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</row>
    <row r="389" spans="2:26">
      <c r="B389" s="191"/>
      <c r="D389" s="183"/>
      <c r="I389" s="183"/>
      <c r="J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</row>
    <row r="390" spans="2:26">
      <c r="B390" s="191"/>
      <c r="D390" s="183"/>
      <c r="I390" s="183"/>
      <c r="J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</row>
    <row r="391" spans="2:26">
      <c r="B391" s="191"/>
      <c r="D391" s="183"/>
      <c r="I391" s="183"/>
      <c r="J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</row>
    <row r="392" spans="2:26">
      <c r="B392" s="191"/>
      <c r="D392" s="183"/>
      <c r="I392" s="183"/>
      <c r="J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</row>
    <row r="393" spans="2:26">
      <c r="B393" s="191"/>
      <c r="D393" s="183"/>
      <c r="I393" s="183"/>
      <c r="J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</row>
    <row r="394" spans="2:26">
      <c r="B394" s="191"/>
      <c r="D394" s="183"/>
      <c r="I394" s="183"/>
      <c r="J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</row>
    <row r="395" spans="2:26">
      <c r="B395" s="191"/>
      <c r="D395" s="183"/>
      <c r="I395" s="183"/>
      <c r="J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</row>
    <row r="396" spans="2:26">
      <c r="B396" s="191"/>
      <c r="D396" s="183"/>
      <c r="I396" s="183"/>
      <c r="J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</row>
    <row r="397" spans="2:26">
      <c r="B397" s="191"/>
      <c r="D397" s="183"/>
      <c r="I397" s="183"/>
      <c r="J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</row>
    <row r="398" spans="2:26">
      <c r="B398" s="191"/>
      <c r="D398" s="183"/>
      <c r="I398" s="183"/>
      <c r="J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</row>
    <row r="399" spans="2:26">
      <c r="B399" s="191"/>
      <c r="D399" s="183"/>
      <c r="I399" s="183"/>
      <c r="J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</row>
    <row r="400" spans="2:26">
      <c r="B400" s="191"/>
      <c r="D400" s="183"/>
      <c r="I400" s="183"/>
      <c r="J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</row>
    <row r="401" spans="2:26">
      <c r="B401" s="191"/>
      <c r="D401" s="183"/>
      <c r="I401" s="183"/>
      <c r="J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</row>
    <row r="402" spans="2:26">
      <c r="B402" s="191"/>
      <c r="D402" s="183"/>
      <c r="I402" s="183"/>
      <c r="J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</row>
    <row r="403" spans="2:26">
      <c r="B403" s="191"/>
      <c r="D403" s="183"/>
      <c r="I403" s="183"/>
      <c r="J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</row>
    <row r="404" spans="2:26">
      <c r="B404" s="191"/>
      <c r="D404" s="183"/>
      <c r="I404" s="183"/>
      <c r="J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</row>
    <row r="405" spans="2:26">
      <c r="B405" s="191"/>
      <c r="D405" s="183"/>
      <c r="I405" s="183"/>
      <c r="J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</row>
    <row r="406" spans="2:26">
      <c r="B406" s="191"/>
      <c r="D406" s="183"/>
      <c r="I406" s="183"/>
      <c r="J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</row>
    <row r="407" spans="2:26">
      <c r="B407" s="191"/>
      <c r="D407" s="183"/>
      <c r="I407" s="183"/>
      <c r="J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</row>
    <row r="408" spans="2:26">
      <c r="B408" s="191"/>
      <c r="D408" s="183"/>
      <c r="I408" s="183"/>
      <c r="J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</row>
    <row r="409" spans="2:26">
      <c r="B409" s="191"/>
      <c r="D409" s="183"/>
      <c r="I409" s="183"/>
      <c r="J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</row>
    <row r="410" spans="2:26">
      <c r="B410" s="191"/>
      <c r="D410" s="183"/>
      <c r="I410" s="183"/>
      <c r="J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</row>
    <row r="411" spans="2:26">
      <c r="B411" s="191"/>
      <c r="D411" s="183"/>
      <c r="I411" s="183"/>
      <c r="J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</row>
    <row r="412" spans="2:26">
      <c r="B412" s="191"/>
      <c r="D412" s="183"/>
      <c r="I412" s="183"/>
      <c r="J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</row>
    <row r="413" spans="2:26">
      <c r="B413" s="191"/>
      <c r="D413" s="183"/>
      <c r="I413" s="183"/>
      <c r="J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</row>
    <row r="414" spans="2:26">
      <c r="B414" s="191"/>
      <c r="D414" s="183"/>
      <c r="I414" s="183"/>
      <c r="J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</row>
    <row r="415" spans="2:26">
      <c r="B415" s="191"/>
      <c r="D415" s="183"/>
      <c r="I415" s="183"/>
      <c r="J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</row>
    <row r="416" spans="2:26">
      <c r="B416" s="191"/>
      <c r="D416" s="183"/>
      <c r="I416" s="183"/>
      <c r="J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</row>
    <row r="417" spans="2:26">
      <c r="B417" s="191"/>
      <c r="D417" s="183"/>
      <c r="I417" s="183"/>
      <c r="J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</row>
    <row r="418" spans="2:26">
      <c r="B418" s="191"/>
      <c r="D418" s="183"/>
      <c r="I418" s="183"/>
      <c r="J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</row>
    <row r="419" spans="2:26">
      <c r="B419" s="191"/>
      <c r="D419" s="183"/>
      <c r="I419" s="183"/>
      <c r="J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</row>
    <row r="420" spans="2:26">
      <c r="B420" s="191"/>
      <c r="D420" s="183"/>
      <c r="I420" s="183"/>
      <c r="J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</row>
    <row r="421" spans="2:26">
      <c r="B421" s="191"/>
      <c r="D421" s="183"/>
      <c r="I421" s="183"/>
      <c r="J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</row>
    <row r="422" spans="2:26">
      <c r="B422" s="191"/>
      <c r="D422" s="183"/>
      <c r="I422" s="183"/>
      <c r="J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</row>
    <row r="423" spans="2:26">
      <c r="B423" s="191"/>
      <c r="D423" s="183"/>
      <c r="I423" s="183"/>
      <c r="J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</row>
    <row r="424" spans="2:26">
      <c r="B424" s="191"/>
      <c r="D424" s="183"/>
      <c r="I424" s="183"/>
      <c r="J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</row>
    <row r="425" spans="2:26">
      <c r="B425" s="191"/>
      <c r="D425" s="183"/>
      <c r="I425" s="183"/>
      <c r="J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</row>
    <row r="426" spans="2:26">
      <c r="B426" s="191"/>
      <c r="D426" s="183"/>
      <c r="I426" s="183"/>
      <c r="J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</row>
    <row r="427" spans="2:26">
      <c r="B427" s="191"/>
      <c r="D427" s="183"/>
      <c r="I427" s="183"/>
      <c r="J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</row>
    <row r="428" spans="2:26">
      <c r="B428" s="191"/>
      <c r="D428" s="183"/>
      <c r="I428" s="183"/>
      <c r="J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</row>
    <row r="429" spans="2:26">
      <c r="B429" s="191"/>
      <c r="D429" s="183"/>
      <c r="I429" s="183"/>
      <c r="J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</row>
    <row r="430" spans="2:26">
      <c r="B430" s="191"/>
      <c r="D430" s="183"/>
      <c r="I430" s="183"/>
      <c r="J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</row>
    <row r="431" spans="2:26">
      <c r="B431" s="191"/>
      <c r="D431" s="183"/>
      <c r="I431" s="183"/>
      <c r="J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</row>
    <row r="432" spans="2:26">
      <c r="B432" s="191"/>
      <c r="D432" s="183"/>
      <c r="I432" s="183"/>
      <c r="J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</row>
    <row r="433" spans="2:26">
      <c r="B433" s="191"/>
      <c r="D433" s="183"/>
      <c r="I433" s="183"/>
      <c r="J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</row>
    <row r="434" spans="2:26">
      <c r="B434" s="191"/>
      <c r="D434" s="183"/>
      <c r="I434" s="183"/>
      <c r="J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</row>
    <row r="435" spans="2:26">
      <c r="B435" s="191"/>
      <c r="D435" s="183"/>
      <c r="I435" s="183"/>
      <c r="J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</row>
    <row r="436" spans="2:26">
      <c r="B436" s="191"/>
      <c r="D436" s="183"/>
      <c r="I436" s="183"/>
      <c r="J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</row>
    <row r="437" spans="2:26">
      <c r="B437" s="191"/>
      <c r="D437" s="183"/>
      <c r="I437" s="183"/>
      <c r="J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</row>
    <row r="438" spans="2:26">
      <c r="B438" s="191"/>
      <c r="D438" s="183"/>
      <c r="I438" s="183"/>
      <c r="J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</row>
    <row r="439" spans="2:26">
      <c r="B439" s="191"/>
      <c r="D439" s="183"/>
      <c r="I439" s="183"/>
      <c r="J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</row>
    <row r="440" spans="2:26">
      <c r="B440" s="191"/>
      <c r="D440" s="183"/>
      <c r="I440" s="183"/>
      <c r="J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</row>
    <row r="441" spans="2:26">
      <c r="B441" s="191"/>
      <c r="D441" s="183"/>
      <c r="I441" s="183"/>
      <c r="J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</row>
    <row r="442" spans="2:26">
      <c r="B442" s="191"/>
      <c r="D442" s="183"/>
      <c r="I442" s="183"/>
      <c r="J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</row>
    <row r="443" spans="2:26">
      <c r="B443" s="191"/>
      <c r="D443" s="183"/>
      <c r="I443" s="183"/>
      <c r="J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</row>
    <row r="444" spans="2:26">
      <c r="B444" s="191"/>
      <c r="D444" s="183"/>
      <c r="I444" s="183"/>
      <c r="J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</row>
    <row r="445" spans="2:26">
      <c r="B445" s="191"/>
      <c r="D445" s="183"/>
      <c r="I445" s="183"/>
      <c r="J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</row>
    <row r="446" spans="2:26">
      <c r="B446" s="191"/>
      <c r="D446" s="183"/>
      <c r="I446" s="183"/>
      <c r="J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</row>
    <row r="447" spans="2:26">
      <c r="B447" s="191"/>
      <c r="D447" s="183"/>
      <c r="I447" s="183"/>
      <c r="J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</row>
    <row r="448" spans="2:26">
      <c r="B448" s="191"/>
      <c r="D448" s="183"/>
      <c r="I448" s="183"/>
      <c r="J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</row>
    <row r="449" spans="2:26">
      <c r="B449" s="191"/>
      <c r="D449" s="183"/>
      <c r="I449" s="183"/>
      <c r="J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</row>
    <row r="450" spans="2:26">
      <c r="B450" s="191"/>
      <c r="D450" s="183"/>
      <c r="I450" s="183"/>
      <c r="J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</row>
    <row r="451" spans="2:26">
      <c r="B451" s="191"/>
      <c r="D451" s="183"/>
      <c r="I451" s="183"/>
      <c r="J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</row>
    <row r="452" spans="2:26">
      <c r="B452" s="191"/>
      <c r="D452" s="183"/>
      <c r="I452" s="183"/>
      <c r="J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</row>
    <row r="453" spans="2:26">
      <c r="B453" s="191"/>
      <c r="D453" s="183"/>
      <c r="I453" s="183"/>
      <c r="J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</row>
    <row r="454" spans="2:26">
      <c r="B454" s="191"/>
      <c r="D454" s="183"/>
      <c r="I454" s="183"/>
      <c r="J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</row>
    <row r="455" spans="2:26">
      <c r="B455" s="191"/>
      <c r="D455" s="183"/>
      <c r="I455" s="183"/>
      <c r="J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</row>
    <row r="456" spans="2:26">
      <c r="B456" s="191"/>
      <c r="D456" s="183"/>
      <c r="I456" s="183"/>
      <c r="J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</row>
    <row r="457" spans="2:26">
      <c r="B457" s="191"/>
      <c r="D457" s="183"/>
      <c r="I457" s="183"/>
      <c r="J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</row>
    <row r="458" spans="2:26">
      <c r="B458" s="191"/>
      <c r="D458" s="183"/>
      <c r="I458" s="183"/>
      <c r="J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</row>
    <row r="459" spans="2:26">
      <c r="B459" s="191"/>
      <c r="D459" s="183"/>
      <c r="I459" s="183"/>
      <c r="J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</row>
    <row r="460" spans="2:26">
      <c r="B460" s="191"/>
      <c r="D460" s="183"/>
      <c r="I460" s="183"/>
      <c r="J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</row>
    <row r="461" spans="2:26">
      <c r="B461" s="191"/>
      <c r="D461" s="183"/>
      <c r="I461" s="183"/>
      <c r="J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</row>
    <row r="462" spans="2:26">
      <c r="B462" s="191"/>
      <c r="D462" s="183"/>
      <c r="I462" s="183"/>
      <c r="J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</row>
    <row r="463" spans="2:26">
      <c r="B463" s="191"/>
      <c r="D463" s="183"/>
      <c r="I463" s="183"/>
      <c r="J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</row>
    <row r="464" spans="2:26">
      <c r="B464" s="191"/>
      <c r="D464" s="183"/>
      <c r="I464" s="183"/>
      <c r="J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</row>
    <row r="465" spans="2:26">
      <c r="B465" s="191"/>
      <c r="D465" s="183"/>
      <c r="I465" s="183"/>
      <c r="J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</row>
    <row r="466" spans="2:26">
      <c r="B466" s="191"/>
      <c r="D466" s="183"/>
      <c r="I466" s="183"/>
      <c r="J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</row>
    <row r="467" spans="2:26">
      <c r="B467" s="191"/>
      <c r="D467" s="183"/>
      <c r="I467" s="183"/>
      <c r="J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</row>
    <row r="468" spans="2:26">
      <c r="B468" s="191"/>
      <c r="D468" s="183"/>
      <c r="I468" s="183"/>
      <c r="J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</row>
    <row r="469" spans="2:26">
      <c r="B469" s="191"/>
      <c r="D469" s="183"/>
      <c r="I469" s="183"/>
      <c r="J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</row>
    <row r="470" spans="2:26">
      <c r="B470" s="191"/>
      <c r="D470" s="183"/>
      <c r="I470" s="183"/>
      <c r="J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</row>
    <row r="471" spans="2:26">
      <c r="B471" s="191"/>
      <c r="D471" s="183"/>
      <c r="I471" s="183"/>
      <c r="J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</row>
    <row r="472" spans="2:26">
      <c r="B472" s="191"/>
      <c r="D472" s="183"/>
      <c r="I472" s="183"/>
      <c r="J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</row>
    <row r="473" spans="2:26">
      <c r="B473" s="191"/>
      <c r="D473" s="183"/>
      <c r="I473" s="183"/>
      <c r="J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</row>
    <row r="474" spans="2:26">
      <c r="B474" s="191"/>
      <c r="D474" s="183"/>
      <c r="I474" s="183"/>
      <c r="J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</row>
    <row r="475" spans="2:26">
      <c r="B475" s="191"/>
      <c r="D475" s="183"/>
      <c r="I475" s="183"/>
      <c r="J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</row>
    <row r="476" spans="2:26">
      <c r="B476" s="191"/>
      <c r="D476" s="183"/>
      <c r="I476" s="183"/>
      <c r="J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</row>
    <row r="477" spans="2:26">
      <c r="B477" s="191"/>
      <c r="D477" s="183"/>
      <c r="I477" s="183"/>
      <c r="J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</row>
    <row r="478" spans="2:26">
      <c r="B478" s="191"/>
      <c r="D478" s="183"/>
      <c r="I478" s="183"/>
      <c r="J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</row>
    <row r="479" spans="2:26">
      <c r="B479" s="191"/>
      <c r="D479" s="183"/>
      <c r="I479" s="183"/>
      <c r="J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</row>
    <row r="480" spans="2:26">
      <c r="B480" s="191"/>
      <c r="D480" s="183"/>
      <c r="I480" s="183"/>
      <c r="J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</row>
    <row r="481" spans="2:26">
      <c r="B481" s="191"/>
      <c r="D481" s="183"/>
      <c r="I481" s="183"/>
      <c r="J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</row>
    <row r="482" spans="2:26">
      <c r="B482" s="191"/>
      <c r="D482" s="183"/>
      <c r="I482" s="183"/>
      <c r="J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</row>
    <row r="483" spans="2:26">
      <c r="B483" s="191"/>
      <c r="D483" s="183"/>
      <c r="I483" s="183"/>
      <c r="J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</row>
    <row r="484" spans="2:26">
      <c r="B484" s="191"/>
      <c r="D484" s="183"/>
      <c r="I484" s="183"/>
      <c r="J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</row>
    <row r="485" spans="2:26">
      <c r="B485" s="191"/>
      <c r="D485" s="183"/>
      <c r="I485" s="183"/>
      <c r="J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</row>
    <row r="486" spans="2:26">
      <c r="B486" s="191"/>
      <c r="D486" s="183"/>
      <c r="I486" s="183"/>
      <c r="J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</row>
    <row r="487" spans="2:26">
      <c r="B487" s="191"/>
      <c r="D487" s="183"/>
      <c r="I487" s="183"/>
      <c r="J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</row>
    <row r="488" spans="2:26">
      <c r="B488" s="191"/>
      <c r="D488" s="183"/>
      <c r="I488" s="183"/>
      <c r="J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</row>
    <row r="489" spans="2:26">
      <c r="B489" s="191"/>
      <c r="D489" s="183"/>
      <c r="I489" s="183"/>
      <c r="J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</row>
    <row r="490" spans="2:26">
      <c r="B490" s="191"/>
      <c r="D490" s="183"/>
      <c r="I490" s="183"/>
      <c r="J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</row>
    <row r="491" spans="2:26">
      <c r="B491" s="191"/>
      <c r="D491" s="183"/>
      <c r="I491" s="183"/>
      <c r="J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</row>
    <row r="492" spans="2:26">
      <c r="B492" s="191"/>
      <c r="D492" s="183"/>
      <c r="I492" s="183"/>
      <c r="J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</row>
    <row r="493" spans="2:26">
      <c r="B493" s="191"/>
      <c r="D493" s="183"/>
      <c r="I493" s="183"/>
      <c r="J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</row>
    <row r="494" spans="2:26">
      <c r="B494" s="191"/>
      <c r="D494" s="183"/>
      <c r="I494" s="183"/>
      <c r="J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</row>
    <row r="495" spans="2:26">
      <c r="B495" s="191"/>
      <c r="D495" s="183"/>
      <c r="I495" s="183"/>
      <c r="J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</row>
    <row r="496" spans="2:26">
      <c r="B496" s="191"/>
      <c r="D496" s="183"/>
      <c r="I496" s="183"/>
      <c r="J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</row>
    <row r="497" spans="2:26">
      <c r="B497" s="191"/>
      <c r="D497" s="183"/>
      <c r="I497" s="183"/>
      <c r="J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</row>
    <row r="498" spans="2:26">
      <c r="B498" s="191"/>
      <c r="D498" s="183"/>
      <c r="I498" s="183"/>
      <c r="J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</row>
    <row r="499" spans="2:26">
      <c r="B499" s="191"/>
      <c r="D499" s="183"/>
      <c r="I499" s="183"/>
      <c r="J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</row>
    <row r="500" spans="2:26">
      <c r="B500" s="191"/>
      <c r="D500" s="183"/>
      <c r="I500" s="183"/>
      <c r="J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</row>
    <row r="501" spans="2:26">
      <c r="B501" s="191"/>
      <c r="D501" s="183"/>
      <c r="I501" s="183"/>
      <c r="J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</row>
    <row r="502" spans="2:26">
      <c r="B502" s="191"/>
      <c r="D502" s="183"/>
      <c r="I502" s="183"/>
      <c r="J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</row>
    <row r="503" spans="2:26">
      <c r="B503" s="191"/>
      <c r="D503" s="183"/>
      <c r="I503" s="183"/>
      <c r="J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</row>
    <row r="504" spans="2:26">
      <c r="B504" s="191"/>
      <c r="D504" s="183"/>
      <c r="I504" s="183"/>
      <c r="J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</row>
    <row r="505" spans="2:26">
      <c r="B505" s="191"/>
      <c r="D505" s="183"/>
      <c r="I505" s="183"/>
      <c r="J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</row>
    <row r="506" spans="2:26">
      <c r="B506" s="191"/>
      <c r="D506" s="183"/>
      <c r="I506" s="183"/>
      <c r="J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</row>
    <row r="507" spans="2:26">
      <c r="B507" s="191"/>
      <c r="D507" s="183"/>
      <c r="I507" s="183"/>
      <c r="J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</row>
    <row r="508" spans="2:26">
      <c r="B508" s="191"/>
      <c r="D508" s="183"/>
      <c r="I508" s="183"/>
      <c r="J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</row>
    <row r="509" spans="2:26">
      <c r="B509" s="191"/>
      <c r="D509" s="183"/>
      <c r="I509" s="183"/>
      <c r="J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</row>
    <row r="510" spans="2:26">
      <c r="B510" s="191"/>
      <c r="D510" s="183"/>
      <c r="I510" s="183"/>
      <c r="J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</row>
    <row r="511" spans="2:26">
      <c r="B511" s="191"/>
      <c r="D511" s="183"/>
      <c r="I511" s="183"/>
      <c r="J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</row>
    <row r="512" spans="2:26">
      <c r="B512" s="191"/>
      <c r="D512" s="183"/>
      <c r="I512" s="183"/>
      <c r="J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</row>
    <row r="513" spans="2:26">
      <c r="B513" s="191"/>
      <c r="D513" s="183"/>
      <c r="I513" s="183"/>
      <c r="J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</row>
    <row r="514" spans="2:26">
      <c r="B514" s="191"/>
      <c r="D514" s="183"/>
      <c r="I514" s="183"/>
      <c r="J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</row>
    <row r="515" spans="2:26">
      <c r="B515" s="191"/>
      <c r="D515" s="183"/>
      <c r="I515" s="183"/>
      <c r="J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</row>
    <row r="516" spans="2:26">
      <c r="B516" s="191"/>
      <c r="D516" s="183"/>
      <c r="I516" s="183"/>
      <c r="J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</row>
    <row r="517" spans="2:26">
      <c r="B517" s="191"/>
      <c r="D517" s="183"/>
      <c r="I517" s="183"/>
      <c r="J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</row>
    <row r="518" spans="2:26">
      <c r="B518" s="191"/>
      <c r="D518" s="183"/>
      <c r="I518" s="183"/>
      <c r="J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</row>
    <row r="519" spans="2:26">
      <c r="B519" s="191"/>
      <c r="D519" s="183"/>
      <c r="I519" s="183"/>
      <c r="J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</row>
    <row r="520" spans="2:26">
      <c r="B520" s="191"/>
      <c r="D520" s="183"/>
      <c r="I520" s="183"/>
      <c r="J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</row>
    <row r="521" spans="2:26">
      <c r="B521" s="191"/>
      <c r="D521" s="183"/>
      <c r="I521" s="183"/>
      <c r="J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</row>
    <row r="522" spans="2:26">
      <c r="B522" s="191"/>
      <c r="D522" s="183"/>
      <c r="I522" s="183"/>
      <c r="J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</row>
    <row r="523" spans="2:26">
      <c r="B523" s="191"/>
      <c r="D523" s="183"/>
      <c r="I523" s="183"/>
      <c r="J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</row>
    <row r="524" spans="2:26">
      <c r="B524" s="191"/>
      <c r="D524" s="183"/>
      <c r="I524" s="183"/>
      <c r="J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</row>
    <row r="525" spans="2:26">
      <c r="B525" s="191"/>
      <c r="D525" s="183"/>
      <c r="I525" s="183"/>
      <c r="J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</row>
    <row r="526" spans="2:26">
      <c r="B526" s="191"/>
      <c r="D526" s="183"/>
      <c r="I526" s="183"/>
      <c r="J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</row>
    <row r="527" spans="2:26">
      <c r="B527" s="191"/>
      <c r="D527" s="183"/>
      <c r="I527" s="183"/>
      <c r="J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</row>
    <row r="528" spans="2:26">
      <c r="B528" s="191"/>
      <c r="D528" s="183"/>
      <c r="I528" s="183"/>
      <c r="J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</row>
    <row r="529" spans="2:26">
      <c r="B529" s="191"/>
      <c r="D529" s="183"/>
      <c r="I529" s="183"/>
      <c r="J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</row>
    <row r="530" spans="2:26">
      <c r="B530" s="191"/>
      <c r="D530" s="183"/>
      <c r="I530" s="183"/>
      <c r="J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</row>
    <row r="531" spans="2:26">
      <c r="B531" s="191"/>
      <c r="D531" s="183"/>
      <c r="I531" s="183"/>
      <c r="J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</row>
    <row r="532" spans="2:26">
      <c r="B532" s="191"/>
      <c r="D532" s="183"/>
      <c r="I532" s="183"/>
      <c r="J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</row>
    <row r="533" spans="2:26">
      <c r="B533" s="191"/>
      <c r="D533" s="183"/>
      <c r="I533" s="183"/>
      <c r="J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</row>
    <row r="534" spans="2:26">
      <c r="B534" s="191"/>
      <c r="D534" s="183"/>
      <c r="I534" s="183"/>
      <c r="J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</row>
    <row r="535" spans="2:26">
      <c r="B535" s="191"/>
      <c r="D535" s="183"/>
      <c r="I535" s="183"/>
      <c r="J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</row>
    <row r="536" spans="2:26">
      <c r="B536" s="191"/>
      <c r="D536" s="183"/>
      <c r="I536" s="183"/>
      <c r="J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</row>
    <row r="537" spans="2:26">
      <c r="B537" s="191"/>
      <c r="D537" s="183"/>
      <c r="I537" s="183"/>
      <c r="J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</row>
    <row r="538" spans="2:26">
      <c r="B538" s="191"/>
      <c r="D538" s="183"/>
      <c r="I538" s="183"/>
      <c r="J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</row>
    <row r="539" spans="2:26">
      <c r="B539" s="191"/>
      <c r="D539" s="183"/>
      <c r="I539" s="183"/>
      <c r="J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</row>
    <row r="540" spans="2:26">
      <c r="B540" s="191"/>
      <c r="D540" s="183"/>
      <c r="I540" s="183"/>
      <c r="J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</row>
    <row r="541" spans="2:26">
      <c r="B541" s="191"/>
      <c r="D541" s="183"/>
      <c r="I541" s="183"/>
      <c r="J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</row>
    <row r="542" spans="2:26">
      <c r="B542" s="191"/>
      <c r="D542" s="183"/>
      <c r="I542" s="183"/>
      <c r="J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</row>
    <row r="543" spans="2:26">
      <c r="B543" s="191"/>
      <c r="D543" s="183"/>
      <c r="I543" s="183"/>
      <c r="J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</row>
    <row r="544" spans="2:26">
      <c r="B544" s="191"/>
      <c r="D544" s="183"/>
      <c r="I544" s="183"/>
      <c r="J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</row>
    <row r="545" spans="2:26">
      <c r="B545" s="191"/>
      <c r="D545" s="183"/>
      <c r="I545" s="183"/>
      <c r="J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</row>
    <row r="546" spans="2:26">
      <c r="B546" s="191"/>
      <c r="D546" s="183"/>
      <c r="I546" s="183"/>
      <c r="J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</row>
    <row r="547" spans="2:26">
      <c r="B547" s="191"/>
      <c r="D547" s="183"/>
      <c r="I547" s="183"/>
      <c r="J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</row>
    <row r="548" spans="2:26">
      <c r="B548" s="191"/>
      <c r="D548" s="183"/>
      <c r="I548" s="183"/>
      <c r="J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</row>
    <row r="549" spans="2:26">
      <c r="B549" s="191"/>
      <c r="D549" s="183"/>
      <c r="I549" s="183"/>
      <c r="J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</row>
    <row r="550" spans="2:26">
      <c r="B550" s="191"/>
      <c r="D550" s="183"/>
      <c r="I550" s="183"/>
      <c r="J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</row>
    <row r="551" spans="2:26">
      <c r="B551" s="191"/>
      <c r="D551" s="183"/>
      <c r="I551" s="183"/>
      <c r="J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</row>
    <row r="552" spans="2:26">
      <c r="B552" s="191"/>
      <c r="D552" s="183"/>
      <c r="I552" s="183"/>
      <c r="J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</row>
    <row r="553" spans="2:26">
      <c r="B553" s="191"/>
      <c r="D553" s="183"/>
      <c r="I553" s="183"/>
      <c r="J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</row>
    <row r="554" spans="2:26">
      <c r="B554" s="191"/>
      <c r="D554" s="183"/>
      <c r="I554" s="183"/>
      <c r="J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</row>
    <row r="555" spans="2:26">
      <c r="B555" s="191"/>
      <c r="D555" s="183"/>
      <c r="I555" s="183"/>
      <c r="J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</row>
    <row r="556" spans="2:26">
      <c r="B556" s="191"/>
      <c r="D556" s="183"/>
      <c r="I556" s="183"/>
      <c r="J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</row>
    <row r="557" spans="2:26">
      <c r="B557" s="191"/>
      <c r="D557" s="183"/>
      <c r="I557" s="183"/>
      <c r="J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</row>
    <row r="558" spans="2:26">
      <c r="B558" s="191"/>
      <c r="D558" s="183"/>
      <c r="I558" s="183"/>
      <c r="J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</row>
    <row r="559" spans="2:26">
      <c r="B559" s="191"/>
      <c r="D559" s="183"/>
      <c r="I559" s="183"/>
      <c r="J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</row>
    <row r="560" spans="2:26">
      <c r="B560" s="191"/>
      <c r="D560" s="183"/>
      <c r="I560" s="183"/>
      <c r="J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</row>
    <row r="561" spans="2:26">
      <c r="B561" s="191"/>
      <c r="D561" s="183"/>
      <c r="I561" s="183"/>
      <c r="J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</row>
    <row r="562" spans="2:26">
      <c r="B562" s="191"/>
      <c r="D562" s="183"/>
      <c r="I562" s="183"/>
      <c r="J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</row>
    <row r="563" spans="2:26">
      <c r="B563" s="191"/>
      <c r="D563" s="183"/>
      <c r="I563" s="183"/>
      <c r="J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</row>
    <row r="564" spans="2:26">
      <c r="B564" s="191"/>
      <c r="D564" s="183"/>
      <c r="I564" s="183"/>
      <c r="J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</row>
    <row r="565" spans="2:26">
      <c r="B565" s="191"/>
      <c r="D565" s="183"/>
      <c r="I565" s="183"/>
      <c r="J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</row>
    <row r="566" spans="2:26">
      <c r="B566" s="191"/>
      <c r="D566" s="183"/>
      <c r="I566" s="183"/>
      <c r="J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</row>
    <row r="567" spans="2:26">
      <c r="B567" s="191"/>
      <c r="D567" s="183"/>
      <c r="I567" s="183"/>
      <c r="J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</row>
    <row r="568" spans="2:26">
      <c r="B568" s="191"/>
      <c r="D568" s="183"/>
      <c r="I568" s="183"/>
      <c r="J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</row>
    <row r="569" spans="2:26">
      <c r="B569" s="191"/>
      <c r="D569" s="183"/>
      <c r="I569" s="183"/>
      <c r="J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</row>
    <row r="570" spans="2:26">
      <c r="B570" s="191"/>
      <c r="D570" s="183"/>
      <c r="I570" s="183"/>
      <c r="J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</row>
    <row r="571" spans="2:26">
      <c r="B571" s="191"/>
      <c r="D571" s="183"/>
      <c r="I571" s="183"/>
      <c r="J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</row>
    <row r="572" spans="2:26">
      <c r="B572" s="191"/>
      <c r="D572" s="183"/>
      <c r="I572" s="183"/>
      <c r="J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</row>
    <row r="573" spans="2:26">
      <c r="B573" s="191"/>
      <c r="D573" s="183"/>
      <c r="I573" s="183"/>
      <c r="J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</row>
    <row r="574" spans="2:26">
      <c r="B574" s="191"/>
      <c r="D574" s="183"/>
      <c r="I574" s="183"/>
      <c r="J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</row>
    <row r="575" spans="2:26">
      <c r="B575" s="191"/>
      <c r="D575" s="183"/>
      <c r="I575" s="183"/>
      <c r="J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</row>
    <row r="576" spans="2:26">
      <c r="B576" s="191"/>
      <c r="D576" s="183"/>
      <c r="I576" s="183"/>
      <c r="J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</row>
    <row r="577" spans="2:26">
      <c r="B577" s="191"/>
      <c r="D577" s="183"/>
      <c r="I577" s="183"/>
      <c r="J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</row>
    <row r="578" spans="2:26">
      <c r="B578" s="191"/>
      <c r="D578" s="183"/>
      <c r="I578" s="183"/>
      <c r="J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</row>
    <row r="579" spans="2:26">
      <c r="B579" s="191"/>
      <c r="D579" s="183"/>
      <c r="I579" s="183"/>
      <c r="J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</row>
    <row r="580" spans="2:26">
      <c r="B580" s="191"/>
      <c r="D580" s="183"/>
      <c r="I580" s="183"/>
      <c r="J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</row>
    <row r="581" spans="2:26">
      <c r="B581" s="191"/>
      <c r="D581" s="183"/>
      <c r="I581" s="183"/>
      <c r="J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</row>
    <row r="582" spans="2:26">
      <c r="B582" s="191"/>
      <c r="D582" s="183"/>
      <c r="I582" s="183"/>
      <c r="J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</row>
    <row r="583" spans="2:26">
      <c r="B583" s="191"/>
      <c r="D583" s="183"/>
      <c r="I583" s="183"/>
      <c r="J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</row>
    <row r="584" spans="2:26">
      <c r="B584" s="191"/>
      <c r="D584" s="183"/>
      <c r="I584" s="183"/>
      <c r="J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</row>
    <row r="585" spans="2:26">
      <c r="B585" s="191"/>
      <c r="D585" s="183"/>
      <c r="I585" s="183"/>
      <c r="J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</row>
    <row r="586" spans="2:26">
      <c r="B586" s="191"/>
      <c r="D586" s="183"/>
      <c r="I586" s="183"/>
      <c r="J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</row>
    <row r="587" spans="2:26">
      <c r="B587" s="191"/>
      <c r="D587" s="183"/>
      <c r="I587" s="183"/>
      <c r="J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</row>
    <row r="588" spans="2:26">
      <c r="B588" s="191"/>
      <c r="D588" s="183"/>
      <c r="I588" s="183"/>
      <c r="J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</row>
    <row r="589" spans="2:26">
      <c r="B589" s="191"/>
      <c r="D589" s="183"/>
      <c r="I589" s="183"/>
      <c r="J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</row>
    <row r="590" spans="2:26">
      <c r="B590" s="191"/>
      <c r="D590" s="183"/>
      <c r="I590" s="183"/>
      <c r="J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</row>
    <row r="591" spans="2:26">
      <c r="B591" s="191"/>
      <c r="D591" s="183"/>
      <c r="I591" s="183"/>
      <c r="J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</row>
    <row r="592" spans="2:26">
      <c r="B592" s="191"/>
      <c r="D592" s="183"/>
      <c r="I592" s="183"/>
      <c r="J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</row>
    <row r="593" spans="2:26">
      <c r="B593" s="191"/>
      <c r="D593" s="183"/>
      <c r="I593" s="183"/>
      <c r="J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</row>
    <row r="594" spans="2:26">
      <c r="B594" s="191"/>
      <c r="D594" s="183"/>
      <c r="I594" s="183"/>
      <c r="J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</row>
    <row r="595" spans="2:26">
      <c r="B595" s="191"/>
      <c r="D595" s="183"/>
      <c r="I595" s="183"/>
      <c r="J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</row>
    <row r="596" spans="2:26">
      <c r="B596" s="191"/>
      <c r="D596" s="183"/>
      <c r="I596" s="183"/>
      <c r="J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</row>
    <row r="597" spans="2:26">
      <c r="B597" s="191"/>
      <c r="D597" s="183"/>
      <c r="I597" s="183"/>
      <c r="J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</row>
    <row r="598" spans="2:26">
      <c r="B598" s="191"/>
      <c r="D598" s="183"/>
      <c r="I598" s="183"/>
      <c r="J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</row>
    <row r="599" spans="2:26">
      <c r="B599" s="191"/>
      <c r="D599" s="183"/>
      <c r="I599" s="183"/>
      <c r="J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</row>
    <row r="600" spans="2:26">
      <c r="B600" s="191"/>
      <c r="D600" s="183"/>
      <c r="I600" s="183"/>
      <c r="J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</row>
    <row r="601" spans="2:26">
      <c r="B601" s="191"/>
      <c r="D601" s="183"/>
      <c r="I601" s="183"/>
      <c r="J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</row>
    <row r="602" spans="2:26">
      <c r="B602" s="191"/>
      <c r="D602" s="183"/>
      <c r="I602" s="183"/>
      <c r="J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</row>
    <row r="603" spans="2:26">
      <c r="B603" s="191"/>
      <c r="D603" s="183"/>
      <c r="I603" s="183"/>
      <c r="J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</row>
    <row r="604" spans="2:26">
      <c r="B604" s="191"/>
      <c r="D604" s="183"/>
      <c r="I604" s="183"/>
      <c r="J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</row>
    <row r="605" spans="2:26">
      <c r="B605" s="191"/>
      <c r="D605" s="183"/>
      <c r="I605" s="183"/>
      <c r="J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</row>
    <row r="606" spans="2:26">
      <c r="B606" s="191"/>
      <c r="D606" s="183"/>
      <c r="I606" s="183"/>
      <c r="J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</row>
    <row r="607" spans="2:26">
      <c r="B607" s="191"/>
      <c r="D607" s="183"/>
      <c r="I607" s="183"/>
      <c r="J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</row>
    <row r="608" spans="2:26">
      <c r="B608" s="191"/>
      <c r="D608" s="183"/>
      <c r="I608" s="183"/>
      <c r="J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</row>
    <row r="609" spans="2:26">
      <c r="B609" s="191"/>
      <c r="D609" s="183"/>
      <c r="I609" s="183"/>
      <c r="J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</row>
    <row r="610" spans="2:26">
      <c r="B610" s="191"/>
      <c r="D610" s="183"/>
      <c r="I610" s="183"/>
      <c r="J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</row>
    <row r="611" spans="2:26">
      <c r="B611" s="191"/>
      <c r="D611" s="183"/>
      <c r="I611" s="183"/>
      <c r="J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</row>
    <row r="612" spans="2:26">
      <c r="B612" s="191"/>
      <c r="D612" s="183"/>
      <c r="I612" s="183"/>
      <c r="J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</row>
    <row r="613" spans="2:26">
      <c r="B613" s="191"/>
      <c r="D613" s="183"/>
      <c r="I613" s="183"/>
      <c r="J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</row>
    <row r="614" spans="2:26">
      <c r="B614" s="191"/>
      <c r="D614" s="183"/>
      <c r="I614" s="183"/>
      <c r="J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</row>
    <row r="615" spans="2:26">
      <c r="B615" s="191"/>
      <c r="D615" s="183"/>
      <c r="I615" s="183"/>
      <c r="J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</row>
    <row r="616" spans="2:26">
      <c r="B616" s="191"/>
      <c r="D616" s="183"/>
      <c r="I616" s="183"/>
      <c r="J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</row>
    <row r="617" spans="2:26">
      <c r="B617" s="191"/>
      <c r="D617" s="183"/>
      <c r="I617" s="183"/>
      <c r="J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</row>
    <row r="618" spans="2:26">
      <c r="B618" s="191"/>
      <c r="D618" s="183"/>
      <c r="I618" s="183"/>
      <c r="J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</row>
    <row r="619" spans="2:26">
      <c r="B619" s="191"/>
      <c r="D619" s="183"/>
      <c r="I619" s="183"/>
      <c r="J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</row>
    <row r="620" spans="2:26">
      <c r="B620" s="191"/>
      <c r="D620" s="183"/>
      <c r="I620" s="183"/>
      <c r="J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</row>
    <row r="621" spans="2:26">
      <c r="B621" s="191"/>
      <c r="D621" s="183"/>
      <c r="I621" s="183"/>
      <c r="J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</row>
    <row r="622" spans="2:26">
      <c r="B622" s="191"/>
      <c r="D622" s="183"/>
      <c r="I622" s="183"/>
      <c r="J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</row>
    <row r="623" spans="2:26">
      <c r="B623" s="191"/>
      <c r="D623" s="183"/>
      <c r="I623" s="183"/>
      <c r="J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</row>
    <row r="624" spans="2:26">
      <c r="B624" s="191"/>
      <c r="D624" s="183"/>
      <c r="I624" s="183"/>
      <c r="J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</row>
    <row r="625" spans="2:26">
      <c r="B625" s="191"/>
      <c r="D625" s="183"/>
      <c r="I625" s="183"/>
      <c r="J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</row>
    <row r="626" spans="2:26">
      <c r="B626" s="191"/>
      <c r="D626" s="183"/>
      <c r="I626" s="183"/>
      <c r="J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</row>
    <row r="627" spans="2:26">
      <c r="B627" s="191"/>
      <c r="D627" s="183"/>
      <c r="I627" s="183"/>
      <c r="J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</row>
    <row r="628" spans="2:26">
      <c r="B628" s="191"/>
      <c r="D628" s="183"/>
      <c r="I628" s="183"/>
      <c r="J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</row>
    <row r="629" spans="2:26">
      <c r="B629" s="191"/>
      <c r="D629" s="183"/>
      <c r="I629" s="183"/>
      <c r="J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</row>
    <row r="630" spans="2:26">
      <c r="B630" s="191"/>
      <c r="D630" s="183"/>
      <c r="I630" s="183"/>
      <c r="J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</row>
    <row r="631" spans="2:26">
      <c r="B631" s="191"/>
      <c r="D631" s="183"/>
      <c r="I631" s="183"/>
      <c r="J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</row>
    <row r="632" spans="2:26">
      <c r="B632" s="191"/>
      <c r="D632" s="183"/>
      <c r="I632" s="183"/>
      <c r="J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</row>
    <row r="633" spans="2:26">
      <c r="B633" s="191"/>
      <c r="D633" s="183"/>
      <c r="I633" s="183"/>
      <c r="J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</row>
    <row r="634" spans="2:26">
      <c r="B634" s="191"/>
      <c r="D634" s="183"/>
      <c r="I634" s="183"/>
      <c r="J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</row>
    <row r="635" spans="2:26">
      <c r="B635" s="191"/>
      <c r="D635" s="183"/>
      <c r="I635" s="183"/>
      <c r="J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</row>
    <row r="636" spans="2:26">
      <c r="B636" s="191"/>
      <c r="D636" s="183"/>
      <c r="I636" s="183"/>
      <c r="J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</row>
    <row r="637" spans="2:26">
      <c r="B637" s="191"/>
      <c r="D637" s="183"/>
      <c r="I637" s="183"/>
      <c r="J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</row>
    <row r="638" spans="2:26">
      <c r="B638" s="191"/>
      <c r="D638" s="183"/>
      <c r="I638" s="183"/>
      <c r="J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</row>
    <row r="639" spans="2:26">
      <c r="B639" s="191"/>
      <c r="D639" s="183"/>
      <c r="I639" s="183"/>
      <c r="J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</row>
    <row r="640" spans="2:26">
      <c r="B640" s="191"/>
      <c r="D640" s="183"/>
      <c r="I640" s="183"/>
      <c r="J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</row>
    <row r="641" spans="2:26">
      <c r="B641" s="191"/>
      <c r="D641" s="183"/>
      <c r="I641" s="183"/>
      <c r="J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</row>
    <row r="642" spans="2:26">
      <c r="B642" s="191"/>
      <c r="D642" s="183"/>
      <c r="I642" s="183"/>
      <c r="J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</row>
    <row r="643" spans="2:26">
      <c r="B643" s="191"/>
      <c r="D643" s="183"/>
      <c r="I643" s="183"/>
      <c r="J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</row>
    <row r="644" spans="2:26">
      <c r="B644" s="191"/>
      <c r="D644" s="183"/>
      <c r="I644" s="183"/>
      <c r="J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</row>
    <row r="645" spans="2:26">
      <c r="B645" s="191"/>
      <c r="D645" s="183"/>
      <c r="I645" s="183"/>
      <c r="J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</row>
    <row r="646" spans="2:26">
      <c r="B646" s="191"/>
      <c r="D646" s="183"/>
      <c r="I646" s="183"/>
      <c r="J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</row>
    <row r="647" spans="2:26">
      <c r="B647" s="191"/>
      <c r="D647" s="183"/>
      <c r="I647" s="183"/>
      <c r="J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</row>
    <row r="648" spans="2:26">
      <c r="B648" s="191"/>
      <c r="D648" s="183"/>
      <c r="I648" s="183"/>
      <c r="J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</row>
    <row r="649" spans="2:26">
      <c r="B649" s="191"/>
      <c r="D649" s="183"/>
      <c r="I649" s="183"/>
      <c r="J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</row>
    <row r="650" spans="2:26">
      <c r="B650" s="191"/>
      <c r="D650" s="183"/>
      <c r="I650" s="183"/>
      <c r="J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</row>
    <row r="651" spans="2:26">
      <c r="B651" s="191"/>
      <c r="D651" s="183"/>
      <c r="I651" s="183"/>
      <c r="J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</row>
    <row r="652" spans="2:26">
      <c r="B652" s="191"/>
      <c r="D652" s="183"/>
      <c r="I652" s="183"/>
      <c r="J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</row>
    <row r="653" spans="2:26">
      <c r="B653" s="191"/>
      <c r="D653" s="183"/>
      <c r="I653" s="183"/>
      <c r="J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</row>
    <row r="654" spans="2:26">
      <c r="B654" s="191"/>
      <c r="D654" s="183"/>
      <c r="I654" s="183"/>
      <c r="J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</row>
    <row r="655" spans="2:26">
      <c r="B655" s="191"/>
      <c r="D655" s="183"/>
      <c r="I655" s="183"/>
      <c r="J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</row>
    <row r="656" spans="2:26">
      <c r="B656" s="191"/>
      <c r="D656" s="183"/>
      <c r="I656" s="183"/>
      <c r="J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</row>
    <row r="657" spans="2:26">
      <c r="B657" s="191"/>
      <c r="D657" s="183"/>
      <c r="I657" s="183"/>
      <c r="J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</row>
    <row r="658" spans="2:26">
      <c r="B658" s="191"/>
      <c r="D658" s="183"/>
      <c r="I658" s="183"/>
      <c r="J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</row>
    <row r="659" spans="2:26">
      <c r="B659" s="191"/>
      <c r="D659" s="183"/>
      <c r="I659" s="183"/>
      <c r="J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</row>
    <row r="660" spans="2:26">
      <c r="B660" s="191"/>
      <c r="D660" s="183"/>
      <c r="I660" s="183"/>
      <c r="J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</row>
    <row r="661" spans="2:26">
      <c r="B661" s="191"/>
      <c r="D661" s="183"/>
      <c r="I661" s="183"/>
      <c r="J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</row>
    <row r="662" spans="2:26">
      <c r="B662" s="191"/>
      <c r="D662" s="183"/>
      <c r="I662" s="183"/>
      <c r="J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</row>
    <row r="663" spans="2:26">
      <c r="B663" s="191"/>
      <c r="D663" s="183"/>
      <c r="I663" s="183"/>
      <c r="J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</row>
    <row r="664" spans="2:26">
      <c r="B664" s="191"/>
      <c r="D664" s="183"/>
      <c r="I664" s="183"/>
      <c r="J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</row>
    <row r="665" spans="2:26">
      <c r="B665" s="191"/>
      <c r="D665" s="183"/>
      <c r="I665" s="183"/>
      <c r="J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</row>
    <row r="666" spans="2:26">
      <c r="B666" s="191"/>
      <c r="D666" s="183"/>
      <c r="I666" s="183"/>
      <c r="J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</row>
    <row r="667" spans="2:26">
      <c r="B667" s="191"/>
      <c r="D667" s="183"/>
      <c r="I667" s="183"/>
      <c r="J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</row>
    <row r="668" spans="2:26">
      <c r="B668" s="191"/>
      <c r="D668" s="183"/>
      <c r="I668" s="183"/>
      <c r="J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</row>
    <row r="669" spans="2:26">
      <c r="B669" s="191"/>
      <c r="D669" s="183"/>
      <c r="I669" s="183"/>
      <c r="J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</row>
    <row r="670" spans="2:26">
      <c r="B670" s="191"/>
      <c r="D670" s="183"/>
      <c r="I670" s="183"/>
      <c r="J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</row>
    <row r="671" spans="2:26">
      <c r="B671" s="191"/>
      <c r="D671" s="183"/>
      <c r="I671" s="183"/>
      <c r="J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</row>
    <row r="672" spans="2:26">
      <c r="B672" s="191"/>
      <c r="D672" s="183"/>
      <c r="I672" s="183"/>
      <c r="J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</row>
    <row r="673" spans="2:26">
      <c r="B673" s="191"/>
      <c r="D673" s="183"/>
      <c r="I673" s="183"/>
      <c r="J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</row>
    <row r="674" spans="2:26">
      <c r="B674" s="191"/>
      <c r="D674" s="183"/>
      <c r="I674" s="183"/>
      <c r="J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</row>
    <row r="675" spans="2:26">
      <c r="B675" s="191"/>
      <c r="D675" s="183"/>
      <c r="I675" s="183"/>
      <c r="J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</row>
    <row r="676" spans="2:26">
      <c r="B676" s="191"/>
      <c r="D676" s="183"/>
      <c r="I676" s="183"/>
      <c r="J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</row>
    <row r="677" spans="2:26">
      <c r="B677" s="191"/>
      <c r="D677" s="183"/>
      <c r="I677" s="183"/>
      <c r="J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</row>
    <row r="678" spans="2:26">
      <c r="B678" s="191"/>
      <c r="D678" s="183"/>
      <c r="I678" s="183"/>
      <c r="J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</row>
    <row r="679" spans="2:26">
      <c r="B679" s="191"/>
      <c r="D679" s="183"/>
      <c r="I679" s="183"/>
      <c r="J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</row>
    <row r="680" spans="2:26">
      <c r="B680" s="191"/>
      <c r="D680" s="183"/>
      <c r="I680" s="183"/>
      <c r="J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</row>
    <row r="681" spans="2:26">
      <c r="B681" s="191"/>
      <c r="D681" s="183"/>
      <c r="I681" s="183"/>
      <c r="J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</row>
    <row r="682" spans="2:26">
      <c r="B682" s="191"/>
      <c r="D682" s="183"/>
      <c r="I682" s="183"/>
      <c r="J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</row>
    <row r="683" spans="2:26">
      <c r="B683" s="191"/>
      <c r="D683" s="183"/>
      <c r="I683" s="183"/>
      <c r="J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</row>
    <row r="684" spans="2:26">
      <c r="B684" s="191"/>
      <c r="D684" s="183"/>
      <c r="I684" s="183"/>
      <c r="J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</row>
    <row r="685" spans="2:26">
      <c r="B685" s="191"/>
      <c r="D685" s="183"/>
      <c r="I685" s="183"/>
      <c r="J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</row>
    <row r="686" spans="2:26">
      <c r="B686" s="191"/>
      <c r="D686" s="183"/>
      <c r="I686" s="183"/>
      <c r="J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</row>
    <row r="687" spans="2:26">
      <c r="B687" s="191"/>
      <c r="D687" s="183"/>
      <c r="I687" s="183"/>
      <c r="J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</row>
    <row r="688" spans="2:26">
      <c r="B688" s="191"/>
      <c r="D688" s="183"/>
      <c r="I688" s="183"/>
      <c r="J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</row>
    <row r="689" spans="2:26">
      <c r="B689" s="191"/>
      <c r="D689" s="183"/>
      <c r="I689" s="183"/>
      <c r="J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</row>
    <row r="690" spans="2:26">
      <c r="B690" s="191"/>
      <c r="D690" s="183"/>
      <c r="I690" s="183"/>
      <c r="J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</row>
    <row r="691" spans="2:26">
      <c r="B691" s="191"/>
      <c r="D691" s="183"/>
      <c r="I691" s="183"/>
      <c r="J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</row>
    <row r="692" spans="2:26">
      <c r="B692" s="191"/>
      <c r="D692" s="183"/>
      <c r="I692" s="183"/>
      <c r="J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</row>
    <row r="693" spans="2:26">
      <c r="B693" s="191"/>
      <c r="D693" s="183"/>
      <c r="I693" s="183"/>
      <c r="J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</row>
    <row r="694" spans="2:26">
      <c r="B694" s="191"/>
      <c r="D694" s="183"/>
      <c r="I694" s="183"/>
      <c r="J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</row>
    <row r="695" spans="2:26">
      <c r="B695" s="191"/>
      <c r="D695" s="183"/>
      <c r="I695" s="183"/>
      <c r="J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</row>
    <row r="696" spans="2:26">
      <c r="B696" s="191"/>
      <c r="D696" s="183"/>
      <c r="I696" s="183"/>
      <c r="J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</row>
    <row r="697" spans="2:26">
      <c r="B697" s="191"/>
      <c r="D697" s="183"/>
      <c r="I697" s="183"/>
      <c r="J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</row>
    <row r="698" spans="2:26">
      <c r="B698" s="191"/>
      <c r="D698" s="183"/>
      <c r="I698" s="183"/>
      <c r="J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</row>
    <row r="699" spans="2:26">
      <c r="B699" s="191"/>
      <c r="D699" s="183"/>
      <c r="I699" s="183"/>
      <c r="J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</row>
    <row r="700" spans="2:26">
      <c r="B700" s="191"/>
      <c r="D700" s="183"/>
      <c r="I700" s="183"/>
      <c r="J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</row>
    <row r="701" spans="2:26">
      <c r="B701" s="191"/>
      <c r="D701" s="183"/>
      <c r="I701" s="183"/>
      <c r="J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</row>
    <row r="702" spans="2:26">
      <c r="B702" s="191"/>
      <c r="D702" s="183"/>
      <c r="I702" s="183"/>
      <c r="J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</row>
    <row r="703" spans="2:26">
      <c r="B703" s="191"/>
      <c r="D703" s="183"/>
      <c r="I703" s="183"/>
      <c r="J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</row>
    <row r="704" spans="2:26">
      <c r="B704" s="191"/>
      <c r="D704" s="183"/>
      <c r="I704" s="183"/>
      <c r="J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</row>
    <row r="705" spans="2:26">
      <c r="B705" s="191"/>
      <c r="D705" s="183"/>
      <c r="I705" s="183"/>
      <c r="J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</row>
    <row r="706" spans="2:26">
      <c r="B706" s="191"/>
      <c r="D706" s="183"/>
      <c r="I706" s="183"/>
      <c r="J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</row>
    <row r="707" spans="2:26">
      <c r="B707" s="191"/>
      <c r="D707" s="183"/>
      <c r="I707" s="183"/>
      <c r="J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</row>
    <row r="708" spans="2:26">
      <c r="B708" s="191"/>
      <c r="D708" s="183"/>
      <c r="I708" s="183"/>
      <c r="J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</row>
    <row r="709" spans="2:26">
      <c r="B709" s="191"/>
      <c r="D709" s="183"/>
      <c r="I709" s="183"/>
      <c r="J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</row>
    <row r="710" spans="2:26">
      <c r="B710" s="191"/>
      <c r="D710" s="183"/>
      <c r="I710" s="183"/>
      <c r="J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</row>
    <row r="711" spans="2:26">
      <c r="B711" s="191"/>
      <c r="D711" s="183"/>
      <c r="I711" s="183"/>
      <c r="J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</row>
    <row r="712" spans="2:26">
      <c r="B712" s="191"/>
      <c r="D712" s="183"/>
      <c r="I712" s="183"/>
      <c r="J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</row>
    <row r="713" spans="2:26">
      <c r="B713" s="191"/>
      <c r="D713" s="183"/>
      <c r="I713" s="183"/>
      <c r="J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</row>
    <row r="714" spans="2:26">
      <c r="B714" s="191"/>
      <c r="D714" s="183"/>
      <c r="I714" s="183"/>
      <c r="J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</row>
    <row r="715" spans="2:26">
      <c r="B715" s="191"/>
      <c r="D715" s="183"/>
      <c r="I715" s="183"/>
      <c r="J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</row>
    <row r="716" spans="2:26">
      <c r="B716" s="191"/>
      <c r="D716" s="183"/>
      <c r="I716" s="183"/>
      <c r="J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</row>
    <row r="717" spans="2:26">
      <c r="B717" s="191"/>
      <c r="D717" s="183"/>
      <c r="I717" s="183"/>
      <c r="J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</row>
    <row r="718" spans="2:26">
      <c r="B718" s="191"/>
      <c r="D718" s="183"/>
      <c r="I718" s="183"/>
      <c r="J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</row>
    <row r="719" spans="2:26">
      <c r="B719" s="191"/>
      <c r="D719" s="183"/>
      <c r="I719" s="183"/>
      <c r="J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</row>
    <row r="720" spans="2:26">
      <c r="B720" s="191"/>
      <c r="D720" s="183"/>
      <c r="I720" s="183"/>
      <c r="J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</row>
    <row r="721" spans="2:26">
      <c r="B721" s="191"/>
      <c r="D721" s="183"/>
      <c r="I721" s="183"/>
      <c r="J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</row>
    <row r="722" spans="2:26">
      <c r="B722" s="191"/>
      <c r="D722" s="183"/>
      <c r="I722" s="183"/>
      <c r="J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</row>
    <row r="723" spans="2:26">
      <c r="B723" s="191"/>
      <c r="D723" s="183"/>
      <c r="I723" s="183"/>
      <c r="J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</row>
    <row r="724" spans="2:26">
      <c r="B724" s="191"/>
      <c r="D724" s="183"/>
      <c r="I724" s="183"/>
      <c r="J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</row>
    <row r="725" spans="2:26">
      <c r="B725" s="191"/>
      <c r="D725" s="183"/>
      <c r="I725" s="183"/>
      <c r="J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</row>
    <row r="726" spans="2:26">
      <c r="B726" s="191"/>
      <c r="D726" s="183"/>
      <c r="I726" s="183"/>
      <c r="J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</row>
    <row r="727" spans="2:26">
      <c r="B727" s="191"/>
      <c r="D727" s="183"/>
      <c r="I727" s="183"/>
      <c r="J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</row>
    <row r="728" spans="2:26">
      <c r="B728" s="191"/>
      <c r="D728" s="183"/>
      <c r="I728" s="183"/>
      <c r="J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</row>
    <row r="729" spans="2:26">
      <c r="B729" s="191"/>
      <c r="D729" s="183"/>
      <c r="I729" s="183"/>
      <c r="J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</row>
    <row r="730" spans="2:26">
      <c r="B730" s="191"/>
      <c r="D730" s="183"/>
      <c r="I730" s="183"/>
      <c r="J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</row>
    <row r="731" spans="2:26">
      <c r="B731" s="191"/>
      <c r="D731" s="183"/>
      <c r="I731" s="183"/>
      <c r="J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</row>
    <row r="732" spans="2:26">
      <c r="B732" s="191"/>
      <c r="D732" s="183"/>
      <c r="I732" s="183"/>
      <c r="J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</row>
    <row r="733" spans="2:26">
      <c r="B733" s="191"/>
      <c r="D733" s="183"/>
      <c r="I733" s="183"/>
      <c r="J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</row>
    <row r="734" spans="2:26">
      <c r="B734" s="191"/>
      <c r="D734" s="183"/>
      <c r="I734" s="183"/>
      <c r="J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</row>
    <row r="735" spans="2:26">
      <c r="B735" s="191"/>
      <c r="D735" s="183"/>
      <c r="I735" s="183"/>
      <c r="J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</row>
    <row r="736" spans="2:26">
      <c r="B736" s="191"/>
      <c r="D736" s="183"/>
      <c r="I736" s="183"/>
      <c r="J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</row>
    <row r="737" spans="2:26">
      <c r="B737" s="191"/>
      <c r="D737" s="183"/>
      <c r="I737" s="183"/>
      <c r="J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</row>
    <row r="738" spans="2:26">
      <c r="B738" s="191"/>
      <c r="D738" s="183"/>
      <c r="I738" s="183"/>
      <c r="J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</row>
    <row r="739" spans="2:26">
      <c r="B739" s="191"/>
      <c r="D739" s="183"/>
      <c r="I739" s="183"/>
      <c r="J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</row>
    <row r="740" spans="2:26">
      <c r="B740" s="191"/>
      <c r="D740" s="183"/>
      <c r="I740" s="183"/>
      <c r="J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</row>
    <row r="741" spans="2:26">
      <c r="B741" s="191"/>
      <c r="D741" s="183"/>
      <c r="I741" s="183"/>
      <c r="J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</row>
    <row r="742" spans="2:26">
      <c r="B742" s="191"/>
      <c r="D742" s="183"/>
      <c r="I742" s="183"/>
      <c r="J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</row>
    <row r="743" spans="2:26">
      <c r="B743" s="191"/>
      <c r="D743" s="183"/>
      <c r="I743" s="183"/>
      <c r="J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</row>
    <row r="744" spans="2:26">
      <c r="B744" s="191"/>
      <c r="D744" s="183"/>
      <c r="I744" s="183"/>
      <c r="J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</row>
    <row r="745" spans="2:26">
      <c r="B745" s="191"/>
      <c r="D745" s="183"/>
      <c r="I745" s="183"/>
      <c r="J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</row>
    <row r="746" spans="2:26">
      <c r="B746" s="191"/>
      <c r="D746" s="183"/>
      <c r="I746" s="183"/>
      <c r="J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</row>
    <row r="747" spans="2:26">
      <c r="B747" s="191"/>
      <c r="D747" s="183"/>
      <c r="I747" s="183"/>
      <c r="J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</row>
    <row r="748" spans="2:26">
      <c r="B748" s="191"/>
      <c r="D748" s="183"/>
      <c r="I748" s="183"/>
      <c r="J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</row>
    <row r="749" spans="2:26">
      <c r="B749" s="191"/>
      <c r="D749" s="183"/>
      <c r="I749" s="183"/>
      <c r="J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</row>
    <row r="750" spans="2:26">
      <c r="B750" s="191"/>
      <c r="D750" s="183"/>
      <c r="I750" s="183"/>
      <c r="J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</row>
    <row r="751" spans="2:26">
      <c r="B751" s="191"/>
      <c r="D751" s="183"/>
      <c r="I751" s="183"/>
      <c r="J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</row>
    <row r="752" spans="2:26">
      <c r="B752" s="191"/>
      <c r="D752" s="183"/>
      <c r="I752" s="183"/>
      <c r="J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</row>
    <row r="753" spans="2:26">
      <c r="B753" s="191"/>
      <c r="D753" s="183"/>
      <c r="I753" s="183"/>
      <c r="J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</row>
    <row r="754" spans="2:26">
      <c r="B754" s="191"/>
      <c r="D754" s="183"/>
      <c r="I754" s="183"/>
      <c r="J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</row>
    <row r="755" spans="2:26">
      <c r="B755" s="191"/>
      <c r="D755" s="183"/>
      <c r="I755" s="183"/>
      <c r="J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</row>
    <row r="756" spans="2:26">
      <c r="B756" s="191"/>
      <c r="D756" s="183"/>
      <c r="I756" s="183"/>
      <c r="J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</row>
    <row r="757" spans="2:26">
      <c r="B757" s="191"/>
      <c r="D757" s="183"/>
      <c r="I757" s="183"/>
      <c r="J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</row>
    <row r="758" spans="2:26">
      <c r="B758" s="191"/>
      <c r="D758" s="183"/>
      <c r="I758" s="183"/>
      <c r="J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</row>
    <row r="759" spans="2:26">
      <c r="B759" s="191"/>
      <c r="D759" s="183"/>
      <c r="I759" s="183"/>
      <c r="J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</row>
    <row r="760" spans="2:26">
      <c r="B760" s="191"/>
      <c r="D760" s="183"/>
      <c r="I760" s="183"/>
      <c r="J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</row>
    <row r="761" spans="2:26">
      <c r="B761" s="191"/>
      <c r="D761" s="183"/>
      <c r="I761" s="183"/>
      <c r="J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</row>
    <row r="762" spans="2:26">
      <c r="B762" s="191"/>
      <c r="D762" s="183"/>
      <c r="I762" s="183"/>
      <c r="J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</row>
    <row r="763" spans="2:26">
      <c r="B763" s="191"/>
      <c r="D763" s="183"/>
      <c r="I763" s="183"/>
      <c r="J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</row>
    <row r="764" spans="2:26">
      <c r="B764" s="191"/>
      <c r="D764" s="183"/>
      <c r="I764" s="183"/>
      <c r="J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</row>
    <row r="765" spans="2:26">
      <c r="B765" s="191"/>
      <c r="D765" s="183"/>
      <c r="I765" s="183"/>
      <c r="J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</row>
    <row r="766" spans="2:26">
      <c r="B766" s="191"/>
      <c r="D766" s="183"/>
      <c r="I766" s="183"/>
      <c r="J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</row>
    <row r="767" spans="2:26">
      <c r="B767" s="191"/>
      <c r="D767" s="183"/>
      <c r="I767" s="183"/>
      <c r="J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</row>
    <row r="768" spans="2:26">
      <c r="B768" s="191"/>
      <c r="D768" s="183"/>
      <c r="I768" s="183"/>
      <c r="J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</row>
    <row r="769" spans="2:26">
      <c r="B769" s="191"/>
      <c r="D769" s="183"/>
      <c r="I769" s="183"/>
      <c r="J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</row>
    <row r="770" spans="2:26">
      <c r="B770" s="191"/>
      <c r="D770" s="183"/>
      <c r="I770" s="183"/>
      <c r="J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</row>
    <row r="771" spans="2:26">
      <c r="B771" s="191"/>
      <c r="D771" s="183"/>
      <c r="I771" s="183"/>
      <c r="J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</row>
    <row r="772" spans="2:26">
      <c r="B772" s="191"/>
      <c r="D772" s="183"/>
      <c r="I772" s="183"/>
      <c r="J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</row>
    <row r="773" spans="2:26">
      <c r="B773" s="191"/>
      <c r="D773" s="183"/>
      <c r="I773" s="183"/>
      <c r="J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</row>
    <row r="774" spans="2:26">
      <c r="B774" s="191"/>
      <c r="D774" s="183"/>
      <c r="I774" s="183"/>
      <c r="J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</row>
    <row r="775" spans="2:26">
      <c r="B775" s="191"/>
      <c r="D775" s="183"/>
      <c r="I775" s="183"/>
      <c r="J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</row>
    <row r="776" spans="2:26">
      <c r="B776" s="191"/>
      <c r="D776" s="183"/>
      <c r="I776" s="183"/>
      <c r="J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</row>
    <row r="777" spans="2:26">
      <c r="B777" s="191"/>
      <c r="D777" s="183"/>
      <c r="I777" s="183"/>
      <c r="J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</row>
    <row r="778" spans="2:26">
      <c r="B778" s="191"/>
      <c r="D778" s="183"/>
      <c r="I778" s="183"/>
      <c r="J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</row>
    <row r="779" spans="2:26">
      <c r="B779" s="191"/>
      <c r="D779" s="183"/>
      <c r="I779" s="183"/>
      <c r="J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</row>
    <row r="780" spans="2:26">
      <c r="B780" s="191"/>
      <c r="D780" s="183"/>
      <c r="I780" s="183"/>
      <c r="J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</row>
    <row r="781" spans="2:26">
      <c r="B781" s="191"/>
      <c r="D781" s="183"/>
      <c r="I781" s="183"/>
      <c r="J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</row>
    <row r="782" spans="2:26">
      <c r="B782" s="191"/>
      <c r="D782" s="183"/>
      <c r="I782" s="183"/>
      <c r="J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</row>
    <row r="783" spans="2:26">
      <c r="B783" s="191"/>
      <c r="D783" s="183"/>
      <c r="I783" s="183"/>
      <c r="J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</row>
    <row r="784" spans="2:26">
      <c r="B784" s="191"/>
      <c r="D784" s="183"/>
      <c r="I784" s="183"/>
      <c r="J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</row>
    <row r="785" spans="2:26">
      <c r="B785" s="191"/>
      <c r="D785" s="183"/>
      <c r="I785" s="183"/>
      <c r="J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</row>
    <row r="786" spans="2:26">
      <c r="B786" s="191"/>
      <c r="D786" s="183"/>
      <c r="I786" s="183"/>
      <c r="J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</row>
    <row r="787" spans="2:26">
      <c r="B787" s="191"/>
      <c r="D787" s="183"/>
      <c r="I787" s="183"/>
      <c r="J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</row>
    <row r="788" spans="2:26">
      <c r="B788" s="191"/>
      <c r="D788" s="183"/>
      <c r="I788" s="183"/>
      <c r="J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</row>
    <row r="789" spans="2:26">
      <c r="B789" s="191"/>
      <c r="D789" s="183"/>
      <c r="I789" s="183"/>
      <c r="J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</row>
    <row r="790" spans="2:26">
      <c r="B790" s="191"/>
      <c r="D790" s="183"/>
      <c r="I790" s="183"/>
      <c r="J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</row>
    <row r="791" spans="2:26">
      <c r="B791" s="191"/>
      <c r="D791" s="183"/>
      <c r="I791" s="183"/>
      <c r="J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</row>
    <row r="792" spans="2:26">
      <c r="B792" s="191"/>
      <c r="D792" s="183"/>
      <c r="I792" s="183"/>
      <c r="J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</row>
    <row r="793" spans="2:26">
      <c r="B793" s="191"/>
      <c r="D793" s="183"/>
      <c r="I793" s="183"/>
      <c r="J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</row>
    <row r="794" spans="2:26">
      <c r="B794" s="191"/>
      <c r="D794" s="183"/>
      <c r="I794" s="183"/>
      <c r="J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</row>
    <row r="795" spans="2:26">
      <c r="B795" s="191"/>
      <c r="D795" s="183"/>
      <c r="I795" s="183"/>
      <c r="J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</row>
    <row r="796" spans="2:26">
      <c r="B796" s="191"/>
      <c r="D796" s="183"/>
      <c r="I796" s="183"/>
      <c r="J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</row>
    <row r="797" spans="2:26">
      <c r="B797" s="191"/>
      <c r="D797" s="183"/>
      <c r="I797" s="183"/>
      <c r="J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</row>
    <row r="798" spans="2:26">
      <c r="B798" s="191"/>
      <c r="D798" s="183"/>
      <c r="I798" s="183"/>
      <c r="J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</row>
    <row r="799" spans="2:26">
      <c r="B799" s="191"/>
      <c r="D799" s="183"/>
      <c r="I799" s="183"/>
      <c r="J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</row>
    <row r="800" spans="2:26">
      <c r="B800" s="191"/>
      <c r="D800" s="183"/>
      <c r="I800" s="183"/>
      <c r="J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</row>
    <row r="801" spans="2:26">
      <c r="B801" s="191"/>
      <c r="D801" s="183"/>
      <c r="I801" s="183"/>
      <c r="J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</row>
    <row r="802" spans="2:26">
      <c r="B802" s="191"/>
      <c r="D802" s="183"/>
      <c r="I802" s="183"/>
      <c r="J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</row>
    <row r="803" spans="2:26">
      <c r="B803" s="191"/>
      <c r="D803" s="183"/>
      <c r="I803" s="183"/>
      <c r="J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</row>
    <row r="804" spans="2:26">
      <c r="B804" s="191"/>
      <c r="D804" s="183"/>
      <c r="I804" s="183"/>
      <c r="J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</row>
    <row r="805" spans="2:26">
      <c r="B805" s="191"/>
      <c r="D805" s="183"/>
      <c r="I805" s="183"/>
      <c r="J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</row>
    <row r="806" spans="2:26">
      <c r="B806" s="191"/>
      <c r="D806" s="183"/>
      <c r="I806" s="183"/>
      <c r="J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</row>
    <row r="807" spans="2:26">
      <c r="B807" s="191"/>
      <c r="D807" s="183"/>
      <c r="I807" s="183"/>
      <c r="J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</row>
    <row r="808" spans="2:26">
      <c r="B808" s="191"/>
      <c r="D808" s="183"/>
      <c r="I808" s="183"/>
      <c r="J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</row>
    <row r="809" spans="2:26">
      <c r="B809" s="191"/>
      <c r="D809" s="183"/>
      <c r="I809" s="183"/>
      <c r="J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</row>
    <row r="810" spans="2:26">
      <c r="B810" s="191"/>
      <c r="D810" s="183"/>
      <c r="I810" s="183"/>
      <c r="J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</row>
    <row r="811" spans="2:26">
      <c r="B811" s="191"/>
      <c r="D811" s="183"/>
      <c r="I811" s="183"/>
      <c r="J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</row>
    <row r="812" spans="2:26">
      <c r="B812" s="191"/>
      <c r="D812" s="183"/>
      <c r="I812" s="183"/>
      <c r="J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</row>
    <row r="813" spans="2:26">
      <c r="B813" s="191"/>
      <c r="D813" s="183"/>
      <c r="I813" s="183"/>
      <c r="J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</row>
    <row r="814" spans="2:26">
      <c r="B814" s="191"/>
      <c r="D814" s="183"/>
      <c r="I814" s="183"/>
      <c r="J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</row>
    <row r="815" spans="2:26">
      <c r="B815" s="191"/>
      <c r="D815" s="183"/>
      <c r="I815" s="183"/>
      <c r="J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</row>
    <row r="816" spans="2:26">
      <c r="B816" s="191"/>
      <c r="D816" s="183"/>
      <c r="I816" s="183"/>
      <c r="J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</row>
    <row r="817" spans="2:26">
      <c r="B817" s="191"/>
      <c r="D817" s="183"/>
      <c r="I817" s="183"/>
      <c r="J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</row>
    <row r="818" spans="2:26">
      <c r="B818" s="191"/>
      <c r="D818" s="183"/>
      <c r="I818" s="183"/>
      <c r="J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</row>
    <row r="819" spans="2:26">
      <c r="B819" s="191"/>
      <c r="D819" s="183"/>
      <c r="I819" s="183"/>
      <c r="J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</row>
    <row r="820" spans="2:26">
      <c r="B820" s="191"/>
      <c r="D820" s="183"/>
      <c r="I820" s="183"/>
      <c r="J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</row>
    <row r="821" spans="2:26">
      <c r="B821" s="191"/>
      <c r="D821" s="183"/>
      <c r="I821" s="183"/>
      <c r="J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</row>
    <row r="822" spans="2:26">
      <c r="B822" s="191"/>
      <c r="D822" s="183"/>
      <c r="I822" s="183"/>
      <c r="J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</row>
    <row r="823" spans="2:26">
      <c r="B823" s="191"/>
      <c r="D823" s="183"/>
      <c r="I823" s="183"/>
      <c r="J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</row>
    <row r="824" spans="2:26">
      <c r="B824" s="191"/>
      <c r="D824" s="183"/>
      <c r="I824" s="183"/>
      <c r="J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</row>
    <row r="825" spans="2:26">
      <c r="B825" s="191"/>
      <c r="D825" s="183"/>
      <c r="I825" s="183"/>
      <c r="J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</row>
    <row r="826" spans="2:26">
      <c r="B826" s="191"/>
      <c r="D826" s="183"/>
      <c r="I826" s="183"/>
      <c r="J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</row>
    <row r="827" spans="2:26">
      <c r="B827" s="191"/>
      <c r="D827" s="183"/>
      <c r="I827" s="183"/>
      <c r="J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</row>
    <row r="828" spans="2:26">
      <c r="B828" s="191"/>
      <c r="D828" s="183"/>
      <c r="I828" s="183"/>
      <c r="J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</row>
    <row r="829" spans="2:26">
      <c r="B829" s="191"/>
      <c r="D829" s="183"/>
      <c r="I829" s="183"/>
      <c r="J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</row>
    <row r="830" spans="2:26">
      <c r="B830" s="191"/>
      <c r="D830" s="183"/>
      <c r="I830" s="183"/>
      <c r="J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</row>
    <row r="831" spans="2:26">
      <c r="B831" s="191"/>
      <c r="D831" s="183"/>
      <c r="I831" s="183"/>
      <c r="J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</row>
    <row r="832" spans="2:26">
      <c r="B832" s="191"/>
      <c r="D832" s="183"/>
      <c r="I832" s="183"/>
      <c r="J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</row>
    <row r="833" spans="2:26">
      <c r="B833" s="191"/>
      <c r="D833" s="183"/>
      <c r="I833" s="183"/>
      <c r="J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</row>
    <row r="834" spans="2:26">
      <c r="B834" s="191"/>
      <c r="D834" s="183"/>
      <c r="I834" s="183"/>
      <c r="J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</row>
    <row r="835" spans="2:26">
      <c r="B835" s="191"/>
      <c r="D835" s="183"/>
      <c r="I835" s="183"/>
      <c r="J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</row>
    <row r="836" spans="2:26">
      <c r="B836" s="191"/>
      <c r="D836" s="183"/>
      <c r="I836" s="183"/>
      <c r="J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</row>
    <row r="837" spans="2:26">
      <c r="B837" s="191"/>
      <c r="D837" s="183"/>
      <c r="I837" s="183"/>
      <c r="J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</row>
    <row r="838" spans="2:26">
      <c r="B838" s="191"/>
      <c r="D838" s="183"/>
      <c r="I838" s="183"/>
      <c r="J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</row>
    <row r="839" spans="2:26">
      <c r="B839" s="191"/>
      <c r="D839" s="183"/>
      <c r="I839" s="183"/>
      <c r="J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</row>
    <row r="840" spans="2:26">
      <c r="B840" s="191"/>
      <c r="D840" s="183"/>
      <c r="I840" s="183"/>
      <c r="J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</row>
    <row r="841" spans="2:26">
      <c r="B841" s="191"/>
      <c r="D841" s="183"/>
      <c r="I841" s="183"/>
      <c r="J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</row>
    <row r="842" spans="2:26">
      <c r="B842" s="191"/>
      <c r="D842" s="183"/>
      <c r="I842" s="183"/>
      <c r="J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</row>
    <row r="843" spans="2:26">
      <c r="B843" s="191"/>
      <c r="D843" s="183"/>
      <c r="I843" s="183"/>
      <c r="J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</row>
    <row r="844" spans="2:26">
      <c r="B844" s="191"/>
      <c r="D844" s="183"/>
      <c r="I844" s="183"/>
      <c r="J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</row>
    <row r="845" spans="2:26">
      <c r="B845" s="191"/>
      <c r="D845" s="183"/>
      <c r="I845" s="183"/>
      <c r="J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</row>
    <row r="846" spans="2:26">
      <c r="B846" s="191"/>
      <c r="D846" s="183"/>
      <c r="I846" s="183"/>
      <c r="J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</row>
    <row r="847" spans="2:26">
      <c r="B847" s="191"/>
      <c r="D847" s="183"/>
      <c r="I847" s="183"/>
      <c r="J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</row>
    <row r="848" spans="2:26">
      <c r="B848" s="191"/>
      <c r="D848" s="183"/>
      <c r="I848" s="183"/>
      <c r="J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</row>
    <row r="849" spans="2:26">
      <c r="B849" s="191"/>
      <c r="D849" s="183"/>
      <c r="I849" s="183"/>
      <c r="J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</row>
    <row r="850" spans="2:26">
      <c r="B850" s="191"/>
      <c r="D850" s="183"/>
      <c r="I850" s="183"/>
      <c r="J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</row>
    <row r="851" spans="2:26">
      <c r="B851" s="191"/>
      <c r="D851" s="183"/>
      <c r="I851" s="183"/>
      <c r="J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</row>
    <row r="852" spans="2:26">
      <c r="B852" s="191"/>
      <c r="D852" s="183"/>
      <c r="I852" s="183"/>
      <c r="J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</row>
    <row r="853" spans="2:26">
      <c r="B853" s="191"/>
      <c r="D853" s="183"/>
      <c r="I853" s="183"/>
      <c r="J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</row>
    <row r="854" spans="2:26">
      <c r="B854" s="191"/>
      <c r="D854" s="183"/>
      <c r="I854" s="183"/>
      <c r="J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</row>
    <row r="855" spans="2:26">
      <c r="B855" s="191"/>
      <c r="D855" s="183"/>
      <c r="I855" s="183"/>
      <c r="J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</row>
    <row r="856" spans="2:26">
      <c r="B856" s="191"/>
      <c r="D856" s="183"/>
      <c r="I856" s="183"/>
      <c r="J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</row>
    <row r="857" spans="2:26">
      <c r="B857" s="191"/>
      <c r="D857" s="183"/>
      <c r="I857" s="183"/>
      <c r="J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</row>
    <row r="858" spans="2:26">
      <c r="B858" s="191"/>
      <c r="D858" s="183"/>
      <c r="I858" s="183"/>
      <c r="J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</row>
    <row r="859" spans="2:26">
      <c r="B859" s="191"/>
      <c r="D859" s="183"/>
      <c r="I859" s="183"/>
      <c r="J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</row>
    <row r="860" spans="2:26">
      <c r="B860" s="191"/>
      <c r="D860" s="183"/>
      <c r="I860" s="183"/>
      <c r="J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</row>
    <row r="861" spans="2:26">
      <c r="B861" s="191"/>
      <c r="D861" s="183"/>
      <c r="I861" s="183"/>
      <c r="J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</row>
    <row r="862" spans="2:26">
      <c r="B862" s="191"/>
      <c r="D862" s="183"/>
      <c r="I862" s="183"/>
      <c r="J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</row>
    <row r="863" spans="2:26">
      <c r="B863" s="191"/>
      <c r="D863" s="183"/>
      <c r="I863" s="183"/>
      <c r="J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</row>
    <row r="864" spans="2:26">
      <c r="B864" s="191"/>
      <c r="D864" s="183"/>
      <c r="I864" s="183"/>
      <c r="J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</row>
    <row r="865" spans="2:26">
      <c r="B865" s="191"/>
      <c r="D865" s="183"/>
      <c r="I865" s="183"/>
      <c r="J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</row>
    <row r="866" spans="2:26">
      <c r="B866" s="191"/>
      <c r="D866" s="183"/>
      <c r="I866" s="183"/>
      <c r="J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</row>
    <row r="867" spans="2:26">
      <c r="B867" s="191"/>
      <c r="D867" s="183"/>
      <c r="I867" s="183"/>
      <c r="J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</row>
    <row r="868" spans="2:26">
      <c r="B868" s="191"/>
      <c r="D868" s="183"/>
      <c r="I868" s="183"/>
      <c r="J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</row>
    <row r="869" spans="2:26">
      <c r="B869" s="191"/>
      <c r="D869" s="183"/>
      <c r="I869" s="183"/>
      <c r="J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</row>
    <row r="870" spans="2:26">
      <c r="B870" s="191"/>
      <c r="D870" s="183"/>
      <c r="I870" s="183"/>
      <c r="J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</row>
    <row r="871" spans="2:26">
      <c r="B871" s="191"/>
      <c r="D871" s="183"/>
      <c r="I871" s="183"/>
      <c r="J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</row>
    <row r="872" spans="2:26">
      <c r="B872" s="191"/>
      <c r="D872" s="183"/>
      <c r="I872" s="183"/>
      <c r="J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</row>
    <row r="873" spans="2:26">
      <c r="B873" s="191"/>
      <c r="D873" s="183"/>
      <c r="I873" s="183"/>
      <c r="J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</row>
    <row r="874" spans="2:26">
      <c r="B874" s="191"/>
      <c r="D874" s="183"/>
      <c r="I874" s="183"/>
      <c r="J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</row>
    <row r="875" spans="2:26">
      <c r="B875" s="191"/>
      <c r="D875" s="183"/>
      <c r="I875" s="183"/>
      <c r="J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</row>
    <row r="876" spans="2:26">
      <c r="B876" s="191"/>
      <c r="D876" s="183"/>
      <c r="I876" s="183"/>
      <c r="J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</row>
    <row r="877" spans="2:26">
      <c r="B877" s="191"/>
      <c r="D877" s="183"/>
      <c r="I877" s="183"/>
      <c r="J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</row>
    <row r="878" spans="2:26">
      <c r="B878" s="191"/>
      <c r="D878" s="183"/>
      <c r="I878" s="183"/>
      <c r="J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</row>
    <row r="879" spans="2:26">
      <c r="B879" s="191"/>
      <c r="D879" s="183"/>
      <c r="I879" s="183"/>
      <c r="J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</row>
    <row r="880" spans="2:26">
      <c r="B880" s="191"/>
      <c r="D880" s="183"/>
      <c r="I880" s="183"/>
      <c r="J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</row>
    <row r="881" spans="2:26">
      <c r="B881" s="191"/>
      <c r="D881" s="183"/>
      <c r="I881" s="183"/>
      <c r="J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</row>
    <row r="882" spans="2:26">
      <c r="B882" s="191"/>
      <c r="D882" s="183"/>
      <c r="I882" s="183"/>
      <c r="J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</row>
    <row r="883" spans="2:26">
      <c r="B883" s="191"/>
      <c r="D883" s="183"/>
      <c r="I883" s="183"/>
      <c r="J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</row>
    <row r="884" spans="2:26">
      <c r="B884" s="191"/>
      <c r="D884" s="183"/>
      <c r="I884" s="183"/>
      <c r="J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</row>
    <row r="885" spans="2:26">
      <c r="B885" s="191"/>
      <c r="D885" s="183"/>
      <c r="I885" s="183"/>
      <c r="J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</row>
    <row r="886" spans="2:26">
      <c r="B886" s="191"/>
      <c r="D886" s="183"/>
      <c r="I886" s="183"/>
      <c r="J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</row>
    <row r="887" spans="2:26">
      <c r="B887" s="191"/>
      <c r="D887" s="183"/>
      <c r="I887" s="183"/>
      <c r="J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</row>
    <row r="888" spans="2:26">
      <c r="B888" s="191"/>
      <c r="D888" s="183"/>
      <c r="I888" s="183"/>
      <c r="J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</row>
    <row r="889" spans="2:26">
      <c r="B889" s="191"/>
      <c r="D889" s="183"/>
      <c r="I889" s="183"/>
      <c r="J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</row>
    <row r="890" spans="2:26">
      <c r="B890" s="191"/>
      <c r="D890" s="183"/>
      <c r="I890" s="183"/>
      <c r="J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</row>
    <row r="891" spans="2:26">
      <c r="B891" s="191"/>
      <c r="D891" s="183"/>
      <c r="I891" s="183"/>
      <c r="J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</row>
    <row r="892" spans="2:26">
      <c r="B892" s="191"/>
      <c r="D892" s="183"/>
      <c r="I892" s="183"/>
      <c r="J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</row>
    <row r="893" spans="2:26">
      <c r="B893" s="191"/>
      <c r="D893" s="183"/>
      <c r="I893" s="183"/>
      <c r="J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</row>
    <row r="894" spans="2:26">
      <c r="B894" s="191"/>
      <c r="D894" s="183"/>
      <c r="I894" s="183"/>
      <c r="J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</row>
    <row r="895" spans="2:26">
      <c r="B895" s="191"/>
      <c r="D895" s="183"/>
      <c r="I895" s="183"/>
      <c r="J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</row>
    <row r="896" spans="2:26">
      <c r="B896" s="191"/>
      <c r="D896" s="183"/>
      <c r="I896" s="183"/>
      <c r="J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</row>
    <row r="897" spans="2:26">
      <c r="B897" s="191"/>
      <c r="D897" s="183"/>
      <c r="I897" s="183"/>
      <c r="J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</row>
    <row r="898" spans="2:26">
      <c r="B898" s="191"/>
      <c r="D898" s="183"/>
      <c r="I898" s="183"/>
      <c r="J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</row>
    <row r="899" spans="2:26">
      <c r="B899" s="191"/>
      <c r="D899" s="183"/>
      <c r="I899" s="183"/>
      <c r="J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</row>
    <row r="900" spans="2:26">
      <c r="B900" s="191"/>
      <c r="D900" s="183"/>
      <c r="I900" s="183"/>
      <c r="J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</row>
    <row r="901" spans="2:26">
      <c r="B901" s="191"/>
      <c r="D901" s="183"/>
      <c r="I901" s="183"/>
      <c r="J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</row>
    <row r="902" spans="2:26">
      <c r="B902" s="191"/>
      <c r="D902" s="183"/>
      <c r="I902" s="183"/>
      <c r="J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</row>
    <row r="903" spans="2:26">
      <c r="B903" s="191"/>
      <c r="D903" s="183"/>
      <c r="I903" s="183"/>
      <c r="J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</row>
    <row r="904" spans="2:26">
      <c r="B904" s="191"/>
      <c r="D904" s="183"/>
      <c r="I904" s="183"/>
      <c r="J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</row>
    <row r="905" spans="2:26">
      <c r="B905" s="191"/>
      <c r="D905" s="183"/>
      <c r="I905" s="183"/>
      <c r="J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</row>
    <row r="906" spans="2:26">
      <c r="B906" s="191"/>
      <c r="D906" s="183"/>
      <c r="I906" s="183"/>
      <c r="J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</row>
    <row r="907" spans="2:26">
      <c r="B907" s="191"/>
      <c r="D907" s="183"/>
      <c r="I907" s="183"/>
      <c r="J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</row>
    <row r="908" spans="2:26">
      <c r="B908" s="191"/>
      <c r="D908" s="183"/>
      <c r="I908" s="183"/>
      <c r="J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</row>
    <row r="909" spans="2:26">
      <c r="B909" s="191"/>
      <c r="D909" s="183"/>
      <c r="I909" s="183"/>
      <c r="J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</row>
    <row r="910" spans="2:26">
      <c r="B910" s="191"/>
      <c r="D910" s="183"/>
      <c r="I910" s="183"/>
      <c r="J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</row>
    <row r="911" spans="2:26">
      <c r="B911" s="191"/>
      <c r="D911" s="183"/>
      <c r="I911" s="183"/>
      <c r="J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</row>
    <row r="912" spans="2:26">
      <c r="B912" s="191"/>
      <c r="D912" s="183"/>
      <c r="I912" s="183"/>
      <c r="J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</row>
    <row r="913" spans="2:26">
      <c r="B913" s="191"/>
      <c r="D913" s="183"/>
      <c r="I913" s="183"/>
      <c r="J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</row>
    <row r="914" spans="2:26">
      <c r="B914" s="191"/>
      <c r="D914" s="183"/>
      <c r="I914" s="183"/>
      <c r="J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</row>
    <row r="915" spans="2:26">
      <c r="B915" s="191"/>
      <c r="D915" s="183"/>
      <c r="I915" s="183"/>
      <c r="J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</row>
    <row r="916" spans="2:26">
      <c r="B916" s="191"/>
      <c r="D916" s="183"/>
      <c r="I916" s="183"/>
      <c r="J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</row>
    <row r="917" spans="2:26">
      <c r="B917" s="191"/>
      <c r="D917" s="183"/>
      <c r="I917" s="183"/>
      <c r="J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</row>
    <row r="918" spans="2:26">
      <c r="B918" s="191"/>
      <c r="D918" s="183"/>
      <c r="I918" s="183"/>
      <c r="J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</row>
    <row r="919" spans="2:26">
      <c r="B919" s="191"/>
      <c r="D919" s="183"/>
      <c r="I919" s="183"/>
      <c r="J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</row>
    <row r="920" spans="2:26">
      <c r="B920" s="191"/>
      <c r="D920" s="183"/>
      <c r="I920" s="183"/>
      <c r="J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</row>
    <row r="921" spans="2:26">
      <c r="B921" s="191"/>
      <c r="D921" s="183"/>
      <c r="I921" s="183"/>
      <c r="J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</row>
    <row r="922" spans="2:26">
      <c r="B922" s="191"/>
      <c r="D922" s="183"/>
      <c r="I922" s="183"/>
      <c r="J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</row>
    <row r="923" spans="2:26">
      <c r="B923" s="191"/>
      <c r="D923" s="183"/>
      <c r="I923" s="183"/>
      <c r="J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</row>
    <row r="924" spans="2:26">
      <c r="B924" s="191"/>
      <c r="D924" s="183"/>
      <c r="I924" s="183"/>
      <c r="J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</row>
    <row r="925" spans="2:26">
      <c r="B925" s="191"/>
      <c r="D925" s="183"/>
      <c r="I925" s="183"/>
      <c r="J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</row>
    <row r="926" spans="2:26">
      <c r="B926" s="191"/>
      <c r="D926" s="183"/>
      <c r="I926" s="183"/>
      <c r="J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</row>
    <row r="927" spans="2:26">
      <c r="B927" s="191"/>
      <c r="D927" s="183"/>
      <c r="I927" s="183"/>
      <c r="J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</row>
    <row r="928" spans="2:26">
      <c r="B928" s="191"/>
      <c r="D928" s="183"/>
      <c r="I928" s="183"/>
      <c r="J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</row>
    <row r="929" spans="2:26">
      <c r="B929" s="191"/>
      <c r="D929" s="183"/>
      <c r="I929" s="183"/>
      <c r="J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</row>
    <row r="930" spans="2:26">
      <c r="B930" s="191"/>
      <c r="D930" s="183"/>
      <c r="I930" s="183"/>
      <c r="J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</row>
    <row r="931" spans="2:26">
      <c r="B931" s="191"/>
      <c r="D931" s="183"/>
      <c r="I931" s="183"/>
      <c r="J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</row>
    <row r="932" spans="2:26">
      <c r="B932" s="191"/>
      <c r="D932" s="183"/>
      <c r="I932" s="183"/>
      <c r="J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</row>
    <row r="933" spans="2:26">
      <c r="B933" s="191"/>
      <c r="D933" s="183"/>
      <c r="I933" s="183"/>
      <c r="J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</row>
    <row r="934" spans="2:26">
      <c r="B934" s="191"/>
      <c r="D934" s="183"/>
      <c r="I934" s="183"/>
      <c r="J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</row>
    <row r="935" spans="2:26">
      <c r="B935" s="191"/>
      <c r="D935" s="183"/>
      <c r="I935" s="183"/>
      <c r="J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</row>
    <row r="936" spans="2:26">
      <c r="B936" s="191"/>
      <c r="D936" s="183"/>
      <c r="I936" s="183"/>
      <c r="J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</row>
    <row r="937" spans="2:26">
      <c r="B937" s="191"/>
      <c r="D937" s="183"/>
      <c r="I937" s="183"/>
      <c r="J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</row>
    <row r="938" spans="2:26">
      <c r="B938" s="191"/>
      <c r="D938" s="183"/>
      <c r="I938" s="183"/>
      <c r="J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</row>
    <row r="939" spans="2:26">
      <c r="B939" s="191"/>
      <c r="D939" s="183"/>
      <c r="I939" s="183"/>
      <c r="J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</row>
    <row r="940" spans="2:26">
      <c r="B940" s="191"/>
      <c r="D940" s="183"/>
      <c r="I940" s="183"/>
      <c r="J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</row>
    <row r="941" spans="2:26">
      <c r="B941" s="191"/>
      <c r="D941" s="183"/>
      <c r="I941" s="183"/>
      <c r="J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</row>
    <row r="942" spans="2:26">
      <c r="B942" s="191"/>
      <c r="D942" s="183"/>
      <c r="I942" s="183"/>
      <c r="J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</row>
    <row r="943" spans="2:26">
      <c r="B943" s="191"/>
      <c r="D943" s="183"/>
      <c r="I943" s="183"/>
      <c r="J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</row>
    <row r="944" spans="2:26">
      <c r="B944" s="191"/>
      <c r="D944" s="183"/>
      <c r="I944" s="183"/>
      <c r="J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</row>
    <row r="945" spans="2:26">
      <c r="B945" s="191"/>
      <c r="D945" s="183"/>
      <c r="I945" s="183"/>
      <c r="J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</row>
    <row r="946" spans="2:26">
      <c r="B946" s="191"/>
      <c r="D946" s="183"/>
      <c r="I946" s="183"/>
      <c r="J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</row>
    <row r="947" spans="2:26">
      <c r="B947" s="191"/>
      <c r="D947" s="183"/>
      <c r="I947" s="183"/>
      <c r="J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</row>
    <row r="948" spans="2:26">
      <c r="B948" s="191"/>
      <c r="D948" s="183"/>
      <c r="I948" s="183"/>
      <c r="J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</row>
    <row r="949" spans="2:26">
      <c r="B949" s="191"/>
      <c r="D949" s="183"/>
      <c r="I949" s="183"/>
      <c r="J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</row>
    <row r="950" spans="2:26">
      <c r="B950" s="191"/>
      <c r="D950" s="183"/>
      <c r="I950" s="183"/>
      <c r="J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</row>
    <row r="951" spans="2:26">
      <c r="B951" s="191"/>
      <c r="D951" s="183"/>
      <c r="I951" s="183"/>
      <c r="J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</row>
    <row r="952" spans="2:26">
      <c r="B952" s="191"/>
      <c r="D952" s="183"/>
      <c r="I952" s="183"/>
      <c r="J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</row>
    <row r="953" spans="2:26">
      <c r="B953" s="191"/>
      <c r="D953" s="183"/>
      <c r="I953" s="183"/>
      <c r="J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</row>
    <row r="954" spans="2:26">
      <c r="B954" s="191"/>
      <c r="D954" s="183"/>
      <c r="I954" s="183"/>
      <c r="J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</row>
    <row r="955" spans="2:26">
      <c r="B955" s="191"/>
      <c r="D955" s="183"/>
      <c r="I955" s="183"/>
      <c r="J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</row>
    <row r="956" spans="2:26">
      <c r="B956" s="191"/>
      <c r="D956" s="183"/>
      <c r="I956" s="183"/>
      <c r="J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</row>
    <row r="957" spans="2:26">
      <c r="B957" s="191"/>
      <c r="D957" s="183"/>
      <c r="I957" s="183"/>
      <c r="J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</row>
    <row r="958" spans="2:26">
      <c r="B958" s="191"/>
      <c r="D958" s="183"/>
      <c r="I958" s="183"/>
      <c r="J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</row>
    <row r="959" spans="2:26">
      <c r="B959" s="191"/>
      <c r="D959" s="183"/>
      <c r="I959" s="183"/>
      <c r="J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</row>
    <row r="960" spans="2:26">
      <c r="B960" s="191"/>
      <c r="D960" s="183"/>
      <c r="I960" s="183"/>
      <c r="J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</row>
    <row r="961" spans="2:26">
      <c r="B961" s="191"/>
      <c r="D961" s="183"/>
      <c r="I961" s="183"/>
      <c r="J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</row>
    <row r="962" spans="2:26">
      <c r="B962" s="191"/>
      <c r="D962" s="183"/>
      <c r="I962" s="183"/>
      <c r="J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</row>
    <row r="963" spans="2:26">
      <c r="B963" s="191"/>
      <c r="D963" s="183"/>
      <c r="I963" s="183"/>
      <c r="J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</row>
    <row r="964" spans="2:26">
      <c r="B964" s="191"/>
      <c r="D964" s="183"/>
      <c r="I964" s="183"/>
      <c r="J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</row>
    <row r="965" spans="2:26">
      <c r="B965" s="191"/>
      <c r="D965" s="183"/>
      <c r="I965" s="183"/>
      <c r="J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</row>
    <row r="966" spans="2:26">
      <c r="B966" s="191"/>
      <c r="D966" s="183"/>
      <c r="I966" s="183"/>
      <c r="J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</row>
    <row r="967" spans="2:26">
      <c r="B967" s="191"/>
      <c r="D967" s="183"/>
      <c r="I967" s="183"/>
      <c r="J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</row>
    <row r="968" spans="2:26">
      <c r="B968" s="191"/>
      <c r="D968" s="183"/>
      <c r="I968" s="183"/>
      <c r="J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</row>
    <row r="969" spans="2:26">
      <c r="B969" s="191"/>
      <c r="D969" s="183"/>
      <c r="I969" s="183"/>
      <c r="J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</row>
    <row r="970" spans="2:26">
      <c r="B970" s="191"/>
      <c r="D970" s="183"/>
      <c r="I970" s="183"/>
      <c r="J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</row>
    <row r="971" spans="2:26">
      <c r="B971" s="191"/>
      <c r="D971" s="183"/>
      <c r="I971" s="183"/>
      <c r="J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</row>
    <row r="972" spans="2:26">
      <c r="B972" s="191"/>
      <c r="D972" s="183"/>
      <c r="I972" s="183"/>
      <c r="J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</row>
    <row r="973" spans="2:26">
      <c r="B973" s="191"/>
      <c r="D973" s="183"/>
      <c r="I973" s="183"/>
      <c r="J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</row>
    <row r="974" spans="2:26">
      <c r="B974" s="191"/>
      <c r="D974" s="183"/>
      <c r="I974" s="183"/>
      <c r="J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</row>
    <row r="975" spans="2:26">
      <c r="B975" s="191"/>
      <c r="D975" s="183"/>
      <c r="I975" s="183"/>
      <c r="J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</row>
    <row r="976" spans="2:26">
      <c r="B976" s="191"/>
      <c r="D976" s="183"/>
      <c r="I976" s="183"/>
      <c r="J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</row>
    <row r="977" spans="2:26">
      <c r="B977" s="191"/>
      <c r="D977" s="183"/>
      <c r="I977" s="183"/>
      <c r="J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</row>
    <row r="978" spans="2:26">
      <c r="B978" s="191"/>
      <c r="D978" s="183"/>
      <c r="I978" s="183"/>
      <c r="J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</row>
    <row r="979" spans="2:26">
      <c r="B979" s="191"/>
      <c r="D979" s="183"/>
      <c r="I979" s="183"/>
      <c r="J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</row>
    <row r="980" spans="2:26">
      <c r="B980" s="191"/>
      <c r="D980" s="183"/>
      <c r="I980" s="183"/>
      <c r="J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</row>
    <row r="981" spans="2:26">
      <c r="B981" s="191"/>
      <c r="D981" s="183"/>
      <c r="I981" s="183"/>
      <c r="J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</row>
    <row r="982" spans="2:26">
      <c r="B982" s="191"/>
      <c r="D982" s="183"/>
      <c r="I982" s="183"/>
      <c r="J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</row>
    <row r="983" spans="2:26">
      <c r="B983" s="191"/>
      <c r="D983" s="183"/>
      <c r="I983" s="183"/>
      <c r="J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</row>
    <row r="984" spans="2:26">
      <c r="B984" s="191"/>
      <c r="D984" s="183"/>
      <c r="I984" s="183"/>
      <c r="J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</row>
    <row r="985" spans="2:26">
      <c r="B985" s="191"/>
      <c r="D985" s="183"/>
      <c r="I985" s="183"/>
      <c r="J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</row>
    <row r="986" spans="2:26">
      <c r="B986" s="191"/>
      <c r="D986" s="183"/>
      <c r="I986" s="183"/>
      <c r="J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</row>
    <row r="987" spans="2:26">
      <c r="B987" s="191"/>
      <c r="D987" s="183"/>
      <c r="I987" s="183"/>
      <c r="J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</row>
    <row r="988" spans="2:26">
      <c r="B988" s="191"/>
      <c r="D988" s="183"/>
      <c r="I988" s="183"/>
      <c r="J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</row>
    <row r="989" spans="2:26">
      <c r="B989" s="191"/>
      <c r="D989" s="183"/>
      <c r="I989" s="183"/>
      <c r="J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</row>
    <row r="990" spans="2:26">
      <c r="B990" s="191"/>
      <c r="D990" s="183"/>
      <c r="I990" s="183"/>
      <c r="J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</row>
    <row r="991" spans="2:26">
      <c r="B991" s="191"/>
      <c r="D991" s="183"/>
      <c r="I991" s="183"/>
      <c r="J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</row>
    <row r="992" spans="2:26">
      <c r="B992" s="191"/>
      <c r="D992" s="183"/>
      <c r="I992" s="183"/>
      <c r="J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</row>
    <row r="993" spans="2:26">
      <c r="B993" s="191"/>
      <c r="D993" s="183"/>
      <c r="I993" s="183"/>
      <c r="J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</row>
    <row r="994" spans="2:26">
      <c r="B994" s="191"/>
      <c r="D994" s="183"/>
      <c r="I994" s="183"/>
      <c r="J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</row>
    <row r="995" spans="2:26">
      <c r="B995" s="191"/>
      <c r="D995" s="183"/>
      <c r="I995" s="183"/>
      <c r="J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</row>
    <row r="996" spans="2:26">
      <c r="B996" s="191"/>
      <c r="D996" s="183"/>
      <c r="I996" s="183"/>
      <c r="J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</row>
    <row r="997" spans="2:26">
      <c r="B997" s="191"/>
      <c r="D997" s="183"/>
      <c r="I997" s="183"/>
      <c r="J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</row>
    <row r="998" spans="2:26">
      <c r="B998" s="191"/>
      <c r="D998" s="183"/>
      <c r="I998" s="183"/>
      <c r="J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</row>
    <row r="999" spans="2:26">
      <c r="B999" s="191"/>
      <c r="D999" s="183"/>
      <c r="I999" s="183"/>
      <c r="J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</row>
    <row r="1000" spans="2:26">
      <c r="B1000" s="191"/>
      <c r="D1000" s="183"/>
      <c r="I1000" s="183"/>
      <c r="J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</row>
    <row r="1001" spans="2:26">
      <c r="B1001" s="191"/>
      <c r="D1001" s="183"/>
      <c r="I1001" s="183"/>
      <c r="J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</row>
    <row r="1002" spans="2:26">
      <c r="B1002" s="191"/>
      <c r="D1002" s="183"/>
      <c r="I1002" s="183"/>
      <c r="J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</row>
    <row r="1003" spans="2:26">
      <c r="B1003" s="191"/>
      <c r="D1003" s="183"/>
      <c r="I1003" s="183"/>
      <c r="J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</row>
    <row r="1004" spans="2:26">
      <c r="B1004" s="191"/>
      <c r="D1004" s="183"/>
      <c r="I1004" s="183"/>
      <c r="J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</row>
    <row r="1005" spans="2:26">
      <c r="B1005" s="191"/>
      <c r="D1005" s="183"/>
      <c r="I1005" s="183"/>
      <c r="J1005" s="183"/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</row>
    <row r="1006" spans="2:26">
      <c r="B1006" s="191"/>
      <c r="D1006" s="183"/>
      <c r="I1006" s="183"/>
      <c r="J1006" s="183"/>
      <c r="L1006" s="183"/>
      <c r="M1006" s="183"/>
      <c r="N1006" s="183"/>
      <c r="O1006" s="183"/>
      <c r="P1006" s="183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</row>
    <row r="1007" spans="2:26">
      <c r="B1007" s="191"/>
      <c r="D1007" s="183"/>
      <c r="I1007" s="183"/>
      <c r="J1007" s="183"/>
      <c r="L1007" s="183"/>
      <c r="M1007" s="183"/>
      <c r="N1007" s="183"/>
      <c r="O1007" s="183"/>
      <c r="P1007" s="183"/>
      <c r="Q1007" s="183"/>
      <c r="R1007" s="183"/>
      <c r="S1007" s="183"/>
      <c r="T1007" s="183"/>
      <c r="U1007" s="183"/>
      <c r="V1007" s="183"/>
      <c r="W1007" s="183"/>
      <c r="X1007" s="183"/>
      <c r="Y1007" s="183"/>
      <c r="Z1007" s="183"/>
    </row>
    <row r="1008" spans="2:26">
      <c r="B1008" s="191"/>
      <c r="D1008" s="183"/>
      <c r="I1008" s="183"/>
      <c r="J1008" s="183"/>
      <c r="L1008" s="183"/>
      <c r="M1008" s="183"/>
      <c r="N1008" s="183"/>
      <c r="O1008" s="183"/>
      <c r="P1008" s="183"/>
      <c r="Q1008" s="183"/>
      <c r="R1008" s="183"/>
      <c r="S1008" s="183"/>
      <c r="T1008" s="183"/>
      <c r="U1008" s="183"/>
      <c r="V1008" s="183"/>
      <c r="W1008" s="183"/>
      <c r="X1008" s="183"/>
      <c r="Y1008" s="183"/>
      <c r="Z1008" s="183"/>
    </row>
    <row r="1009" spans="2:26">
      <c r="B1009" s="191"/>
      <c r="D1009" s="183"/>
      <c r="I1009" s="183"/>
      <c r="J1009" s="183"/>
      <c r="L1009" s="183"/>
      <c r="M1009" s="183"/>
      <c r="N1009" s="183"/>
      <c r="O1009" s="183"/>
      <c r="P1009" s="183"/>
      <c r="Q1009" s="183"/>
      <c r="R1009" s="183"/>
      <c r="S1009" s="183"/>
      <c r="T1009" s="183"/>
      <c r="U1009" s="183"/>
      <c r="V1009" s="183"/>
      <c r="W1009" s="183"/>
      <c r="X1009" s="183"/>
      <c r="Y1009" s="183"/>
      <c r="Z1009" s="183"/>
    </row>
    <row r="1010" spans="2:26">
      <c r="B1010" s="191"/>
      <c r="D1010" s="183"/>
      <c r="I1010" s="183"/>
      <c r="J1010" s="183"/>
      <c r="L1010" s="183"/>
      <c r="M1010" s="183"/>
      <c r="N1010" s="183"/>
      <c r="O1010" s="183"/>
      <c r="P1010" s="183"/>
      <c r="Q1010" s="183"/>
      <c r="R1010" s="183"/>
      <c r="S1010" s="183"/>
      <c r="T1010" s="183"/>
      <c r="U1010" s="183"/>
      <c r="V1010" s="183"/>
      <c r="W1010" s="183"/>
      <c r="X1010" s="183"/>
      <c r="Y1010" s="183"/>
      <c r="Z1010" s="183"/>
    </row>
    <row r="1011" spans="2:26">
      <c r="B1011" s="191"/>
      <c r="D1011" s="183"/>
      <c r="I1011" s="183"/>
      <c r="J1011" s="183"/>
      <c r="L1011" s="183"/>
      <c r="M1011" s="183"/>
      <c r="N1011" s="183"/>
      <c r="O1011" s="183"/>
      <c r="P1011" s="183"/>
      <c r="Q1011" s="183"/>
      <c r="R1011" s="183"/>
      <c r="S1011" s="183"/>
      <c r="T1011" s="183"/>
      <c r="U1011" s="183"/>
      <c r="V1011" s="183"/>
      <c r="W1011" s="183"/>
      <c r="X1011" s="183"/>
      <c r="Y1011" s="183"/>
      <c r="Z1011" s="183"/>
    </row>
    <row r="1012" spans="2:26">
      <c r="B1012" s="191"/>
      <c r="D1012" s="183"/>
      <c r="I1012" s="183"/>
      <c r="J1012" s="183"/>
      <c r="L1012" s="183"/>
      <c r="M1012" s="183"/>
      <c r="N1012" s="183"/>
      <c r="O1012" s="183"/>
      <c r="P1012" s="183"/>
      <c r="Q1012" s="183"/>
      <c r="R1012" s="183"/>
      <c r="S1012" s="183"/>
      <c r="T1012" s="183"/>
      <c r="U1012" s="183"/>
      <c r="V1012" s="183"/>
      <c r="W1012" s="183"/>
      <c r="X1012" s="183"/>
      <c r="Y1012" s="183"/>
      <c r="Z1012" s="183"/>
    </row>
    <row r="1013" spans="2:26">
      <c r="B1013" s="191"/>
      <c r="D1013" s="183"/>
      <c r="I1013" s="183"/>
      <c r="J1013" s="183"/>
      <c r="L1013" s="183"/>
      <c r="M1013" s="183"/>
      <c r="N1013" s="183"/>
      <c r="O1013" s="183"/>
      <c r="P1013" s="183"/>
      <c r="Q1013" s="183"/>
      <c r="R1013" s="183"/>
      <c r="S1013" s="183"/>
      <c r="T1013" s="183"/>
      <c r="U1013" s="183"/>
      <c r="V1013" s="183"/>
      <c r="W1013" s="183"/>
      <c r="X1013" s="183"/>
      <c r="Y1013" s="183"/>
      <c r="Z1013" s="183"/>
    </row>
    <row r="1014" spans="2:26">
      <c r="B1014" s="191"/>
      <c r="D1014" s="183"/>
      <c r="I1014" s="183"/>
      <c r="J1014" s="183"/>
      <c r="L1014" s="183"/>
      <c r="M1014" s="183"/>
      <c r="N1014" s="183"/>
      <c r="O1014" s="183"/>
      <c r="P1014" s="183"/>
      <c r="Q1014" s="183"/>
      <c r="R1014" s="183"/>
      <c r="S1014" s="183"/>
      <c r="T1014" s="183"/>
      <c r="U1014" s="183"/>
      <c r="V1014" s="183"/>
      <c r="W1014" s="183"/>
      <c r="X1014" s="183"/>
      <c r="Y1014" s="183"/>
      <c r="Z1014" s="183"/>
    </row>
    <row r="1015" spans="2:26">
      <c r="B1015" s="191"/>
      <c r="D1015" s="183"/>
      <c r="I1015" s="183"/>
      <c r="J1015" s="183"/>
      <c r="L1015" s="183"/>
      <c r="M1015" s="183"/>
      <c r="N1015" s="183"/>
      <c r="O1015" s="183"/>
      <c r="P1015" s="183"/>
      <c r="Q1015" s="183"/>
      <c r="R1015" s="183"/>
      <c r="S1015" s="183"/>
      <c r="T1015" s="183"/>
      <c r="U1015" s="183"/>
      <c r="V1015" s="183"/>
      <c r="W1015" s="183"/>
      <c r="X1015" s="183"/>
      <c r="Y1015" s="183"/>
      <c r="Z1015" s="183"/>
    </row>
    <row r="1016" spans="2:26">
      <c r="B1016" s="191"/>
      <c r="D1016" s="183"/>
      <c r="I1016" s="183"/>
      <c r="J1016" s="183"/>
      <c r="L1016" s="183"/>
      <c r="M1016" s="183"/>
      <c r="N1016" s="183"/>
      <c r="O1016" s="183"/>
      <c r="P1016" s="183"/>
      <c r="Q1016" s="183"/>
      <c r="R1016" s="183"/>
      <c r="S1016" s="183"/>
      <c r="T1016" s="183"/>
      <c r="U1016" s="183"/>
      <c r="V1016" s="183"/>
      <c r="W1016" s="183"/>
      <c r="X1016" s="183"/>
      <c r="Y1016" s="183"/>
      <c r="Z1016" s="183"/>
    </row>
    <row r="1017" spans="2:26">
      <c r="B1017" s="191"/>
      <c r="D1017" s="183"/>
      <c r="I1017" s="183"/>
      <c r="J1017" s="183"/>
      <c r="L1017" s="183"/>
      <c r="M1017" s="183"/>
      <c r="N1017" s="183"/>
      <c r="O1017" s="183"/>
      <c r="P1017" s="183"/>
      <c r="Q1017" s="183"/>
      <c r="R1017" s="183"/>
      <c r="S1017" s="183"/>
      <c r="T1017" s="183"/>
      <c r="U1017" s="183"/>
      <c r="V1017" s="183"/>
      <c r="W1017" s="183"/>
      <c r="X1017" s="183"/>
      <c r="Y1017" s="183"/>
      <c r="Z1017" s="183"/>
    </row>
    <row r="1018" spans="2:26">
      <c r="B1018" s="191"/>
      <c r="D1018" s="183"/>
      <c r="I1018" s="183"/>
      <c r="J1018" s="183"/>
      <c r="L1018" s="183"/>
      <c r="M1018" s="183"/>
      <c r="N1018" s="183"/>
      <c r="O1018" s="183"/>
      <c r="P1018" s="183"/>
      <c r="Q1018" s="183"/>
      <c r="R1018" s="183"/>
      <c r="S1018" s="183"/>
      <c r="T1018" s="183"/>
      <c r="U1018" s="183"/>
      <c r="V1018" s="183"/>
      <c r="W1018" s="183"/>
      <c r="X1018" s="183"/>
      <c r="Y1018" s="183"/>
      <c r="Z1018" s="183"/>
    </row>
    <row r="1019" spans="2:26">
      <c r="B1019" s="191"/>
      <c r="D1019" s="183"/>
      <c r="I1019" s="183"/>
      <c r="J1019" s="183"/>
      <c r="L1019" s="183"/>
      <c r="M1019" s="183"/>
      <c r="N1019" s="183"/>
      <c r="O1019" s="183"/>
      <c r="P1019" s="183"/>
      <c r="Q1019" s="183"/>
      <c r="R1019" s="183"/>
      <c r="S1019" s="183"/>
      <c r="T1019" s="183"/>
      <c r="U1019" s="183"/>
      <c r="V1019" s="183"/>
      <c r="W1019" s="183"/>
      <c r="X1019" s="183"/>
      <c r="Y1019" s="183"/>
      <c r="Z1019" s="183"/>
    </row>
    <row r="1020" spans="2:26">
      <c r="B1020" s="191"/>
      <c r="D1020" s="183"/>
      <c r="I1020" s="183"/>
      <c r="J1020" s="183"/>
      <c r="L1020" s="183"/>
      <c r="M1020" s="183"/>
      <c r="N1020" s="183"/>
      <c r="O1020" s="183"/>
      <c r="P1020" s="183"/>
      <c r="Q1020" s="183"/>
      <c r="R1020" s="183"/>
      <c r="S1020" s="183"/>
      <c r="T1020" s="183"/>
      <c r="U1020" s="183"/>
      <c r="V1020" s="183"/>
      <c r="W1020" s="183"/>
      <c r="X1020" s="183"/>
      <c r="Y1020" s="183"/>
      <c r="Z1020" s="183"/>
    </row>
    <row r="1021" spans="2:26">
      <c r="B1021" s="191"/>
      <c r="D1021" s="183"/>
      <c r="I1021" s="183"/>
      <c r="J1021" s="183"/>
      <c r="L1021" s="183"/>
      <c r="M1021" s="183"/>
      <c r="N1021" s="183"/>
      <c r="O1021" s="183"/>
      <c r="P1021" s="183"/>
      <c r="Q1021" s="183"/>
      <c r="R1021" s="183"/>
      <c r="S1021" s="183"/>
      <c r="T1021" s="183"/>
      <c r="U1021" s="183"/>
      <c r="V1021" s="183"/>
      <c r="W1021" s="183"/>
      <c r="X1021" s="183"/>
      <c r="Y1021" s="183"/>
      <c r="Z1021" s="183"/>
    </row>
    <row r="1022" spans="2:26">
      <c r="B1022" s="191"/>
      <c r="D1022" s="183"/>
      <c r="I1022" s="183"/>
      <c r="J1022" s="183"/>
      <c r="L1022" s="183"/>
      <c r="M1022" s="183"/>
      <c r="N1022" s="183"/>
      <c r="O1022" s="183"/>
      <c r="P1022" s="183"/>
      <c r="Q1022" s="183"/>
      <c r="R1022" s="183"/>
      <c r="S1022" s="183"/>
      <c r="T1022" s="183"/>
      <c r="U1022" s="183"/>
      <c r="V1022" s="183"/>
      <c r="W1022" s="183"/>
      <c r="X1022" s="183"/>
      <c r="Y1022" s="183"/>
      <c r="Z1022" s="183"/>
    </row>
    <row r="1023" spans="2:26">
      <c r="B1023" s="191"/>
      <c r="D1023" s="183"/>
      <c r="I1023" s="183"/>
      <c r="J1023" s="183"/>
      <c r="L1023" s="183"/>
      <c r="M1023" s="183"/>
      <c r="N1023" s="183"/>
      <c r="O1023" s="183"/>
      <c r="P1023" s="183"/>
      <c r="Q1023" s="183"/>
      <c r="R1023" s="183"/>
      <c r="S1023" s="183"/>
      <c r="T1023" s="183"/>
      <c r="U1023" s="183"/>
      <c r="V1023" s="183"/>
      <c r="W1023" s="183"/>
      <c r="X1023" s="183"/>
      <c r="Y1023" s="183"/>
      <c r="Z1023" s="183"/>
    </row>
    <row r="1024" spans="2:26">
      <c r="B1024" s="191"/>
      <c r="D1024" s="183"/>
      <c r="I1024" s="183"/>
      <c r="J1024" s="183"/>
      <c r="L1024" s="183"/>
      <c r="M1024" s="183"/>
      <c r="N1024" s="183"/>
      <c r="O1024" s="183"/>
      <c r="P1024" s="183"/>
      <c r="Q1024" s="183"/>
      <c r="R1024" s="183"/>
      <c r="S1024" s="183"/>
      <c r="T1024" s="183"/>
      <c r="U1024" s="183"/>
      <c r="V1024" s="183"/>
      <c r="W1024" s="183"/>
      <c r="X1024" s="183"/>
      <c r="Y1024" s="183"/>
      <c r="Z1024" s="183"/>
    </row>
    <row r="1025" spans="2:26">
      <c r="B1025" s="191"/>
      <c r="D1025" s="183"/>
      <c r="I1025" s="183"/>
      <c r="J1025" s="183"/>
      <c r="L1025" s="183"/>
      <c r="M1025" s="183"/>
      <c r="N1025" s="183"/>
      <c r="O1025" s="183"/>
      <c r="P1025" s="183"/>
      <c r="Q1025" s="183"/>
      <c r="R1025" s="183"/>
      <c r="S1025" s="183"/>
      <c r="T1025" s="183"/>
      <c r="U1025" s="183"/>
      <c r="V1025" s="183"/>
      <c r="W1025" s="183"/>
      <c r="X1025" s="183"/>
      <c r="Y1025" s="183"/>
      <c r="Z1025" s="183"/>
    </row>
    <row r="1026" spans="2:26">
      <c r="B1026" s="191"/>
      <c r="D1026" s="183"/>
      <c r="I1026" s="183"/>
      <c r="J1026" s="183"/>
      <c r="L1026" s="183"/>
      <c r="M1026" s="183"/>
      <c r="N1026" s="183"/>
      <c r="O1026" s="183"/>
      <c r="P1026" s="183"/>
      <c r="Q1026" s="183"/>
      <c r="R1026" s="183"/>
      <c r="S1026" s="183"/>
      <c r="T1026" s="183"/>
      <c r="U1026" s="183"/>
      <c r="V1026" s="183"/>
      <c r="W1026" s="183"/>
      <c r="X1026" s="183"/>
      <c r="Y1026" s="183"/>
      <c r="Z1026" s="183"/>
    </row>
    <row r="1027" spans="2:26">
      <c r="B1027" s="191"/>
      <c r="D1027" s="183"/>
      <c r="I1027" s="183"/>
      <c r="J1027" s="183"/>
      <c r="L1027" s="183"/>
      <c r="M1027" s="183"/>
      <c r="N1027" s="183"/>
      <c r="O1027" s="183"/>
      <c r="P1027" s="183"/>
      <c r="Q1027" s="183"/>
      <c r="R1027" s="183"/>
      <c r="S1027" s="183"/>
      <c r="T1027" s="183"/>
      <c r="U1027" s="183"/>
      <c r="V1027" s="183"/>
      <c r="W1027" s="183"/>
      <c r="X1027" s="183"/>
      <c r="Y1027" s="183"/>
      <c r="Z1027" s="183"/>
    </row>
    <row r="1028" spans="2:26">
      <c r="B1028" s="191"/>
      <c r="D1028" s="183"/>
      <c r="I1028" s="183"/>
      <c r="J1028" s="183"/>
      <c r="L1028" s="183"/>
      <c r="M1028" s="183"/>
      <c r="N1028" s="183"/>
      <c r="O1028" s="183"/>
      <c r="P1028" s="183"/>
      <c r="Q1028" s="183"/>
      <c r="R1028" s="183"/>
      <c r="S1028" s="183"/>
      <c r="T1028" s="183"/>
      <c r="U1028" s="183"/>
      <c r="V1028" s="183"/>
      <c r="W1028" s="183"/>
      <c r="X1028" s="183"/>
      <c r="Y1028" s="183"/>
      <c r="Z1028" s="183"/>
    </row>
    <row r="1029" spans="2:26">
      <c r="B1029" s="191"/>
      <c r="D1029" s="183"/>
      <c r="I1029" s="183"/>
      <c r="J1029" s="183"/>
      <c r="L1029" s="183"/>
      <c r="M1029" s="183"/>
      <c r="N1029" s="183"/>
      <c r="O1029" s="183"/>
      <c r="P1029" s="183"/>
      <c r="Q1029" s="183"/>
      <c r="R1029" s="183"/>
      <c r="S1029" s="183"/>
      <c r="T1029" s="183"/>
      <c r="U1029" s="183"/>
      <c r="V1029" s="183"/>
      <c r="W1029" s="183"/>
      <c r="X1029" s="183"/>
      <c r="Y1029" s="183"/>
      <c r="Z1029" s="183"/>
    </row>
    <row r="1030" spans="2:26">
      <c r="B1030" s="191"/>
      <c r="D1030" s="183"/>
      <c r="I1030" s="183"/>
      <c r="J1030" s="183"/>
      <c r="L1030" s="183"/>
      <c r="M1030" s="183"/>
      <c r="N1030" s="183"/>
      <c r="O1030" s="183"/>
      <c r="P1030" s="183"/>
      <c r="Q1030" s="183"/>
      <c r="R1030" s="183"/>
      <c r="S1030" s="183"/>
      <c r="T1030" s="183"/>
      <c r="U1030" s="183"/>
      <c r="V1030" s="183"/>
      <c r="W1030" s="183"/>
      <c r="X1030" s="183"/>
      <c r="Y1030" s="183"/>
      <c r="Z1030" s="183"/>
    </row>
    <row r="1031" spans="2:26">
      <c r="B1031" s="191"/>
      <c r="D1031" s="183"/>
      <c r="I1031" s="183"/>
      <c r="J1031" s="183"/>
      <c r="L1031" s="183"/>
      <c r="M1031" s="183"/>
      <c r="N1031" s="183"/>
      <c r="O1031" s="183"/>
      <c r="P1031" s="183"/>
      <c r="Q1031" s="183"/>
      <c r="R1031" s="183"/>
      <c r="S1031" s="183"/>
      <c r="T1031" s="183"/>
      <c r="U1031" s="183"/>
      <c r="V1031" s="183"/>
      <c r="W1031" s="183"/>
      <c r="X1031" s="183"/>
      <c r="Y1031" s="183"/>
      <c r="Z1031" s="183"/>
    </row>
    <row r="1032" spans="2:26">
      <c r="B1032" s="191"/>
      <c r="D1032" s="183"/>
      <c r="I1032" s="183"/>
      <c r="J1032" s="183"/>
      <c r="L1032" s="183"/>
      <c r="M1032" s="183"/>
      <c r="N1032" s="183"/>
      <c r="O1032" s="183"/>
      <c r="P1032" s="183"/>
      <c r="Q1032" s="183"/>
      <c r="R1032" s="183"/>
      <c r="S1032" s="183"/>
      <c r="T1032" s="183"/>
      <c r="U1032" s="183"/>
      <c r="V1032" s="183"/>
      <c r="W1032" s="183"/>
      <c r="X1032" s="183"/>
      <c r="Y1032" s="183"/>
      <c r="Z1032" s="183"/>
    </row>
    <row r="1033" spans="2:26">
      <c r="B1033" s="191"/>
      <c r="D1033" s="183"/>
      <c r="I1033" s="183"/>
      <c r="J1033" s="183"/>
      <c r="L1033" s="183"/>
      <c r="M1033" s="183"/>
      <c r="N1033" s="183"/>
      <c r="O1033" s="183"/>
      <c r="P1033" s="183"/>
      <c r="Q1033" s="183"/>
      <c r="R1033" s="183"/>
      <c r="S1033" s="183"/>
      <c r="T1033" s="183"/>
      <c r="U1033" s="183"/>
      <c r="V1033" s="183"/>
      <c r="W1033" s="183"/>
      <c r="X1033" s="183"/>
      <c r="Y1033" s="183"/>
      <c r="Z1033" s="183"/>
    </row>
    <row r="1034" spans="2:26">
      <c r="B1034" s="191"/>
      <c r="D1034" s="183"/>
      <c r="I1034" s="183"/>
      <c r="J1034" s="183"/>
      <c r="L1034" s="183"/>
      <c r="M1034" s="183"/>
      <c r="N1034" s="183"/>
      <c r="O1034" s="183"/>
      <c r="P1034" s="183"/>
      <c r="Q1034" s="183"/>
      <c r="R1034" s="183"/>
      <c r="S1034" s="183"/>
      <c r="T1034" s="183"/>
      <c r="U1034" s="183"/>
      <c r="V1034" s="183"/>
      <c r="W1034" s="183"/>
      <c r="X1034" s="183"/>
      <c r="Y1034" s="183"/>
      <c r="Z1034" s="183"/>
    </row>
    <row r="1035" spans="2:26">
      <c r="B1035" s="191"/>
      <c r="D1035" s="183"/>
      <c r="I1035" s="183"/>
      <c r="J1035" s="183"/>
      <c r="L1035" s="183"/>
      <c r="M1035" s="183"/>
      <c r="N1035" s="183"/>
      <c r="O1035" s="183"/>
      <c r="P1035" s="183"/>
      <c r="Q1035" s="183"/>
      <c r="R1035" s="183"/>
      <c r="S1035" s="183"/>
      <c r="T1035" s="183"/>
      <c r="U1035" s="183"/>
      <c r="V1035" s="183"/>
      <c r="W1035" s="183"/>
      <c r="X1035" s="183"/>
      <c r="Y1035" s="183"/>
      <c r="Z1035" s="183"/>
    </row>
    <row r="1036" spans="2:26">
      <c r="B1036" s="191"/>
      <c r="D1036" s="183"/>
      <c r="I1036" s="183"/>
      <c r="J1036" s="183"/>
      <c r="L1036" s="183"/>
      <c r="M1036" s="183"/>
      <c r="N1036" s="183"/>
      <c r="O1036" s="183"/>
      <c r="P1036" s="183"/>
      <c r="Q1036" s="183"/>
      <c r="R1036" s="183"/>
      <c r="S1036" s="183"/>
      <c r="T1036" s="183"/>
      <c r="U1036" s="183"/>
      <c r="V1036" s="183"/>
      <c r="W1036" s="183"/>
      <c r="X1036" s="183"/>
      <c r="Y1036" s="183"/>
      <c r="Z1036" s="183"/>
    </row>
    <row r="1037" spans="2:26">
      <c r="B1037" s="191"/>
      <c r="D1037" s="183"/>
      <c r="I1037" s="183"/>
      <c r="J1037" s="183"/>
      <c r="L1037" s="183"/>
      <c r="M1037" s="183"/>
      <c r="N1037" s="183"/>
      <c r="O1037" s="183"/>
      <c r="P1037" s="183"/>
      <c r="Q1037" s="183"/>
      <c r="R1037" s="183"/>
      <c r="S1037" s="183"/>
      <c r="T1037" s="183"/>
      <c r="U1037" s="183"/>
      <c r="V1037" s="183"/>
      <c r="W1037" s="183"/>
      <c r="X1037" s="183"/>
      <c r="Y1037" s="183"/>
      <c r="Z1037" s="183"/>
    </row>
    <row r="1038" spans="2:26">
      <c r="B1038" s="191"/>
      <c r="D1038" s="183"/>
      <c r="I1038" s="183"/>
      <c r="J1038" s="183"/>
      <c r="L1038" s="183"/>
      <c r="M1038" s="183"/>
      <c r="N1038" s="183"/>
      <c r="O1038" s="183"/>
      <c r="P1038" s="183"/>
      <c r="Q1038" s="183"/>
      <c r="R1038" s="183"/>
      <c r="S1038" s="183"/>
      <c r="T1038" s="183"/>
      <c r="U1038" s="183"/>
      <c r="V1038" s="183"/>
      <c r="W1038" s="183"/>
      <c r="X1038" s="183"/>
      <c r="Y1038" s="183"/>
      <c r="Z1038" s="183"/>
    </row>
    <row r="1039" spans="2:26">
      <c r="B1039" s="191"/>
      <c r="D1039" s="183"/>
      <c r="I1039" s="183"/>
      <c r="J1039" s="183"/>
      <c r="L1039" s="183"/>
      <c r="M1039" s="183"/>
      <c r="N1039" s="183"/>
      <c r="O1039" s="183"/>
      <c r="P1039" s="183"/>
      <c r="Q1039" s="183"/>
      <c r="R1039" s="183"/>
      <c r="S1039" s="183"/>
      <c r="T1039" s="183"/>
      <c r="U1039" s="183"/>
      <c r="V1039" s="183"/>
      <c r="W1039" s="183"/>
      <c r="X1039" s="183"/>
      <c r="Y1039" s="183"/>
      <c r="Z1039" s="183"/>
    </row>
    <row r="1040" spans="2:26">
      <c r="B1040" s="191"/>
      <c r="D1040" s="183"/>
      <c r="I1040" s="183"/>
      <c r="J1040" s="183"/>
      <c r="L1040" s="183"/>
      <c r="M1040" s="183"/>
      <c r="N1040" s="183"/>
      <c r="O1040" s="183"/>
      <c r="P1040" s="183"/>
      <c r="Q1040" s="183"/>
      <c r="R1040" s="183"/>
      <c r="S1040" s="183"/>
      <c r="T1040" s="183"/>
      <c r="U1040" s="183"/>
      <c r="V1040" s="183"/>
      <c r="W1040" s="183"/>
      <c r="X1040" s="183"/>
      <c r="Y1040" s="183"/>
      <c r="Z1040" s="183"/>
    </row>
    <row r="1041" spans="2:26">
      <c r="B1041" s="191"/>
      <c r="D1041" s="183"/>
      <c r="I1041" s="183"/>
      <c r="J1041" s="183"/>
      <c r="L1041" s="183"/>
      <c r="M1041" s="183"/>
      <c r="N1041" s="183"/>
      <c r="O1041" s="183"/>
      <c r="P1041" s="183"/>
      <c r="Q1041" s="183"/>
      <c r="R1041" s="183"/>
      <c r="S1041" s="183"/>
      <c r="T1041" s="183"/>
      <c r="U1041" s="183"/>
      <c r="V1041" s="183"/>
      <c r="W1041" s="183"/>
      <c r="X1041" s="183"/>
      <c r="Y1041" s="183"/>
      <c r="Z1041" s="183"/>
    </row>
    <row r="1042" spans="2:26">
      <c r="B1042" s="191"/>
      <c r="D1042" s="183"/>
      <c r="I1042" s="183"/>
      <c r="J1042" s="183"/>
      <c r="L1042" s="183"/>
      <c r="M1042" s="183"/>
      <c r="N1042" s="183"/>
      <c r="O1042" s="183"/>
      <c r="P1042" s="183"/>
      <c r="Q1042" s="183"/>
      <c r="R1042" s="183"/>
      <c r="S1042" s="183"/>
      <c r="T1042" s="183"/>
      <c r="U1042" s="183"/>
      <c r="V1042" s="183"/>
      <c r="W1042" s="183"/>
      <c r="X1042" s="183"/>
      <c r="Y1042" s="183"/>
      <c r="Z1042" s="183"/>
    </row>
    <row r="1043" spans="2:26">
      <c r="B1043" s="191"/>
      <c r="D1043" s="183"/>
      <c r="I1043" s="183"/>
      <c r="J1043" s="183"/>
      <c r="L1043" s="183"/>
      <c r="M1043" s="183"/>
      <c r="N1043" s="183"/>
      <c r="O1043" s="183"/>
      <c r="P1043" s="183"/>
      <c r="Q1043" s="183"/>
      <c r="R1043" s="183"/>
      <c r="S1043" s="183"/>
      <c r="T1043" s="183"/>
      <c r="U1043" s="183"/>
      <c r="V1043" s="183"/>
      <c r="W1043" s="183"/>
      <c r="X1043" s="183"/>
      <c r="Y1043" s="183"/>
      <c r="Z1043" s="183"/>
    </row>
    <row r="1044" spans="2:26">
      <c r="B1044" s="191"/>
      <c r="D1044" s="183"/>
      <c r="I1044" s="183"/>
      <c r="J1044" s="183"/>
      <c r="L1044" s="183"/>
      <c r="M1044" s="183"/>
      <c r="N1044" s="183"/>
      <c r="O1044" s="183"/>
      <c r="P1044" s="183"/>
      <c r="Q1044" s="183"/>
      <c r="R1044" s="183"/>
      <c r="S1044" s="183"/>
      <c r="T1044" s="183"/>
      <c r="U1044" s="183"/>
      <c r="V1044" s="183"/>
      <c r="W1044" s="183"/>
      <c r="X1044" s="183"/>
      <c r="Y1044" s="183"/>
      <c r="Z1044" s="183"/>
    </row>
    <row r="1045" spans="2:26">
      <c r="B1045" s="191"/>
      <c r="D1045" s="183"/>
      <c r="I1045" s="183"/>
      <c r="J1045" s="183"/>
      <c r="L1045" s="183"/>
      <c r="M1045" s="183"/>
      <c r="N1045" s="183"/>
      <c r="O1045" s="183"/>
      <c r="P1045" s="183"/>
      <c r="Q1045" s="183"/>
      <c r="R1045" s="183"/>
      <c r="S1045" s="183"/>
      <c r="T1045" s="183"/>
      <c r="U1045" s="183"/>
      <c r="V1045" s="183"/>
      <c r="W1045" s="183"/>
      <c r="X1045" s="183"/>
      <c r="Y1045" s="183"/>
      <c r="Z1045" s="183"/>
    </row>
    <row r="1046" spans="2:26">
      <c r="B1046" s="191"/>
      <c r="D1046" s="183"/>
      <c r="I1046" s="183"/>
      <c r="J1046" s="183"/>
      <c r="L1046" s="183"/>
      <c r="M1046" s="183"/>
      <c r="N1046" s="183"/>
      <c r="O1046" s="183"/>
      <c r="P1046" s="183"/>
      <c r="Q1046" s="183"/>
      <c r="R1046" s="183"/>
      <c r="S1046" s="183"/>
      <c r="T1046" s="183"/>
      <c r="U1046" s="183"/>
      <c r="V1046" s="183"/>
      <c r="W1046" s="183"/>
      <c r="X1046" s="183"/>
      <c r="Y1046" s="183"/>
      <c r="Z1046" s="183"/>
    </row>
    <row r="1047" spans="2:26">
      <c r="B1047" s="191"/>
      <c r="D1047" s="183"/>
      <c r="I1047" s="183"/>
      <c r="J1047" s="183"/>
      <c r="L1047" s="183"/>
      <c r="M1047" s="183"/>
      <c r="N1047" s="183"/>
      <c r="O1047" s="183"/>
      <c r="P1047" s="183"/>
      <c r="Q1047" s="183"/>
      <c r="R1047" s="183"/>
      <c r="S1047" s="183"/>
      <c r="T1047" s="183"/>
      <c r="U1047" s="183"/>
      <c r="V1047" s="183"/>
      <c r="W1047" s="183"/>
      <c r="X1047" s="183"/>
      <c r="Y1047" s="183"/>
      <c r="Z1047" s="183"/>
    </row>
    <row r="1048" spans="2:26">
      <c r="B1048" s="191"/>
      <c r="D1048" s="183"/>
      <c r="I1048" s="183"/>
      <c r="J1048" s="183"/>
      <c r="L1048" s="183"/>
      <c r="M1048" s="183"/>
      <c r="N1048" s="183"/>
      <c r="O1048" s="183"/>
      <c r="P1048" s="183"/>
      <c r="Q1048" s="183"/>
      <c r="R1048" s="183"/>
      <c r="S1048" s="183"/>
      <c r="T1048" s="183"/>
      <c r="U1048" s="183"/>
      <c r="V1048" s="183"/>
      <c r="W1048" s="183"/>
      <c r="X1048" s="183"/>
      <c r="Y1048" s="183"/>
      <c r="Z1048" s="183"/>
    </row>
    <row r="1049" spans="2:26">
      <c r="B1049" s="191"/>
      <c r="D1049" s="183"/>
      <c r="I1049" s="183"/>
      <c r="J1049" s="183"/>
      <c r="L1049" s="183"/>
      <c r="M1049" s="183"/>
      <c r="N1049" s="183"/>
      <c r="O1049" s="183"/>
      <c r="P1049" s="183"/>
      <c r="Q1049" s="183"/>
      <c r="R1049" s="183"/>
      <c r="S1049" s="183"/>
      <c r="T1049" s="183"/>
      <c r="U1049" s="183"/>
      <c r="V1049" s="183"/>
      <c r="W1049" s="183"/>
      <c r="X1049" s="183"/>
      <c r="Y1049" s="183"/>
      <c r="Z1049" s="183"/>
    </row>
    <row r="1050" spans="2:26">
      <c r="B1050" s="191"/>
      <c r="D1050" s="183"/>
      <c r="I1050" s="183"/>
      <c r="J1050" s="183"/>
      <c r="L1050" s="183"/>
      <c r="M1050" s="183"/>
      <c r="N1050" s="183"/>
      <c r="O1050" s="183"/>
      <c r="P1050" s="183"/>
      <c r="Q1050" s="183"/>
      <c r="R1050" s="183"/>
      <c r="S1050" s="183"/>
      <c r="T1050" s="183"/>
      <c r="U1050" s="183"/>
      <c r="V1050" s="183"/>
      <c r="W1050" s="183"/>
      <c r="X1050" s="183"/>
      <c r="Y1050" s="183"/>
      <c r="Z1050" s="183"/>
    </row>
    <row r="1051" spans="2:26">
      <c r="B1051" s="191"/>
      <c r="D1051" s="183"/>
      <c r="I1051" s="183"/>
      <c r="J1051" s="183"/>
      <c r="L1051" s="183"/>
      <c r="M1051" s="183"/>
      <c r="N1051" s="183"/>
      <c r="O1051" s="183"/>
      <c r="P1051" s="183"/>
      <c r="Q1051" s="183"/>
      <c r="R1051" s="183"/>
      <c r="S1051" s="183"/>
      <c r="T1051" s="183"/>
      <c r="U1051" s="183"/>
      <c r="V1051" s="183"/>
      <c r="W1051" s="183"/>
      <c r="X1051" s="183"/>
      <c r="Y1051" s="183"/>
      <c r="Z1051" s="183"/>
    </row>
    <row r="1052" spans="2:26">
      <c r="B1052" s="191"/>
      <c r="D1052" s="183"/>
      <c r="I1052" s="183"/>
      <c r="J1052" s="183"/>
      <c r="L1052" s="183"/>
      <c r="M1052" s="183"/>
      <c r="N1052" s="183"/>
      <c r="O1052" s="183"/>
      <c r="P1052" s="183"/>
      <c r="Q1052" s="183"/>
      <c r="R1052" s="183"/>
      <c r="S1052" s="183"/>
      <c r="T1052" s="183"/>
      <c r="U1052" s="183"/>
      <c r="V1052" s="183"/>
      <c r="W1052" s="183"/>
      <c r="X1052" s="183"/>
      <c r="Y1052" s="183"/>
      <c r="Z1052" s="183"/>
    </row>
    <row r="1053" spans="2:26">
      <c r="B1053" s="191"/>
      <c r="D1053" s="183"/>
      <c r="I1053" s="183"/>
      <c r="J1053" s="183"/>
      <c r="L1053" s="183"/>
      <c r="M1053" s="183"/>
      <c r="N1053" s="183"/>
      <c r="O1053" s="183"/>
      <c r="P1053" s="183"/>
      <c r="Q1053" s="183"/>
      <c r="R1053" s="183"/>
      <c r="S1053" s="183"/>
      <c r="T1053" s="183"/>
      <c r="U1053" s="183"/>
      <c r="V1053" s="183"/>
      <c r="W1053" s="183"/>
      <c r="X1053" s="183"/>
      <c r="Y1053" s="183"/>
      <c r="Z1053" s="183"/>
    </row>
    <row r="1054" spans="2:26">
      <c r="B1054" s="191"/>
      <c r="D1054" s="183"/>
      <c r="I1054" s="183"/>
      <c r="J1054" s="183"/>
      <c r="L1054" s="183"/>
      <c r="M1054" s="183"/>
      <c r="N1054" s="183"/>
      <c r="O1054" s="183"/>
      <c r="P1054" s="183"/>
      <c r="Q1054" s="183"/>
      <c r="R1054" s="183"/>
      <c r="S1054" s="183"/>
      <c r="T1054" s="183"/>
      <c r="U1054" s="183"/>
      <c r="V1054" s="183"/>
      <c r="W1054" s="183"/>
      <c r="X1054" s="183"/>
      <c r="Y1054" s="183"/>
      <c r="Z1054" s="183"/>
    </row>
    <row r="1055" spans="2:26">
      <c r="B1055" s="191"/>
      <c r="D1055" s="183"/>
      <c r="I1055" s="183"/>
      <c r="J1055" s="183"/>
      <c r="L1055" s="183"/>
      <c r="M1055" s="183"/>
      <c r="N1055" s="183"/>
      <c r="O1055" s="183"/>
      <c r="P1055" s="183"/>
      <c r="Q1055" s="183"/>
      <c r="R1055" s="183"/>
      <c r="S1055" s="183"/>
      <c r="T1055" s="183"/>
      <c r="U1055" s="183"/>
      <c r="V1055" s="183"/>
      <c r="W1055" s="183"/>
      <c r="X1055" s="183"/>
      <c r="Y1055" s="183"/>
      <c r="Z1055" s="183"/>
    </row>
    <row r="1056" spans="2:26">
      <c r="B1056" s="191"/>
      <c r="D1056" s="183"/>
      <c r="I1056" s="183"/>
      <c r="J1056" s="183"/>
      <c r="L1056" s="183"/>
      <c r="M1056" s="183"/>
      <c r="N1056" s="183"/>
      <c r="O1056" s="183"/>
      <c r="P1056" s="183"/>
      <c r="Q1056" s="183"/>
      <c r="R1056" s="183"/>
      <c r="S1056" s="183"/>
      <c r="T1056" s="183"/>
      <c r="U1056" s="183"/>
      <c r="V1056" s="183"/>
      <c r="W1056" s="183"/>
      <c r="X1056" s="183"/>
      <c r="Y1056" s="183"/>
      <c r="Z1056" s="183"/>
    </row>
    <row r="1057" spans="2:26">
      <c r="B1057" s="191"/>
      <c r="D1057" s="183"/>
      <c r="I1057" s="183"/>
      <c r="J1057" s="183"/>
      <c r="L1057" s="183"/>
      <c r="M1057" s="183"/>
      <c r="N1057" s="183"/>
      <c r="O1057" s="183"/>
      <c r="P1057" s="183"/>
      <c r="Q1057" s="183"/>
      <c r="R1057" s="183"/>
      <c r="S1057" s="183"/>
      <c r="T1057" s="183"/>
      <c r="U1057" s="183"/>
      <c r="V1057" s="183"/>
      <c r="W1057" s="183"/>
      <c r="X1057" s="183"/>
      <c r="Y1057" s="183"/>
      <c r="Z1057" s="183"/>
    </row>
    <row r="1058" spans="2:26">
      <c r="B1058" s="191"/>
      <c r="D1058" s="183"/>
      <c r="I1058" s="183"/>
      <c r="J1058" s="183"/>
      <c r="L1058" s="183"/>
      <c r="M1058" s="183"/>
      <c r="N1058" s="183"/>
      <c r="O1058" s="183"/>
      <c r="P1058" s="183"/>
      <c r="Q1058" s="183"/>
      <c r="R1058" s="183"/>
      <c r="S1058" s="183"/>
      <c r="T1058" s="183"/>
      <c r="U1058" s="183"/>
      <c r="V1058" s="183"/>
      <c r="W1058" s="183"/>
      <c r="X1058" s="183"/>
      <c r="Y1058" s="183"/>
      <c r="Z1058" s="183"/>
    </row>
    <row r="1059" spans="2:26">
      <c r="B1059" s="191"/>
      <c r="D1059" s="183"/>
      <c r="I1059" s="183"/>
      <c r="J1059" s="183"/>
      <c r="L1059" s="183"/>
      <c r="M1059" s="183"/>
      <c r="N1059" s="183"/>
      <c r="O1059" s="183"/>
      <c r="P1059" s="183"/>
      <c r="Q1059" s="183"/>
      <c r="R1059" s="183"/>
      <c r="S1059" s="183"/>
      <c r="T1059" s="183"/>
      <c r="U1059" s="183"/>
      <c r="V1059" s="183"/>
      <c r="W1059" s="183"/>
      <c r="X1059" s="183"/>
      <c r="Y1059" s="183"/>
      <c r="Z1059" s="183"/>
    </row>
    <row r="1060" spans="2:26">
      <c r="B1060" s="191"/>
      <c r="D1060" s="183"/>
      <c r="I1060" s="183"/>
      <c r="J1060" s="183"/>
      <c r="L1060" s="183"/>
      <c r="M1060" s="183"/>
      <c r="N1060" s="183"/>
      <c r="O1060" s="183"/>
      <c r="P1060" s="183"/>
      <c r="Q1060" s="183"/>
      <c r="R1060" s="183"/>
      <c r="S1060" s="183"/>
      <c r="T1060" s="183"/>
      <c r="U1060" s="183"/>
      <c r="V1060" s="183"/>
      <c r="W1060" s="183"/>
      <c r="X1060" s="183"/>
      <c r="Y1060" s="183"/>
      <c r="Z1060" s="183"/>
    </row>
    <row r="1061" spans="2:26">
      <c r="B1061" s="191"/>
      <c r="D1061" s="183"/>
      <c r="I1061" s="183"/>
      <c r="J1061" s="183"/>
      <c r="L1061" s="183"/>
      <c r="M1061" s="183"/>
      <c r="N1061" s="183"/>
      <c r="O1061" s="183"/>
      <c r="P1061" s="183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</row>
    <row r="1062" spans="2:26">
      <c r="B1062" s="191"/>
      <c r="D1062" s="183"/>
      <c r="I1062" s="183"/>
      <c r="J1062" s="183"/>
      <c r="L1062" s="183"/>
      <c r="M1062" s="183"/>
      <c r="N1062" s="183"/>
      <c r="O1062" s="183"/>
      <c r="P1062" s="183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</row>
    <row r="1063" spans="2:26">
      <c r="B1063" s="191"/>
      <c r="D1063" s="183"/>
      <c r="I1063" s="183"/>
      <c r="J1063" s="183"/>
      <c r="L1063" s="183"/>
      <c r="M1063" s="183"/>
      <c r="N1063" s="183"/>
      <c r="O1063" s="183"/>
      <c r="P1063" s="183"/>
      <c r="Q1063" s="183"/>
      <c r="R1063" s="183"/>
      <c r="S1063" s="183"/>
      <c r="T1063" s="183"/>
      <c r="U1063" s="183"/>
      <c r="V1063" s="183"/>
      <c r="W1063" s="183"/>
      <c r="X1063" s="183"/>
      <c r="Y1063" s="183"/>
      <c r="Z1063" s="183"/>
    </row>
    <row r="1064" spans="2:26">
      <c r="B1064" s="191"/>
      <c r="D1064" s="183"/>
      <c r="I1064" s="183"/>
      <c r="J1064" s="183"/>
      <c r="L1064" s="183"/>
      <c r="M1064" s="183"/>
      <c r="N1064" s="183"/>
      <c r="O1064" s="183"/>
      <c r="P1064" s="183"/>
      <c r="Q1064" s="183"/>
      <c r="R1064" s="183"/>
      <c r="S1064" s="183"/>
      <c r="T1064" s="183"/>
      <c r="U1064" s="183"/>
      <c r="V1064" s="183"/>
      <c r="W1064" s="183"/>
      <c r="X1064" s="183"/>
      <c r="Y1064" s="183"/>
      <c r="Z1064" s="183"/>
    </row>
    <row r="1065" spans="2:26">
      <c r="B1065" s="191"/>
      <c r="D1065" s="183"/>
      <c r="I1065" s="183"/>
      <c r="J1065" s="183"/>
      <c r="L1065" s="183"/>
      <c r="M1065" s="183"/>
      <c r="N1065" s="183"/>
      <c r="O1065" s="183"/>
      <c r="P1065" s="183"/>
      <c r="Q1065" s="183"/>
      <c r="R1065" s="183"/>
      <c r="S1065" s="183"/>
      <c r="T1065" s="183"/>
      <c r="U1065" s="183"/>
      <c r="V1065" s="183"/>
      <c r="W1065" s="183"/>
      <c r="X1065" s="183"/>
      <c r="Y1065" s="183"/>
      <c r="Z1065" s="183"/>
    </row>
    <row r="1066" spans="2:26">
      <c r="B1066" s="191"/>
      <c r="D1066" s="183"/>
      <c r="I1066" s="183"/>
      <c r="J1066" s="183"/>
      <c r="L1066" s="183"/>
      <c r="M1066" s="183"/>
      <c r="N1066" s="183"/>
      <c r="O1066" s="183"/>
      <c r="P1066" s="183"/>
      <c r="Q1066" s="183"/>
      <c r="R1066" s="183"/>
      <c r="S1066" s="183"/>
      <c r="T1066" s="183"/>
      <c r="U1066" s="183"/>
      <c r="V1066" s="183"/>
      <c r="W1066" s="183"/>
      <c r="X1066" s="183"/>
      <c r="Y1066" s="183"/>
      <c r="Z1066" s="183"/>
    </row>
    <row r="1067" spans="2:26">
      <c r="B1067" s="191"/>
      <c r="D1067" s="183"/>
      <c r="I1067" s="183"/>
      <c r="J1067" s="183"/>
      <c r="L1067" s="183"/>
      <c r="M1067" s="183"/>
      <c r="N1067" s="183"/>
      <c r="O1067" s="183"/>
      <c r="P1067" s="183"/>
      <c r="Q1067" s="183"/>
      <c r="R1067" s="183"/>
      <c r="S1067" s="183"/>
      <c r="T1067" s="183"/>
      <c r="U1067" s="183"/>
      <c r="V1067" s="183"/>
      <c r="W1067" s="183"/>
      <c r="X1067" s="183"/>
      <c r="Y1067" s="183"/>
      <c r="Z1067" s="183"/>
    </row>
    <row r="1068" spans="2:26">
      <c r="B1068" s="191"/>
      <c r="D1068" s="183"/>
      <c r="I1068" s="183"/>
      <c r="J1068" s="183"/>
      <c r="L1068" s="183"/>
      <c r="M1068" s="183"/>
      <c r="N1068" s="183"/>
      <c r="O1068" s="183"/>
      <c r="P1068" s="183"/>
      <c r="Q1068" s="183"/>
      <c r="R1068" s="183"/>
      <c r="S1068" s="183"/>
      <c r="T1068" s="183"/>
      <c r="U1068" s="183"/>
      <c r="V1068" s="183"/>
      <c r="W1068" s="183"/>
      <c r="X1068" s="183"/>
      <c r="Y1068" s="183"/>
      <c r="Z1068" s="183"/>
    </row>
    <row r="1069" spans="2:26">
      <c r="B1069" s="191"/>
      <c r="D1069" s="183"/>
      <c r="I1069" s="183"/>
      <c r="J1069" s="183"/>
      <c r="L1069" s="183"/>
      <c r="M1069" s="183"/>
      <c r="N1069" s="183"/>
      <c r="O1069" s="183"/>
      <c r="P1069" s="183"/>
      <c r="Q1069" s="183"/>
      <c r="R1069" s="183"/>
      <c r="S1069" s="183"/>
      <c r="T1069" s="183"/>
      <c r="U1069" s="183"/>
      <c r="V1069" s="183"/>
      <c r="W1069" s="183"/>
      <c r="X1069" s="183"/>
      <c r="Y1069" s="183"/>
      <c r="Z1069" s="183"/>
    </row>
    <row r="1070" spans="2:26">
      <c r="B1070" s="191"/>
      <c r="D1070" s="183"/>
      <c r="I1070" s="183"/>
      <c r="J1070" s="183"/>
      <c r="L1070" s="183"/>
      <c r="M1070" s="183"/>
      <c r="N1070" s="183"/>
      <c r="O1070" s="183"/>
      <c r="P1070" s="183"/>
      <c r="Q1070" s="183"/>
      <c r="R1070" s="183"/>
      <c r="S1070" s="183"/>
      <c r="T1070" s="183"/>
      <c r="U1070" s="183"/>
      <c r="V1070" s="183"/>
      <c r="W1070" s="183"/>
      <c r="X1070" s="183"/>
      <c r="Y1070" s="183"/>
      <c r="Z1070" s="183"/>
    </row>
    <row r="1071" spans="2:26">
      <c r="B1071" s="191"/>
      <c r="D1071" s="183"/>
      <c r="I1071" s="183"/>
      <c r="J1071" s="183"/>
      <c r="L1071" s="183"/>
      <c r="M1071" s="183"/>
      <c r="N1071" s="183"/>
      <c r="O1071" s="183"/>
      <c r="P1071" s="183"/>
      <c r="Q1071" s="183"/>
      <c r="R1071" s="183"/>
      <c r="S1071" s="183"/>
      <c r="T1071" s="183"/>
      <c r="U1071" s="183"/>
      <c r="V1071" s="183"/>
      <c r="W1071" s="183"/>
      <c r="X1071" s="183"/>
      <c r="Y1071" s="183"/>
      <c r="Z1071" s="183"/>
    </row>
    <row r="1072" spans="2:26">
      <c r="B1072" s="191"/>
      <c r="D1072" s="183"/>
      <c r="I1072" s="183"/>
      <c r="J1072" s="183"/>
      <c r="L1072" s="183"/>
      <c r="M1072" s="183"/>
      <c r="N1072" s="183"/>
      <c r="O1072" s="183"/>
      <c r="P1072" s="183"/>
      <c r="Q1072" s="183"/>
      <c r="R1072" s="183"/>
      <c r="S1072" s="183"/>
      <c r="T1072" s="183"/>
      <c r="U1072" s="183"/>
      <c r="V1072" s="183"/>
      <c r="W1072" s="183"/>
      <c r="X1072" s="183"/>
      <c r="Y1072" s="183"/>
      <c r="Z1072" s="183"/>
    </row>
    <row r="1073" spans="2:26">
      <c r="B1073" s="191"/>
      <c r="D1073" s="183"/>
      <c r="I1073" s="183"/>
      <c r="J1073" s="183"/>
      <c r="L1073" s="183"/>
      <c r="M1073" s="183"/>
      <c r="N1073" s="183"/>
      <c r="O1073" s="183"/>
      <c r="P1073" s="183"/>
      <c r="Q1073" s="183"/>
      <c r="R1073" s="183"/>
      <c r="S1073" s="183"/>
      <c r="T1073" s="183"/>
      <c r="U1073" s="183"/>
      <c r="V1073" s="183"/>
      <c r="W1073" s="183"/>
      <c r="X1073" s="183"/>
      <c r="Y1073" s="183"/>
      <c r="Z1073" s="183"/>
    </row>
    <row r="1074" spans="2:26">
      <c r="B1074" s="191"/>
      <c r="D1074" s="183"/>
      <c r="I1074" s="183"/>
      <c r="J1074" s="183"/>
      <c r="L1074" s="183"/>
      <c r="M1074" s="183"/>
      <c r="N1074" s="183"/>
      <c r="O1074" s="183"/>
      <c r="P1074" s="183"/>
      <c r="Q1074" s="183"/>
      <c r="R1074" s="183"/>
      <c r="S1074" s="183"/>
      <c r="T1074" s="183"/>
      <c r="U1074" s="183"/>
      <c r="V1074" s="183"/>
      <c r="W1074" s="183"/>
      <c r="X1074" s="183"/>
      <c r="Y1074" s="183"/>
      <c r="Z1074" s="183"/>
    </row>
    <row r="1075" spans="2:26">
      <c r="B1075" s="191"/>
      <c r="D1075" s="183"/>
      <c r="I1075" s="183"/>
      <c r="J1075" s="183"/>
      <c r="L1075" s="183"/>
      <c r="M1075" s="183"/>
      <c r="N1075" s="183"/>
      <c r="O1075" s="183"/>
      <c r="P1075" s="183"/>
      <c r="Q1075" s="183"/>
      <c r="R1075" s="183"/>
      <c r="S1075" s="183"/>
      <c r="T1075" s="183"/>
      <c r="U1075" s="183"/>
      <c r="V1075" s="183"/>
      <c r="W1075" s="183"/>
      <c r="X1075" s="183"/>
      <c r="Y1075" s="183"/>
      <c r="Z1075" s="183"/>
    </row>
    <row r="1076" spans="2:26">
      <c r="B1076" s="191"/>
      <c r="D1076" s="183"/>
      <c r="I1076" s="183"/>
      <c r="J1076" s="183"/>
      <c r="L1076" s="183"/>
      <c r="M1076" s="183"/>
      <c r="N1076" s="183"/>
      <c r="O1076" s="183"/>
      <c r="P1076" s="183"/>
      <c r="Q1076" s="183"/>
      <c r="R1076" s="183"/>
      <c r="S1076" s="183"/>
      <c r="T1076" s="183"/>
      <c r="U1076" s="183"/>
      <c r="V1076" s="183"/>
      <c r="W1076" s="183"/>
      <c r="X1076" s="183"/>
      <c r="Y1076" s="183"/>
      <c r="Z1076" s="183"/>
    </row>
    <row r="1077" spans="2:26">
      <c r="B1077" s="191"/>
      <c r="D1077" s="183"/>
      <c r="I1077" s="183"/>
      <c r="J1077" s="183"/>
      <c r="L1077" s="183"/>
      <c r="M1077" s="183"/>
      <c r="N1077" s="183"/>
      <c r="O1077" s="183"/>
      <c r="P1077" s="183"/>
      <c r="Q1077" s="183"/>
      <c r="R1077" s="183"/>
      <c r="S1077" s="183"/>
      <c r="T1077" s="183"/>
      <c r="U1077" s="183"/>
      <c r="V1077" s="183"/>
      <c r="W1077" s="183"/>
      <c r="X1077" s="183"/>
      <c r="Y1077" s="183"/>
      <c r="Z1077" s="183"/>
    </row>
    <row r="1078" spans="2:26">
      <c r="B1078" s="191"/>
      <c r="D1078" s="183"/>
      <c r="I1078" s="183"/>
      <c r="J1078" s="183"/>
      <c r="L1078" s="183"/>
      <c r="M1078" s="183"/>
      <c r="N1078" s="183"/>
      <c r="O1078" s="183"/>
      <c r="P1078" s="183"/>
      <c r="Q1078" s="183"/>
      <c r="R1078" s="183"/>
      <c r="S1078" s="183"/>
      <c r="T1078" s="183"/>
      <c r="U1078" s="183"/>
      <c r="V1078" s="183"/>
      <c r="W1078" s="183"/>
      <c r="X1078" s="183"/>
      <c r="Y1078" s="183"/>
      <c r="Z1078" s="183"/>
    </row>
    <row r="1079" spans="2:26">
      <c r="B1079" s="191"/>
      <c r="D1079" s="183"/>
      <c r="I1079" s="183"/>
      <c r="J1079" s="183"/>
      <c r="L1079" s="183"/>
      <c r="M1079" s="183"/>
      <c r="N1079" s="183"/>
      <c r="O1079" s="183"/>
      <c r="P1079" s="183"/>
      <c r="Q1079" s="183"/>
      <c r="R1079" s="183"/>
      <c r="S1079" s="183"/>
      <c r="T1079" s="183"/>
      <c r="U1079" s="183"/>
      <c r="V1079" s="183"/>
      <c r="W1079" s="183"/>
      <c r="X1079" s="183"/>
      <c r="Y1079" s="183"/>
      <c r="Z1079" s="183"/>
    </row>
    <row r="1080" spans="2:26">
      <c r="B1080" s="191"/>
      <c r="D1080" s="183"/>
      <c r="I1080" s="183"/>
      <c r="J1080" s="183"/>
      <c r="L1080" s="183"/>
      <c r="M1080" s="183"/>
      <c r="N1080" s="183"/>
      <c r="O1080" s="183"/>
      <c r="P1080" s="183"/>
      <c r="Q1080" s="183"/>
      <c r="R1080" s="183"/>
      <c r="S1080" s="183"/>
      <c r="T1080" s="183"/>
      <c r="U1080" s="183"/>
      <c r="V1080" s="183"/>
      <c r="W1080" s="183"/>
      <c r="X1080" s="183"/>
      <c r="Y1080" s="183"/>
      <c r="Z1080" s="183"/>
    </row>
    <row r="1081" spans="2:26">
      <c r="B1081" s="191"/>
      <c r="D1081" s="183"/>
      <c r="I1081" s="183"/>
      <c r="J1081" s="183"/>
      <c r="L1081" s="183"/>
      <c r="M1081" s="183"/>
      <c r="N1081" s="183"/>
      <c r="O1081" s="183"/>
      <c r="P1081" s="183"/>
      <c r="Q1081" s="183"/>
      <c r="R1081" s="183"/>
      <c r="S1081" s="183"/>
      <c r="T1081" s="183"/>
      <c r="U1081" s="183"/>
      <c r="V1081" s="183"/>
      <c r="W1081" s="183"/>
      <c r="X1081" s="183"/>
      <c r="Y1081" s="183"/>
      <c r="Z1081" s="183"/>
    </row>
    <row r="1082" spans="2:26">
      <c r="B1082" s="191"/>
      <c r="D1082" s="183"/>
      <c r="I1082" s="183"/>
      <c r="J1082" s="183"/>
      <c r="L1082" s="183"/>
      <c r="M1082" s="183"/>
      <c r="N1082" s="183"/>
      <c r="O1082" s="183"/>
      <c r="P1082" s="183"/>
      <c r="Q1082" s="183"/>
      <c r="R1082" s="183"/>
      <c r="S1082" s="183"/>
      <c r="T1082" s="183"/>
      <c r="U1082" s="183"/>
      <c r="V1082" s="183"/>
      <c r="W1082" s="183"/>
      <c r="X1082" s="183"/>
      <c r="Y1082" s="183"/>
      <c r="Z1082" s="183"/>
    </row>
    <row r="1083" spans="2:26">
      <c r="B1083" s="191"/>
      <c r="D1083" s="183"/>
      <c r="I1083" s="183"/>
      <c r="J1083" s="183"/>
      <c r="L1083" s="183"/>
      <c r="M1083" s="183"/>
      <c r="N1083" s="183"/>
      <c r="O1083" s="183"/>
      <c r="P1083" s="183"/>
      <c r="Q1083" s="183"/>
      <c r="R1083" s="183"/>
      <c r="S1083" s="183"/>
      <c r="T1083" s="183"/>
      <c r="U1083" s="183"/>
      <c r="V1083" s="183"/>
      <c r="W1083" s="183"/>
      <c r="X1083" s="183"/>
      <c r="Y1083" s="183"/>
      <c r="Z1083" s="183"/>
    </row>
    <row r="1084" spans="2:26">
      <c r="B1084" s="191"/>
      <c r="D1084" s="183"/>
      <c r="I1084" s="183"/>
      <c r="J1084" s="183"/>
      <c r="L1084" s="183"/>
      <c r="M1084" s="183"/>
      <c r="N1084" s="183"/>
      <c r="O1084" s="183"/>
      <c r="P1084" s="183"/>
      <c r="Q1084" s="183"/>
      <c r="R1084" s="183"/>
      <c r="S1084" s="183"/>
      <c r="T1084" s="183"/>
      <c r="U1084" s="183"/>
      <c r="V1084" s="183"/>
      <c r="W1084" s="183"/>
      <c r="X1084" s="183"/>
      <c r="Y1084" s="183"/>
      <c r="Z1084" s="183"/>
    </row>
    <row r="1085" spans="2:26">
      <c r="B1085" s="191"/>
      <c r="D1085" s="183"/>
      <c r="I1085" s="183"/>
      <c r="J1085" s="183"/>
      <c r="L1085" s="183"/>
      <c r="M1085" s="183"/>
      <c r="N1085" s="183"/>
      <c r="O1085" s="183"/>
      <c r="P1085" s="183"/>
      <c r="Q1085" s="183"/>
      <c r="R1085" s="183"/>
      <c r="S1085" s="183"/>
      <c r="T1085" s="183"/>
      <c r="U1085" s="183"/>
      <c r="V1085" s="183"/>
      <c r="W1085" s="183"/>
      <c r="X1085" s="183"/>
      <c r="Y1085" s="183"/>
      <c r="Z1085" s="183"/>
    </row>
    <row r="1086" spans="2:26">
      <c r="B1086" s="191"/>
      <c r="D1086" s="183"/>
      <c r="I1086" s="183"/>
      <c r="J1086" s="183"/>
      <c r="L1086" s="183"/>
      <c r="M1086" s="183"/>
      <c r="N1086" s="183"/>
      <c r="O1086" s="183"/>
      <c r="P1086" s="183"/>
      <c r="Q1086" s="183"/>
      <c r="R1086" s="183"/>
      <c r="S1086" s="183"/>
      <c r="T1086" s="183"/>
      <c r="U1086" s="183"/>
      <c r="V1086" s="183"/>
      <c r="W1086" s="183"/>
      <c r="X1086" s="183"/>
      <c r="Y1086" s="183"/>
      <c r="Z1086" s="183"/>
    </row>
    <row r="1087" spans="2:26">
      <c r="B1087" s="191"/>
      <c r="D1087" s="183"/>
      <c r="I1087" s="183"/>
      <c r="J1087" s="183"/>
      <c r="L1087" s="183"/>
      <c r="M1087" s="183"/>
      <c r="N1087" s="183"/>
      <c r="O1087" s="183"/>
      <c r="P1087" s="183"/>
      <c r="Q1087" s="183"/>
      <c r="R1087" s="183"/>
      <c r="S1087" s="183"/>
      <c r="T1087" s="183"/>
      <c r="U1087" s="183"/>
      <c r="V1087" s="183"/>
      <c r="W1087" s="183"/>
      <c r="X1087" s="183"/>
      <c r="Y1087" s="183"/>
      <c r="Z1087" s="183"/>
    </row>
    <row r="1088" spans="2:26">
      <c r="B1088" s="191"/>
      <c r="D1088" s="183"/>
      <c r="I1088" s="183"/>
      <c r="J1088" s="183"/>
      <c r="L1088" s="183"/>
      <c r="M1088" s="183"/>
      <c r="N1088" s="183"/>
      <c r="O1088" s="183"/>
      <c r="P1088" s="183"/>
      <c r="Q1088" s="183"/>
      <c r="R1088" s="183"/>
      <c r="S1088" s="183"/>
      <c r="T1088" s="183"/>
      <c r="U1088" s="183"/>
      <c r="V1088" s="183"/>
      <c r="W1088" s="183"/>
      <c r="X1088" s="183"/>
      <c r="Y1088" s="183"/>
      <c r="Z1088" s="183"/>
    </row>
    <row r="1089" spans="2:26">
      <c r="B1089" s="191"/>
      <c r="D1089" s="183"/>
      <c r="I1089" s="183"/>
      <c r="J1089" s="183"/>
      <c r="L1089" s="183"/>
      <c r="M1089" s="183"/>
      <c r="N1089" s="183"/>
      <c r="O1089" s="183"/>
      <c r="P1089" s="183"/>
      <c r="Q1089" s="183"/>
      <c r="R1089" s="183"/>
      <c r="S1089" s="183"/>
      <c r="T1089" s="183"/>
      <c r="U1089" s="183"/>
      <c r="V1089" s="183"/>
      <c r="W1089" s="183"/>
      <c r="X1089" s="183"/>
      <c r="Y1089" s="183"/>
      <c r="Z1089" s="183"/>
    </row>
    <row r="1090" spans="2:26">
      <c r="B1090" s="191"/>
      <c r="D1090" s="183"/>
      <c r="I1090" s="183"/>
      <c r="J1090" s="183"/>
      <c r="L1090" s="183"/>
      <c r="M1090" s="183"/>
      <c r="N1090" s="183"/>
      <c r="O1090" s="183"/>
      <c r="P1090" s="183"/>
      <c r="Q1090" s="183"/>
      <c r="R1090" s="183"/>
      <c r="S1090" s="183"/>
      <c r="T1090" s="183"/>
      <c r="U1090" s="183"/>
      <c r="V1090" s="183"/>
      <c r="W1090" s="183"/>
      <c r="X1090" s="183"/>
      <c r="Y1090" s="183"/>
      <c r="Z1090" s="183"/>
    </row>
    <row r="1091" spans="2:26">
      <c r="B1091" s="191"/>
      <c r="D1091" s="183"/>
      <c r="I1091" s="183"/>
      <c r="J1091" s="183"/>
      <c r="L1091" s="183"/>
      <c r="M1091" s="183"/>
      <c r="N1091" s="183"/>
      <c r="O1091" s="183"/>
      <c r="P1091" s="183"/>
      <c r="Q1091" s="183"/>
      <c r="R1091" s="183"/>
      <c r="S1091" s="183"/>
      <c r="T1091" s="183"/>
      <c r="U1091" s="183"/>
      <c r="V1091" s="183"/>
      <c r="W1091" s="183"/>
      <c r="X1091" s="183"/>
      <c r="Y1091" s="183"/>
      <c r="Z1091" s="183"/>
    </row>
    <row r="1092" spans="2:26">
      <c r="B1092" s="191"/>
      <c r="D1092" s="183"/>
      <c r="I1092" s="183"/>
      <c r="J1092" s="183"/>
      <c r="L1092" s="183"/>
      <c r="M1092" s="183"/>
      <c r="N1092" s="183"/>
      <c r="O1092" s="183"/>
      <c r="P1092" s="183"/>
      <c r="Q1092" s="183"/>
      <c r="R1092" s="183"/>
      <c r="S1092" s="183"/>
      <c r="T1092" s="183"/>
      <c r="U1092" s="183"/>
      <c r="V1092" s="183"/>
      <c r="W1092" s="183"/>
      <c r="X1092" s="183"/>
      <c r="Y1092" s="183"/>
      <c r="Z1092" s="183"/>
    </row>
    <row r="1093" spans="2:26">
      <c r="B1093" s="191"/>
      <c r="D1093" s="183"/>
      <c r="I1093" s="183"/>
      <c r="J1093" s="183"/>
      <c r="L1093" s="183"/>
      <c r="M1093" s="183"/>
      <c r="N1093" s="183"/>
      <c r="O1093" s="183"/>
      <c r="P1093" s="183"/>
      <c r="Q1093" s="183"/>
      <c r="R1093" s="183"/>
      <c r="S1093" s="183"/>
      <c r="T1093" s="183"/>
      <c r="U1093" s="183"/>
      <c r="V1093" s="183"/>
      <c r="W1093" s="183"/>
      <c r="X1093" s="183"/>
      <c r="Y1093" s="183"/>
      <c r="Z1093" s="183"/>
    </row>
    <row r="1094" spans="2:26">
      <c r="B1094" s="191"/>
      <c r="D1094" s="183"/>
      <c r="I1094" s="183"/>
      <c r="J1094" s="183"/>
      <c r="L1094" s="183"/>
      <c r="M1094" s="183"/>
      <c r="N1094" s="183"/>
      <c r="O1094" s="183"/>
      <c r="P1094" s="183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</row>
    <row r="1095" spans="2:26">
      <c r="B1095" s="191"/>
      <c r="D1095" s="183"/>
      <c r="I1095" s="183"/>
      <c r="J1095" s="183"/>
      <c r="L1095" s="183"/>
      <c r="M1095" s="183"/>
      <c r="N1095" s="183"/>
      <c r="O1095" s="183"/>
      <c r="P1095" s="183"/>
      <c r="Q1095" s="183"/>
      <c r="R1095" s="183"/>
      <c r="S1095" s="183"/>
      <c r="T1095" s="183"/>
      <c r="U1095" s="183"/>
      <c r="V1095" s="183"/>
      <c r="W1095" s="183"/>
      <c r="X1095" s="183"/>
      <c r="Y1095" s="183"/>
      <c r="Z1095" s="183"/>
    </row>
    <row r="1096" spans="2:26">
      <c r="B1096" s="191"/>
      <c r="D1096" s="183"/>
      <c r="I1096" s="183"/>
      <c r="J1096" s="183"/>
      <c r="L1096" s="183"/>
      <c r="M1096" s="183"/>
      <c r="N1096" s="183"/>
      <c r="O1096" s="183"/>
      <c r="P1096" s="183"/>
      <c r="Q1096" s="183"/>
      <c r="R1096" s="183"/>
      <c r="S1096" s="183"/>
      <c r="T1096" s="183"/>
      <c r="U1096" s="183"/>
      <c r="V1096" s="183"/>
      <c r="W1096" s="183"/>
      <c r="X1096" s="183"/>
      <c r="Y1096" s="183"/>
      <c r="Z1096" s="183"/>
    </row>
    <row r="1097" spans="2:26">
      <c r="B1097" s="191"/>
      <c r="D1097" s="183"/>
      <c r="I1097" s="183"/>
      <c r="J1097" s="183"/>
      <c r="L1097" s="183"/>
      <c r="M1097" s="183"/>
      <c r="N1097" s="183"/>
      <c r="O1097" s="183"/>
      <c r="P1097" s="183"/>
      <c r="Q1097" s="183"/>
      <c r="R1097" s="183"/>
      <c r="S1097" s="183"/>
      <c r="T1097" s="183"/>
      <c r="U1097" s="183"/>
      <c r="V1097" s="183"/>
      <c r="W1097" s="183"/>
      <c r="X1097" s="183"/>
      <c r="Y1097" s="183"/>
      <c r="Z1097" s="183"/>
    </row>
    <row r="1098" spans="2:26">
      <c r="B1098" s="191"/>
      <c r="D1098" s="183"/>
      <c r="I1098" s="183"/>
      <c r="J1098" s="183"/>
      <c r="L1098" s="183"/>
      <c r="M1098" s="183"/>
      <c r="N1098" s="183"/>
      <c r="O1098" s="183"/>
      <c r="P1098" s="183"/>
      <c r="Q1098" s="183"/>
      <c r="R1098" s="183"/>
      <c r="S1098" s="183"/>
      <c r="T1098" s="183"/>
      <c r="U1098" s="183"/>
      <c r="V1098" s="183"/>
      <c r="W1098" s="183"/>
      <c r="X1098" s="183"/>
      <c r="Y1098" s="183"/>
      <c r="Z1098" s="183"/>
    </row>
    <row r="1099" spans="2:26">
      <c r="B1099" s="191"/>
      <c r="D1099" s="183"/>
      <c r="I1099" s="183"/>
      <c r="J1099" s="183"/>
      <c r="L1099" s="183"/>
      <c r="M1099" s="183"/>
      <c r="N1099" s="183"/>
      <c r="O1099" s="183"/>
      <c r="P1099" s="183"/>
      <c r="Q1099" s="183"/>
      <c r="R1099" s="183"/>
      <c r="S1099" s="183"/>
      <c r="T1099" s="183"/>
      <c r="U1099" s="183"/>
      <c r="V1099" s="183"/>
      <c r="W1099" s="183"/>
      <c r="X1099" s="183"/>
      <c r="Y1099" s="183"/>
      <c r="Z1099" s="183"/>
    </row>
    <row r="1100" spans="2:26">
      <c r="B1100" s="191"/>
      <c r="D1100" s="183"/>
      <c r="I1100" s="183"/>
      <c r="J1100" s="183"/>
      <c r="L1100" s="183"/>
      <c r="M1100" s="183"/>
      <c r="N1100" s="183"/>
      <c r="O1100" s="183"/>
      <c r="P1100" s="183"/>
      <c r="Q1100" s="183"/>
      <c r="R1100" s="183"/>
      <c r="S1100" s="183"/>
      <c r="T1100" s="183"/>
      <c r="U1100" s="183"/>
      <c r="V1100" s="183"/>
      <c r="W1100" s="183"/>
      <c r="X1100" s="183"/>
      <c r="Y1100" s="183"/>
      <c r="Z1100" s="183"/>
    </row>
    <row r="1101" spans="2:26">
      <c r="B1101" s="191"/>
      <c r="D1101" s="183"/>
      <c r="I1101" s="183"/>
      <c r="J1101" s="183"/>
      <c r="L1101" s="183"/>
      <c r="M1101" s="183"/>
      <c r="N1101" s="183"/>
      <c r="O1101" s="183"/>
      <c r="P1101" s="183"/>
      <c r="Q1101" s="183"/>
      <c r="R1101" s="183"/>
      <c r="S1101" s="183"/>
      <c r="T1101" s="183"/>
      <c r="U1101" s="183"/>
      <c r="V1101" s="183"/>
      <c r="W1101" s="183"/>
      <c r="X1101" s="183"/>
      <c r="Y1101" s="183"/>
      <c r="Z1101" s="183"/>
    </row>
    <row r="1102" spans="2:26">
      <c r="B1102" s="191"/>
      <c r="D1102" s="183"/>
      <c r="I1102" s="183"/>
      <c r="J1102" s="183"/>
      <c r="L1102" s="183"/>
      <c r="M1102" s="183"/>
      <c r="N1102" s="183"/>
      <c r="O1102" s="183"/>
      <c r="P1102" s="183"/>
      <c r="Q1102" s="183"/>
      <c r="R1102" s="183"/>
      <c r="S1102" s="183"/>
      <c r="T1102" s="183"/>
      <c r="U1102" s="183"/>
      <c r="V1102" s="183"/>
      <c r="W1102" s="183"/>
      <c r="X1102" s="183"/>
      <c r="Y1102" s="183"/>
      <c r="Z1102" s="183"/>
    </row>
    <row r="1103" spans="2:26">
      <c r="B1103" s="191"/>
      <c r="D1103" s="183"/>
      <c r="I1103" s="183"/>
      <c r="J1103" s="183"/>
      <c r="L1103" s="183"/>
      <c r="M1103" s="183"/>
      <c r="N1103" s="183"/>
      <c r="O1103" s="183"/>
      <c r="P1103" s="183"/>
      <c r="Q1103" s="183"/>
      <c r="R1103" s="183"/>
      <c r="S1103" s="183"/>
      <c r="T1103" s="183"/>
      <c r="U1103" s="183"/>
      <c r="V1103" s="183"/>
      <c r="W1103" s="183"/>
      <c r="X1103" s="183"/>
      <c r="Y1103" s="183"/>
      <c r="Z1103" s="183"/>
    </row>
    <row r="1104" spans="2:26">
      <c r="B1104" s="191"/>
      <c r="D1104" s="183"/>
      <c r="I1104" s="183"/>
      <c r="J1104" s="183"/>
      <c r="L1104" s="183"/>
      <c r="M1104" s="183"/>
      <c r="N1104" s="183"/>
      <c r="O1104" s="183"/>
      <c r="P1104" s="183"/>
      <c r="Q1104" s="183"/>
      <c r="R1104" s="183"/>
      <c r="S1104" s="183"/>
      <c r="T1104" s="183"/>
      <c r="U1104" s="183"/>
      <c r="V1104" s="183"/>
      <c r="W1104" s="183"/>
      <c r="X1104" s="183"/>
      <c r="Y1104" s="183"/>
      <c r="Z1104" s="183"/>
    </row>
    <row r="1105" spans="2:26">
      <c r="B1105" s="191"/>
      <c r="D1105" s="183"/>
      <c r="I1105" s="183"/>
      <c r="J1105" s="183"/>
      <c r="L1105" s="183"/>
      <c r="M1105" s="183"/>
      <c r="N1105" s="183"/>
      <c r="O1105" s="183"/>
      <c r="P1105" s="183"/>
      <c r="Q1105" s="183"/>
      <c r="R1105" s="183"/>
      <c r="S1105" s="183"/>
      <c r="T1105" s="183"/>
      <c r="U1105" s="183"/>
      <c r="V1105" s="183"/>
      <c r="W1105" s="183"/>
      <c r="X1105" s="183"/>
      <c r="Y1105" s="183"/>
      <c r="Z1105" s="183"/>
    </row>
    <row r="1106" spans="2:26">
      <c r="B1106" s="191"/>
      <c r="D1106" s="183"/>
      <c r="I1106" s="183"/>
      <c r="J1106" s="183"/>
      <c r="L1106" s="183"/>
      <c r="M1106" s="183"/>
      <c r="N1106" s="183"/>
      <c r="O1106" s="183"/>
      <c r="P1106" s="183"/>
      <c r="Q1106" s="183"/>
      <c r="R1106" s="183"/>
      <c r="S1106" s="183"/>
      <c r="T1106" s="183"/>
      <c r="U1106" s="183"/>
      <c r="V1106" s="183"/>
      <c r="W1106" s="183"/>
      <c r="X1106" s="183"/>
      <c r="Y1106" s="183"/>
      <c r="Z1106" s="183"/>
    </row>
    <row r="1107" spans="2:26">
      <c r="B1107" s="191"/>
      <c r="D1107" s="183"/>
      <c r="I1107" s="183"/>
      <c r="J1107" s="183"/>
      <c r="L1107" s="183"/>
      <c r="M1107" s="183"/>
      <c r="N1107" s="183"/>
      <c r="O1107" s="183"/>
      <c r="P1107" s="183"/>
      <c r="Q1107" s="183"/>
      <c r="R1107" s="183"/>
      <c r="S1107" s="183"/>
      <c r="T1107" s="183"/>
      <c r="U1107" s="183"/>
      <c r="V1107" s="183"/>
      <c r="W1107" s="183"/>
      <c r="X1107" s="183"/>
      <c r="Y1107" s="183"/>
      <c r="Z1107" s="183"/>
    </row>
    <row r="1108" spans="2:26">
      <c r="B1108" s="191"/>
      <c r="D1108" s="183"/>
      <c r="I1108" s="183"/>
      <c r="J1108" s="183"/>
      <c r="L1108" s="183"/>
      <c r="M1108" s="183"/>
      <c r="N1108" s="183"/>
      <c r="O1108" s="183"/>
      <c r="P1108" s="183"/>
      <c r="Q1108" s="183"/>
      <c r="R1108" s="183"/>
      <c r="S1108" s="183"/>
      <c r="T1108" s="183"/>
      <c r="U1108" s="183"/>
      <c r="V1108" s="183"/>
      <c r="W1108" s="183"/>
      <c r="X1108" s="183"/>
      <c r="Y1108" s="183"/>
      <c r="Z1108" s="183"/>
    </row>
    <row r="1109" spans="2:26">
      <c r="B1109" s="191"/>
      <c r="D1109" s="183"/>
      <c r="I1109" s="183"/>
      <c r="J1109" s="183"/>
      <c r="L1109" s="183"/>
      <c r="M1109" s="183"/>
      <c r="N1109" s="183"/>
      <c r="O1109" s="183"/>
      <c r="P1109" s="183"/>
      <c r="Q1109" s="183"/>
      <c r="R1109" s="183"/>
      <c r="S1109" s="183"/>
      <c r="T1109" s="183"/>
      <c r="U1109" s="183"/>
      <c r="V1109" s="183"/>
      <c r="W1109" s="183"/>
      <c r="X1109" s="183"/>
      <c r="Y1109" s="183"/>
      <c r="Z1109" s="183"/>
    </row>
    <row r="1110" spans="2:26">
      <c r="B1110" s="191"/>
      <c r="D1110" s="183"/>
      <c r="I1110" s="183"/>
      <c r="J1110" s="183"/>
      <c r="L1110" s="183"/>
      <c r="M1110" s="183"/>
      <c r="N1110" s="183"/>
      <c r="O1110" s="183"/>
      <c r="P1110" s="183"/>
      <c r="Q1110" s="183"/>
      <c r="R1110" s="183"/>
      <c r="S1110" s="183"/>
      <c r="T1110" s="183"/>
      <c r="U1110" s="183"/>
      <c r="V1110" s="183"/>
      <c r="W1110" s="183"/>
      <c r="X1110" s="183"/>
      <c r="Y1110" s="183"/>
      <c r="Z1110" s="183"/>
    </row>
    <row r="1111" spans="2:26">
      <c r="B1111" s="191"/>
      <c r="D1111" s="183"/>
      <c r="I1111" s="183"/>
      <c r="J1111" s="183"/>
      <c r="L1111" s="183"/>
      <c r="M1111" s="183"/>
      <c r="N1111" s="183"/>
      <c r="O1111" s="183"/>
      <c r="P1111" s="183"/>
      <c r="Q1111" s="183"/>
      <c r="R1111" s="183"/>
      <c r="S1111" s="183"/>
      <c r="T1111" s="183"/>
      <c r="U1111" s="183"/>
      <c r="V1111" s="183"/>
      <c r="W1111" s="183"/>
      <c r="X1111" s="183"/>
      <c r="Y1111" s="183"/>
      <c r="Z1111" s="183"/>
    </row>
    <row r="1112" spans="2:26">
      <c r="B1112" s="191"/>
      <c r="D1112" s="183"/>
      <c r="I1112" s="183"/>
      <c r="J1112" s="183"/>
      <c r="L1112" s="183"/>
      <c r="M1112" s="183"/>
      <c r="N1112" s="183"/>
      <c r="O1112" s="183"/>
      <c r="P1112" s="183"/>
      <c r="Q1112" s="183"/>
      <c r="R1112" s="183"/>
      <c r="S1112" s="183"/>
      <c r="T1112" s="183"/>
      <c r="U1112" s="183"/>
      <c r="V1112" s="183"/>
      <c r="W1112" s="183"/>
      <c r="X1112" s="183"/>
      <c r="Y1112" s="183"/>
      <c r="Z1112" s="183"/>
    </row>
    <row r="1113" spans="2:26">
      <c r="B1113" s="191"/>
      <c r="D1113" s="183"/>
      <c r="I1113" s="183"/>
      <c r="J1113" s="183"/>
      <c r="L1113" s="183"/>
      <c r="M1113" s="183"/>
      <c r="N1113" s="183"/>
      <c r="O1113" s="183"/>
      <c r="P1113" s="183"/>
      <c r="Q1113" s="183"/>
      <c r="R1113" s="183"/>
      <c r="S1113" s="183"/>
      <c r="T1113" s="183"/>
      <c r="U1113" s="183"/>
      <c r="V1113" s="183"/>
      <c r="W1113" s="183"/>
      <c r="X1113" s="183"/>
      <c r="Y1113" s="183"/>
      <c r="Z1113" s="183"/>
    </row>
    <row r="1114" spans="2:26">
      <c r="B1114" s="191"/>
      <c r="D1114" s="183"/>
      <c r="I1114" s="183"/>
      <c r="J1114" s="183"/>
      <c r="L1114" s="183"/>
      <c r="M1114" s="183"/>
      <c r="N1114" s="183"/>
      <c r="O1114" s="183"/>
      <c r="P1114" s="183"/>
      <c r="Q1114" s="183"/>
      <c r="R1114" s="183"/>
      <c r="S1114" s="183"/>
      <c r="T1114" s="183"/>
      <c r="U1114" s="183"/>
      <c r="V1114" s="183"/>
      <c r="W1114" s="183"/>
      <c r="X1114" s="183"/>
      <c r="Y1114" s="183"/>
      <c r="Z1114" s="183"/>
    </row>
    <row r="1115" spans="2:26">
      <c r="B1115" s="191"/>
      <c r="D1115" s="183"/>
      <c r="I1115" s="183"/>
      <c r="J1115" s="183"/>
      <c r="L1115" s="183"/>
      <c r="M1115" s="183"/>
      <c r="N1115" s="183"/>
      <c r="O1115" s="183"/>
      <c r="P1115" s="183"/>
      <c r="Q1115" s="183"/>
      <c r="R1115" s="183"/>
      <c r="S1115" s="183"/>
      <c r="T1115" s="183"/>
      <c r="U1115" s="183"/>
      <c r="V1115" s="183"/>
      <c r="W1115" s="183"/>
      <c r="X1115" s="183"/>
      <c r="Y1115" s="183"/>
      <c r="Z1115" s="183"/>
    </row>
    <row r="1116" spans="2:26">
      <c r="B1116" s="191"/>
      <c r="D1116" s="183"/>
      <c r="I1116" s="183"/>
      <c r="J1116" s="183"/>
      <c r="L1116" s="183"/>
      <c r="M1116" s="183"/>
      <c r="N1116" s="183"/>
      <c r="O1116" s="183"/>
      <c r="P1116" s="183"/>
      <c r="Q1116" s="183"/>
      <c r="R1116" s="183"/>
      <c r="S1116" s="183"/>
      <c r="T1116" s="183"/>
      <c r="U1116" s="183"/>
      <c r="V1116" s="183"/>
      <c r="W1116" s="183"/>
      <c r="X1116" s="183"/>
      <c r="Y1116" s="183"/>
      <c r="Z1116" s="183"/>
    </row>
    <row r="1117" spans="2:26">
      <c r="B1117" s="191"/>
      <c r="D1117" s="183"/>
      <c r="I1117" s="183"/>
      <c r="J1117" s="183"/>
      <c r="L1117" s="183"/>
      <c r="M1117" s="183"/>
      <c r="N1117" s="183"/>
      <c r="O1117" s="183"/>
      <c r="P1117" s="183"/>
      <c r="Q1117" s="183"/>
      <c r="R1117" s="183"/>
      <c r="S1117" s="183"/>
      <c r="T1117" s="183"/>
      <c r="U1117" s="183"/>
      <c r="V1117" s="183"/>
      <c r="W1117" s="183"/>
      <c r="X1117" s="183"/>
      <c r="Y1117" s="183"/>
      <c r="Z1117" s="183"/>
    </row>
    <row r="1118" spans="2:26">
      <c r="B1118" s="191"/>
      <c r="D1118" s="183"/>
      <c r="I1118" s="183"/>
      <c r="J1118" s="183"/>
      <c r="L1118" s="183"/>
      <c r="M1118" s="183"/>
      <c r="N1118" s="183"/>
      <c r="O1118" s="183"/>
      <c r="P1118" s="183"/>
      <c r="Q1118" s="183"/>
      <c r="R1118" s="183"/>
      <c r="S1118" s="183"/>
      <c r="T1118" s="183"/>
      <c r="U1118" s="183"/>
      <c r="V1118" s="183"/>
      <c r="W1118" s="183"/>
      <c r="X1118" s="183"/>
      <c r="Y1118" s="183"/>
      <c r="Z1118" s="183"/>
    </row>
    <row r="1119" spans="2:26">
      <c r="B1119" s="191"/>
      <c r="D1119" s="183"/>
      <c r="I1119" s="183"/>
      <c r="J1119" s="183"/>
      <c r="L1119" s="183"/>
      <c r="M1119" s="183"/>
      <c r="N1119" s="183"/>
      <c r="O1119" s="183"/>
      <c r="P1119" s="183"/>
      <c r="Q1119" s="183"/>
      <c r="R1119" s="183"/>
      <c r="S1119" s="183"/>
      <c r="T1119" s="183"/>
      <c r="U1119" s="183"/>
      <c r="V1119" s="183"/>
      <c r="W1119" s="183"/>
      <c r="X1119" s="183"/>
      <c r="Y1119" s="183"/>
      <c r="Z1119" s="183"/>
    </row>
    <row r="1120" spans="2:26">
      <c r="B1120" s="191"/>
      <c r="D1120" s="183"/>
      <c r="I1120" s="183"/>
      <c r="J1120" s="183"/>
      <c r="L1120" s="183"/>
      <c r="M1120" s="183"/>
      <c r="N1120" s="183"/>
      <c r="O1120" s="183"/>
      <c r="P1120" s="183"/>
      <c r="Q1120" s="183"/>
      <c r="R1120" s="183"/>
      <c r="S1120" s="183"/>
      <c r="T1120" s="183"/>
      <c r="U1120" s="183"/>
      <c r="V1120" s="183"/>
      <c r="W1120" s="183"/>
      <c r="X1120" s="183"/>
      <c r="Y1120" s="183"/>
      <c r="Z1120" s="183"/>
    </row>
    <row r="1121" spans="2:26">
      <c r="B1121" s="191"/>
      <c r="D1121" s="183"/>
      <c r="I1121" s="183"/>
      <c r="J1121" s="183"/>
      <c r="L1121" s="183"/>
      <c r="M1121" s="183"/>
      <c r="N1121" s="183"/>
      <c r="O1121" s="183"/>
      <c r="P1121" s="183"/>
      <c r="Q1121" s="183"/>
      <c r="R1121" s="183"/>
      <c r="S1121" s="183"/>
      <c r="T1121" s="183"/>
      <c r="U1121" s="183"/>
      <c r="V1121" s="183"/>
      <c r="W1121" s="183"/>
      <c r="X1121" s="183"/>
      <c r="Y1121" s="183"/>
      <c r="Z1121" s="183"/>
    </row>
    <row r="1122" spans="2:26">
      <c r="B1122" s="191"/>
      <c r="D1122" s="183"/>
      <c r="I1122" s="183"/>
      <c r="J1122" s="183"/>
      <c r="L1122" s="183"/>
      <c r="M1122" s="183"/>
      <c r="N1122" s="183"/>
      <c r="O1122" s="183"/>
      <c r="P1122" s="183"/>
      <c r="Q1122" s="183"/>
      <c r="R1122" s="183"/>
      <c r="S1122" s="183"/>
      <c r="T1122" s="183"/>
      <c r="U1122" s="183"/>
      <c r="V1122" s="183"/>
      <c r="W1122" s="183"/>
      <c r="X1122" s="183"/>
      <c r="Y1122" s="183"/>
      <c r="Z1122" s="183"/>
    </row>
    <row r="1123" spans="2:26">
      <c r="B1123" s="191"/>
      <c r="D1123" s="183"/>
      <c r="I1123" s="183"/>
      <c r="J1123" s="183"/>
      <c r="L1123" s="183"/>
      <c r="M1123" s="183"/>
      <c r="N1123" s="183"/>
      <c r="O1123" s="183"/>
      <c r="P1123" s="183"/>
      <c r="Q1123" s="183"/>
      <c r="R1123" s="183"/>
      <c r="S1123" s="183"/>
      <c r="T1123" s="183"/>
      <c r="U1123" s="183"/>
      <c r="V1123" s="183"/>
      <c r="W1123" s="183"/>
      <c r="X1123" s="183"/>
      <c r="Y1123" s="183"/>
      <c r="Z1123" s="183"/>
    </row>
    <row r="1124" spans="2:26">
      <c r="B1124" s="191"/>
      <c r="D1124" s="183"/>
      <c r="I1124" s="183"/>
      <c r="J1124" s="183"/>
      <c r="L1124" s="183"/>
      <c r="M1124" s="183"/>
      <c r="N1124" s="183"/>
      <c r="O1124" s="183"/>
      <c r="P1124" s="183"/>
      <c r="Q1124" s="183"/>
      <c r="R1124" s="183"/>
      <c r="S1124" s="183"/>
      <c r="T1124" s="183"/>
      <c r="U1124" s="183"/>
      <c r="V1124" s="183"/>
      <c r="W1124" s="183"/>
      <c r="X1124" s="183"/>
      <c r="Y1124" s="183"/>
      <c r="Z1124" s="183"/>
    </row>
    <row r="1125" spans="2:26">
      <c r="B1125" s="191"/>
      <c r="D1125" s="183"/>
      <c r="I1125" s="183"/>
      <c r="J1125" s="183"/>
      <c r="L1125" s="183"/>
      <c r="M1125" s="183"/>
      <c r="N1125" s="183"/>
      <c r="O1125" s="183"/>
      <c r="P1125" s="183"/>
      <c r="Q1125" s="183"/>
      <c r="R1125" s="183"/>
      <c r="S1125" s="183"/>
      <c r="T1125" s="183"/>
      <c r="U1125" s="183"/>
      <c r="V1125" s="183"/>
      <c r="W1125" s="183"/>
      <c r="X1125" s="183"/>
      <c r="Y1125" s="183"/>
      <c r="Z1125" s="183"/>
    </row>
    <row r="1126" spans="2:26">
      <c r="B1126" s="191"/>
      <c r="D1126" s="183"/>
      <c r="I1126" s="183"/>
      <c r="J1126" s="183"/>
      <c r="L1126" s="183"/>
      <c r="M1126" s="183"/>
      <c r="N1126" s="183"/>
      <c r="O1126" s="183"/>
      <c r="P1126" s="183"/>
      <c r="Q1126" s="183"/>
      <c r="R1126" s="183"/>
      <c r="S1126" s="183"/>
      <c r="T1126" s="183"/>
      <c r="U1126" s="183"/>
      <c r="V1126" s="183"/>
      <c r="W1126" s="183"/>
      <c r="X1126" s="183"/>
      <c r="Y1126" s="183"/>
      <c r="Z1126" s="183"/>
    </row>
    <row r="1127" spans="2:26">
      <c r="B1127" s="191"/>
      <c r="D1127" s="183"/>
      <c r="I1127" s="183"/>
      <c r="J1127" s="183"/>
      <c r="L1127" s="183"/>
      <c r="M1127" s="183"/>
      <c r="N1127" s="183"/>
      <c r="O1127" s="183"/>
      <c r="P1127" s="183"/>
      <c r="Q1127" s="183"/>
      <c r="R1127" s="183"/>
      <c r="S1127" s="183"/>
      <c r="T1127" s="183"/>
      <c r="U1127" s="183"/>
      <c r="V1127" s="183"/>
      <c r="W1127" s="183"/>
      <c r="X1127" s="183"/>
      <c r="Y1127" s="183"/>
      <c r="Z1127" s="183"/>
    </row>
    <row r="1128" spans="2:26">
      <c r="B1128" s="191"/>
      <c r="D1128" s="183"/>
      <c r="I1128" s="183"/>
      <c r="J1128" s="183"/>
      <c r="L1128" s="183"/>
      <c r="M1128" s="183"/>
      <c r="N1128" s="183"/>
      <c r="O1128" s="183"/>
      <c r="P1128" s="183"/>
      <c r="Q1128" s="183"/>
      <c r="R1128" s="183"/>
      <c r="S1128" s="183"/>
      <c r="T1128" s="183"/>
      <c r="U1128" s="183"/>
      <c r="V1128" s="183"/>
      <c r="W1128" s="183"/>
      <c r="X1128" s="183"/>
      <c r="Y1128" s="183"/>
      <c r="Z1128" s="183"/>
    </row>
    <row r="1129" spans="2:26">
      <c r="B1129" s="191"/>
      <c r="D1129" s="183"/>
      <c r="I1129" s="183"/>
      <c r="J1129" s="183"/>
      <c r="L1129" s="183"/>
      <c r="M1129" s="183"/>
      <c r="N1129" s="183"/>
      <c r="O1129" s="183"/>
      <c r="P1129" s="183"/>
      <c r="Q1129" s="183"/>
      <c r="R1129" s="183"/>
      <c r="S1129" s="183"/>
      <c r="T1129" s="183"/>
      <c r="U1129" s="183"/>
      <c r="V1129" s="183"/>
      <c r="W1129" s="183"/>
      <c r="X1129" s="183"/>
      <c r="Y1129" s="183"/>
      <c r="Z1129" s="183"/>
    </row>
    <row r="1130" spans="2:26">
      <c r="B1130" s="191"/>
      <c r="D1130" s="183"/>
      <c r="I1130" s="183"/>
      <c r="J1130" s="183"/>
      <c r="L1130" s="183"/>
      <c r="M1130" s="183"/>
      <c r="N1130" s="183"/>
      <c r="O1130" s="183"/>
      <c r="P1130" s="183"/>
      <c r="Q1130" s="183"/>
      <c r="R1130" s="183"/>
      <c r="S1130" s="183"/>
      <c r="T1130" s="183"/>
      <c r="U1130" s="183"/>
      <c r="V1130" s="183"/>
      <c r="W1130" s="183"/>
      <c r="X1130" s="183"/>
      <c r="Y1130" s="183"/>
      <c r="Z1130" s="183"/>
    </row>
    <row r="1131" spans="2:26">
      <c r="B1131" s="191"/>
      <c r="D1131" s="183"/>
      <c r="I1131" s="183"/>
      <c r="J1131" s="183"/>
      <c r="L1131" s="183"/>
      <c r="M1131" s="183"/>
      <c r="N1131" s="183"/>
      <c r="O1131" s="183"/>
      <c r="P1131" s="183"/>
      <c r="Q1131" s="183"/>
      <c r="R1131" s="183"/>
      <c r="S1131" s="183"/>
      <c r="T1131" s="183"/>
      <c r="U1131" s="183"/>
      <c r="V1131" s="183"/>
      <c r="W1131" s="183"/>
      <c r="X1131" s="183"/>
      <c r="Y1131" s="183"/>
      <c r="Z1131" s="183"/>
    </row>
    <row r="1132" spans="2:26">
      <c r="B1132" s="191"/>
      <c r="D1132" s="183"/>
      <c r="I1132" s="183"/>
      <c r="J1132" s="183"/>
      <c r="L1132" s="183"/>
      <c r="M1132" s="183"/>
      <c r="N1132" s="183"/>
      <c r="O1132" s="183"/>
      <c r="P1132" s="183"/>
      <c r="Q1132" s="183"/>
      <c r="R1132" s="183"/>
      <c r="S1132" s="183"/>
      <c r="T1132" s="183"/>
      <c r="U1132" s="183"/>
      <c r="V1132" s="183"/>
      <c r="W1132" s="183"/>
      <c r="X1132" s="183"/>
      <c r="Y1132" s="183"/>
      <c r="Z1132" s="183"/>
    </row>
    <row r="1133" spans="2:26">
      <c r="B1133" s="191"/>
      <c r="D1133" s="183"/>
      <c r="I1133" s="183"/>
      <c r="J1133" s="183"/>
      <c r="L1133" s="183"/>
      <c r="M1133" s="183"/>
      <c r="N1133" s="183"/>
      <c r="O1133" s="183"/>
      <c r="P1133" s="183"/>
      <c r="Q1133" s="183"/>
      <c r="R1133" s="183"/>
      <c r="S1133" s="183"/>
      <c r="T1133" s="183"/>
      <c r="U1133" s="183"/>
      <c r="V1133" s="183"/>
      <c r="W1133" s="183"/>
      <c r="X1133" s="183"/>
      <c r="Y1133" s="183"/>
      <c r="Z1133" s="183"/>
    </row>
    <row r="1134" spans="2:26">
      <c r="B1134" s="191"/>
      <c r="D1134" s="183"/>
      <c r="I1134" s="183"/>
      <c r="J1134" s="183"/>
      <c r="L1134" s="183"/>
      <c r="M1134" s="183"/>
      <c r="N1134" s="183"/>
      <c r="O1134" s="183"/>
      <c r="P1134" s="183"/>
      <c r="Q1134" s="183"/>
      <c r="R1134" s="183"/>
      <c r="S1134" s="183"/>
      <c r="T1134" s="183"/>
      <c r="U1134" s="183"/>
      <c r="V1134" s="183"/>
      <c r="W1134" s="183"/>
      <c r="X1134" s="183"/>
      <c r="Y1134" s="183"/>
      <c r="Z1134" s="183"/>
    </row>
    <row r="1135" spans="2:26">
      <c r="B1135" s="191"/>
      <c r="D1135" s="183"/>
      <c r="I1135" s="183"/>
      <c r="J1135" s="183"/>
      <c r="L1135" s="183"/>
      <c r="M1135" s="183"/>
      <c r="N1135" s="183"/>
      <c r="O1135" s="183"/>
      <c r="P1135" s="183"/>
      <c r="Q1135" s="183"/>
      <c r="R1135" s="183"/>
      <c r="S1135" s="183"/>
      <c r="T1135" s="183"/>
      <c r="U1135" s="183"/>
      <c r="V1135" s="183"/>
      <c r="W1135" s="183"/>
      <c r="X1135" s="183"/>
      <c r="Y1135" s="183"/>
      <c r="Z1135" s="183"/>
    </row>
    <row r="1136" spans="2:26">
      <c r="B1136" s="191"/>
      <c r="D1136" s="183"/>
      <c r="I1136" s="183"/>
      <c r="J1136" s="183"/>
      <c r="L1136" s="183"/>
      <c r="M1136" s="183"/>
      <c r="N1136" s="183"/>
      <c r="O1136" s="183"/>
      <c r="P1136" s="183"/>
      <c r="Q1136" s="183"/>
      <c r="R1136" s="183"/>
      <c r="S1136" s="183"/>
      <c r="T1136" s="183"/>
      <c r="U1136" s="183"/>
      <c r="V1136" s="183"/>
      <c r="W1136" s="183"/>
      <c r="X1136" s="183"/>
      <c r="Y1136" s="183"/>
      <c r="Z1136" s="183"/>
    </row>
    <row r="1137" spans="2:26">
      <c r="B1137" s="191"/>
      <c r="D1137" s="183"/>
      <c r="I1137" s="183"/>
      <c r="J1137" s="183"/>
      <c r="L1137" s="183"/>
      <c r="M1137" s="183"/>
      <c r="N1137" s="183"/>
      <c r="O1137" s="183"/>
      <c r="P1137" s="183"/>
      <c r="Q1137" s="183"/>
      <c r="R1137" s="183"/>
      <c r="S1137" s="183"/>
      <c r="T1137" s="183"/>
      <c r="U1137" s="183"/>
      <c r="V1137" s="183"/>
      <c r="W1137" s="183"/>
      <c r="X1137" s="183"/>
      <c r="Y1137" s="183"/>
      <c r="Z1137" s="183"/>
    </row>
    <row r="1138" spans="2:26">
      <c r="B1138" s="191"/>
      <c r="D1138" s="183"/>
      <c r="I1138" s="183"/>
      <c r="J1138" s="183"/>
      <c r="L1138" s="183"/>
      <c r="M1138" s="183"/>
      <c r="N1138" s="183"/>
      <c r="O1138" s="183"/>
      <c r="P1138" s="183"/>
      <c r="Q1138" s="183"/>
      <c r="R1138" s="183"/>
      <c r="S1138" s="183"/>
      <c r="T1138" s="183"/>
      <c r="U1138" s="183"/>
      <c r="V1138" s="183"/>
      <c r="W1138" s="183"/>
      <c r="X1138" s="183"/>
      <c r="Y1138" s="183"/>
      <c r="Z1138" s="183"/>
    </row>
    <row r="1139" spans="2:26">
      <c r="B1139" s="191"/>
      <c r="D1139" s="183"/>
      <c r="I1139" s="183"/>
      <c r="J1139" s="183"/>
      <c r="L1139" s="183"/>
      <c r="M1139" s="183"/>
      <c r="N1139" s="183"/>
      <c r="O1139" s="183"/>
      <c r="P1139" s="183"/>
      <c r="Q1139" s="183"/>
      <c r="R1139" s="183"/>
      <c r="S1139" s="183"/>
      <c r="T1139" s="183"/>
      <c r="U1139" s="183"/>
      <c r="V1139" s="183"/>
      <c r="W1139" s="183"/>
      <c r="X1139" s="183"/>
      <c r="Y1139" s="183"/>
      <c r="Z1139" s="183"/>
    </row>
    <row r="1140" spans="2:26">
      <c r="B1140" s="191"/>
      <c r="D1140" s="183"/>
      <c r="I1140" s="183"/>
      <c r="J1140" s="183"/>
      <c r="L1140" s="183"/>
      <c r="M1140" s="183"/>
      <c r="N1140" s="183"/>
      <c r="O1140" s="183"/>
      <c r="P1140" s="183"/>
      <c r="Q1140" s="183"/>
      <c r="R1140" s="183"/>
      <c r="S1140" s="183"/>
      <c r="T1140" s="183"/>
      <c r="U1140" s="183"/>
      <c r="V1140" s="183"/>
      <c r="W1140" s="183"/>
      <c r="X1140" s="183"/>
      <c r="Y1140" s="183"/>
      <c r="Z1140" s="183"/>
    </row>
    <row r="1141" spans="2:26">
      <c r="B1141" s="191"/>
      <c r="D1141" s="183"/>
      <c r="I1141" s="183"/>
      <c r="J1141" s="183"/>
      <c r="L1141" s="183"/>
      <c r="M1141" s="183"/>
      <c r="N1141" s="183"/>
      <c r="O1141" s="183"/>
      <c r="P1141" s="183"/>
      <c r="Q1141" s="183"/>
      <c r="R1141" s="183"/>
      <c r="S1141" s="183"/>
      <c r="T1141" s="183"/>
      <c r="U1141" s="183"/>
      <c r="V1141" s="183"/>
      <c r="W1141" s="183"/>
      <c r="X1141" s="183"/>
      <c r="Y1141" s="183"/>
      <c r="Z1141" s="183"/>
    </row>
    <row r="1142" spans="2:26">
      <c r="B1142" s="191"/>
      <c r="D1142" s="183"/>
      <c r="I1142" s="183"/>
      <c r="J1142" s="183"/>
      <c r="L1142" s="183"/>
      <c r="M1142" s="183"/>
      <c r="N1142" s="183"/>
      <c r="O1142" s="183"/>
      <c r="P1142" s="183"/>
      <c r="Q1142" s="183"/>
      <c r="R1142" s="183"/>
      <c r="S1142" s="183"/>
      <c r="T1142" s="183"/>
      <c r="U1142" s="183"/>
      <c r="V1142" s="183"/>
      <c r="W1142" s="183"/>
      <c r="X1142" s="183"/>
      <c r="Y1142" s="183"/>
      <c r="Z1142" s="183"/>
    </row>
    <row r="1143" spans="2:26">
      <c r="B1143" s="191"/>
      <c r="D1143" s="183"/>
      <c r="I1143" s="183"/>
      <c r="J1143" s="183"/>
      <c r="L1143" s="183"/>
      <c r="M1143" s="183"/>
      <c r="N1143" s="183"/>
      <c r="O1143" s="183"/>
      <c r="P1143" s="183"/>
      <c r="Q1143" s="183"/>
      <c r="R1143" s="183"/>
      <c r="S1143" s="183"/>
      <c r="T1143" s="183"/>
      <c r="U1143" s="183"/>
      <c r="V1143" s="183"/>
      <c r="W1143" s="183"/>
      <c r="X1143" s="183"/>
      <c r="Y1143" s="183"/>
      <c r="Z1143" s="183"/>
    </row>
    <row r="1144" spans="2:26">
      <c r="B1144" s="191"/>
      <c r="D1144" s="183"/>
      <c r="I1144" s="183"/>
      <c r="J1144" s="183"/>
      <c r="L1144" s="183"/>
      <c r="M1144" s="183"/>
      <c r="N1144" s="183"/>
      <c r="O1144" s="183"/>
      <c r="P1144" s="183"/>
      <c r="Q1144" s="183"/>
      <c r="R1144" s="183"/>
      <c r="S1144" s="183"/>
      <c r="T1144" s="183"/>
      <c r="U1144" s="183"/>
      <c r="V1144" s="183"/>
      <c r="W1144" s="183"/>
      <c r="X1144" s="183"/>
      <c r="Y1144" s="183"/>
      <c r="Z1144" s="183"/>
    </row>
    <row r="1145" spans="2:26">
      <c r="B1145" s="191"/>
      <c r="D1145" s="183"/>
      <c r="I1145" s="183"/>
      <c r="J1145" s="183"/>
      <c r="L1145" s="183"/>
      <c r="M1145" s="183"/>
      <c r="N1145" s="183"/>
      <c r="O1145" s="183"/>
      <c r="P1145" s="183"/>
      <c r="Q1145" s="183"/>
      <c r="R1145" s="183"/>
      <c r="S1145" s="183"/>
      <c r="T1145" s="183"/>
      <c r="U1145" s="183"/>
      <c r="V1145" s="183"/>
      <c r="W1145" s="183"/>
      <c r="X1145" s="183"/>
      <c r="Y1145" s="183"/>
      <c r="Z1145" s="183"/>
    </row>
    <row r="1146" spans="2:26">
      <c r="B1146" s="191"/>
      <c r="D1146" s="183"/>
      <c r="I1146" s="183"/>
      <c r="J1146" s="183"/>
      <c r="L1146" s="183"/>
      <c r="M1146" s="183"/>
      <c r="N1146" s="183"/>
      <c r="O1146" s="183"/>
      <c r="P1146" s="183"/>
      <c r="Q1146" s="183"/>
      <c r="R1146" s="183"/>
      <c r="S1146" s="183"/>
      <c r="T1146" s="183"/>
      <c r="U1146" s="183"/>
      <c r="V1146" s="183"/>
      <c r="W1146" s="183"/>
      <c r="X1146" s="183"/>
      <c r="Y1146" s="183"/>
      <c r="Z1146" s="183"/>
    </row>
    <row r="1147" spans="2:26">
      <c r="B1147" s="191"/>
      <c r="D1147" s="183"/>
      <c r="I1147" s="183"/>
      <c r="J1147" s="183"/>
      <c r="L1147" s="183"/>
      <c r="M1147" s="183"/>
      <c r="N1147" s="183"/>
      <c r="O1147" s="183"/>
      <c r="P1147" s="183"/>
      <c r="Q1147" s="183"/>
      <c r="R1147" s="183"/>
      <c r="S1147" s="183"/>
      <c r="T1147" s="183"/>
      <c r="U1147" s="183"/>
      <c r="V1147" s="183"/>
      <c r="W1147" s="183"/>
      <c r="X1147" s="183"/>
      <c r="Y1147" s="183"/>
      <c r="Z1147" s="183"/>
    </row>
    <row r="1148" spans="2:26">
      <c r="B1148" s="191"/>
      <c r="D1148" s="183"/>
      <c r="I1148" s="183"/>
      <c r="J1148" s="183"/>
      <c r="L1148" s="183"/>
      <c r="M1148" s="183"/>
      <c r="N1148" s="183"/>
      <c r="O1148" s="183"/>
      <c r="P1148" s="183"/>
      <c r="Q1148" s="183"/>
      <c r="R1148" s="183"/>
      <c r="S1148" s="183"/>
      <c r="T1148" s="183"/>
      <c r="U1148" s="183"/>
      <c r="V1148" s="183"/>
      <c r="W1148" s="183"/>
      <c r="X1148" s="183"/>
      <c r="Y1148" s="183"/>
      <c r="Z1148" s="183"/>
    </row>
    <row r="1149" spans="2:26">
      <c r="B1149" s="191"/>
      <c r="D1149" s="183"/>
      <c r="I1149" s="183"/>
      <c r="J1149" s="183"/>
      <c r="L1149" s="183"/>
      <c r="M1149" s="183"/>
      <c r="N1149" s="183"/>
      <c r="O1149" s="183"/>
      <c r="P1149" s="183"/>
      <c r="Q1149" s="183"/>
      <c r="R1149" s="183"/>
      <c r="S1149" s="183"/>
      <c r="T1149" s="183"/>
      <c r="U1149" s="183"/>
      <c r="V1149" s="183"/>
      <c r="W1149" s="183"/>
      <c r="X1149" s="183"/>
      <c r="Y1149" s="183"/>
      <c r="Z1149" s="183"/>
    </row>
    <row r="1150" spans="2:26">
      <c r="B1150" s="191"/>
      <c r="D1150" s="183"/>
      <c r="I1150" s="183"/>
      <c r="J1150" s="183"/>
      <c r="L1150" s="183"/>
      <c r="M1150" s="183"/>
      <c r="N1150" s="183"/>
      <c r="O1150" s="183"/>
      <c r="P1150" s="183"/>
      <c r="Q1150" s="183"/>
      <c r="R1150" s="183"/>
      <c r="S1150" s="183"/>
      <c r="T1150" s="183"/>
      <c r="U1150" s="183"/>
      <c r="V1150" s="183"/>
      <c r="W1150" s="183"/>
      <c r="X1150" s="183"/>
      <c r="Y1150" s="183"/>
      <c r="Z1150" s="183"/>
    </row>
    <row r="1151" spans="2:26">
      <c r="B1151" s="191"/>
      <c r="D1151" s="183"/>
      <c r="I1151" s="183"/>
      <c r="J1151" s="183"/>
      <c r="L1151" s="183"/>
      <c r="M1151" s="183"/>
      <c r="N1151" s="183"/>
      <c r="O1151" s="183"/>
      <c r="P1151" s="183"/>
      <c r="Q1151" s="183"/>
      <c r="R1151" s="183"/>
      <c r="S1151" s="183"/>
      <c r="T1151" s="183"/>
      <c r="U1151" s="183"/>
      <c r="V1151" s="183"/>
      <c r="W1151" s="183"/>
      <c r="X1151" s="183"/>
      <c r="Y1151" s="183"/>
      <c r="Z1151" s="183"/>
    </row>
    <row r="1152" spans="2:26">
      <c r="B1152" s="191"/>
      <c r="D1152" s="183"/>
      <c r="I1152" s="183"/>
      <c r="J1152" s="183"/>
      <c r="L1152" s="183"/>
      <c r="M1152" s="183"/>
      <c r="N1152" s="183"/>
      <c r="O1152" s="183"/>
      <c r="P1152" s="183"/>
      <c r="Q1152" s="183"/>
      <c r="R1152" s="183"/>
      <c r="S1152" s="183"/>
      <c r="T1152" s="183"/>
      <c r="U1152" s="183"/>
      <c r="V1152" s="183"/>
      <c r="W1152" s="183"/>
      <c r="X1152" s="183"/>
      <c r="Y1152" s="183"/>
      <c r="Z1152" s="183"/>
    </row>
    <row r="1153" spans="2:26">
      <c r="B1153" s="191"/>
      <c r="D1153" s="183"/>
      <c r="I1153" s="183"/>
      <c r="J1153" s="183"/>
      <c r="L1153" s="183"/>
      <c r="M1153" s="183"/>
      <c r="N1153" s="183"/>
      <c r="O1153" s="183"/>
      <c r="P1153" s="183"/>
      <c r="Q1153" s="183"/>
      <c r="R1153" s="183"/>
      <c r="S1153" s="183"/>
      <c r="T1153" s="183"/>
      <c r="U1153" s="183"/>
      <c r="V1153" s="183"/>
      <c r="W1153" s="183"/>
      <c r="X1153" s="183"/>
      <c r="Y1153" s="183"/>
      <c r="Z1153" s="183"/>
    </row>
    <row r="1154" spans="2:26">
      <c r="B1154" s="191"/>
      <c r="D1154" s="183"/>
      <c r="I1154" s="183"/>
      <c r="J1154" s="183"/>
      <c r="L1154" s="183"/>
      <c r="M1154" s="183"/>
      <c r="N1154" s="183"/>
      <c r="O1154" s="183"/>
      <c r="P1154" s="183"/>
      <c r="Q1154" s="183"/>
      <c r="R1154" s="183"/>
      <c r="S1154" s="183"/>
      <c r="T1154" s="183"/>
      <c r="U1154" s="183"/>
      <c r="V1154" s="183"/>
      <c r="W1154" s="183"/>
      <c r="X1154" s="183"/>
      <c r="Y1154" s="183"/>
      <c r="Z1154" s="183"/>
    </row>
    <row r="1155" spans="2:26">
      <c r="B1155" s="191"/>
      <c r="D1155" s="183"/>
      <c r="I1155" s="183"/>
      <c r="J1155" s="183"/>
      <c r="L1155" s="183"/>
      <c r="M1155" s="183"/>
      <c r="N1155" s="183"/>
      <c r="O1155" s="183"/>
      <c r="P1155" s="183"/>
      <c r="Q1155" s="183"/>
      <c r="R1155" s="183"/>
      <c r="S1155" s="183"/>
      <c r="T1155" s="183"/>
      <c r="U1155" s="183"/>
      <c r="V1155" s="183"/>
      <c r="W1155" s="183"/>
      <c r="X1155" s="183"/>
      <c r="Y1155" s="183"/>
      <c r="Z1155" s="183"/>
    </row>
    <row r="1156" spans="2:26">
      <c r="B1156" s="191"/>
      <c r="D1156" s="183"/>
      <c r="I1156" s="183"/>
      <c r="J1156" s="183"/>
      <c r="L1156" s="183"/>
      <c r="M1156" s="183"/>
      <c r="N1156" s="183"/>
      <c r="O1156" s="183"/>
      <c r="P1156" s="183"/>
      <c r="Q1156" s="183"/>
      <c r="R1156" s="183"/>
      <c r="S1156" s="183"/>
      <c r="T1156" s="183"/>
      <c r="U1156" s="183"/>
      <c r="V1156" s="183"/>
      <c r="W1156" s="183"/>
      <c r="X1156" s="183"/>
      <c r="Y1156" s="183"/>
      <c r="Z1156" s="183"/>
    </row>
    <row r="1157" spans="2:26">
      <c r="B1157" s="191"/>
      <c r="D1157" s="183"/>
      <c r="I1157" s="183"/>
      <c r="J1157" s="183"/>
      <c r="L1157" s="183"/>
      <c r="M1157" s="183"/>
      <c r="N1157" s="183"/>
      <c r="O1157" s="183"/>
      <c r="P1157" s="183"/>
      <c r="Q1157" s="183"/>
      <c r="R1157" s="183"/>
      <c r="S1157" s="183"/>
      <c r="T1157" s="183"/>
      <c r="U1157" s="183"/>
      <c r="V1157" s="183"/>
      <c r="W1157" s="183"/>
      <c r="X1157" s="183"/>
      <c r="Y1157" s="183"/>
      <c r="Z1157" s="183"/>
    </row>
    <row r="1158" spans="2:26">
      <c r="B1158" s="191"/>
      <c r="D1158" s="183"/>
      <c r="I1158" s="183"/>
      <c r="J1158" s="183"/>
      <c r="L1158" s="183"/>
      <c r="M1158" s="183"/>
      <c r="N1158" s="183"/>
      <c r="O1158" s="183"/>
      <c r="P1158" s="183"/>
      <c r="Q1158" s="183"/>
      <c r="R1158" s="183"/>
      <c r="S1158" s="183"/>
      <c r="T1158" s="183"/>
      <c r="U1158" s="183"/>
      <c r="V1158" s="183"/>
      <c r="W1158" s="183"/>
      <c r="X1158" s="183"/>
      <c r="Y1158" s="183"/>
      <c r="Z1158" s="183"/>
    </row>
    <row r="1159" spans="2:26">
      <c r="B1159" s="191"/>
      <c r="D1159" s="183"/>
      <c r="I1159" s="183"/>
      <c r="J1159" s="183"/>
      <c r="L1159" s="183"/>
      <c r="M1159" s="183"/>
      <c r="N1159" s="183"/>
      <c r="O1159" s="183"/>
      <c r="P1159" s="183"/>
      <c r="Q1159" s="183"/>
      <c r="R1159" s="183"/>
      <c r="S1159" s="183"/>
      <c r="T1159" s="183"/>
      <c r="U1159" s="183"/>
      <c r="V1159" s="183"/>
      <c r="W1159" s="183"/>
      <c r="X1159" s="183"/>
      <c r="Y1159" s="183"/>
      <c r="Z1159" s="183"/>
    </row>
    <row r="1160" spans="2:26">
      <c r="B1160" s="191"/>
      <c r="D1160" s="183"/>
      <c r="I1160" s="183"/>
      <c r="J1160" s="183"/>
      <c r="L1160" s="183"/>
      <c r="M1160" s="183"/>
      <c r="N1160" s="183"/>
      <c r="O1160" s="183"/>
      <c r="P1160" s="183"/>
      <c r="Q1160" s="183"/>
      <c r="R1160" s="183"/>
      <c r="S1160" s="183"/>
      <c r="T1160" s="183"/>
      <c r="U1160" s="183"/>
      <c r="V1160" s="183"/>
      <c r="W1160" s="183"/>
      <c r="X1160" s="183"/>
      <c r="Y1160" s="183"/>
      <c r="Z1160" s="183"/>
    </row>
    <row r="1161" spans="2:26">
      <c r="B1161" s="191"/>
      <c r="D1161" s="183"/>
      <c r="I1161" s="183"/>
      <c r="J1161" s="183"/>
      <c r="L1161" s="183"/>
      <c r="M1161" s="183"/>
      <c r="N1161" s="183"/>
      <c r="O1161" s="183"/>
      <c r="P1161" s="183"/>
      <c r="Q1161" s="183"/>
      <c r="R1161" s="183"/>
      <c r="S1161" s="183"/>
      <c r="T1161" s="183"/>
      <c r="U1161" s="183"/>
      <c r="V1161" s="183"/>
      <c r="W1161" s="183"/>
      <c r="X1161" s="183"/>
      <c r="Y1161" s="183"/>
      <c r="Z1161" s="183"/>
    </row>
    <row r="1162" spans="2:26">
      <c r="B1162" s="191"/>
      <c r="D1162" s="183"/>
      <c r="I1162" s="183"/>
      <c r="J1162" s="183"/>
      <c r="L1162" s="183"/>
      <c r="M1162" s="183"/>
      <c r="N1162" s="183"/>
      <c r="O1162" s="183"/>
      <c r="P1162" s="183"/>
      <c r="Q1162" s="183"/>
      <c r="R1162" s="183"/>
      <c r="S1162" s="183"/>
      <c r="T1162" s="183"/>
      <c r="U1162" s="183"/>
      <c r="V1162" s="183"/>
      <c r="W1162" s="183"/>
      <c r="X1162" s="183"/>
      <c r="Y1162" s="183"/>
      <c r="Z1162" s="183"/>
    </row>
    <row r="1163" spans="2:26">
      <c r="B1163" s="191"/>
      <c r="D1163" s="183"/>
      <c r="I1163" s="183"/>
      <c r="J1163" s="183"/>
      <c r="L1163" s="183"/>
      <c r="M1163" s="183"/>
      <c r="N1163" s="183"/>
      <c r="O1163" s="183"/>
      <c r="P1163" s="183"/>
      <c r="Q1163" s="183"/>
      <c r="R1163" s="183"/>
      <c r="S1163" s="183"/>
      <c r="T1163" s="183"/>
      <c r="U1163" s="183"/>
      <c r="V1163" s="183"/>
      <c r="W1163" s="183"/>
      <c r="X1163" s="183"/>
      <c r="Y1163" s="183"/>
      <c r="Z1163" s="183"/>
    </row>
    <row r="1164" spans="2:26">
      <c r="B1164" s="191"/>
      <c r="D1164" s="183"/>
      <c r="I1164" s="183"/>
      <c r="J1164" s="183"/>
      <c r="L1164" s="183"/>
      <c r="M1164" s="183"/>
      <c r="N1164" s="183"/>
      <c r="O1164" s="183"/>
      <c r="P1164" s="183"/>
      <c r="Q1164" s="183"/>
      <c r="R1164" s="183"/>
      <c r="S1164" s="183"/>
      <c r="T1164" s="183"/>
      <c r="U1164" s="183"/>
      <c r="V1164" s="183"/>
      <c r="W1164" s="183"/>
      <c r="X1164" s="183"/>
      <c r="Y1164" s="183"/>
      <c r="Z1164" s="183"/>
    </row>
    <row r="1165" spans="2:26">
      <c r="B1165" s="191"/>
      <c r="D1165" s="183"/>
      <c r="I1165" s="183"/>
      <c r="J1165" s="183"/>
      <c r="L1165" s="183"/>
      <c r="M1165" s="183"/>
      <c r="N1165" s="183"/>
      <c r="O1165" s="183"/>
      <c r="P1165" s="183"/>
      <c r="Q1165" s="183"/>
      <c r="R1165" s="183"/>
      <c r="S1165" s="183"/>
      <c r="T1165" s="183"/>
      <c r="U1165" s="183"/>
      <c r="V1165" s="183"/>
      <c r="W1165" s="183"/>
      <c r="X1165" s="183"/>
      <c r="Y1165" s="183"/>
      <c r="Z1165" s="183"/>
    </row>
    <row r="1166" spans="2:26">
      <c r="B1166" s="191"/>
      <c r="D1166" s="183"/>
      <c r="I1166" s="183"/>
      <c r="J1166" s="183"/>
      <c r="L1166" s="183"/>
      <c r="M1166" s="183"/>
      <c r="N1166" s="183"/>
      <c r="O1166" s="183"/>
      <c r="P1166" s="183"/>
      <c r="Q1166" s="183"/>
      <c r="R1166" s="183"/>
      <c r="S1166" s="183"/>
      <c r="T1166" s="183"/>
      <c r="U1166" s="183"/>
      <c r="V1166" s="183"/>
      <c r="W1166" s="183"/>
      <c r="X1166" s="183"/>
      <c r="Y1166" s="183"/>
      <c r="Z1166" s="183"/>
    </row>
    <row r="1167" spans="2:26">
      <c r="B1167" s="191"/>
      <c r="D1167" s="183"/>
      <c r="I1167" s="183"/>
      <c r="J1167" s="183"/>
      <c r="L1167" s="183"/>
      <c r="M1167" s="183"/>
      <c r="N1167" s="183"/>
      <c r="O1167" s="183"/>
      <c r="P1167" s="183"/>
      <c r="Q1167" s="183"/>
      <c r="R1167" s="183"/>
      <c r="S1167" s="183"/>
      <c r="T1167" s="183"/>
      <c r="U1167" s="183"/>
      <c r="V1167" s="183"/>
      <c r="W1167" s="183"/>
      <c r="X1167" s="183"/>
      <c r="Y1167" s="183"/>
      <c r="Z1167" s="183"/>
    </row>
    <row r="1168" spans="2:26">
      <c r="B1168" s="191"/>
      <c r="D1168" s="183"/>
      <c r="I1168" s="183"/>
      <c r="J1168" s="183"/>
      <c r="L1168" s="183"/>
      <c r="M1168" s="183"/>
      <c r="N1168" s="183"/>
      <c r="O1168" s="183"/>
      <c r="P1168" s="183"/>
      <c r="Q1168" s="183"/>
      <c r="R1168" s="183"/>
      <c r="S1168" s="183"/>
      <c r="T1168" s="183"/>
      <c r="U1168" s="183"/>
      <c r="V1168" s="183"/>
      <c r="W1168" s="183"/>
      <c r="X1168" s="183"/>
      <c r="Y1168" s="183"/>
      <c r="Z1168" s="183"/>
    </row>
    <row r="1169" spans="2:26">
      <c r="B1169" s="191"/>
      <c r="D1169" s="183"/>
      <c r="I1169" s="183"/>
      <c r="J1169" s="183"/>
      <c r="L1169" s="183"/>
      <c r="M1169" s="183"/>
      <c r="N1169" s="183"/>
      <c r="O1169" s="183"/>
      <c r="P1169" s="183"/>
      <c r="Q1169" s="183"/>
      <c r="R1169" s="183"/>
      <c r="S1169" s="183"/>
      <c r="T1169" s="183"/>
      <c r="U1169" s="183"/>
      <c r="V1169" s="183"/>
      <c r="W1169" s="183"/>
      <c r="X1169" s="183"/>
      <c r="Y1169" s="183"/>
      <c r="Z1169" s="183"/>
    </row>
    <row r="1170" spans="2:26">
      <c r="B1170" s="191"/>
      <c r="D1170" s="183"/>
      <c r="I1170" s="183"/>
      <c r="J1170" s="183"/>
      <c r="L1170" s="183"/>
      <c r="M1170" s="183"/>
      <c r="N1170" s="183"/>
      <c r="O1170" s="183"/>
      <c r="P1170" s="183"/>
      <c r="Q1170" s="183"/>
      <c r="R1170" s="183"/>
      <c r="S1170" s="183"/>
      <c r="T1170" s="183"/>
      <c r="U1170" s="183"/>
      <c r="V1170" s="183"/>
      <c r="W1170" s="183"/>
      <c r="X1170" s="183"/>
      <c r="Y1170" s="183"/>
      <c r="Z1170" s="183"/>
    </row>
    <row r="1171" spans="2:26">
      <c r="B1171" s="191"/>
      <c r="D1171" s="183"/>
      <c r="I1171" s="183"/>
      <c r="J1171" s="183"/>
      <c r="L1171" s="183"/>
      <c r="M1171" s="183"/>
      <c r="N1171" s="183"/>
      <c r="O1171" s="183"/>
      <c r="P1171" s="183"/>
      <c r="Q1171" s="183"/>
      <c r="R1171" s="183"/>
      <c r="S1171" s="183"/>
      <c r="T1171" s="183"/>
      <c r="U1171" s="183"/>
      <c r="V1171" s="183"/>
      <c r="W1171" s="183"/>
      <c r="X1171" s="183"/>
      <c r="Y1171" s="183"/>
      <c r="Z1171" s="183"/>
    </row>
    <row r="1172" spans="2:26">
      <c r="B1172" s="191"/>
      <c r="D1172" s="183"/>
      <c r="I1172" s="183"/>
      <c r="J1172" s="183"/>
      <c r="L1172" s="183"/>
      <c r="M1172" s="183"/>
      <c r="N1172" s="183"/>
      <c r="O1172" s="183"/>
      <c r="P1172" s="183"/>
      <c r="Q1172" s="183"/>
      <c r="R1172" s="183"/>
      <c r="S1172" s="183"/>
      <c r="T1172" s="183"/>
      <c r="U1172" s="183"/>
      <c r="V1172" s="183"/>
      <c r="W1172" s="183"/>
      <c r="X1172" s="183"/>
      <c r="Y1172" s="183"/>
      <c r="Z1172" s="183"/>
    </row>
    <row r="1173" spans="2:26">
      <c r="B1173" s="191"/>
      <c r="D1173" s="183"/>
      <c r="I1173" s="183"/>
      <c r="J1173" s="183"/>
      <c r="L1173" s="183"/>
      <c r="M1173" s="183"/>
      <c r="N1173" s="183"/>
      <c r="O1173" s="183"/>
      <c r="P1173" s="183"/>
      <c r="Q1173" s="183"/>
      <c r="R1173" s="183"/>
      <c r="S1173" s="183"/>
      <c r="T1173" s="183"/>
      <c r="U1173" s="183"/>
      <c r="V1173" s="183"/>
      <c r="W1173" s="183"/>
      <c r="X1173" s="183"/>
      <c r="Y1173" s="183"/>
      <c r="Z1173" s="183"/>
    </row>
    <row r="1174" spans="2:26">
      <c r="B1174" s="191"/>
      <c r="D1174" s="183"/>
      <c r="I1174" s="183"/>
      <c r="J1174" s="183"/>
      <c r="L1174" s="183"/>
      <c r="M1174" s="183"/>
      <c r="N1174" s="183"/>
      <c r="O1174" s="183"/>
      <c r="P1174" s="183"/>
      <c r="Q1174" s="183"/>
      <c r="R1174" s="183"/>
      <c r="S1174" s="183"/>
      <c r="T1174" s="183"/>
      <c r="U1174" s="183"/>
      <c r="V1174" s="183"/>
      <c r="W1174" s="183"/>
      <c r="X1174" s="183"/>
      <c r="Y1174" s="183"/>
      <c r="Z1174" s="183"/>
    </row>
    <row r="1175" spans="2:26">
      <c r="B1175" s="191"/>
      <c r="D1175" s="183"/>
      <c r="I1175" s="183"/>
      <c r="J1175" s="183"/>
      <c r="L1175" s="183"/>
      <c r="M1175" s="183"/>
      <c r="N1175" s="183"/>
      <c r="O1175" s="183"/>
      <c r="P1175" s="183"/>
      <c r="Q1175" s="183"/>
      <c r="R1175" s="183"/>
      <c r="S1175" s="183"/>
      <c r="T1175" s="183"/>
      <c r="U1175" s="183"/>
      <c r="V1175" s="183"/>
      <c r="W1175" s="183"/>
      <c r="X1175" s="183"/>
      <c r="Y1175" s="183"/>
      <c r="Z1175" s="183"/>
    </row>
    <row r="1176" spans="2:26">
      <c r="B1176" s="191"/>
      <c r="D1176" s="183"/>
      <c r="I1176" s="183"/>
      <c r="J1176" s="183"/>
      <c r="L1176" s="183"/>
      <c r="M1176" s="183"/>
      <c r="N1176" s="183"/>
      <c r="O1176" s="183"/>
      <c r="P1176" s="183"/>
      <c r="Q1176" s="183"/>
      <c r="R1176" s="183"/>
      <c r="S1176" s="183"/>
      <c r="T1176" s="183"/>
      <c r="U1176" s="183"/>
      <c r="V1176" s="183"/>
      <c r="W1176" s="183"/>
      <c r="X1176" s="183"/>
      <c r="Y1176" s="183"/>
      <c r="Z1176" s="183"/>
    </row>
    <row r="1177" spans="2:26">
      <c r="B1177" s="191"/>
      <c r="D1177" s="183"/>
      <c r="I1177" s="183"/>
      <c r="J1177" s="183"/>
      <c r="L1177" s="183"/>
      <c r="M1177" s="183"/>
      <c r="N1177" s="183"/>
      <c r="O1177" s="183"/>
      <c r="P1177" s="183"/>
      <c r="Q1177" s="183"/>
      <c r="R1177" s="183"/>
      <c r="S1177" s="183"/>
      <c r="T1177" s="183"/>
      <c r="U1177" s="183"/>
      <c r="V1177" s="183"/>
      <c r="W1177" s="183"/>
      <c r="X1177" s="183"/>
      <c r="Y1177" s="183"/>
      <c r="Z1177" s="183"/>
    </row>
    <row r="1178" spans="2:26">
      <c r="B1178" s="191"/>
      <c r="D1178" s="183"/>
      <c r="I1178" s="183"/>
      <c r="J1178" s="183"/>
      <c r="L1178" s="183"/>
      <c r="M1178" s="183"/>
      <c r="N1178" s="183"/>
      <c r="O1178" s="183"/>
      <c r="P1178" s="183"/>
      <c r="Q1178" s="183"/>
      <c r="R1178" s="183"/>
      <c r="S1178" s="183"/>
      <c r="T1178" s="183"/>
      <c r="U1178" s="183"/>
      <c r="V1178" s="183"/>
      <c r="W1178" s="183"/>
      <c r="X1178" s="183"/>
      <c r="Y1178" s="183"/>
      <c r="Z1178" s="183"/>
    </row>
    <row r="1179" spans="2:26">
      <c r="B1179" s="191"/>
      <c r="D1179" s="183"/>
      <c r="I1179" s="183"/>
      <c r="J1179" s="183"/>
      <c r="L1179" s="183"/>
      <c r="M1179" s="183"/>
      <c r="N1179" s="183"/>
      <c r="O1179" s="183"/>
      <c r="P1179" s="183"/>
      <c r="Q1179" s="183"/>
      <c r="R1179" s="183"/>
      <c r="S1179" s="183"/>
      <c r="T1179" s="183"/>
      <c r="U1179" s="183"/>
      <c r="V1179" s="183"/>
      <c r="W1179" s="183"/>
      <c r="X1179" s="183"/>
      <c r="Y1179" s="183"/>
      <c r="Z1179" s="183"/>
    </row>
    <row r="1180" spans="2:26">
      <c r="B1180" s="191"/>
      <c r="D1180" s="183"/>
      <c r="I1180" s="183"/>
      <c r="J1180" s="183"/>
      <c r="L1180" s="183"/>
      <c r="M1180" s="183"/>
      <c r="N1180" s="183"/>
      <c r="O1180" s="183"/>
      <c r="P1180" s="183"/>
      <c r="Q1180" s="183"/>
      <c r="R1180" s="183"/>
      <c r="S1180" s="183"/>
      <c r="T1180" s="183"/>
      <c r="U1180" s="183"/>
      <c r="V1180" s="183"/>
      <c r="W1180" s="183"/>
      <c r="X1180" s="183"/>
      <c r="Y1180" s="183"/>
      <c r="Z1180" s="183"/>
    </row>
    <row r="1181" spans="2:26">
      <c r="B1181" s="191"/>
      <c r="D1181" s="183"/>
      <c r="I1181" s="183"/>
      <c r="J1181" s="183"/>
      <c r="L1181" s="183"/>
      <c r="M1181" s="183"/>
      <c r="N1181" s="183"/>
      <c r="O1181" s="183"/>
      <c r="P1181" s="183"/>
      <c r="Q1181" s="183"/>
      <c r="R1181" s="183"/>
      <c r="S1181" s="183"/>
      <c r="T1181" s="183"/>
      <c r="U1181" s="183"/>
      <c r="V1181" s="183"/>
      <c r="W1181" s="183"/>
      <c r="X1181" s="183"/>
      <c r="Y1181" s="183"/>
      <c r="Z1181" s="183"/>
    </row>
    <row r="1182" spans="2:26">
      <c r="B1182" s="191"/>
      <c r="D1182" s="183"/>
      <c r="I1182" s="183"/>
      <c r="J1182" s="183"/>
      <c r="L1182" s="183"/>
      <c r="M1182" s="183"/>
      <c r="N1182" s="183"/>
      <c r="O1182" s="183"/>
      <c r="P1182" s="183"/>
      <c r="Q1182" s="183"/>
      <c r="R1182" s="183"/>
      <c r="S1182" s="183"/>
      <c r="T1182" s="183"/>
      <c r="U1182" s="183"/>
      <c r="V1182" s="183"/>
      <c r="W1182" s="183"/>
      <c r="X1182" s="183"/>
      <c r="Y1182" s="183"/>
      <c r="Z1182" s="183"/>
    </row>
    <row r="1183" spans="2:26">
      <c r="B1183" s="191"/>
      <c r="D1183" s="183"/>
      <c r="I1183" s="183"/>
      <c r="J1183" s="183"/>
      <c r="L1183" s="183"/>
      <c r="M1183" s="183"/>
      <c r="N1183" s="183"/>
      <c r="O1183" s="183"/>
      <c r="P1183" s="183"/>
      <c r="Q1183" s="183"/>
      <c r="R1183" s="183"/>
      <c r="S1183" s="183"/>
      <c r="T1183" s="183"/>
      <c r="U1183" s="183"/>
      <c r="V1183" s="183"/>
      <c r="W1183" s="183"/>
      <c r="X1183" s="183"/>
      <c r="Y1183" s="183"/>
      <c r="Z1183" s="183"/>
    </row>
    <row r="1184" spans="2:26">
      <c r="B1184" s="191"/>
      <c r="D1184" s="183"/>
      <c r="I1184" s="183"/>
      <c r="J1184" s="183"/>
      <c r="L1184" s="183"/>
      <c r="M1184" s="183"/>
      <c r="N1184" s="183"/>
      <c r="O1184" s="183"/>
      <c r="P1184" s="183"/>
      <c r="Q1184" s="183"/>
      <c r="R1184" s="183"/>
      <c r="S1184" s="183"/>
      <c r="T1184" s="183"/>
      <c r="U1184" s="183"/>
      <c r="V1184" s="183"/>
      <c r="W1184" s="183"/>
      <c r="X1184" s="183"/>
      <c r="Y1184" s="183"/>
      <c r="Z1184" s="183"/>
    </row>
    <row r="1185" spans="2:26">
      <c r="B1185" s="191"/>
      <c r="D1185" s="183"/>
      <c r="I1185" s="183"/>
      <c r="J1185" s="183"/>
      <c r="L1185" s="183"/>
      <c r="M1185" s="183"/>
      <c r="N1185" s="183"/>
      <c r="O1185" s="183"/>
      <c r="P1185" s="183"/>
      <c r="Q1185" s="183"/>
      <c r="R1185" s="183"/>
      <c r="S1185" s="183"/>
      <c r="T1185" s="183"/>
      <c r="U1185" s="183"/>
      <c r="V1185" s="183"/>
      <c r="W1185" s="183"/>
      <c r="X1185" s="183"/>
      <c r="Y1185" s="183"/>
      <c r="Z1185" s="183"/>
    </row>
    <row r="1186" spans="2:26">
      <c r="B1186" s="191"/>
      <c r="D1186" s="183"/>
      <c r="I1186" s="183"/>
      <c r="J1186" s="183"/>
      <c r="L1186" s="183"/>
      <c r="M1186" s="183"/>
      <c r="N1186" s="183"/>
      <c r="O1186" s="183"/>
      <c r="P1186" s="183"/>
      <c r="Q1186" s="183"/>
      <c r="R1186" s="183"/>
      <c r="S1186" s="183"/>
      <c r="T1186" s="183"/>
      <c r="U1186" s="183"/>
      <c r="V1186" s="183"/>
      <c r="W1186" s="183"/>
      <c r="X1186" s="183"/>
      <c r="Y1186" s="183"/>
      <c r="Z1186" s="183"/>
    </row>
    <row r="1187" spans="2:26">
      <c r="B1187" s="191"/>
      <c r="D1187" s="183"/>
      <c r="I1187" s="183"/>
      <c r="J1187" s="183"/>
      <c r="L1187" s="183"/>
      <c r="M1187" s="183"/>
      <c r="N1187" s="183"/>
      <c r="O1187" s="183"/>
      <c r="P1187" s="183"/>
      <c r="Q1187" s="183"/>
      <c r="R1187" s="183"/>
      <c r="S1187" s="183"/>
      <c r="T1187" s="183"/>
      <c r="U1187" s="183"/>
      <c r="V1187" s="183"/>
      <c r="W1187" s="183"/>
      <c r="X1187" s="183"/>
      <c r="Y1187" s="183"/>
      <c r="Z1187" s="183"/>
    </row>
    <row r="1188" spans="2:26">
      <c r="B1188" s="191"/>
      <c r="D1188" s="183"/>
      <c r="I1188" s="183"/>
      <c r="J1188" s="183"/>
      <c r="L1188" s="183"/>
      <c r="M1188" s="183"/>
      <c r="N1188" s="183"/>
      <c r="O1188" s="183"/>
      <c r="P1188" s="183"/>
      <c r="Q1188" s="183"/>
      <c r="R1188" s="183"/>
      <c r="S1188" s="183"/>
      <c r="T1188" s="183"/>
      <c r="U1188" s="183"/>
      <c r="V1188" s="183"/>
      <c r="W1188" s="183"/>
      <c r="X1188" s="183"/>
      <c r="Y1188" s="183"/>
      <c r="Z1188" s="183"/>
    </row>
    <row r="1189" spans="2:26">
      <c r="B1189" s="191"/>
      <c r="D1189" s="183"/>
      <c r="I1189" s="183"/>
      <c r="J1189" s="183"/>
      <c r="L1189" s="183"/>
      <c r="M1189" s="183"/>
      <c r="N1189" s="183"/>
      <c r="O1189" s="183"/>
      <c r="P1189" s="183"/>
      <c r="Q1189" s="183"/>
      <c r="R1189" s="183"/>
      <c r="S1189" s="183"/>
      <c r="T1189" s="183"/>
      <c r="U1189" s="183"/>
      <c r="V1189" s="183"/>
      <c r="W1189" s="183"/>
      <c r="X1189" s="183"/>
      <c r="Y1189" s="183"/>
      <c r="Z1189" s="183"/>
    </row>
    <row r="1190" spans="2:26">
      <c r="B1190" s="191"/>
      <c r="D1190" s="183"/>
      <c r="I1190" s="183"/>
      <c r="J1190" s="183"/>
      <c r="L1190" s="183"/>
      <c r="M1190" s="183"/>
      <c r="N1190" s="183"/>
      <c r="O1190" s="183"/>
      <c r="P1190" s="183"/>
      <c r="Q1190" s="183"/>
      <c r="R1190" s="183"/>
      <c r="S1190" s="183"/>
      <c r="T1190" s="183"/>
      <c r="U1190" s="183"/>
      <c r="V1190" s="183"/>
      <c r="W1190" s="183"/>
      <c r="X1190" s="183"/>
      <c r="Y1190" s="183"/>
      <c r="Z1190" s="183"/>
    </row>
    <row r="1191" spans="2:26">
      <c r="B1191" s="191"/>
      <c r="D1191" s="183"/>
      <c r="I1191" s="183"/>
      <c r="J1191" s="183"/>
      <c r="L1191" s="183"/>
      <c r="M1191" s="183"/>
      <c r="N1191" s="183"/>
      <c r="O1191" s="183"/>
      <c r="P1191" s="183"/>
      <c r="Q1191" s="183"/>
      <c r="R1191" s="183"/>
      <c r="S1191" s="183"/>
      <c r="T1191" s="183"/>
      <c r="U1191" s="183"/>
      <c r="V1191" s="183"/>
      <c r="W1191" s="183"/>
      <c r="X1191" s="183"/>
      <c r="Y1191" s="183"/>
      <c r="Z1191" s="183"/>
    </row>
    <row r="1192" spans="2:26">
      <c r="B1192" s="191"/>
      <c r="D1192" s="183"/>
      <c r="I1192" s="183"/>
      <c r="J1192" s="183"/>
      <c r="L1192" s="183"/>
      <c r="M1192" s="183"/>
      <c r="N1192" s="183"/>
      <c r="O1192" s="183"/>
      <c r="P1192" s="183"/>
      <c r="Q1192" s="183"/>
      <c r="R1192" s="183"/>
      <c r="S1192" s="183"/>
      <c r="T1192" s="183"/>
      <c r="U1192" s="183"/>
      <c r="V1192" s="183"/>
      <c r="W1192" s="183"/>
      <c r="X1192" s="183"/>
      <c r="Y1192" s="183"/>
      <c r="Z1192" s="183"/>
    </row>
    <row r="1193" spans="2:26">
      <c r="B1193" s="191"/>
      <c r="D1193" s="183"/>
      <c r="I1193" s="183"/>
      <c r="J1193" s="183"/>
      <c r="L1193" s="183"/>
      <c r="M1193" s="183"/>
      <c r="N1193" s="183"/>
      <c r="O1193" s="183"/>
      <c r="P1193" s="183"/>
      <c r="Q1193" s="183"/>
      <c r="R1193" s="183"/>
      <c r="S1193" s="183"/>
      <c r="T1193" s="183"/>
      <c r="U1193" s="183"/>
      <c r="V1193" s="183"/>
      <c r="W1193" s="183"/>
      <c r="X1193" s="183"/>
      <c r="Y1193" s="183"/>
      <c r="Z1193" s="183"/>
    </row>
    <row r="1194" spans="2:26">
      <c r="B1194" s="191"/>
      <c r="D1194" s="183"/>
      <c r="I1194" s="183"/>
      <c r="J1194" s="183"/>
      <c r="L1194" s="183"/>
      <c r="M1194" s="183"/>
      <c r="N1194" s="183"/>
      <c r="O1194" s="183"/>
      <c r="P1194" s="183"/>
      <c r="Q1194" s="183"/>
      <c r="R1194" s="183"/>
      <c r="S1194" s="183"/>
      <c r="T1194" s="183"/>
      <c r="U1194" s="183"/>
      <c r="V1194" s="183"/>
      <c r="W1194" s="183"/>
      <c r="X1194" s="183"/>
      <c r="Y1194" s="183"/>
      <c r="Z1194" s="183"/>
    </row>
    <row r="1195" spans="2:26">
      <c r="B1195" s="191"/>
      <c r="D1195" s="183"/>
      <c r="I1195" s="183"/>
      <c r="J1195" s="183"/>
      <c r="L1195" s="183"/>
      <c r="M1195" s="183"/>
      <c r="N1195" s="183"/>
      <c r="O1195" s="183"/>
      <c r="P1195" s="183"/>
      <c r="Q1195" s="183"/>
      <c r="R1195" s="183"/>
      <c r="S1195" s="183"/>
      <c r="T1195" s="183"/>
      <c r="U1195" s="183"/>
      <c r="V1195" s="183"/>
      <c r="W1195" s="183"/>
      <c r="X1195" s="183"/>
      <c r="Y1195" s="183"/>
      <c r="Z1195" s="183"/>
    </row>
    <row r="1196" spans="2:26">
      <c r="B1196" s="191"/>
      <c r="D1196" s="183"/>
      <c r="I1196" s="183"/>
      <c r="J1196" s="183"/>
      <c r="L1196" s="183"/>
      <c r="M1196" s="183"/>
      <c r="N1196" s="183"/>
      <c r="O1196" s="183"/>
      <c r="P1196" s="183"/>
      <c r="Q1196" s="183"/>
      <c r="R1196" s="183"/>
      <c r="S1196" s="183"/>
      <c r="T1196" s="183"/>
      <c r="U1196" s="183"/>
      <c r="V1196" s="183"/>
      <c r="W1196" s="183"/>
      <c r="X1196" s="183"/>
      <c r="Y1196" s="183"/>
      <c r="Z1196" s="183"/>
    </row>
    <row r="1197" spans="2:26">
      <c r="B1197" s="191"/>
      <c r="D1197" s="183"/>
      <c r="I1197" s="183"/>
      <c r="J1197" s="183"/>
      <c r="L1197" s="183"/>
      <c r="M1197" s="183"/>
      <c r="N1197" s="183"/>
      <c r="O1197" s="183"/>
      <c r="P1197" s="183"/>
      <c r="Q1197" s="183"/>
      <c r="R1197" s="183"/>
      <c r="S1197" s="183"/>
      <c r="T1197" s="183"/>
      <c r="U1197" s="183"/>
      <c r="V1197" s="183"/>
      <c r="W1197" s="183"/>
      <c r="X1197" s="183"/>
      <c r="Y1197" s="183"/>
      <c r="Z1197" s="183"/>
    </row>
    <row r="1198" spans="2:26">
      <c r="B1198" s="191"/>
      <c r="D1198" s="183"/>
      <c r="I1198" s="183"/>
      <c r="J1198" s="183"/>
      <c r="L1198" s="183"/>
      <c r="M1198" s="183"/>
      <c r="N1198" s="183"/>
      <c r="O1198" s="183"/>
      <c r="P1198" s="183"/>
      <c r="Q1198" s="183"/>
      <c r="R1198" s="183"/>
      <c r="S1198" s="183"/>
      <c r="T1198" s="183"/>
      <c r="U1198" s="183"/>
      <c r="V1198" s="183"/>
      <c r="W1198" s="183"/>
      <c r="X1198" s="183"/>
      <c r="Y1198" s="183"/>
      <c r="Z1198" s="183"/>
    </row>
    <row r="1199" spans="2:26">
      <c r="B1199" s="191"/>
      <c r="D1199" s="183"/>
      <c r="I1199" s="183"/>
      <c r="J1199" s="183"/>
      <c r="L1199" s="183"/>
      <c r="M1199" s="183"/>
      <c r="N1199" s="183"/>
      <c r="O1199" s="183"/>
      <c r="P1199" s="183"/>
      <c r="Q1199" s="183"/>
      <c r="R1199" s="183"/>
      <c r="S1199" s="183"/>
      <c r="T1199" s="183"/>
      <c r="U1199" s="183"/>
      <c r="V1199" s="183"/>
      <c r="W1199" s="183"/>
      <c r="X1199" s="183"/>
      <c r="Y1199" s="183"/>
      <c r="Z1199" s="183"/>
    </row>
    <row r="1200" spans="2:26">
      <c r="B1200" s="191"/>
      <c r="D1200" s="183"/>
      <c r="I1200" s="183"/>
      <c r="J1200" s="183"/>
      <c r="L1200" s="183"/>
      <c r="M1200" s="183"/>
      <c r="N1200" s="183"/>
      <c r="O1200" s="183"/>
      <c r="P1200" s="183"/>
      <c r="Q1200" s="183"/>
      <c r="R1200" s="183"/>
      <c r="S1200" s="183"/>
      <c r="T1200" s="183"/>
      <c r="U1200" s="183"/>
      <c r="V1200" s="183"/>
      <c r="W1200" s="183"/>
      <c r="X1200" s="183"/>
      <c r="Y1200" s="183"/>
      <c r="Z1200" s="183"/>
    </row>
    <row r="1201" spans="2:26">
      <c r="B1201" s="191"/>
      <c r="D1201" s="183"/>
      <c r="I1201" s="183"/>
      <c r="J1201" s="183"/>
      <c r="L1201" s="183"/>
      <c r="M1201" s="183"/>
      <c r="N1201" s="183"/>
      <c r="O1201" s="183"/>
      <c r="P1201" s="183"/>
      <c r="Q1201" s="183"/>
      <c r="R1201" s="183"/>
      <c r="S1201" s="183"/>
      <c r="T1201" s="183"/>
      <c r="U1201" s="183"/>
      <c r="V1201" s="183"/>
      <c r="W1201" s="183"/>
      <c r="X1201" s="183"/>
      <c r="Y1201" s="183"/>
      <c r="Z1201" s="183"/>
    </row>
    <row r="1202" spans="2:26">
      <c r="B1202" s="191"/>
      <c r="D1202" s="183"/>
      <c r="I1202" s="183"/>
      <c r="J1202" s="183"/>
      <c r="L1202" s="183"/>
      <c r="M1202" s="183"/>
      <c r="N1202" s="183"/>
      <c r="O1202" s="183"/>
      <c r="P1202" s="183"/>
      <c r="Q1202" s="183"/>
      <c r="R1202" s="183"/>
      <c r="S1202" s="183"/>
      <c r="T1202" s="183"/>
      <c r="U1202" s="183"/>
      <c r="V1202" s="183"/>
      <c r="W1202" s="183"/>
      <c r="X1202" s="183"/>
      <c r="Y1202" s="183"/>
      <c r="Z1202" s="183"/>
    </row>
    <row r="1203" spans="2:26">
      <c r="B1203" s="191"/>
      <c r="D1203" s="183"/>
      <c r="I1203" s="183"/>
      <c r="J1203" s="183"/>
      <c r="L1203" s="183"/>
      <c r="M1203" s="183"/>
      <c r="N1203" s="183"/>
      <c r="O1203" s="183"/>
      <c r="P1203" s="183"/>
      <c r="Q1203" s="183"/>
      <c r="R1203" s="183"/>
      <c r="S1203" s="183"/>
      <c r="T1203" s="183"/>
      <c r="U1203" s="183"/>
      <c r="V1203" s="183"/>
      <c r="W1203" s="183"/>
      <c r="X1203" s="183"/>
      <c r="Y1203" s="183"/>
      <c r="Z1203" s="183"/>
    </row>
    <row r="1204" spans="2:26">
      <c r="B1204" s="191"/>
      <c r="D1204" s="183"/>
      <c r="I1204" s="183"/>
      <c r="J1204" s="183"/>
      <c r="L1204" s="183"/>
      <c r="M1204" s="183"/>
      <c r="N1204" s="183"/>
      <c r="O1204" s="183"/>
      <c r="P1204" s="183"/>
      <c r="Q1204" s="183"/>
      <c r="R1204" s="183"/>
      <c r="S1204" s="183"/>
      <c r="T1204" s="183"/>
      <c r="U1204" s="183"/>
      <c r="V1204" s="183"/>
      <c r="W1204" s="183"/>
      <c r="X1204" s="183"/>
      <c r="Y1204" s="183"/>
      <c r="Z1204" s="183"/>
    </row>
    <row r="1205" spans="2:26">
      <c r="B1205" s="191"/>
      <c r="D1205" s="183"/>
      <c r="I1205" s="183"/>
      <c r="J1205" s="183"/>
      <c r="L1205" s="183"/>
      <c r="M1205" s="183"/>
      <c r="N1205" s="183"/>
      <c r="O1205" s="183"/>
      <c r="P1205" s="183"/>
      <c r="Q1205" s="183"/>
      <c r="R1205" s="183"/>
      <c r="S1205" s="183"/>
      <c r="T1205" s="183"/>
      <c r="U1205" s="183"/>
      <c r="V1205" s="183"/>
      <c r="W1205" s="183"/>
      <c r="X1205" s="183"/>
      <c r="Y1205" s="183"/>
      <c r="Z1205" s="183"/>
    </row>
    <row r="1206" spans="2:26">
      <c r="B1206" s="191"/>
      <c r="D1206" s="183"/>
      <c r="I1206" s="183"/>
      <c r="J1206" s="183"/>
      <c r="L1206" s="183"/>
      <c r="M1206" s="183"/>
      <c r="N1206" s="183"/>
      <c r="O1206" s="183"/>
      <c r="P1206" s="183"/>
      <c r="Q1206" s="183"/>
      <c r="R1206" s="183"/>
      <c r="S1206" s="183"/>
      <c r="T1206" s="183"/>
      <c r="U1206" s="183"/>
      <c r="V1206" s="183"/>
      <c r="W1206" s="183"/>
      <c r="X1206" s="183"/>
      <c r="Y1206" s="183"/>
      <c r="Z1206" s="183"/>
    </row>
    <row r="1207" spans="2:26">
      <c r="B1207" s="191"/>
      <c r="D1207" s="183"/>
      <c r="I1207" s="183"/>
      <c r="J1207" s="183"/>
      <c r="L1207" s="183"/>
      <c r="M1207" s="183"/>
      <c r="N1207" s="183"/>
      <c r="O1207" s="183"/>
      <c r="P1207" s="183"/>
      <c r="Q1207" s="183"/>
      <c r="R1207" s="183"/>
      <c r="S1207" s="183"/>
      <c r="T1207" s="183"/>
      <c r="U1207" s="183"/>
      <c r="V1207" s="183"/>
      <c r="W1207" s="183"/>
      <c r="X1207" s="183"/>
      <c r="Y1207" s="183"/>
      <c r="Z1207" s="183"/>
    </row>
    <row r="1208" spans="2:26">
      <c r="B1208" s="191"/>
      <c r="D1208" s="183"/>
      <c r="I1208" s="183"/>
      <c r="J1208" s="183"/>
      <c r="L1208" s="183"/>
      <c r="M1208" s="183"/>
      <c r="N1208" s="183"/>
      <c r="O1208" s="183"/>
      <c r="P1208" s="183"/>
      <c r="Q1208" s="183"/>
      <c r="R1208" s="183"/>
      <c r="S1208" s="183"/>
      <c r="T1208" s="183"/>
      <c r="U1208" s="183"/>
      <c r="V1208" s="183"/>
      <c r="W1208" s="183"/>
      <c r="X1208" s="183"/>
      <c r="Y1208" s="183"/>
      <c r="Z1208" s="183"/>
    </row>
    <row r="1209" spans="2:26">
      <c r="B1209" s="191"/>
      <c r="D1209" s="183"/>
      <c r="I1209" s="183"/>
      <c r="J1209" s="183"/>
      <c r="L1209" s="183"/>
      <c r="M1209" s="183"/>
      <c r="N1209" s="183"/>
      <c r="O1209" s="183"/>
      <c r="P1209" s="183"/>
      <c r="Q1209" s="183"/>
      <c r="R1209" s="183"/>
      <c r="S1209" s="183"/>
      <c r="T1209" s="183"/>
      <c r="U1209" s="183"/>
      <c r="V1209" s="183"/>
      <c r="W1209" s="183"/>
      <c r="X1209" s="183"/>
      <c r="Y1209" s="183"/>
      <c r="Z1209" s="183"/>
    </row>
    <row r="1210" spans="2:26">
      <c r="B1210" s="191"/>
      <c r="D1210" s="183"/>
      <c r="I1210" s="183"/>
      <c r="J1210" s="183"/>
      <c r="L1210" s="183"/>
      <c r="M1210" s="183"/>
      <c r="N1210" s="183"/>
      <c r="O1210" s="183"/>
      <c r="P1210" s="183"/>
      <c r="Q1210" s="183"/>
      <c r="R1210" s="183"/>
      <c r="S1210" s="183"/>
      <c r="T1210" s="183"/>
      <c r="U1210" s="183"/>
      <c r="V1210" s="183"/>
      <c r="W1210" s="183"/>
      <c r="X1210" s="183"/>
      <c r="Y1210" s="183"/>
      <c r="Z1210" s="183"/>
    </row>
    <row r="1211" spans="2:26">
      <c r="B1211" s="191"/>
      <c r="D1211" s="183"/>
      <c r="I1211" s="183"/>
      <c r="J1211" s="183"/>
      <c r="L1211" s="183"/>
      <c r="M1211" s="183"/>
      <c r="N1211" s="183"/>
      <c r="O1211" s="183"/>
      <c r="P1211" s="183"/>
      <c r="Q1211" s="183"/>
      <c r="R1211" s="183"/>
      <c r="S1211" s="183"/>
      <c r="T1211" s="183"/>
      <c r="U1211" s="183"/>
      <c r="V1211" s="183"/>
      <c r="W1211" s="183"/>
      <c r="X1211" s="183"/>
      <c r="Y1211" s="183"/>
      <c r="Z1211" s="183"/>
    </row>
    <row r="1212" spans="2:26">
      <c r="B1212" s="191"/>
      <c r="D1212" s="183"/>
      <c r="I1212" s="183"/>
      <c r="J1212" s="183"/>
      <c r="L1212" s="183"/>
      <c r="M1212" s="183"/>
      <c r="N1212" s="183"/>
      <c r="O1212" s="183"/>
      <c r="P1212" s="183"/>
      <c r="Q1212" s="183"/>
      <c r="R1212" s="183"/>
      <c r="S1212" s="183"/>
      <c r="T1212" s="183"/>
      <c r="U1212" s="183"/>
      <c r="V1212" s="183"/>
      <c r="W1212" s="183"/>
      <c r="X1212" s="183"/>
      <c r="Y1212" s="183"/>
      <c r="Z1212" s="183"/>
    </row>
    <row r="1213" spans="2:26">
      <c r="B1213" s="191"/>
      <c r="D1213" s="183"/>
      <c r="I1213" s="183"/>
      <c r="J1213" s="183"/>
      <c r="L1213" s="183"/>
      <c r="M1213" s="183"/>
      <c r="N1213" s="183"/>
      <c r="O1213" s="183"/>
      <c r="P1213" s="183"/>
      <c r="Q1213" s="183"/>
      <c r="R1213" s="183"/>
      <c r="S1213" s="183"/>
      <c r="T1213" s="183"/>
      <c r="U1213" s="183"/>
      <c r="V1213" s="183"/>
      <c r="W1213" s="183"/>
      <c r="X1213" s="183"/>
      <c r="Y1213" s="183"/>
      <c r="Z1213" s="183"/>
    </row>
    <row r="1214" spans="2:26">
      <c r="B1214" s="191"/>
      <c r="D1214" s="183"/>
      <c r="I1214" s="183"/>
      <c r="J1214" s="183"/>
      <c r="L1214" s="183"/>
      <c r="M1214" s="183"/>
      <c r="N1214" s="183"/>
      <c r="O1214" s="183"/>
      <c r="P1214" s="183"/>
      <c r="Q1214" s="183"/>
      <c r="R1214" s="183"/>
      <c r="S1214" s="183"/>
      <c r="T1214" s="183"/>
      <c r="U1214" s="183"/>
      <c r="V1214" s="183"/>
      <c r="W1214" s="183"/>
      <c r="X1214" s="183"/>
      <c r="Y1214" s="183"/>
      <c r="Z1214" s="183"/>
    </row>
    <row r="1215" spans="2:26">
      <c r="B1215" s="191"/>
      <c r="D1215" s="183"/>
      <c r="I1215" s="183"/>
      <c r="J1215" s="183"/>
      <c r="L1215" s="183"/>
      <c r="M1215" s="183"/>
      <c r="N1215" s="183"/>
      <c r="O1215" s="183"/>
      <c r="P1215" s="183"/>
      <c r="Q1215" s="183"/>
      <c r="R1215" s="183"/>
      <c r="S1215" s="183"/>
      <c r="T1215" s="183"/>
      <c r="U1215" s="183"/>
      <c r="V1215" s="183"/>
      <c r="W1215" s="183"/>
      <c r="X1215" s="183"/>
      <c r="Y1215" s="183"/>
      <c r="Z1215" s="183"/>
    </row>
    <row r="1216" spans="2:26">
      <c r="B1216" s="191"/>
      <c r="D1216" s="183"/>
      <c r="I1216" s="183"/>
      <c r="J1216" s="183"/>
      <c r="L1216" s="183"/>
      <c r="M1216" s="183"/>
      <c r="N1216" s="183"/>
      <c r="O1216" s="183"/>
      <c r="P1216" s="183"/>
      <c r="Q1216" s="183"/>
      <c r="R1216" s="183"/>
      <c r="S1216" s="183"/>
      <c r="T1216" s="183"/>
      <c r="U1216" s="183"/>
      <c r="V1216" s="183"/>
      <c r="W1216" s="183"/>
      <c r="X1216" s="183"/>
      <c r="Y1216" s="183"/>
      <c r="Z1216" s="183"/>
    </row>
    <row r="1217" spans="2:26">
      <c r="B1217" s="191"/>
      <c r="D1217" s="183"/>
      <c r="I1217" s="183"/>
      <c r="J1217" s="183"/>
      <c r="L1217" s="183"/>
      <c r="M1217" s="183"/>
      <c r="N1217" s="183"/>
      <c r="O1217" s="183"/>
      <c r="P1217" s="183"/>
      <c r="Q1217" s="183"/>
      <c r="R1217" s="183"/>
      <c r="S1217" s="183"/>
      <c r="T1217" s="183"/>
      <c r="U1217" s="183"/>
      <c r="V1217" s="183"/>
      <c r="W1217" s="183"/>
      <c r="X1217" s="183"/>
      <c r="Y1217" s="183"/>
      <c r="Z1217" s="183"/>
    </row>
    <row r="1218" spans="2:26">
      <c r="B1218" s="191"/>
      <c r="D1218" s="183"/>
      <c r="I1218" s="183"/>
      <c r="J1218" s="183"/>
      <c r="L1218" s="183"/>
      <c r="M1218" s="183"/>
      <c r="N1218" s="183"/>
      <c r="O1218" s="183"/>
      <c r="P1218" s="183"/>
      <c r="Q1218" s="183"/>
      <c r="R1218" s="183"/>
      <c r="S1218" s="183"/>
      <c r="T1218" s="183"/>
      <c r="U1218" s="183"/>
      <c r="V1218" s="183"/>
      <c r="W1218" s="183"/>
      <c r="X1218" s="183"/>
      <c r="Y1218" s="183"/>
      <c r="Z1218" s="183"/>
    </row>
    <row r="1219" spans="2:26">
      <c r="B1219" s="191"/>
      <c r="D1219" s="183"/>
      <c r="I1219" s="183"/>
      <c r="J1219" s="183"/>
      <c r="L1219" s="183"/>
      <c r="M1219" s="183"/>
      <c r="N1219" s="183"/>
      <c r="O1219" s="183"/>
      <c r="P1219" s="183"/>
      <c r="Q1219" s="183"/>
      <c r="R1219" s="183"/>
      <c r="S1219" s="183"/>
      <c r="T1219" s="183"/>
      <c r="U1219" s="183"/>
      <c r="V1219" s="183"/>
      <c r="W1219" s="183"/>
      <c r="X1219" s="183"/>
      <c r="Y1219" s="183"/>
      <c r="Z1219" s="183"/>
    </row>
    <row r="1220" spans="2:26">
      <c r="B1220" s="191"/>
      <c r="D1220" s="183"/>
      <c r="I1220" s="183"/>
      <c r="J1220" s="183"/>
      <c r="L1220" s="183"/>
      <c r="M1220" s="183"/>
      <c r="N1220" s="183"/>
      <c r="O1220" s="183"/>
      <c r="P1220" s="183"/>
      <c r="Q1220" s="183"/>
      <c r="R1220" s="183"/>
      <c r="S1220" s="183"/>
      <c r="T1220" s="183"/>
      <c r="U1220" s="183"/>
      <c r="V1220" s="183"/>
      <c r="W1220" s="183"/>
      <c r="X1220" s="183"/>
      <c r="Y1220" s="183"/>
      <c r="Z1220" s="183"/>
    </row>
    <row r="1221" spans="2:26">
      <c r="B1221" s="191"/>
      <c r="D1221" s="183"/>
      <c r="I1221" s="183"/>
      <c r="J1221" s="183"/>
      <c r="L1221" s="183"/>
      <c r="M1221" s="183"/>
      <c r="N1221" s="183"/>
      <c r="O1221" s="183"/>
      <c r="P1221" s="183"/>
      <c r="Q1221" s="183"/>
      <c r="R1221" s="183"/>
      <c r="S1221" s="183"/>
      <c r="T1221" s="183"/>
      <c r="U1221" s="183"/>
      <c r="V1221" s="183"/>
      <c r="W1221" s="183"/>
      <c r="X1221" s="183"/>
      <c r="Y1221" s="183"/>
      <c r="Z1221" s="183"/>
    </row>
    <row r="1222" spans="2:26">
      <c r="B1222" s="191"/>
      <c r="D1222" s="183"/>
      <c r="I1222" s="183"/>
      <c r="J1222" s="183"/>
      <c r="L1222" s="183"/>
      <c r="M1222" s="183"/>
      <c r="N1222" s="183"/>
      <c r="O1222" s="183"/>
      <c r="P1222" s="183"/>
      <c r="Q1222" s="183"/>
      <c r="R1222" s="183"/>
      <c r="S1222" s="183"/>
      <c r="T1222" s="183"/>
      <c r="U1222" s="183"/>
      <c r="V1222" s="183"/>
      <c r="W1222" s="183"/>
      <c r="X1222" s="183"/>
      <c r="Y1222" s="183"/>
      <c r="Z1222" s="183"/>
    </row>
    <row r="1223" spans="2:26">
      <c r="B1223" s="191"/>
      <c r="D1223" s="183"/>
      <c r="I1223" s="183"/>
      <c r="J1223" s="183"/>
      <c r="L1223" s="183"/>
      <c r="M1223" s="183"/>
      <c r="N1223" s="183"/>
      <c r="O1223" s="183"/>
      <c r="P1223" s="183"/>
      <c r="Q1223" s="183"/>
      <c r="R1223" s="183"/>
      <c r="S1223" s="183"/>
      <c r="T1223" s="183"/>
      <c r="U1223" s="183"/>
      <c r="V1223" s="183"/>
      <c r="W1223" s="183"/>
      <c r="X1223" s="183"/>
      <c r="Y1223" s="183"/>
      <c r="Z1223" s="183"/>
    </row>
    <row r="1224" spans="2:26">
      <c r="B1224" s="191"/>
      <c r="D1224" s="183"/>
      <c r="I1224" s="183"/>
      <c r="J1224" s="183"/>
      <c r="L1224" s="183"/>
      <c r="M1224" s="183"/>
      <c r="N1224" s="183"/>
      <c r="O1224" s="183"/>
      <c r="P1224" s="183"/>
      <c r="Q1224" s="183"/>
      <c r="R1224" s="183"/>
      <c r="S1224" s="183"/>
      <c r="T1224" s="183"/>
      <c r="U1224" s="183"/>
      <c r="V1224" s="183"/>
      <c r="W1224" s="183"/>
      <c r="X1224" s="183"/>
      <c r="Y1224" s="183"/>
      <c r="Z1224" s="183"/>
    </row>
    <row r="1225" spans="2:26">
      <c r="B1225" s="191"/>
      <c r="D1225" s="183"/>
      <c r="I1225" s="183"/>
      <c r="J1225" s="183"/>
      <c r="L1225" s="183"/>
      <c r="M1225" s="183"/>
      <c r="N1225" s="183"/>
      <c r="O1225" s="183"/>
      <c r="P1225" s="183"/>
      <c r="Q1225" s="183"/>
      <c r="R1225" s="183"/>
      <c r="S1225" s="183"/>
      <c r="T1225" s="183"/>
      <c r="U1225" s="183"/>
      <c r="V1225" s="183"/>
      <c r="W1225" s="183"/>
      <c r="X1225" s="183"/>
      <c r="Y1225" s="183"/>
      <c r="Z1225" s="183"/>
    </row>
    <row r="1226" spans="2:26">
      <c r="B1226" s="191"/>
      <c r="D1226" s="183"/>
      <c r="I1226" s="183"/>
      <c r="J1226" s="183"/>
      <c r="L1226" s="183"/>
      <c r="M1226" s="183"/>
      <c r="N1226" s="183"/>
      <c r="O1226" s="183"/>
      <c r="P1226" s="183"/>
      <c r="Q1226" s="183"/>
      <c r="R1226" s="183"/>
      <c r="S1226" s="183"/>
      <c r="T1226" s="183"/>
      <c r="U1226" s="183"/>
      <c r="V1226" s="183"/>
      <c r="W1226" s="183"/>
      <c r="X1226" s="183"/>
      <c r="Y1226" s="183"/>
      <c r="Z1226" s="183"/>
    </row>
    <row r="1227" spans="2:26">
      <c r="B1227" s="191"/>
      <c r="D1227" s="183"/>
      <c r="I1227" s="183"/>
      <c r="J1227" s="183"/>
      <c r="L1227" s="183"/>
      <c r="M1227" s="183"/>
      <c r="N1227" s="183"/>
      <c r="O1227" s="183"/>
      <c r="P1227" s="183"/>
      <c r="Q1227" s="183"/>
      <c r="R1227" s="183"/>
      <c r="S1227" s="183"/>
      <c r="T1227" s="183"/>
      <c r="U1227" s="183"/>
      <c r="V1227" s="183"/>
      <c r="W1227" s="183"/>
      <c r="X1227" s="183"/>
      <c r="Y1227" s="183"/>
      <c r="Z1227" s="183"/>
    </row>
    <row r="1228" spans="2:26">
      <c r="B1228" s="191"/>
      <c r="D1228" s="183"/>
      <c r="I1228" s="183"/>
      <c r="J1228" s="183"/>
      <c r="L1228" s="183"/>
      <c r="M1228" s="183"/>
      <c r="N1228" s="183"/>
      <c r="O1228" s="183"/>
      <c r="P1228" s="183"/>
      <c r="Q1228" s="183"/>
      <c r="R1228" s="183"/>
      <c r="S1228" s="183"/>
      <c r="T1228" s="183"/>
      <c r="U1228" s="183"/>
      <c r="V1228" s="183"/>
      <c r="W1228" s="183"/>
      <c r="X1228" s="183"/>
      <c r="Y1228" s="183"/>
      <c r="Z1228" s="183"/>
    </row>
    <row r="1229" spans="2:26">
      <c r="B1229" s="191"/>
      <c r="D1229" s="183"/>
      <c r="I1229" s="183"/>
      <c r="J1229" s="183"/>
      <c r="L1229" s="183"/>
      <c r="M1229" s="183"/>
      <c r="N1229" s="183"/>
      <c r="O1229" s="183"/>
      <c r="P1229" s="183"/>
      <c r="Q1229" s="183"/>
      <c r="R1229" s="183"/>
      <c r="S1229" s="183"/>
      <c r="T1229" s="183"/>
      <c r="U1229" s="183"/>
      <c r="V1229" s="183"/>
      <c r="W1229" s="183"/>
      <c r="X1229" s="183"/>
      <c r="Y1229" s="183"/>
      <c r="Z1229" s="183"/>
    </row>
    <row r="1230" spans="2:26">
      <c r="B1230" s="191"/>
      <c r="D1230" s="183"/>
      <c r="I1230" s="183"/>
      <c r="J1230" s="183"/>
      <c r="L1230" s="183"/>
      <c r="M1230" s="183"/>
      <c r="N1230" s="183"/>
      <c r="O1230" s="183"/>
      <c r="P1230" s="183"/>
      <c r="Q1230" s="183"/>
      <c r="R1230" s="183"/>
      <c r="S1230" s="183"/>
      <c r="T1230" s="183"/>
      <c r="U1230" s="183"/>
      <c r="V1230" s="183"/>
      <c r="W1230" s="183"/>
      <c r="X1230" s="183"/>
      <c r="Y1230" s="183"/>
      <c r="Z1230" s="183"/>
    </row>
    <row r="1231" spans="2:26">
      <c r="B1231" s="191"/>
      <c r="D1231" s="183"/>
      <c r="I1231" s="183"/>
      <c r="J1231" s="183"/>
      <c r="L1231" s="183"/>
      <c r="M1231" s="183"/>
      <c r="N1231" s="183"/>
      <c r="O1231" s="183"/>
      <c r="P1231" s="183"/>
      <c r="Q1231" s="183"/>
      <c r="R1231" s="183"/>
      <c r="S1231" s="183"/>
      <c r="T1231" s="183"/>
      <c r="U1231" s="183"/>
      <c r="V1231" s="183"/>
      <c r="W1231" s="183"/>
      <c r="X1231" s="183"/>
      <c r="Y1231" s="183"/>
      <c r="Z1231" s="183"/>
    </row>
    <row r="1232" spans="2:26">
      <c r="B1232" s="191"/>
      <c r="D1232" s="183"/>
      <c r="I1232" s="183"/>
      <c r="J1232" s="183"/>
      <c r="L1232" s="183"/>
      <c r="M1232" s="183"/>
      <c r="N1232" s="183"/>
      <c r="O1232" s="183"/>
      <c r="P1232" s="183"/>
      <c r="Q1232" s="183"/>
      <c r="R1232" s="183"/>
      <c r="S1232" s="183"/>
      <c r="T1232" s="183"/>
      <c r="U1232" s="183"/>
      <c r="V1232" s="183"/>
      <c r="W1232" s="183"/>
      <c r="X1232" s="183"/>
      <c r="Y1232" s="183"/>
      <c r="Z1232" s="183"/>
    </row>
    <row r="1233" spans="2:26">
      <c r="B1233" s="191"/>
      <c r="D1233" s="183"/>
      <c r="I1233" s="183"/>
      <c r="J1233" s="183"/>
      <c r="L1233" s="183"/>
      <c r="M1233" s="183"/>
      <c r="N1233" s="183"/>
      <c r="O1233" s="183"/>
      <c r="P1233" s="183"/>
      <c r="Q1233" s="183"/>
      <c r="R1233" s="183"/>
      <c r="S1233" s="183"/>
      <c r="T1233" s="183"/>
      <c r="U1233" s="183"/>
      <c r="V1233" s="183"/>
      <c r="W1233" s="183"/>
      <c r="X1233" s="183"/>
      <c r="Y1233" s="183"/>
      <c r="Z1233" s="183"/>
    </row>
    <row r="1234" spans="2:26">
      <c r="B1234" s="191"/>
      <c r="D1234" s="183"/>
      <c r="I1234" s="183"/>
      <c r="J1234" s="183"/>
      <c r="L1234" s="183"/>
      <c r="M1234" s="183"/>
      <c r="N1234" s="183"/>
      <c r="O1234" s="183"/>
      <c r="P1234" s="183"/>
      <c r="Q1234" s="183"/>
      <c r="R1234" s="183"/>
      <c r="S1234" s="183"/>
      <c r="T1234" s="183"/>
      <c r="U1234" s="183"/>
      <c r="V1234" s="183"/>
      <c r="W1234" s="183"/>
      <c r="X1234" s="183"/>
      <c r="Y1234" s="183"/>
      <c r="Z1234" s="183"/>
    </row>
    <row r="1235" spans="2:26">
      <c r="B1235" s="191"/>
      <c r="D1235" s="183"/>
      <c r="I1235" s="183"/>
      <c r="J1235" s="183"/>
      <c r="L1235" s="183"/>
      <c r="M1235" s="183"/>
      <c r="N1235" s="183"/>
      <c r="O1235" s="183"/>
      <c r="P1235" s="183"/>
      <c r="Q1235" s="183"/>
      <c r="R1235" s="183"/>
      <c r="S1235" s="183"/>
      <c r="T1235" s="183"/>
      <c r="U1235" s="183"/>
      <c r="V1235" s="183"/>
      <c r="W1235" s="183"/>
      <c r="X1235" s="183"/>
      <c r="Y1235" s="183"/>
      <c r="Z1235" s="183"/>
    </row>
    <row r="1236" spans="2:26">
      <c r="B1236" s="191"/>
      <c r="D1236" s="183"/>
      <c r="I1236" s="183"/>
      <c r="J1236" s="183"/>
      <c r="L1236" s="183"/>
      <c r="M1236" s="183"/>
      <c r="N1236" s="183"/>
      <c r="O1236" s="183"/>
      <c r="P1236" s="183"/>
      <c r="Q1236" s="183"/>
      <c r="R1236" s="183"/>
      <c r="S1236" s="183"/>
      <c r="T1236" s="183"/>
      <c r="U1236" s="183"/>
      <c r="V1236" s="183"/>
      <c r="W1236" s="183"/>
      <c r="X1236" s="183"/>
      <c r="Y1236" s="183"/>
      <c r="Z1236" s="183"/>
    </row>
    <row r="1237" spans="2:26">
      <c r="B1237" s="191"/>
      <c r="D1237" s="183"/>
      <c r="I1237" s="183"/>
      <c r="J1237" s="183"/>
      <c r="L1237" s="183"/>
      <c r="M1237" s="183"/>
      <c r="N1237" s="183"/>
      <c r="O1237" s="183"/>
      <c r="P1237" s="183"/>
      <c r="Q1237" s="183"/>
      <c r="R1237" s="183"/>
      <c r="S1237" s="183"/>
      <c r="T1237" s="183"/>
      <c r="U1237" s="183"/>
      <c r="V1237" s="183"/>
      <c r="W1237" s="183"/>
      <c r="X1237" s="183"/>
      <c r="Y1237" s="183"/>
      <c r="Z1237" s="183"/>
    </row>
    <row r="1238" spans="2:26">
      <c r="B1238" s="191"/>
      <c r="D1238" s="183"/>
      <c r="I1238" s="183"/>
      <c r="J1238" s="183"/>
      <c r="L1238" s="183"/>
      <c r="M1238" s="183"/>
      <c r="N1238" s="183"/>
      <c r="O1238" s="183"/>
      <c r="P1238" s="183"/>
      <c r="Q1238" s="183"/>
      <c r="R1238" s="183"/>
      <c r="S1238" s="183"/>
      <c r="T1238" s="183"/>
      <c r="U1238" s="183"/>
      <c r="V1238" s="183"/>
      <c r="W1238" s="183"/>
      <c r="X1238" s="183"/>
      <c r="Y1238" s="183"/>
      <c r="Z1238" s="183"/>
    </row>
    <row r="1239" spans="2:26">
      <c r="B1239" s="191"/>
      <c r="D1239" s="183"/>
      <c r="I1239" s="183"/>
      <c r="J1239" s="183"/>
      <c r="L1239" s="183"/>
      <c r="M1239" s="183"/>
      <c r="N1239" s="183"/>
      <c r="O1239" s="183"/>
      <c r="P1239" s="183"/>
      <c r="Q1239" s="183"/>
      <c r="R1239" s="183"/>
      <c r="S1239" s="183"/>
      <c r="T1239" s="183"/>
      <c r="U1239" s="183"/>
      <c r="V1239" s="183"/>
      <c r="W1239" s="183"/>
      <c r="X1239" s="183"/>
      <c r="Y1239" s="183"/>
      <c r="Z1239" s="183"/>
    </row>
    <row r="1240" spans="2:26">
      <c r="B1240" s="191"/>
      <c r="D1240" s="183"/>
      <c r="I1240" s="183"/>
      <c r="J1240" s="183"/>
      <c r="L1240" s="183"/>
      <c r="M1240" s="183"/>
      <c r="N1240" s="183"/>
      <c r="O1240" s="183"/>
      <c r="P1240" s="183"/>
      <c r="Q1240" s="183"/>
      <c r="R1240" s="183"/>
      <c r="S1240" s="183"/>
      <c r="T1240" s="183"/>
      <c r="U1240" s="183"/>
      <c r="V1240" s="183"/>
      <c r="W1240" s="183"/>
      <c r="X1240" s="183"/>
      <c r="Y1240" s="183"/>
      <c r="Z1240" s="183"/>
    </row>
    <row r="1241" spans="2:26">
      <c r="B1241" s="191"/>
      <c r="D1241" s="183"/>
      <c r="I1241" s="183"/>
      <c r="J1241" s="183"/>
      <c r="L1241" s="183"/>
      <c r="M1241" s="183"/>
      <c r="N1241" s="183"/>
      <c r="O1241" s="183"/>
      <c r="P1241" s="183"/>
      <c r="Q1241" s="183"/>
      <c r="R1241" s="183"/>
      <c r="S1241" s="183"/>
      <c r="T1241" s="183"/>
      <c r="U1241" s="183"/>
      <c r="V1241" s="183"/>
      <c r="W1241" s="183"/>
      <c r="X1241" s="183"/>
      <c r="Y1241" s="183"/>
      <c r="Z1241" s="183"/>
    </row>
    <row r="1242" spans="2:26">
      <c r="B1242" s="191"/>
      <c r="D1242" s="183"/>
      <c r="I1242" s="183"/>
      <c r="J1242" s="183"/>
      <c r="L1242" s="183"/>
      <c r="M1242" s="183"/>
      <c r="N1242" s="183"/>
      <c r="O1242" s="183"/>
      <c r="P1242" s="183"/>
      <c r="Q1242" s="183"/>
      <c r="R1242" s="183"/>
      <c r="S1242" s="183"/>
      <c r="T1242" s="183"/>
      <c r="U1242" s="183"/>
      <c r="V1242" s="183"/>
      <c r="W1242" s="183"/>
      <c r="X1242" s="183"/>
      <c r="Y1242" s="183"/>
      <c r="Z1242" s="183"/>
    </row>
    <row r="1243" spans="2:26">
      <c r="B1243" s="191"/>
      <c r="D1243" s="183"/>
      <c r="I1243" s="183"/>
      <c r="J1243" s="183"/>
      <c r="L1243" s="183"/>
      <c r="M1243" s="183"/>
      <c r="N1243" s="183"/>
      <c r="O1243" s="183"/>
      <c r="P1243" s="183"/>
      <c r="Q1243" s="183"/>
      <c r="R1243" s="183"/>
      <c r="S1243" s="183"/>
      <c r="T1243" s="183"/>
      <c r="U1243" s="183"/>
      <c r="V1243" s="183"/>
      <c r="W1243" s="183"/>
      <c r="X1243" s="183"/>
      <c r="Y1243" s="183"/>
      <c r="Z1243" s="183"/>
    </row>
    <row r="1244" spans="2:26">
      <c r="B1244" s="191"/>
      <c r="D1244" s="183"/>
      <c r="I1244" s="183"/>
      <c r="J1244" s="183"/>
      <c r="L1244" s="183"/>
      <c r="M1244" s="183"/>
      <c r="N1244" s="183"/>
      <c r="O1244" s="183"/>
      <c r="P1244" s="183"/>
      <c r="Q1244" s="183"/>
      <c r="R1244" s="183"/>
      <c r="S1244" s="183"/>
      <c r="T1244" s="183"/>
      <c r="U1244" s="183"/>
      <c r="V1244" s="183"/>
      <c r="W1244" s="183"/>
      <c r="X1244" s="183"/>
      <c r="Y1244" s="183"/>
      <c r="Z1244" s="183"/>
    </row>
    <row r="1245" spans="2:26">
      <c r="B1245" s="191"/>
      <c r="D1245" s="183"/>
      <c r="I1245" s="183"/>
      <c r="J1245" s="183"/>
      <c r="L1245" s="183"/>
      <c r="M1245" s="183"/>
      <c r="N1245" s="183"/>
      <c r="O1245" s="183"/>
      <c r="P1245" s="183"/>
      <c r="Q1245" s="183"/>
      <c r="R1245" s="183"/>
      <c r="S1245" s="183"/>
      <c r="T1245" s="183"/>
      <c r="U1245" s="183"/>
      <c r="V1245" s="183"/>
      <c r="W1245" s="183"/>
      <c r="X1245" s="183"/>
      <c r="Y1245" s="183"/>
      <c r="Z1245" s="183"/>
    </row>
    <row r="1246" spans="2:26">
      <c r="B1246" s="191"/>
      <c r="D1246" s="183"/>
      <c r="I1246" s="183"/>
      <c r="J1246" s="183"/>
      <c r="L1246" s="183"/>
      <c r="M1246" s="183"/>
      <c r="N1246" s="183"/>
      <c r="O1246" s="183"/>
      <c r="P1246" s="183"/>
      <c r="Q1246" s="183"/>
      <c r="R1246" s="183"/>
      <c r="S1246" s="183"/>
      <c r="T1246" s="183"/>
      <c r="U1246" s="183"/>
      <c r="V1246" s="183"/>
      <c r="W1246" s="183"/>
      <c r="X1246" s="183"/>
      <c r="Y1246" s="183"/>
      <c r="Z1246" s="183"/>
    </row>
    <row r="1247" spans="2:26">
      <c r="B1247" s="191"/>
      <c r="D1247" s="183"/>
      <c r="I1247" s="183"/>
      <c r="J1247" s="183"/>
      <c r="L1247" s="183"/>
      <c r="M1247" s="183"/>
      <c r="N1247" s="183"/>
      <c r="O1247" s="183"/>
      <c r="P1247" s="183"/>
      <c r="Q1247" s="183"/>
      <c r="R1247" s="183"/>
      <c r="S1247" s="183"/>
      <c r="T1247" s="183"/>
      <c r="U1247" s="183"/>
      <c r="V1247" s="183"/>
      <c r="W1247" s="183"/>
      <c r="X1247" s="183"/>
      <c r="Y1247" s="183"/>
      <c r="Z1247" s="183"/>
    </row>
    <row r="1248" spans="2:26">
      <c r="B1248" s="191"/>
      <c r="D1248" s="183"/>
      <c r="I1248" s="183"/>
      <c r="J1248" s="183"/>
      <c r="L1248" s="183"/>
      <c r="M1248" s="183"/>
      <c r="N1248" s="183"/>
      <c r="O1248" s="183"/>
      <c r="P1248" s="183"/>
      <c r="Q1248" s="183"/>
      <c r="R1248" s="183"/>
      <c r="S1248" s="183"/>
      <c r="T1248" s="183"/>
      <c r="U1248" s="183"/>
      <c r="V1248" s="183"/>
      <c r="W1248" s="183"/>
      <c r="X1248" s="183"/>
      <c r="Y1248" s="183"/>
      <c r="Z1248" s="183"/>
    </row>
    <row r="1249" spans="2:26">
      <c r="B1249" s="191"/>
      <c r="D1249" s="183"/>
      <c r="I1249" s="183"/>
      <c r="J1249" s="183"/>
      <c r="L1249" s="183"/>
      <c r="M1249" s="183"/>
      <c r="N1249" s="183"/>
      <c r="O1249" s="183"/>
      <c r="P1249" s="183"/>
      <c r="Q1249" s="183"/>
      <c r="R1249" s="183"/>
      <c r="S1249" s="183"/>
      <c r="T1249" s="183"/>
      <c r="U1249" s="183"/>
      <c r="V1249" s="183"/>
      <c r="W1249" s="183"/>
      <c r="X1249" s="183"/>
      <c r="Y1249" s="183"/>
      <c r="Z1249" s="183"/>
    </row>
    <row r="1250" spans="2:26">
      <c r="B1250" s="191"/>
      <c r="D1250" s="183"/>
      <c r="I1250" s="183"/>
      <c r="J1250" s="183"/>
      <c r="L1250" s="183"/>
      <c r="M1250" s="183"/>
      <c r="N1250" s="183"/>
      <c r="O1250" s="183"/>
      <c r="P1250" s="183"/>
      <c r="Q1250" s="183"/>
      <c r="R1250" s="183"/>
      <c r="S1250" s="183"/>
      <c r="T1250" s="183"/>
      <c r="U1250" s="183"/>
      <c r="V1250" s="183"/>
      <c r="W1250" s="183"/>
      <c r="X1250" s="183"/>
      <c r="Y1250" s="183"/>
      <c r="Z1250" s="183"/>
    </row>
    <row r="1251" spans="2:26">
      <c r="B1251" s="191"/>
      <c r="D1251" s="183"/>
      <c r="I1251" s="183"/>
      <c r="J1251" s="183"/>
      <c r="L1251" s="183"/>
      <c r="M1251" s="183"/>
      <c r="N1251" s="183"/>
      <c r="O1251" s="183"/>
      <c r="P1251" s="183"/>
      <c r="Q1251" s="183"/>
      <c r="R1251" s="183"/>
      <c r="S1251" s="183"/>
      <c r="T1251" s="183"/>
      <c r="U1251" s="183"/>
      <c r="V1251" s="183"/>
      <c r="W1251" s="183"/>
      <c r="X1251" s="183"/>
      <c r="Y1251" s="183"/>
      <c r="Z1251" s="183"/>
    </row>
    <row r="1252" spans="2:26">
      <c r="B1252" s="191"/>
      <c r="D1252" s="183"/>
      <c r="I1252" s="183"/>
      <c r="J1252" s="183"/>
      <c r="L1252" s="183"/>
      <c r="M1252" s="183"/>
      <c r="N1252" s="183"/>
      <c r="O1252" s="183"/>
      <c r="P1252" s="183"/>
      <c r="Q1252" s="183"/>
      <c r="R1252" s="183"/>
      <c r="S1252" s="183"/>
      <c r="T1252" s="183"/>
      <c r="U1252" s="183"/>
      <c r="V1252" s="183"/>
      <c r="W1252" s="183"/>
      <c r="X1252" s="183"/>
      <c r="Y1252" s="183"/>
      <c r="Z1252" s="183"/>
    </row>
    <row r="1253" spans="2:26">
      <c r="B1253" s="191"/>
      <c r="D1253" s="183"/>
      <c r="I1253" s="183"/>
      <c r="J1253" s="183"/>
      <c r="L1253" s="183"/>
      <c r="M1253" s="183"/>
      <c r="N1253" s="183"/>
      <c r="O1253" s="183"/>
      <c r="P1253" s="183"/>
      <c r="Q1253" s="183"/>
      <c r="R1253" s="183"/>
      <c r="S1253" s="183"/>
      <c r="T1253" s="183"/>
      <c r="U1253" s="183"/>
      <c r="V1253" s="183"/>
      <c r="W1253" s="183"/>
      <c r="X1253" s="183"/>
      <c r="Y1253" s="183"/>
      <c r="Z1253" s="183"/>
    </row>
    <row r="1254" spans="2:26">
      <c r="B1254" s="191"/>
      <c r="D1254" s="183"/>
      <c r="I1254" s="183"/>
      <c r="J1254" s="183"/>
      <c r="L1254" s="183"/>
      <c r="M1254" s="183"/>
      <c r="N1254" s="183"/>
      <c r="O1254" s="183"/>
      <c r="P1254" s="183"/>
      <c r="Q1254" s="183"/>
      <c r="R1254" s="183"/>
      <c r="S1254" s="183"/>
      <c r="T1254" s="183"/>
      <c r="U1254" s="183"/>
      <c r="V1254" s="183"/>
      <c r="W1254" s="183"/>
      <c r="X1254" s="183"/>
      <c r="Y1254" s="183"/>
      <c r="Z1254" s="183"/>
    </row>
    <row r="1255" spans="2:26">
      <c r="B1255" s="191"/>
      <c r="D1255" s="183"/>
      <c r="I1255" s="183"/>
      <c r="J1255" s="183"/>
      <c r="L1255" s="183"/>
      <c r="M1255" s="183"/>
      <c r="N1255" s="183"/>
      <c r="O1255" s="183"/>
      <c r="P1255" s="183"/>
      <c r="Q1255" s="183"/>
      <c r="R1255" s="183"/>
      <c r="S1255" s="183"/>
      <c r="T1255" s="183"/>
      <c r="U1255" s="183"/>
      <c r="V1255" s="183"/>
      <c r="W1255" s="183"/>
      <c r="X1255" s="183"/>
      <c r="Y1255" s="183"/>
      <c r="Z1255" s="183"/>
    </row>
    <row r="1256" spans="2:26">
      <c r="B1256" s="191"/>
      <c r="D1256" s="183"/>
      <c r="I1256" s="183"/>
      <c r="J1256" s="183"/>
      <c r="L1256" s="183"/>
      <c r="M1256" s="183"/>
      <c r="N1256" s="183"/>
      <c r="O1256" s="183"/>
      <c r="P1256" s="183"/>
      <c r="Q1256" s="183"/>
      <c r="R1256" s="183"/>
      <c r="S1256" s="183"/>
      <c r="T1256" s="183"/>
      <c r="U1256" s="183"/>
      <c r="V1256" s="183"/>
      <c r="W1256" s="183"/>
      <c r="X1256" s="183"/>
      <c r="Y1256" s="183"/>
      <c r="Z1256" s="183"/>
    </row>
    <row r="1257" spans="2:26">
      <c r="B1257" s="191"/>
      <c r="D1257" s="183"/>
      <c r="I1257" s="183"/>
      <c r="J1257" s="183"/>
      <c r="L1257" s="183"/>
      <c r="M1257" s="183"/>
      <c r="N1257" s="183"/>
      <c r="O1257" s="183"/>
      <c r="P1257" s="183"/>
      <c r="Q1257" s="183"/>
      <c r="R1257" s="183"/>
      <c r="S1257" s="183"/>
      <c r="T1257" s="183"/>
      <c r="U1257" s="183"/>
      <c r="V1257" s="183"/>
      <c r="W1257" s="183"/>
      <c r="X1257" s="183"/>
      <c r="Y1257" s="183"/>
      <c r="Z1257" s="183"/>
    </row>
    <row r="1258" spans="2:26">
      <c r="B1258" s="191"/>
      <c r="D1258" s="183"/>
      <c r="I1258" s="183"/>
      <c r="J1258" s="183"/>
      <c r="L1258" s="183"/>
      <c r="M1258" s="183"/>
      <c r="N1258" s="183"/>
      <c r="O1258" s="183"/>
      <c r="P1258" s="183"/>
      <c r="Q1258" s="183"/>
      <c r="R1258" s="183"/>
      <c r="S1258" s="183"/>
      <c r="T1258" s="183"/>
      <c r="U1258" s="183"/>
      <c r="V1258" s="183"/>
      <c r="W1258" s="183"/>
      <c r="X1258" s="183"/>
      <c r="Y1258" s="183"/>
      <c r="Z1258" s="183"/>
    </row>
    <row r="1259" spans="2:26">
      <c r="B1259" s="191"/>
      <c r="D1259" s="183"/>
      <c r="I1259" s="183"/>
      <c r="J1259" s="183"/>
      <c r="L1259" s="183"/>
      <c r="M1259" s="183"/>
      <c r="N1259" s="183"/>
      <c r="O1259" s="183"/>
      <c r="P1259" s="183"/>
      <c r="Q1259" s="183"/>
      <c r="R1259" s="183"/>
      <c r="S1259" s="183"/>
      <c r="T1259" s="183"/>
      <c r="U1259" s="183"/>
      <c r="V1259" s="183"/>
      <c r="W1259" s="183"/>
      <c r="X1259" s="183"/>
      <c r="Y1259" s="183"/>
      <c r="Z1259" s="183"/>
    </row>
    <row r="1260" spans="2:26">
      <c r="B1260" s="191"/>
      <c r="D1260" s="183"/>
      <c r="I1260" s="183"/>
      <c r="J1260" s="183"/>
      <c r="L1260" s="183"/>
      <c r="M1260" s="183"/>
      <c r="N1260" s="183"/>
      <c r="O1260" s="183"/>
      <c r="P1260" s="183"/>
      <c r="Q1260" s="183"/>
      <c r="R1260" s="183"/>
      <c r="S1260" s="183"/>
      <c r="T1260" s="183"/>
      <c r="U1260" s="183"/>
      <c r="V1260" s="183"/>
      <c r="W1260" s="183"/>
      <c r="X1260" s="183"/>
      <c r="Y1260" s="183"/>
      <c r="Z1260" s="183"/>
    </row>
    <row r="1261" spans="2:26">
      <c r="B1261" s="191"/>
      <c r="D1261" s="183"/>
      <c r="I1261" s="183"/>
      <c r="J1261" s="183"/>
      <c r="L1261" s="183"/>
      <c r="M1261" s="183"/>
      <c r="N1261" s="183"/>
      <c r="O1261" s="183"/>
      <c r="P1261" s="183"/>
      <c r="Q1261" s="183"/>
      <c r="R1261" s="183"/>
      <c r="S1261" s="183"/>
      <c r="T1261" s="183"/>
      <c r="U1261" s="183"/>
      <c r="V1261" s="183"/>
      <c r="W1261" s="183"/>
      <c r="X1261" s="183"/>
      <c r="Y1261" s="183"/>
      <c r="Z1261" s="183"/>
    </row>
    <row r="1262" spans="2:26">
      <c r="B1262" s="191"/>
      <c r="D1262" s="183"/>
      <c r="I1262" s="183"/>
      <c r="J1262" s="183"/>
      <c r="L1262" s="183"/>
      <c r="M1262" s="183"/>
      <c r="N1262" s="183"/>
      <c r="O1262" s="183"/>
      <c r="P1262" s="183"/>
      <c r="Q1262" s="183"/>
      <c r="R1262" s="183"/>
      <c r="S1262" s="183"/>
      <c r="T1262" s="183"/>
      <c r="U1262" s="183"/>
      <c r="V1262" s="183"/>
      <c r="W1262" s="183"/>
      <c r="X1262" s="183"/>
      <c r="Y1262" s="183"/>
      <c r="Z1262" s="183"/>
    </row>
    <row r="1263" spans="2:26">
      <c r="B1263" s="191"/>
      <c r="D1263" s="183"/>
      <c r="I1263" s="183"/>
      <c r="J1263" s="183"/>
      <c r="L1263" s="183"/>
      <c r="M1263" s="183"/>
      <c r="N1263" s="183"/>
      <c r="O1263" s="183"/>
      <c r="P1263" s="183"/>
      <c r="Q1263" s="183"/>
      <c r="R1263" s="183"/>
      <c r="S1263" s="183"/>
      <c r="T1263" s="183"/>
      <c r="U1263" s="183"/>
      <c r="V1263" s="183"/>
      <c r="W1263" s="183"/>
      <c r="X1263" s="183"/>
      <c r="Y1263" s="183"/>
      <c r="Z1263" s="183"/>
    </row>
    <row r="1264" spans="2:26">
      <c r="B1264" s="191"/>
      <c r="D1264" s="183"/>
      <c r="I1264" s="183"/>
      <c r="J1264" s="183"/>
      <c r="L1264" s="183"/>
      <c r="M1264" s="183"/>
      <c r="N1264" s="183"/>
      <c r="O1264" s="183"/>
      <c r="P1264" s="183"/>
      <c r="Q1264" s="183"/>
      <c r="R1264" s="183"/>
      <c r="S1264" s="183"/>
      <c r="T1264" s="183"/>
      <c r="U1264" s="183"/>
      <c r="V1264" s="183"/>
      <c r="W1264" s="183"/>
      <c r="X1264" s="183"/>
      <c r="Y1264" s="183"/>
      <c r="Z1264" s="183"/>
    </row>
    <row r="1265" spans="2:26">
      <c r="B1265" s="191"/>
      <c r="D1265" s="183"/>
      <c r="I1265" s="183"/>
      <c r="J1265" s="183"/>
      <c r="L1265" s="183"/>
      <c r="M1265" s="183"/>
      <c r="N1265" s="183"/>
      <c r="O1265" s="183"/>
      <c r="P1265" s="183"/>
      <c r="Q1265" s="183"/>
      <c r="R1265" s="183"/>
      <c r="S1265" s="183"/>
      <c r="T1265" s="183"/>
      <c r="U1265" s="183"/>
      <c r="V1265" s="183"/>
      <c r="W1265" s="183"/>
      <c r="X1265" s="183"/>
      <c r="Y1265" s="183"/>
      <c r="Z1265" s="183"/>
    </row>
    <row r="1266" spans="2:26">
      <c r="B1266" s="191"/>
      <c r="D1266" s="183"/>
      <c r="I1266" s="183"/>
      <c r="J1266" s="183"/>
      <c r="L1266" s="183"/>
      <c r="M1266" s="183"/>
      <c r="N1266" s="183"/>
      <c r="O1266" s="183"/>
      <c r="P1266" s="183"/>
      <c r="Q1266" s="183"/>
      <c r="R1266" s="183"/>
      <c r="S1266" s="183"/>
      <c r="T1266" s="183"/>
      <c r="U1266" s="183"/>
      <c r="V1266" s="183"/>
      <c r="W1266" s="183"/>
      <c r="X1266" s="183"/>
      <c r="Y1266" s="183"/>
      <c r="Z1266" s="183"/>
    </row>
    <row r="1267" spans="2:26">
      <c r="B1267" s="191"/>
      <c r="D1267" s="183"/>
      <c r="I1267" s="183"/>
      <c r="J1267" s="183"/>
      <c r="L1267" s="183"/>
      <c r="M1267" s="183"/>
      <c r="N1267" s="183"/>
      <c r="O1267" s="183"/>
      <c r="P1267" s="183"/>
      <c r="Q1267" s="183"/>
      <c r="R1267" s="183"/>
      <c r="S1267" s="183"/>
      <c r="T1267" s="183"/>
      <c r="U1267" s="183"/>
      <c r="V1267" s="183"/>
      <c r="W1267" s="183"/>
      <c r="X1267" s="183"/>
      <c r="Y1267" s="183"/>
      <c r="Z1267" s="183"/>
    </row>
    <row r="1268" spans="2:26">
      <c r="B1268" s="191"/>
      <c r="D1268" s="183"/>
      <c r="I1268" s="183"/>
      <c r="J1268" s="183"/>
      <c r="L1268" s="183"/>
      <c r="M1268" s="183"/>
      <c r="N1268" s="183"/>
      <c r="O1268" s="183"/>
      <c r="P1268" s="183"/>
      <c r="Q1268" s="183"/>
      <c r="R1268" s="183"/>
      <c r="S1268" s="183"/>
      <c r="T1268" s="183"/>
      <c r="U1268" s="183"/>
      <c r="V1268" s="183"/>
      <c r="W1268" s="183"/>
      <c r="X1268" s="183"/>
      <c r="Y1268" s="183"/>
      <c r="Z1268" s="183"/>
    </row>
    <row r="1269" spans="2:26">
      <c r="B1269" s="191"/>
      <c r="D1269" s="183"/>
      <c r="I1269" s="183"/>
      <c r="J1269" s="183"/>
      <c r="L1269" s="183"/>
      <c r="M1269" s="183"/>
      <c r="N1269" s="183"/>
      <c r="O1269" s="183"/>
      <c r="P1269" s="183"/>
      <c r="Q1269" s="183"/>
      <c r="R1269" s="183"/>
      <c r="S1269" s="183"/>
      <c r="T1269" s="183"/>
      <c r="U1269" s="183"/>
      <c r="V1269" s="183"/>
      <c r="W1269" s="183"/>
      <c r="X1269" s="183"/>
      <c r="Y1269" s="183"/>
      <c r="Z1269" s="183"/>
    </row>
    <row r="1270" spans="2:26">
      <c r="B1270" s="191"/>
      <c r="D1270" s="183"/>
      <c r="I1270" s="183"/>
      <c r="J1270" s="183"/>
      <c r="L1270" s="183"/>
      <c r="M1270" s="183"/>
      <c r="N1270" s="183"/>
      <c r="O1270" s="183"/>
      <c r="P1270" s="183"/>
      <c r="Q1270" s="183"/>
      <c r="R1270" s="183"/>
      <c r="S1270" s="183"/>
      <c r="T1270" s="183"/>
      <c r="U1270" s="183"/>
      <c r="V1270" s="183"/>
      <c r="W1270" s="183"/>
      <c r="X1270" s="183"/>
      <c r="Y1270" s="183"/>
      <c r="Z1270" s="183"/>
    </row>
    <row r="1271" spans="2:26">
      <c r="B1271" s="191"/>
      <c r="D1271" s="183"/>
      <c r="I1271" s="183"/>
      <c r="J1271" s="183"/>
      <c r="L1271" s="183"/>
      <c r="M1271" s="183"/>
      <c r="N1271" s="183"/>
      <c r="O1271" s="183"/>
      <c r="P1271" s="183"/>
      <c r="Q1271" s="183"/>
      <c r="R1271" s="183"/>
      <c r="S1271" s="183"/>
      <c r="T1271" s="183"/>
      <c r="U1271" s="183"/>
      <c r="V1271" s="183"/>
      <c r="W1271" s="183"/>
      <c r="X1271" s="183"/>
      <c r="Y1271" s="183"/>
      <c r="Z1271" s="183"/>
    </row>
    <row r="1272" spans="2:26">
      <c r="B1272" s="191"/>
      <c r="D1272" s="183"/>
      <c r="I1272" s="183"/>
      <c r="J1272" s="183"/>
      <c r="L1272" s="183"/>
      <c r="M1272" s="183"/>
      <c r="N1272" s="183"/>
      <c r="O1272" s="183"/>
      <c r="P1272" s="183"/>
      <c r="Q1272" s="183"/>
      <c r="R1272" s="183"/>
      <c r="S1272" s="183"/>
      <c r="T1272" s="183"/>
      <c r="U1272" s="183"/>
      <c r="V1272" s="183"/>
      <c r="W1272" s="183"/>
      <c r="X1272" s="183"/>
      <c r="Y1272" s="183"/>
      <c r="Z1272" s="183"/>
    </row>
    <row r="1273" spans="2:26">
      <c r="B1273" s="191"/>
      <c r="D1273" s="183"/>
      <c r="I1273" s="183"/>
      <c r="J1273" s="183"/>
      <c r="L1273" s="183"/>
      <c r="M1273" s="183"/>
      <c r="N1273" s="183"/>
      <c r="O1273" s="183"/>
      <c r="P1273" s="183"/>
      <c r="Q1273" s="183"/>
      <c r="R1273" s="183"/>
      <c r="S1273" s="183"/>
      <c r="T1273" s="183"/>
      <c r="U1273" s="183"/>
      <c r="V1273" s="183"/>
      <c r="W1273" s="183"/>
      <c r="X1273" s="183"/>
      <c r="Y1273" s="183"/>
      <c r="Z1273" s="183"/>
    </row>
    <row r="1274" spans="2:26">
      <c r="B1274" s="191"/>
      <c r="D1274" s="183"/>
      <c r="I1274" s="183"/>
      <c r="J1274" s="183"/>
      <c r="L1274" s="183"/>
      <c r="M1274" s="183"/>
      <c r="N1274" s="183"/>
      <c r="O1274" s="183"/>
      <c r="P1274" s="183"/>
      <c r="Q1274" s="183"/>
      <c r="R1274" s="183"/>
      <c r="S1274" s="183"/>
      <c r="T1274" s="183"/>
      <c r="U1274" s="183"/>
      <c r="V1274" s="183"/>
      <c r="W1274" s="183"/>
      <c r="X1274" s="183"/>
      <c r="Y1274" s="183"/>
      <c r="Z1274" s="183"/>
    </row>
    <row r="1275" spans="2:26">
      <c r="B1275" s="191"/>
      <c r="D1275" s="183"/>
      <c r="I1275" s="183"/>
      <c r="J1275" s="183"/>
      <c r="L1275" s="183"/>
      <c r="M1275" s="183"/>
      <c r="N1275" s="183"/>
      <c r="O1275" s="183"/>
      <c r="P1275" s="183"/>
      <c r="Q1275" s="183"/>
      <c r="R1275" s="183"/>
      <c r="S1275" s="183"/>
      <c r="T1275" s="183"/>
      <c r="U1275" s="183"/>
      <c r="V1275" s="183"/>
      <c r="W1275" s="183"/>
      <c r="X1275" s="183"/>
      <c r="Y1275" s="183"/>
      <c r="Z1275" s="183"/>
    </row>
    <row r="1276" spans="2:26">
      <c r="B1276" s="191"/>
      <c r="D1276" s="183"/>
      <c r="I1276" s="183"/>
      <c r="J1276" s="183"/>
      <c r="L1276" s="183"/>
      <c r="M1276" s="183"/>
      <c r="N1276" s="183"/>
      <c r="O1276" s="183"/>
      <c r="P1276" s="183"/>
      <c r="Q1276" s="183"/>
      <c r="R1276" s="183"/>
      <c r="S1276" s="183"/>
      <c r="T1276" s="183"/>
      <c r="U1276" s="183"/>
      <c r="V1276" s="183"/>
      <c r="W1276" s="183"/>
      <c r="X1276" s="183"/>
      <c r="Y1276" s="183"/>
      <c r="Z1276" s="183"/>
    </row>
    <row r="1277" spans="2:26">
      <c r="B1277" s="191"/>
      <c r="D1277" s="183"/>
      <c r="I1277" s="183"/>
      <c r="J1277" s="183"/>
      <c r="L1277" s="183"/>
      <c r="M1277" s="183"/>
      <c r="N1277" s="183"/>
      <c r="O1277" s="183"/>
      <c r="P1277" s="183"/>
      <c r="Q1277" s="183"/>
      <c r="R1277" s="183"/>
      <c r="S1277" s="183"/>
      <c r="T1277" s="183"/>
      <c r="U1277" s="183"/>
      <c r="V1277" s="183"/>
      <c r="W1277" s="183"/>
      <c r="X1277" s="183"/>
      <c r="Y1277" s="183"/>
      <c r="Z1277" s="183"/>
    </row>
    <row r="1278" spans="2:26">
      <c r="B1278" s="191"/>
      <c r="D1278" s="183"/>
      <c r="I1278" s="183"/>
      <c r="J1278" s="183"/>
      <c r="L1278" s="183"/>
      <c r="M1278" s="183"/>
      <c r="N1278" s="183"/>
      <c r="O1278" s="183"/>
      <c r="P1278" s="183"/>
      <c r="Q1278" s="183"/>
      <c r="R1278" s="183"/>
      <c r="S1278" s="183"/>
      <c r="T1278" s="183"/>
      <c r="U1278" s="183"/>
      <c r="V1278" s="183"/>
      <c r="W1278" s="183"/>
      <c r="X1278" s="183"/>
      <c r="Y1278" s="183"/>
      <c r="Z1278" s="183"/>
    </row>
    <row r="1279" spans="2:26">
      <c r="B1279" s="191"/>
      <c r="D1279" s="183"/>
      <c r="I1279" s="183"/>
      <c r="J1279" s="183"/>
      <c r="L1279" s="183"/>
      <c r="M1279" s="183"/>
      <c r="N1279" s="183"/>
      <c r="O1279" s="183"/>
      <c r="P1279" s="183"/>
      <c r="Q1279" s="183"/>
      <c r="R1279" s="183"/>
      <c r="S1279" s="183"/>
      <c r="T1279" s="183"/>
      <c r="U1279" s="183"/>
      <c r="V1279" s="183"/>
      <c r="W1279" s="183"/>
      <c r="X1279" s="183"/>
      <c r="Y1279" s="183"/>
      <c r="Z1279" s="183"/>
    </row>
    <row r="1280" spans="2:26">
      <c r="B1280" s="191"/>
      <c r="D1280" s="183"/>
      <c r="I1280" s="183"/>
      <c r="J1280" s="183"/>
      <c r="L1280" s="183"/>
      <c r="M1280" s="183"/>
      <c r="N1280" s="183"/>
      <c r="O1280" s="183"/>
      <c r="P1280" s="183"/>
      <c r="Q1280" s="183"/>
      <c r="R1280" s="183"/>
      <c r="S1280" s="183"/>
      <c r="T1280" s="183"/>
      <c r="U1280" s="183"/>
      <c r="V1280" s="183"/>
      <c r="W1280" s="183"/>
      <c r="X1280" s="183"/>
      <c r="Y1280" s="183"/>
      <c r="Z1280" s="183"/>
    </row>
    <row r="1281" spans="2:26">
      <c r="B1281" s="191"/>
      <c r="D1281" s="183"/>
      <c r="I1281" s="183"/>
      <c r="J1281" s="183"/>
      <c r="L1281" s="183"/>
      <c r="M1281" s="183"/>
      <c r="N1281" s="183"/>
      <c r="O1281" s="183"/>
      <c r="P1281" s="183"/>
      <c r="Q1281" s="183"/>
      <c r="R1281" s="183"/>
      <c r="S1281" s="183"/>
      <c r="T1281" s="183"/>
      <c r="U1281" s="183"/>
      <c r="V1281" s="183"/>
      <c r="W1281" s="183"/>
      <c r="X1281" s="183"/>
      <c r="Y1281" s="183"/>
      <c r="Z1281" s="183"/>
    </row>
    <row r="1282" spans="2:26">
      <c r="B1282" s="191"/>
      <c r="D1282" s="183"/>
      <c r="I1282" s="183"/>
      <c r="J1282" s="183"/>
      <c r="L1282" s="183"/>
      <c r="M1282" s="183"/>
      <c r="N1282" s="183"/>
      <c r="O1282" s="183"/>
      <c r="P1282" s="183"/>
      <c r="Q1282" s="183"/>
      <c r="R1282" s="183"/>
      <c r="S1282" s="183"/>
      <c r="T1282" s="183"/>
      <c r="U1282" s="183"/>
      <c r="V1282" s="183"/>
      <c r="W1282" s="183"/>
      <c r="X1282" s="183"/>
      <c r="Y1282" s="183"/>
      <c r="Z1282" s="183"/>
    </row>
    <row r="1283" spans="2:26">
      <c r="B1283" s="191"/>
      <c r="D1283" s="183"/>
      <c r="I1283" s="183"/>
      <c r="J1283" s="183"/>
      <c r="L1283" s="183"/>
      <c r="M1283" s="183"/>
      <c r="N1283" s="183"/>
      <c r="O1283" s="183"/>
      <c r="P1283" s="183"/>
      <c r="Q1283" s="183"/>
      <c r="R1283" s="183"/>
      <c r="S1283" s="183"/>
      <c r="T1283" s="183"/>
      <c r="U1283" s="183"/>
      <c r="V1283" s="183"/>
      <c r="W1283" s="183"/>
      <c r="X1283" s="183"/>
      <c r="Y1283" s="183"/>
      <c r="Z1283" s="183"/>
    </row>
    <row r="1284" spans="2:26">
      <c r="B1284" s="191"/>
      <c r="D1284" s="183"/>
      <c r="I1284" s="183"/>
      <c r="J1284" s="183"/>
      <c r="L1284" s="183"/>
      <c r="M1284" s="183"/>
      <c r="N1284" s="183"/>
      <c r="O1284" s="183"/>
      <c r="P1284" s="183"/>
      <c r="Q1284" s="183"/>
      <c r="R1284" s="183"/>
      <c r="S1284" s="183"/>
      <c r="T1284" s="183"/>
      <c r="U1284" s="183"/>
      <c r="V1284" s="183"/>
      <c r="W1284" s="183"/>
      <c r="X1284" s="183"/>
      <c r="Y1284" s="183"/>
      <c r="Z1284" s="183"/>
    </row>
    <row r="1285" spans="2:26">
      <c r="B1285" s="191"/>
      <c r="D1285" s="183"/>
      <c r="I1285" s="183"/>
      <c r="J1285" s="183"/>
      <c r="L1285" s="183"/>
      <c r="M1285" s="183"/>
      <c r="N1285" s="183"/>
      <c r="O1285" s="183"/>
      <c r="P1285" s="183"/>
      <c r="Q1285" s="183"/>
      <c r="R1285" s="183"/>
      <c r="S1285" s="183"/>
      <c r="T1285" s="183"/>
      <c r="U1285" s="183"/>
      <c r="V1285" s="183"/>
      <c r="W1285" s="183"/>
      <c r="X1285" s="183"/>
      <c r="Y1285" s="183"/>
      <c r="Z1285" s="183"/>
    </row>
    <row r="1286" spans="2:26">
      <c r="B1286" s="191"/>
      <c r="D1286" s="183"/>
      <c r="I1286" s="183"/>
      <c r="J1286" s="183"/>
      <c r="L1286" s="183"/>
      <c r="M1286" s="183"/>
      <c r="N1286" s="183"/>
      <c r="O1286" s="183"/>
      <c r="P1286" s="183"/>
      <c r="Q1286" s="183"/>
      <c r="R1286" s="183"/>
      <c r="S1286" s="183"/>
      <c r="T1286" s="183"/>
      <c r="U1286" s="183"/>
      <c r="V1286" s="183"/>
      <c r="W1286" s="183"/>
      <c r="X1286" s="183"/>
      <c r="Y1286" s="183"/>
      <c r="Z1286" s="183"/>
    </row>
    <row r="1287" spans="2:26">
      <c r="B1287" s="191"/>
      <c r="D1287" s="183"/>
      <c r="I1287" s="183"/>
      <c r="J1287" s="183"/>
      <c r="L1287" s="183"/>
      <c r="M1287" s="183"/>
      <c r="N1287" s="183"/>
      <c r="O1287" s="183"/>
      <c r="P1287" s="183"/>
      <c r="Q1287" s="183"/>
      <c r="R1287" s="183"/>
      <c r="S1287" s="183"/>
      <c r="T1287" s="183"/>
      <c r="U1287" s="183"/>
      <c r="V1287" s="183"/>
      <c r="W1287" s="183"/>
      <c r="X1287" s="183"/>
      <c r="Y1287" s="183"/>
      <c r="Z1287" s="183"/>
    </row>
    <row r="1288" spans="2:26">
      <c r="B1288" s="191"/>
      <c r="D1288" s="183"/>
      <c r="I1288" s="183"/>
      <c r="J1288" s="183"/>
      <c r="L1288" s="183"/>
      <c r="M1288" s="183"/>
      <c r="N1288" s="183"/>
      <c r="O1288" s="183"/>
      <c r="P1288" s="183"/>
      <c r="Q1288" s="183"/>
      <c r="R1288" s="183"/>
      <c r="S1288" s="183"/>
      <c r="T1288" s="183"/>
      <c r="U1288" s="183"/>
      <c r="V1288" s="183"/>
      <c r="W1288" s="183"/>
      <c r="X1288" s="183"/>
      <c r="Y1288" s="183"/>
      <c r="Z1288" s="183"/>
    </row>
    <row r="1289" spans="2:26">
      <c r="B1289" s="191"/>
      <c r="D1289" s="183"/>
      <c r="I1289" s="183"/>
      <c r="J1289" s="183"/>
      <c r="L1289" s="183"/>
      <c r="M1289" s="183"/>
      <c r="N1289" s="183"/>
      <c r="O1289" s="183"/>
      <c r="P1289" s="183"/>
      <c r="Q1289" s="183"/>
      <c r="R1289" s="183"/>
      <c r="S1289" s="183"/>
      <c r="T1289" s="183"/>
      <c r="U1289" s="183"/>
      <c r="V1289" s="183"/>
      <c r="W1289" s="183"/>
      <c r="X1289" s="183"/>
      <c r="Y1289" s="183"/>
      <c r="Z1289" s="183"/>
    </row>
    <row r="1290" spans="2:26">
      <c r="B1290" s="191"/>
      <c r="D1290" s="183"/>
      <c r="I1290" s="183"/>
      <c r="J1290" s="183"/>
      <c r="L1290" s="183"/>
      <c r="M1290" s="183"/>
      <c r="N1290" s="183"/>
      <c r="O1290" s="183"/>
      <c r="P1290" s="183"/>
      <c r="Q1290" s="183"/>
      <c r="R1290" s="183"/>
      <c r="S1290" s="183"/>
      <c r="T1290" s="183"/>
      <c r="U1290" s="183"/>
      <c r="V1290" s="183"/>
      <c r="W1290" s="183"/>
      <c r="X1290" s="183"/>
      <c r="Y1290" s="183"/>
      <c r="Z1290" s="183"/>
    </row>
    <row r="1291" spans="2:26">
      <c r="B1291" s="191"/>
      <c r="D1291" s="183"/>
      <c r="I1291" s="183"/>
      <c r="J1291" s="183"/>
      <c r="L1291" s="183"/>
      <c r="M1291" s="183"/>
      <c r="N1291" s="183"/>
      <c r="O1291" s="183"/>
      <c r="P1291" s="183"/>
      <c r="Q1291" s="183"/>
      <c r="R1291" s="183"/>
      <c r="S1291" s="183"/>
      <c r="T1291" s="183"/>
      <c r="U1291" s="183"/>
      <c r="V1291" s="183"/>
      <c r="W1291" s="183"/>
      <c r="X1291" s="183"/>
      <c r="Y1291" s="183"/>
      <c r="Z1291" s="183"/>
    </row>
    <row r="1292" spans="2:26">
      <c r="B1292" s="191"/>
      <c r="D1292" s="183"/>
      <c r="I1292" s="183"/>
      <c r="J1292" s="183"/>
      <c r="L1292" s="183"/>
      <c r="M1292" s="183"/>
      <c r="N1292" s="183"/>
      <c r="O1292" s="183"/>
      <c r="P1292" s="183"/>
      <c r="Q1292" s="183"/>
      <c r="R1292" s="183"/>
      <c r="S1292" s="183"/>
      <c r="T1292" s="183"/>
      <c r="U1292" s="183"/>
      <c r="V1292" s="183"/>
      <c r="W1292" s="183"/>
      <c r="X1292" s="183"/>
      <c r="Y1292" s="183"/>
      <c r="Z1292" s="183"/>
    </row>
    <row r="1293" spans="2:26">
      <c r="B1293" s="191"/>
      <c r="D1293" s="183"/>
      <c r="I1293" s="183"/>
      <c r="J1293" s="183"/>
      <c r="L1293" s="183"/>
      <c r="M1293" s="183"/>
      <c r="N1293" s="183"/>
      <c r="O1293" s="183"/>
      <c r="P1293" s="183"/>
      <c r="Q1293" s="183"/>
      <c r="R1293" s="183"/>
      <c r="S1293" s="183"/>
      <c r="T1293" s="183"/>
      <c r="U1293" s="183"/>
      <c r="V1293" s="183"/>
      <c r="W1293" s="183"/>
      <c r="X1293" s="183"/>
      <c r="Y1293" s="183"/>
      <c r="Z1293" s="183"/>
    </row>
    <row r="1294" spans="2:26">
      <c r="B1294" s="191"/>
      <c r="D1294" s="183"/>
      <c r="I1294" s="183"/>
      <c r="J1294" s="183"/>
      <c r="L1294" s="183"/>
      <c r="M1294" s="183"/>
      <c r="N1294" s="183"/>
      <c r="O1294" s="183"/>
      <c r="P1294" s="183"/>
      <c r="Q1294" s="183"/>
      <c r="R1294" s="183"/>
      <c r="S1294" s="183"/>
      <c r="T1294" s="183"/>
      <c r="U1294" s="183"/>
      <c r="V1294" s="183"/>
      <c r="W1294" s="183"/>
      <c r="X1294" s="183"/>
      <c r="Y1294" s="183"/>
      <c r="Z1294" s="183"/>
    </row>
    <row r="1295" spans="2:26">
      <c r="B1295" s="191"/>
      <c r="D1295" s="183"/>
      <c r="I1295" s="183"/>
      <c r="J1295" s="183"/>
      <c r="L1295" s="183"/>
      <c r="M1295" s="183"/>
      <c r="N1295" s="183"/>
      <c r="O1295" s="183"/>
      <c r="P1295" s="183"/>
      <c r="Q1295" s="183"/>
      <c r="R1295" s="183"/>
      <c r="S1295" s="183"/>
      <c r="T1295" s="183"/>
      <c r="U1295" s="183"/>
      <c r="V1295" s="183"/>
      <c r="W1295" s="183"/>
      <c r="X1295" s="183"/>
      <c r="Y1295" s="183"/>
      <c r="Z1295" s="183"/>
    </row>
    <row r="1296" spans="2:26">
      <c r="B1296" s="191"/>
      <c r="D1296" s="183"/>
      <c r="I1296" s="183"/>
      <c r="J1296" s="183"/>
      <c r="L1296" s="183"/>
      <c r="M1296" s="183"/>
      <c r="N1296" s="183"/>
      <c r="O1296" s="183"/>
      <c r="P1296" s="183"/>
      <c r="Q1296" s="183"/>
      <c r="R1296" s="183"/>
      <c r="S1296" s="183"/>
      <c r="T1296" s="183"/>
      <c r="U1296" s="183"/>
      <c r="V1296" s="183"/>
      <c r="W1296" s="183"/>
      <c r="X1296" s="183"/>
      <c r="Y1296" s="183"/>
      <c r="Z1296" s="183"/>
    </row>
    <row r="1297" spans="2:26">
      <c r="B1297" s="191"/>
      <c r="D1297" s="183"/>
      <c r="I1297" s="183"/>
      <c r="J1297" s="183"/>
      <c r="L1297" s="183"/>
      <c r="M1297" s="183"/>
      <c r="N1297" s="183"/>
      <c r="O1297" s="183"/>
      <c r="P1297" s="183"/>
      <c r="Q1297" s="183"/>
      <c r="R1297" s="183"/>
      <c r="S1297" s="183"/>
      <c r="T1297" s="183"/>
      <c r="U1297" s="183"/>
      <c r="V1297" s="183"/>
      <c r="W1297" s="183"/>
      <c r="X1297" s="183"/>
      <c r="Y1297" s="183"/>
      <c r="Z1297" s="183"/>
    </row>
    <row r="1298" spans="2:26">
      <c r="B1298" s="191"/>
      <c r="D1298" s="183"/>
      <c r="I1298" s="183"/>
      <c r="J1298" s="183"/>
      <c r="L1298" s="183"/>
      <c r="M1298" s="183"/>
      <c r="N1298" s="183"/>
      <c r="O1298" s="183"/>
      <c r="P1298" s="183"/>
      <c r="Q1298" s="183"/>
      <c r="R1298" s="183"/>
      <c r="S1298" s="183"/>
      <c r="T1298" s="183"/>
      <c r="U1298" s="183"/>
      <c r="V1298" s="183"/>
      <c r="W1298" s="183"/>
      <c r="X1298" s="183"/>
      <c r="Y1298" s="183"/>
      <c r="Z1298" s="183"/>
    </row>
    <row r="1299" spans="2:26">
      <c r="B1299" s="191"/>
      <c r="D1299" s="183"/>
      <c r="I1299" s="183"/>
      <c r="J1299" s="183"/>
      <c r="L1299" s="183"/>
      <c r="M1299" s="183"/>
      <c r="N1299" s="183"/>
      <c r="O1299" s="183"/>
      <c r="P1299" s="183"/>
      <c r="Q1299" s="183"/>
      <c r="R1299" s="183"/>
      <c r="S1299" s="183"/>
      <c r="T1299" s="183"/>
      <c r="U1299" s="183"/>
      <c r="V1299" s="183"/>
      <c r="W1299" s="183"/>
      <c r="X1299" s="183"/>
      <c r="Y1299" s="183"/>
      <c r="Z1299" s="183"/>
    </row>
    <row r="1300" spans="2:26">
      <c r="B1300" s="191"/>
      <c r="D1300" s="183"/>
      <c r="I1300" s="183"/>
      <c r="J1300" s="183"/>
      <c r="L1300" s="183"/>
      <c r="M1300" s="183"/>
      <c r="N1300" s="183"/>
      <c r="O1300" s="183"/>
      <c r="P1300" s="183"/>
      <c r="Q1300" s="183"/>
      <c r="R1300" s="183"/>
      <c r="S1300" s="183"/>
      <c r="T1300" s="183"/>
      <c r="U1300" s="183"/>
      <c r="V1300" s="183"/>
      <c r="W1300" s="183"/>
      <c r="X1300" s="183"/>
      <c r="Y1300" s="183"/>
      <c r="Z1300" s="183"/>
    </row>
    <row r="1301" spans="2:26">
      <c r="B1301" s="191"/>
      <c r="D1301" s="183"/>
      <c r="I1301" s="183"/>
      <c r="J1301" s="183"/>
      <c r="L1301" s="183"/>
      <c r="M1301" s="183"/>
      <c r="N1301" s="183"/>
      <c r="O1301" s="183"/>
      <c r="P1301" s="183"/>
      <c r="Q1301" s="183"/>
      <c r="R1301" s="183"/>
      <c r="S1301" s="183"/>
      <c r="T1301" s="183"/>
      <c r="U1301" s="183"/>
      <c r="V1301" s="183"/>
      <c r="W1301" s="183"/>
      <c r="X1301" s="183"/>
      <c r="Y1301" s="183"/>
      <c r="Z1301" s="183"/>
    </row>
    <row r="1302" spans="2:26">
      <c r="B1302" s="191"/>
      <c r="D1302" s="183"/>
      <c r="I1302" s="183"/>
      <c r="J1302" s="183"/>
      <c r="L1302" s="183"/>
      <c r="M1302" s="183"/>
      <c r="N1302" s="183"/>
      <c r="O1302" s="183"/>
      <c r="P1302" s="183"/>
      <c r="Q1302" s="183"/>
      <c r="R1302" s="183"/>
      <c r="S1302" s="183"/>
      <c r="T1302" s="183"/>
      <c r="U1302" s="183"/>
      <c r="V1302" s="183"/>
      <c r="W1302" s="183"/>
      <c r="X1302" s="183"/>
      <c r="Y1302" s="183"/>
      <c r="Z1302" s="183"/>
    </row>
    <row r="1303" spans="2:26">
      <c r="B1303" s="191"/>
      <c r="D1303" s="183"/>
      <c r="I1303" s="183"/>
      <c r="J1303" s="183"/>
      <c r="L1303" s="183"/>
      <c r="M1303" s="183"/>
      <c r="N1303" s="183"/>
      <c r="O1303" s="183"/>
      <c r="P1303" s="183"/>
      <c r="Q1303" s="183"/>
      <c r="R1303" s="183"/>
      <c r="S1303" s="183"/>
      <c r="T1303" s="183"/>
      <c r="U1303" s="183"/>
      <c r="V1303" s="183"/>
      <c r="W1303" s="183"/>
      <c r="X1303" s="183"/>
      <c r="Y1303" s="183"/>
      <c r="Z1303" s="183"/>
    </row>
    <row r="1304" spans="2:26">
      <c r="B1304" s="191"/>
      <c r="D1304" s="183"/>
      <c r="I1304" s="183"/>
      <c r="J1304" s="183"/>
      <c r="L1304" s="183"/>
      <c r="M1304" s="183"/>
      <c r="N1304" s="183"/>
      <c r="O1304" s="183"/>
      <c r="P1304" s="183"/>
      <c r="Q1304" s="183"/>
      <c r="R1304" s="183"/>
      <c r="S1304" s="183"/>
      <c r="T1304" s="183"/>
      <c r="U1304" s="183"/>
      <c r="V1304" s="183"/>
      <c r="W1304" s="183"/>
      <c r="X1304" s="183"/>
      <c r="Y1304" s="183"/>
      <c r="Z1304" s="183"/>
    </row>
    <row r="1305" spans="2:26">
      <c r="B1305" s="191"/>
      <c r="D1305" s="183"/>
      <c r="I1305" s="183"/>
      <c r="J1305" s="183"/>
      <c r="L1305" s="183"/>
      <c r="M1305" s="183"/>
      <c r="N1305" s="183"/>
      <c r="O1305" s="183"/>
      <c r="P1305" s="183"/>
      <c r="Q1305" s="183"/>
      <c r="R1305" s="183"/>
      <c r="S1305" s="183"/>
      <c r="T1305" s="183"/>
      <c r="U1305" s="183"/>
      <c r="V1305" s="183"/>
      <c r="W1305" s="183"/>
      <c r="X1305" s="183"/>
      <c r="Y1305" s="183"/>
      <c r="Z1305" s="183"/>
    </row>
    <row r="1306" spans="2:26">
      <c r="B1306" s="191"/>
      <c r="D1306" s="183"/>
      <c r="I1306" s="183"/>
      <c r="J1306" s="183"/>
      <c r="L1306" s="183"/>
      <c r="M1306" s="183"/>
      <c r="N1306" s="183"/>
      <c r="O1306" s="183"/>
      <c r="P1306" s="183"/>
      <c r="Q1306" s="183"/>
      <c r="R1306" s="183"/>
      <c r="S1306" s="183"/>
      <c r="T1306" s="183"/>
      <c r="U1306" s="183"/>
      <c r="V1306" s="183"/>
      <c r="W1306" s="183"/>
      <c r="X1306" s="183"/>
      <c r="Y1306" s="183"/>
      <c r="Z1306" s="183"/>
    </row>
    <row r="1307" spans="2:26">
      <c r="B1307" s="191"/>
      <c r="D1307" s="183"/>
      <c r="I1307" s="183"/>
      <c r="J1307" s="183"/>
      <c r="L1307" s="183"/>
      <c r="M1307" s="183"/>
      <c r="N1307" s="183"/>
      <c r="O1307" s="183"/>
      <c r="P1307" s="183"/>
      <c r="Q1307" s="183"/>
      <c r="R1307" s="183"/>
      <c r="S1307" s="183"/>
      <c r="T1307" s="183"/>
      <c r="U1307" s="183"/>
      <c r="V1307" s="183"/>
      <c r="W1307" s="183"/>
      <c r="X1307" s="183"/>
      <c r="Y1307" s="183"/>
      <c r="Z1307" s="183"/>
    </row>
    <row r="1308" spans="2:26">
      <c r="B1308" s="191"/>
      <c r="D1308" s="183"/>
      <c r="I1308" s="183"/>
      <c r="J1308" s="183"/>
      <c r="L1308" s="183"/>
      <c r="M1308" s="183"/>
      <c r="N1308" s="183"/>
      <c r="O1308" s="183"/>
      <c r="P1308" s="183"/>
      <c r="Q1308" s="183"/>
      <c r="R1308" s="183"/>
      <c r="S1308" s="183"/>
      <c r="T1308" s="183"/>
      <c r="U1308" s="183"/>
      <c r="V1308" s="183"/>
      <c r="W1308" s="183"/>
      <c r="X1308" s="183"/>
      <c r="Y1308" s="183"/>
      <c r="Z1308" s="183"/>
    </row>
    <row r="1309" spans="2:26">
      <c r="B1309" s="191"/>
      <c r="D1309" s="183"/>
      <c r="I1309" s="183"/>
      <c r="J1309" s="183"/>
      <c r="L1309" s="183"/>
      <c r="M1309" s="183"/>
      <c r="N1309" s="183"/>
      <c r="O1309" s="183"/>
      <c r="P1309" s="183"/>
      <c r="Q1309" s="183"/>
      <c r="R1309" s="183"/>
      <c r="S1309" s="183"/>
      <c r="T1309" s="183"/>
      <c r="U1309" s="183"/>
      <c r="V1309" s="183"/>
      <c r="W1309" s="183"/>
      <c r="X1309" s="183"/>
      <c r="Y1309" s="183"/>
      <c r="Z1309" s="183"/>
    </row>
    <row r="1310" spans="2:26">
      <c r="B1310" s="191"/>
      <c r="D1310" s="183"/>
      <c r="I1310" s="183"/>
      <c r="J1310" s="183"/>
      <c r="L1310" s="183"/>
      <c r="M1310" s="183"/>
      <c r="N1310" s="183"/>
      <c r="O1310" s="183"/>
      <c r="P1310" s="183"/>
      <c r="Q1310" s="183"/>
      <c r="R1310" s="183"/>
      <c r="S1310" s="183"/>
      <c r="T1310" s="183"/>
      <c r="U1310" s="183"/>
      <c r="V1310" s="183"/>
      <c r="W1310" s="183"/>
      <c r="X1310" s="183"/>
      <c r="Y1310" s="183"/>
      <c r="Z1310" s="183"/>
    </row>
    <row r="1311" spans="2:26">
      <c r="B1311" s="191"/>
      <c r="D1311" s="183"/>
      <c r="I1311" s="183"/>
      <c r="J1311" s="183"/>
      <c r="L1311" s="183"/>
      <c r="M1311" s="183"/>
      <c r="N1311" s="183"/>
      <c r="O1311" s="183"/>
      <c r="P1311" s="183"/>
      <c r="Q1311" s="183"/>
      <c r="R1311" s="183"/>
      <c r="S1311" s="183"/>
      <c r="T1311" s="183"/>
      <c r="U1311" s="183"/>
      <c r="V1311" s="183"/>
      <c r="W1311" s="183"/>
      <c r="X1311" s="183"/>
      <c r="Y1311" s="183"/>
      <c r="Z1311" s="183"/>
    </row>
    <row r="1312" spans="2:26">
      <c r="B1312" s="191"/>
      <c r="D1312" s="183"/>
      <c r="I1312" s="183"/>
      <c r="J1312" s="183"/>
      <c r="L1312" s="183"/>
      <c r="M1312" s="183"/>
      <c r="N1312" s="183"/>
      <c r="O1312" s="183"/>
      <c r="P1312" s="183"/>
      <c r="Q1312" s="183"/>
      <c r="R1312" s="183"/>
      <c r="S1312" s="183"/>
      <c r="T1312" s="183"/>
      <c r="U1312" s="183"/>
      <c r="V1312" s="183"/>
      <c r="W1312" s="183"/>
      <c r="X1312" s="183"/>
      <c r="Y1312" s="183"/>
      <c r="Z1312" s="183"/>
    </row>
    <row r="1313" spans="2:26">
      <c r="B1313" s="191"/>
      <c r="D1313" s="183"/>
      <c r="I1313" s="183"/>
      <c r="J1313" s="183"/>
      <c r="L1313" s="183"/>
      <c r="M1313" s="183"/>
      <c r="N1313" s="183"/>
      <c r="O1313" s="183"/>
      <c r="P1313" s="183"/>
      <c r="Q1313" s="183"/>
      <c r="R1313" s="183"/>
      <c r="S1313" s="183"/>
      <c r="T1313" s="183"/>
      <c r="U1313" s="183"/>
      <c r="V1313" s="183"/>
      <c r="W1313" s="183"/>
      <c r="X1313" s="183"/>
      <c r="Y1313" s="183"/>
      <c r="Z1313" s="183"/>
    </row>
    <row r="1314" spans="2:26">
      <c r="B1314" s="191"/>
      <c r="D1314" s="183"/>
      <c r="I1314" s="183"/>
      <c r="J1314" s="183"/>
      <c r="L1314" s="183"/>
      <c r="M1314" s="183"/>
      <c r="N1314" s="183"/>
      <c r="O1314" s="183"/>
      <c r="P1314" s="183"/>
      <c r="Q1314" s="183"/>
      <c r="R1314" s="183"/>
      <c r="S1314" s="183"/>
      <c r="T1314" s="183"/>
      <c r="U1314" s="183"/>
      <c r="V1314" s="183"/>
      <c r="W1314" s="183"/>
      <c r="X1314" s="183"/>
      <c r="Y1314" s="183"/>
      <c r="Z1314" s="183"/>
    </row>
    <row r="1315" spans="2:26">
      <c r="B1315" s="191"/>
      <c r="D1315" s="183"/>
      <c r="I1315" s="183"/>
      <c r="J1315" s="183"/>
      <c r="L1315" s="183"/>
      <c r="M1315" s="183"/>
      <c r="N1315" s="183"/>
      <c r="O1315" s="183"/>
      <c r="P1315" s="183"/>
      <c r="Q1315" s="183"/>
      <c r="R1315" s="183"/>
      <c r="S1315" s="183"/>
      <c r="T1315" s="183"/>
      <c r="U1315" s="183"/>
      <c r="V1315" s="183"/>
      <c r="W1315" s="183"/>
      <c r="X1315" s="183"/>
      <c r="Y1315" s="183"/>
      <c r="Z1315" s="183"/>
    </row>
    <row r="1316" spans="2:26">
      <c r="B1316" s="191"/>
      <c r="D1316" s="183"/>
      <c r="I1316" s="183"/>
      <c r="J1316" s="183"/>
      <c r="L1316" s="183"/>
      <c r="M1316" s="183"/>
      <c r="N1316" s="183"/>
      <c r="O1316" s="183"/>
      <c r="P1316" s="183"/>
      <c r="Q1316" s="183"/>
      <c r="R1316" s="183"/>
      <c r="S1316" s="183"/>
      <c r="T1316" s="183"/>
      <c r="U1316" s="183"/>
      <c r="V1316" s="183"/>
      <c r="W1316" s="183"/>
      <c r="X1316" s="183"/>
      <c r="Y1316" s="183"/>
      <c r="Z1316" s="183"/>
    </row>
    <row r="1317" spans="2:26">
      <c r="B1317" s="191"/>
      <c r="D1317" s="183"/>
      <c r="I1317" s="183"/>
      <c r="J1317" s="183"/>
      <c r="L1317" s="183"/>
      <c r="M1317" s="183"/>
      <c r="N1317" s="183"/>
      <c r="O1317" s="183"/>
      <c r="P1317" s="183"/>
      <c r="Q1317" s="183"/>
      <c r="R1317" s="183"/>
      <c r="S1317" s="183"/>
      <c r="T1317" s="183"/>
      <c r="U1317" s="183"/>
      <c r="V1317" s="183"/>
      <c r="W1317" s="183"/>
      <c r="X1317" s="183"/>
      <c r="Y1317" s="183"/>
      <c r="Z1317" s="183"/>
    </row>
    <row r="1318" spans="2:26">
      <c r="B1318" s="191"/>
      <c r="D1318" s="183"/>
      <c r="I1318" s="183"/>
      <c r="J1318" s="183"/>
      <c r="L1318" s="183"/>
      <c r="M1318" s="183"/>
      <c r="N1318" s="183"/>
      <c r="O1318" s="183"/>
      <c r="P1318" s="183"/>
      <c r="Q1318" s="183"/>
      <c r="R1318" s="183"/>
      <c r="S1318" s="183"/>
      <c r="T1318" s="183"/>
      <c r="U1318" s="183"/>
      <c r="V1318" s="183"/>
      <c r="W1318" s="183"/>
      <c r="X1318" s="183"/>
      <c r="Y1318" s="183"/>
      <c r="Z1318" s="183"/>
    </row>
    <row r="1319" spans="2:26">
      <c r="B1319" s="191"/>
      <c r="D1319" s="183"/>
      <c r="I1319" s="183"/>
      <c r="J1319" s="183"/>
      <c r="L1319" s="183"/>
      <c r="M1319" s="183"/>
      <c r="N1319" s="183"/>
      <c r="O1319" s="183"/>
      <c r="P1319" s="183"/>
      <c r="Q1319" s="183"/>
      <c r="R1319" s="183"/>
      <c r="S1319" s="183"/>
      <c r="T1319" s="183"/>
      <c r="U1319" s="183"/>
      <c r="V1319" s="183"/>
      <c r="W1319" s="183"/>
      <c r="X1319" s="183"/>
      <c r="Y1319" s="183"/>
      <c r="Z1319" s="183"/>
    </row>
    <row r="1320" spans="2:26">
      <c r="B1320" s="191"/>
      <c r="D1320" s="183"/>
      <c r="I1320" s="183"/>
      <c r="J1320" s="183"/>
      <c r="L1320" s="183"/>
      <c r="M1320" s="183"/>
      <c r="N1320" s="183"/>
      <c r="O1320" s="183"/>
      <c r="P1320" s="183"/>
      <c r="Q1320" s="183"/>
      <c r="R1320" s="183"/>
      <c r="S1320" s="183"/>
      <c r="T1320" s="183"/>
      <c r="U1320" s="183"/>
      <c r="V1320" s="183"/>
      <c r="W1320" s="183"/>
      <c r="X1320" s="183"/>
      <c r="Y1320" s="183"/>
      <c r="Z1320" s="183"/>
    </row>
    <row r="1321" spans="2:26">
      <c r="B1321" s="191"/>
      <c r="D1321" s="183"/>
      <c r="I1321" s="183"/>
      <c r="J1321" s="183"/>
      <c r="L1321" s="183"/>
      <c r="M1321" s="183"/>
      <c r="N1321" s="183"/>
      <c r="O1321" s="183"/>
      <c r="P1321" s="183"/>
      <c r="Q1321" s="183"/>
      <c r="R1321" s="183"/>
      <c r="S1321" s="183"/>
      <c r="T1321" s="183"/>
      <c r="U1321" s="183"/>
      <c r="V1321" s="183"/>
      <c r="W1321" s="183"/>
      <c r="X1321" s="183"/>
      <c r="Y1321" s="183"/>
      <c r="Z1321" s="183"/>
    </row>
    <row r="1322" spans="2:26">
      <c r="B1322" s="191"/>
      <c r="D1322" s="183"/>
      <c r="I1322" s="183"/>
      <c r="J1322" s="183"/>
      <c r="L1322" s="183"/>
      <c r="M1322" s="183"/>
      <c r="N1322" s="183"/>
      <c r="O1322" s="183"/>
      <c r="P1322" s="183"/>
      <c r="Q1322" s="183"/>
      <c r="R1322" s="183"/>
      <c r="S1322" s="183"/>
      <c r="T1322" s="183"/>
      <c r="U1322" s="183"/>
      <c r="V1322" s="183"/>
      <c r="W1322" s="183"/>
      <c r="X1322" s="183"/>
      <c r="Y1322" s="183"/>
      <c r="Z1322" s="183"/>
    </row>
    <row r="1323" spans="2:26">
      <c r="B1323" s="191"/>
      <c r="D1323" s="183"/>
      <c r="I1323" s="183"/>
      <c r="J1323" s="183"/>
      <c r="L1323" s="183"/>
      <c r="M1323" s="183"/>
      <c r="N1323" s="183"/>
      <c r="O1323" s="183"/>
      <c r="P1323" s="183"/>
      <c r="Q1323" s="183"/>
      <c r="R1323" s="183"/>
      <c r="S1323" s="183"/>
      <c r="T1323" s="183"/>
      <c r="U1323" s="183"/>
      <c r="V1323" s="183"/>
      <c r="W1323" s="183"/>
      <c r="X1323" s="183"/>
      <c r="Y1323" s="183"/>
      <c r="Z1323" s="183"/>
    </row>
    <row r="1324" spans="2:26">
      <c r="B1324" s="191"/>
      <c r="D1324" s="183"/>
      <c r="I1324" s="183"/>
      <c r="J1324" s="183"/>
      <c r="L1324" s="183"/>
      <c r="M1324" s="183"/>
      <c r="N1324" s="183"/>
      <c r="O1324" s="183"/>
      <c r="P1324" s="183"/>
      <c r="Q1324" s="183"/>
      <c r="R1324" s="183"/>
      <c r="S1324" s="183"/>
      <c r="T1324" s="183"/>
      <c r="U1324" s="183"/>
      <c r="V1324" s="183"/>
      <c r="W1324" s="183"/>
      <c r="X1324" s="183"/>
      <c r="Y1324" s="183"/>
      <c r="Z1324" s="183"/>
    </row>
    <row r="1325" spans="2:26">
      <c r="B1325" s="191"/>
      <c r="D1325" s="183"/>
      <c r="I1325" s="183"/>
      <c r="J1325" s="183"/>
      <c r="L1325" s="183"/>
      <c r="M1325" s="183"/>
      <c r="N1325" s="183"/>
      <c r="O1325" s="183"/>
      <c r="P1325" s="183"/>
      <c r="Q1325" s="183"/>
      <c r="R1325" s="183"/>
      <c r="S1325" s="183"/>
      <c r="T1325" s="183"/>
      <c r="U1325" s="183"/>
      <c r="V1325" s="183"/>
      <c r="W1325" s="183"/>
      <c r="X1325" s="183"/>
      <c r="Y1325" s="183"/>
      <c r="Z1325" s="183"/>
    </row>
    <row r="1326" spans="2:26">
      <c r="B1326" s="191"/>
      <c r="D1326" s="183"/>
      <c r="I1326" s="183"/>
      <c r="J1326" s="183"/>
      <c r="L1326" s="183"/>
      <c r="M1326" s="183"/>
      <c r="N1326" s="183"/>
      <c r="O1326" s="183"/>
      <c r="P1326" s="183"/>
      <c r="Q1326" s="183"/>
      <c r="R1326" s="183"/>
      <c r="S1326" s="183"/>
      <c r="T1326" s="183"/>
      <c r="U1326" s="183"/>
      <c r="V1326" s="183"/>
      <c r="W1326" s="183"/>
      <c r="X1326" s="183"/>
      <c r="Y1326" s="183"/>
      <c r="Z1326" s="183"/>
    </row>
    <row r="1327" spans="2:26">
      <c r="B1327" s="191"/>
      <c r="D1327" s="183"/>
      <c r="I1327" s="183"/>
      <c r="J1327" s="183"/>
      <c r="L1327" s="183"/>
      <c r="M1327" s="183"/>
      <c r="N1327" s="183"/>
      <c r="O1327" s="183"/>
      <c r="P1327" s="183"/>
      <c r="Q1327" s="183"/>
      <c r="R1327" s="183"/>
      <c r="S1327" s="183"/>
      <c r="T1327" s="183"/>
      <c r="U1327" s="183"/>
      <c r="V1327" s="183"/>
      <c r="W1327" s="183"/>
      <c r="X1327" s="183"/>
      <c r="Y1327" s="183"/>
      <c r="Z1327" s="183"/>
    </row>
    <row r="1328" spans="2:26">
      <c r="B1328" s="191"/>
      <c r="D1328" s="183"/>
      <c r="I1328" s="183"/>
      <c r="J1328" s="183"/>
      <c r="L1328" s="183"/>
      <c r="M1328" s="183"/>
      <c r="N1328" s="183"/>
      <c r="O1328" s="183"/>
      <c r="P1328" s="183"/>
      <c r="Q1328" s="183"/>
      <c r="R1328" s="183"/>
      <c r="S1328" s="183"/>
      <c r="T1328" s="183"/>
      <c r="U1328" s="183"/>
      <c r="V1328" s="183"/>
      <c r="W1328" s="183"/>
      <c r="X1328" s="183"/>
      <c r="Y1328" s="183"/>
      <c r="Z1328" s="183"/>
    </row>
    <row r="1329" spans="2:26">
      <c r="B1329" s="191"/>
      <c r="D1329" s="183"/>
      <c r="I1329" s="183"/>
      <c r="J1329" s="183"/>
      <c r="L1329" s="183"/>
      <c r="M1329" s="183"/>
      <c r="N1329" s="183"/>
      <c r="O1329" s="183"/>
      <c r="P1329" s="183"/>
      <c r="Q1329" s="183"/>
      <c r="R1329" s="183"/>
      <c r="S1329" s="183"/>
      <c r="T1329" s="183"/>
      <c r="U1329" s="183"/>
      <c r="V1329" s="183"/>
      <c r="W1329" s="183"/>
      <c r="X1329" s="183"/>
      <c r="Y1329" s="183"/>
      <c r="Z1329" s="183"/>
    </row>
    <row r="1330" spans="2:26">
      <c r="B1330" s="191"/>
      <c r="D1330" s="183"/>
      <c r="I1330" s="183"/>
      <c r="J1330" s="183"/>
      <c r="L1330" s="183"/>
      <c r="M1330" s="183"/>
      <c r="N1330" s="183"/>
      <c r="O1330" s="183"/>
      <c r="P1330" s="183"/>
      <c r="Q1330" s="183"/>
      <c r="R1330" s="183"/>
      <c r="S1330" s="183"/>
      <c r="T1330" s="183"/>
      <c r="U1330" s="183"/>
      <c r="V1330" s="183"/>
      <c r="W1330" s="183"/>
      <c r="X1330" s="183"/>
      <c r="Y1330" s="183"/>
      <c r="Z1330" s="183"/>
    </row>
    <row r="1331" spans="2:26">
      <c r="B1331" s="191"/>
      <c r="D1331" s="183"/>
      <c r="I1331" s="183"/>
      <c r="J1331" s="183"/>
      <c r="L1331" s="183"/>
      <c r="M1331" s="183"/>
      <c r="N1331" s="183"/>
      <c r="O1331" s="183"/>
      <c r="P1331" s="183"/>
      <c r="Q1331" s="183"/>
      <c r="R1331" s="183"/>
      <c r="S1331" s="183"/>
      <c r="T1331" s="183"/>
      <c r="U1331" s="183"/>
      <c r="V1331" s="183"/>
      <c r="W1331" s="183"/>
      <c r="X1331" s="183"/>
      <c r="Y1331" s="183"/>
      <c r="Z1331" s="183"/>
    </row>
    <row r="1332" spans="2:26">
      <c r="B1332" s="191"/>
      <c r="D1332" s="183"/>
      <c r="I1332" s="183"/>
      <c r="J1332" s="183"/>
      <c r="L1332" s="183"/>
      <c r="M1332" s="183"/>
      <c r="N1332" s="183"/>
      <c r="O1332" s="183"/>
      <c r="P1332" s="183"/>
      <c r="Q1332" s="183"/>
      <c r="R1332" s="183"/>
      <c r="S1332" s="183"/>
      <c r="T1332" s="183"/>
      <c r="U1332" s="183"/>
      <c r="V1332" s="183"/>
      <c r="W1332" s="183"/>
      <c r="X1332" s="183"/>
      <c r="Y1332" s="183"/>
      <c r="Z1332" s="183"/>
    </row>
    <row r="1333" spans="2:26">
      <c r="B1333" s="191"/>
      <c r="D1333" s="183"/>
      <c r="I1333" s="183"/>
      <c r="J1333" s="183"/>
      <c r="L1333" s="183"/>
      <c r="M1333" s="183"/>
      <c r="N1333" s="183"/>
      <c r="O1333" s="183"/>
      <c r="P1333" s="183"/>
      <c r="Q1333" s="183"/>
      <c r="R1333" s="183"/>
      <c r="S1333" s="183"/>
      <c r="T1333" s="183"/>
      <c r="U1333" s="183"/>
      <c r="V1333" s="183"/>
      <c r="W1333" s="183"/>
      <c r="X1333" s="183"/>
      <c r="Y1333" s="183"/>
      <c r="Z1333" s="183"/>
    </row>
    <row r="1334" spans="2:26">
      <c r="B1334" s="191"/>
      <c r="D1334" s="183"/>
      <c r="I1334" s="183"/>
      <c r="J1334" s="183"/>
      <c r="L1334" s="183"/>
      <c r="M1334" s="183"/>
      <c r="N1334" s="183"/>
      <c r="O1334" s="183"/>
      <c r="P1334" s="183"/>
      <c r="Q1334" s="183"/>
      <c r="R1334" s="183"/>
      <c r="S1334" s="183"/>
      <c r="T1334" s="183"/>
      <c r="U1334" s="183"/>
      <c r="V1334" s="183"/>
      <c r="W1334" s="183"/>
      <c r="X1334" s="183"/>
      <c r="Y1334" s="183"/>
      <c r="Z1334" s="183"/>
    </row>
    <row r="1335" spans="2:26">
      <c r="B1335" s="191"/>
      <c r="D1335" s="183"/>
      <c r="I1335" s="183"/>
      <c r="J1335" s="183"/>
      <c r="L1335" s="183"/>
      <c r="M1335" s="183"/>
      <c r="N1335" s="183"/>
      <c r="O1335" s="183"/>
      <c r="P1335" s="183"/>
      <c r="Q1335" s="183"/>
      <c r="R1335" s="183"/>
      <c r="S1335" s="183"/>
      <c r="T1335" s="183"/>
      <c r="U1335" s="183"/>
      <c r="V1335" s="183"/>
      <c r="W1335" s="183"/>
      <c r="X1335" s="183"/>
      <c r="Y1335" s="183"/>
      <c r="Z1335" s="183"/>
    </row>
    <row r="1336" spans="2:26">
      <c r="B1336" s="191"/>
      <c r="D1336" s="183"/>
      <c r="I1336" s="183"/>
      <c r="J1336" s="183"/>
      <c r="L1336" s="183"/>
      <c r="M1336" s="183"/>
      <c r="N1336" s="183"/>
      <c r="O1336" s="183"/>
      <c r="P1336" s="183"/>
      <c r="Q1336" s="183"/>
      <c r="R1336" s="183"/>
      <c r="S1336" s="183"/>
      <c r="T1336" s="183"/>
      <c r="U1336" s="183"/>
      <c r="V1336" s="183"/>
      <c r="W1336" s="183"/>
      <c r="X1336" s="183"/>
      <c r="Y1336" s="183"/>
      <c r="Z1336" s="183"/>
    </row>
    <row r="1337" spans="2:26">
      <c r="B1337" s="191"/>
      <c r="D1337" s="183"/>
      <c r="I1337" s="183"/>
      <c r="J1337" s="183"/>
      <c r="L1337" s="183"/>
      <c r="M1337" s="183"/>
      <c r="N1337" s="183"/>
      <c r="O1337" s="183"/>
      <c r="P1337" s="183"/>
      <c r="Q1337" s="183"/>
      <c r="R1337" s="183"/>
      <c r="S1337" s="183"/>
      <c r="T1337" s="183"/>
      <c r="U1337" s="183"/>
      <c r="V1337" s="183"/>
      <c r="W1337" s="183"/>
      <c r="X1337" s="183"/>
      <c r="Y1337" s="183"/>
      <c r="Z1337" s="183"/>
    </row>
    <row r="1338" spans="2:26">
      <c r="B1338" s="191"/>
      <c r="D1338" s="183"/>
      <c r="I1338" s="183"/>
      <c r="J1338" s="183"/>
      <c r="L1338" s="183"/>
      <c r="M1338" s="183"/>
      <c r="N1338" s="183"/>
      <c r="O1338" s="183"/>
      <c r="P1338" s="183"/>
      <c r="Q1338" s="183"/>
      <c r="R1338" s="183"/>
      <c r="S1338" s="183"/>
      <c r="T1338" s="183"/>
      <c r="U1338" s="183"/>
      <c r="V1338" s="183"/>
      <c r="W1338" s="183"/>
      <c r="X1338" s="183"/>
      <c r="Y1338" s="183"/>
      <c r="Z1338" s="183"/>
    </row>
    <row r="1339" spans="2:26">
      <c r="B1339" s="191"/>
      <c r="D1339" s="183"/>
      <c r="I1339" s="183"/>
      <c r="J1339" s="183"/>
      <c r="L1339" s="183"/>
      <c r="M1339" s="183"/>
      <c r="N1339" s="183"/>
      <c r="O1339" s="183"/>
      <c r="P1339" s="183"/>
      <c r="Q1339" s="183"/>
      <c r="R1339" s="183"/>
      <c r="S1339" s="183"/>
      <c r="T1339" s="183"/>
      <c r="U1339" s="183"/>
      <c r="V1339" s="183"/>
      <c r="W1339" s="183"/>
      <c r="X1339" s="183"/>
      <c r="Y1339" s="183"/>
      <c r="Z1339" s="183"/>
    </row>
    <row r="1340" spans="2:26">
      <c r="B1340" s="191"/>
      <c r="D1340" s="183"/>
      <c r="I1340" s="183"/>
      <c r="J1340" s="183"/>
      <c r="L1340" s="183"/>
      <c r="M1340" s="183"/>
      <c r="N1340" s="183"/>
      <c r="O1340" s="183"/>
      <c r="P1340" s="183"/>
      <c r="Q1340" s="183"/>
      <c r="R1340" s="183"/>
      <c r="S1340" s="183"/>
      <c r="T1340" s="183"/>
      <c r="U1340" s="183"/>
      <c r="V1340" s="183"/>
      <c r="W1340" s="183"/>
      <c r="X1340" s="183"/>
      <c r="Y1340" s="183"/>
      <c r="Z1340" s="183"/>
    </row>
    <row r="1341" spans="2:26">
      <c r="B1341" s="191"/>
      <c r="D1341" s="183"/>
      <c r="I1341" s="183"/>
      <c r="J1341" s="183"/>
      <c r="L1341" s="183"/>
      <c r="M1341" s="183"/>
      <c r="N1341" s="183"/>
      <c r="O1341" s="183"/>
      <c r="P1341" s="183"/>
      <c r="Q1341" s="183"/>
      <c r="R1341" s="183"/>
      <c r="S1341" s="183"/>
      <c r="T1341" s="183"/>
      <c r="U1341" s="183"/>
      <c r="V1341" s="183"/>
      <c r="W1341" s="183"/>
      <c r="X1341" s="183"/>
      <c r="Y1341" s="183"/>
      <c r="Z1341" s="183"/>
    </row>
    <row r="1342" spans="2:26">
      <c r="B1342" s="191"/>
      <c r="D1342" s="183"/>
      <c r="I1342" s="183"/>
      <c r="J1342" s="183"/>
      <c r="L1342" s="183"/>
      <c r="M1342" s="183"/>
      <c r="N1342" s="183"/>
      <c r="O1342" s="183"/>
      <c r="P1342" s="183"/>
      <c r="Q1342" s="183"/>
      <c r="R1342" s="183"/>
      <c r="S1342" s="183"/>
      <c r="T1342" s="183"/>
      <c r="U1342" s="183"/>
      <c r="V1342" s="183"/>
      <c r="W1342" s="183"/>
      <c r="X1342" s="183"/>
      <c r="Y1342" s="183"/>
      <c r="Z1342" s="183"/>
    </row>
    <row r="1343" spans="2:26">
      <c r="B1343" s="191"/>
      <c r="D1343" s="183"/>
      <c r="I1343" s="183"/>
      <c r="J1343" s="183"/>
      <c r="L1343" s="183"/>
      <c r="M1343" s="183"/>
      <c r="N1343" s="183"/>
      <c r="O1343" s="183"/>
      <c r="P1343" s="183"/>
      <c r="Q1343" s="183"/>
      <c r="R1343" s="183"/>
      <c r="S1343" s="183"/>
      <c r="T1343" s="183"/>
      <c r="U1343" s="183"/>
      <c r="V1343" s="183"/>
      <c r="W1343" s="183"/>
      <c r="X1343" s="183"/>
      <c r="Y1343" s="183"/>
      <c r="Z1343" s="183"/>
    </row>
    <row r="1344" spans="2:26">
      <c r="B1344" s="191"/>
      <c r="D1344" s="183"/>
      <c r="I1344" s="183"/>
      <c r="J1344" s="183"/>
      <c r="L1344" s="183"/>
      <c r="M1344" s="183"/>
      <c r="N1344" s="183"/>
      <c r="O1344" s="183"/>
      <c r="P1344" s="183"/>
      <c r="Q1344" s="183"/>
      <c r="R1344" s="183"/>
      <c r="S1344" s="183"/>
      <c r="T1344" s="183"/>
      <c r="U1344" s="183"/>
      <c r="V1344" s="183"/>
      <c r="W1344" s="183"/>
      <c r="X1344" s="183"/>
      <c r="Y1344" s="183"/>
      <c r="Z1344" s="183"/>
    </row>
    <row r="1345" spans="2:26">
      <c r="B1345" s="191"/>
      <c r="D1345" s="183"/>
      <c r="I1345" s="183"/>
      <c r="J1345" s="183"/>
      <c r="L1345" s="183"/>
      <c r="M1345" s="183"/>
      <c r="N1345" s="183"/>
      <c r="O1345" s="183"/>
      <c r="P1345" s="183"/>
      <c r="Q1345" s="183"/>
      <c r="R1345" s="183"/>
      <c r="S1345" s="183"/>
      <c r="T1345" s="183"/>
      <c r="U1345" s="183"/>
      <c r="V1345" s="183"/>
      <c r="W1345" s="183"/>
      <c r="X1345" s="183"/>
      <c r="Y1345" s="183"/>
      <c r="Z1345" s="183"/>
    </row>
    <row r="1346" spans="2:26">
      <c r="B1346" s="191"/>
      <c r="D1346" s="183"/>
      <c r="I1346" s="183"/>
      <c r="J1346" s="183"/>
      <c r="L1346" s="183"/>
      <c r="M1346" s="183"/>
      <c r="N1346" s="183"/>
      <c r="O1346" s="183"/>
      <c r="P1346" s="183"/>
      <c r="Q1346" s="183"/>
      <c r="R1346" s="183"/>
      <c r="S1346" s="183"/>
      <c r="T1346" s="183"/>
      <c r="U1346" s="183"/>
      <c r="V1346" s="183"/>
      <c r="W1346" s="183"/>
      <c r="X1346" s="183"/>
      <c r="Y1346" s="183"/>
      <c r="Z1346" s="183"/>
    </row>
    <row r="1347" spans="2:26">
      <c r="B1347" s="191"/>
      <c r="D1347" s="183"/>
      <c r="I1347" s="183"/>
      <c r="J1347" s="183"/>
      <c r="L1347" s="183"/>
      <c r="M1347" s="183"/>
      <c r="N1347" s="183"/>
      <c r="O1347" s="183"/>
      <c r="P1347" s="183"/>
      <c r="Q1347" s="183"/>
      <c r="R1347" s="183"/>
      <c r="S1347" s="183"/>
      <c r="T1347" s="183"/>
      <c r="U1347" s="183"/>
      <c r="V1347" s="183"/>
      <c r="W1347" s="183"/>
      <c r="X1347" s="183"/>
      <c r="Y1347" s="183"/>
      <c r="Z1347" s="183"/>
    </row>
    <row r="1348" spans="2:26">
      <c r="B1348" s="191"/>
      <c r="D1348" s="183"/>
      <c r="I1348" s="183"/>
      <c r="J1348" s="183"/>
      <c r="L1348" s="183"/>
      <c r="M1348" s="183"/>
      <c r="N1348" s="183"/>
      <c r="O1348" s="183"/>
      <c r="P1348" s="183"/>
      <c r="Q1348" s="183"/>
      <c r="R1348" s="183"/>
      <c r="S1348" s="183"/>
      <c r="T1348" s="183"/>
      <c r="U1348" s="183"/>
      <c r="V1348" s="183"/>
      <c r="W1348" s="183"/>
      <c r="X1348" s="183"/>
      <c r="Y1348" s="183"/>
      <c r="Z1348" s="183"/>
    </row>
    <row r="1349" spans="2:26">
      <c r="B1349" s="191"/>
      <c r="D1349" s="183"/>
      <c r="I1349" s="183"/>
      <c r="J1349" s="183"/>
      <c r="L1349" s="183"/>
      <c r="M1349" s="183"/>
      <c r="N1349" s="183"/>
      <c r="O1349" s="183"/>
      <c r="P1349" s="183"/>
      <c r="Q1349" s="183"/>
      <c r="R1349" s="183"/>
      <c r="S1349" s="183"/>
      <c r="T1349" s="183"/>
      <c r="U1349" s="183"/>
      <c r="V1349" s="183"/>
      <c r="W1349" s="183"/>
      <c r="X1349" s="183"/>
      <c r="Y1349" s="183"/>
      <c r="Z1349" s="183"/>
    </row>
    <row r="1350" spans="2:26">
      <c r="B1350" s="191"/>
      <c r="D1350" s="183"/>
      <c r="I1350" s="183"/>
      <c r="J1350" s="183"/>
      <c r="L1350" s="183"/>
      <c r="M1350" s="183"/>
      <c r="N1350" s="183"/>
      <c r="O1350" s="183"/>
      <c r="P1350" s="183"/>
      <c r="Q1350" s="183"/>
      <c r="R1350" s="183"/>
      <c r="S1350" s="183"/>
      <c r="T1350" s="183"/>
      <c r="U1350" s="183"/>
      <c r="V1350" s="183"/>
      <c r="W1350" s="183"/>
      <c r="X1350" s="183"/>
      <c r="Y1350" s="183"/>
      <c r="Z1350" s="183"/>
    </row>
    <row r="1351" spans="2:26">
      <c r="B1351" s="191"/>
      <c r="D1351" s="183"/>
      <c r="I1351" s="183"/>
      <c r="J1351" s="183"/>
      <c r="L1351" s="183"/>
      <c r="M1351" s="183"/>
      <c r="N1351" s="183"/>
      <c r="O1351" s="183"/>
      <c r="P1351" s="183"/>
      <c r="Q1351" s="183"/>
      <c r="R1351" s="183"/>
      <c r="S1351" s="183"/>
      <c r="T1351" s="183"/>
      <c r="U1351" s="183"/>
      <c r="V1351" s="183"/>
      <c r="W1351" s="183"/>
      <c r="X1351" s="183"/>
      <c r="Y1351" s="183"/>
      <c r="Z1351" s="183"/>
    </row>
    <row r="1352" spans="2:26">
      <c r="B1352" s="191"/>
      <c r="D1352" s="183"/>
      <c r="I1352" s="183"/>
      <c r="J1352" s="183"/>
      <c r="L1352" s="183"/>
      <c r="M1352" s="183"/>
      <c r="N1352" s="183"/>
      <c r="O1352" s="183"/>
      <c r="P1352" s="183"/>
      <c r="Q1352" s="183"/>
      <c r="R1352" s="183"/>
      <c r="S1352" s="183"/>
      <c r="T1352" s="183"/>
      <c r="U1352" s="183"/>
      <c r="V1352" s="183"/>
      <c r="W1352" s="183"/>
      <c r="X1352" s="183"/>
      <c r="Y1352" s="183"/>
      <c r="Z1352" s="183"/>
    </row>
    <row r="1353" spans="2:26">
      <c r="B1353" s="191"/>
      <c r="D1353" s="183"/>
      <c r="I1353" s="183"/>
      <c r="J1353" s="183"/>
      <c r="L1353" s="183"/>
      <c r="M1353" s="183"/>
      <c r="N1353" s="183"/>
      <c r="O1353" s="183"/>
      <c r="P1353" s="183"/>
      <c r="Q1353" s="183"/>
      <c r="R1353" s="183"/>
      <c r="S1353" s="183"/>
      <c r="T1353" s="183"/>
      <c r="U1353" s="183"/>
      <c r="V1353" s="183"/>
      <c r="W1353" s="183"/>
      <c r="X1353" s="183"/>
      <c r="Y1353" s="183"/>
      <c r="Z1353" s="183"/>
    </row>
    <row r="1354" spans="2:26">
      <c r="B1354" s="191"/>
      <c r="D1354" s="183"/>
      <c r="I1354" s="183"/>
      <c r="J1354" s="183"/>
      <c r="L1354" s="183"/>
      <c r="M1354" s="183"/>
      <c r="N1354" s="183"/>
      <c r="O1354" s="183"/>
      <c r="P1354" s="183"/>
      <c r="Q1354" s="183"/>
      <c r="R1354" s="183"/>
      <c r="S1354" s="183"/>
      <c r="T1354" s="183"/>
      <c r="U1354" s="183"/>
      <c r="V1354" s="183"/>
      <c r="W1354" s="183"/>
      <c r="X1354" s="183"/>
      <c r="Y1354" s="183"/>
      <c r="Z1354" s="183"/>
    </row>
    <row r="1355" spans="2:26">
      <c r="B1355" s="191"/>
      <c r="D1355" s="183"/>
      <c r="I1355" s="183"/>
      <c r="J1355" s="183"/>
      <c r="L1355" s="183"/>
      <c r="M1355" s="183"/>
      <c r="N1355" s="183"/>
      <c r="O1355" s="183"/>
      <c r="P1355" s="183"/>
      <c r="Q1355" s="183"/>
      <c r="R1355" s="183"/>
      <c r="S1355" s="183"/>
      <c r="T1355" s="183"/>
      <c r="U1355" s="183"/>
      <c r="V1355" s="183"/>
      <c r="W1355" s="183"/>
      <c r="X1355" s="183"/>
      <c r="Y1355" s="183"/>
      <c r="Z1355" s="183"/>
    </row>
    <row r="1356" spans="2:26">
      <c r="B1356" s="191"/>
      <c r="D1356" s="183"/>
      <c r="I1356" s="183"/>
      <c r="J1356" s="183"/>
      <c r="L1356" s="183"/>
      <c r="M1356" s="183"/>
      <c r="N1356" s="183"/>
      <c r="O1356" s="183"/>
      <c r="P1356" s="183"/>
      <c r="Q1356" s="183"/>
      <c r="R1356" s="183"/>
      <c r="S1356" s="183"/>
      <c r="T1356" s="183"/>
      <c r="U1356" s="183"/>
      <c r="V1356" s="183"/>
      <c r="W1356" s="183"/>
      <c r="X1356" s="183"/>
      <c r="Y1356" s="183"/>
      <c r="Z1356" s="183"/>
    </row>
    <row r="1357" spans="2:26">
      <c r="B1357" s="191"/>
      <c r="D1357" s="183"/>
      <c r="I1357" s="183"/>
      <c r="J1357" s="183"/>
      <c r="L1357" s="183"/>
      <c r="M1357" s="183"/>
      <c r="N1357" s="183"/>
      <c r="O1357" s="183"/>
      <c r="P1357" s="183"/>
      <c r="Q1357" s="183"/>
      <c r="R1357" s="183"/>
      <c r="S1357" s="183"/>
      <c r="T1357" s="183"/>
      <c r="U1357" s="183"/>
      <c r="V1357" s="183"/>
      <c r="W1357" s="183"/>
      <c r="X1357" s="183"/>
      <c r="Y1357" s="183"/>
      <c r="Z1357" s="183"/>
    </row>
    <row r="1358" spans="2:26">
      <c r="B1358" s="191"/>
      <c r="D1358" s="183"/>
      <c r="I1358" s="183"/>
      <c r="J1358" s="183"/>
      <c r="L1358" s="183"/>
      <c r="M1358" s="183"/>
      <c r="N1358" s="183"/>
      <c r="O1358" s="183"/>
      <c r="P1358" s="183"/>
      <c r="Q1358" s="183"/>
      <c r="R1358" s="183"/>
      <c r="S1358" s="183"/>
      <c r="T1358" s="183"/>
      <c r="U1358" s="183"/>
      <c r="V1358" s="183"/>
      <c r="W1358" s="183"/>
      <c r="X1358" s="183"/>
      <c r="Y1358" s="183"/>
      <c r="Z1358" s="183"/>
    </row>
    <row r="1359" spans="2:26">
      <c r="B1359" s="191"/>
      <c r="D1359" s="183"/>
      <c r="I1359" s="183"/>
      <c r="J1359" s="183"/>
      <c r="L1359" s="183"/>
      <c r="M1359" s="183"/>
      <c r="N1359" s="183"/>
      <c r="O1359" s="183"/>
      <c r="P1359" s="183"/>
      <c r="Q1359" s="183"/>
      <c r="R1359" s="183"/>
      <c r="S1359" s="183"/>
      <c r="T1359" s="183"/>
      <c r="U1359" s="183"/>
      <c r="V1359" s="183"/>
      <c r="W1359" s="183"/>
      <c r="X1359" s="183"/>
      <c r="Y1359" s="183"/>
      <c r="Z1359" s="183"/>
    </row>
    <row r="1360" spans="2:26">
      <c r="B1360" s="191"/>
      <c r="D1360" s="183"/>
      <c r="I1360" s="183"/>
      <c r="J1360" s="183"/>
      <c r="L1360" s="183"/>
      <c r="M1360" s="183"/>
      <c r="N1360" s="183"/>
      <c r="O1360" s="183"/>
      <c r="P1360" s="183"/>
      <c r="Q1360" s="183"/>
      <c r="R1360" s="183"/>
      <c r="S1360" s="183"/>
      <c r="T1360" s="183"/>
      <c r="U1360" s="183"/>
      <c r="V1360" s="183"/>
      <c r="W1360" s="183"/>
      <c r="X1360" s="183"/>
      <c r="Y1360" s="183"/>
      <c r="Z1360" s="183"/>
    </row>
    <row r="1361" spans="2:26">
      <c r="B1361" s="191"/>
      <c r="D1361" s="183"/>
      <c r="I1361" s="183"/>
      <c r="J1361" s="183"/>
      <c r="L1361" s="183"/>
      <c r="M1361" s="183"/>
      <c r="N1361" s="183"/>
      <c r="O1361" s="183"/>
      <c r="P1361" s="183"/>
      <c r="Q1361" s="183"/>
      <c r="R1361" s="183"/>
      <c r="S1361" s="183"/>
      <c r="T1361" s="183"/>
      <c r="U1361" s="183"/>
      <c r="V1361" s="183"/>
      <c r="W1361" s="183"/>
      <c r="X1361" s="183"/>
      <c r="Y1361" s="183"/>
      <c r="Z1361" s="183"/>
    </row>
    <row r="1362" spans="2:26">
      <c r="B1362" s="191"/>
      <c r="D1362" s="183"/>
      <c r="I1362" s="183"/>
      <c r="J1362" s="183"/>
      <c r="L1362" s="183"/>
      <c r="M1362" s="183"/>
      <c r="N1362" s="183"/>
      <c r="O1362" s="183"/>
      <c r="P1362" s="183"/>
      <c r="Q1362" s="183"/>
      <c r="R1362" s="183"/>
      <c r="S1362" s="183"/>
      <c r="T1362" s="183"/>
      <c r="U1362" s="183"/>
      <c r="V1362" s="183"/>
      <c r="W1362" s="183"/>
      <c r="X1362" s="183"/>
      <c r="Y1362" s="183"/>
      <c r="Z1362" s="183"/>
    </row>
    <row r="1363" spans="2:26">
      <c r="B1363" s="191"/>
      <c r="D1363" s="183"/>
      <c r="I1363" s="183"/>
      <c r="J1363" s="183"/>
      <c r="L1363" s="183"/>
      <c r="M1363" s="183"/>
      <c r="N1363" s="183"/>
      <c r="O1363" s="183"/>
      <c r="P1363" s="183"/>
      <c r="Q1363" s="183"/>
      <c r="R1363" s="183"/>
      <c r="S1363" s="183"/>
      <c r="T1363" s="183"/>
      <c r="U1363" s="183"/>
      <c r="V1363" s="183"/>
      <c r="W1363" s="183"/>
      <c r="X1363" s="183"/>
      <c r="Y1363" s="183"/>
      <c r="Z1363" s="183"/>
    </row>
    <row r="1364" spans="2:26">
      <c r="B1364" s="191"/>
      <c r="D1364" s="183"/>
      <c r="I1364" s="183"/>
      <c r="J1364" s="183"/>
      <c r="L1364" s="183"/>
      <c r="M1364" s="183"/>
      <c r="N1364" s="183"/>
      <c r="O1364" s="183"/>
      <c r="P1364" s="183"/>
      <c r="Q1364" s="183"/>
      <c r="R1364" s="183"/>
      <c r="S1364" s="183"/>
      <c r="T1364" s="183"/>
      <c r="U1364" s="183"/>
      <c r="V1364" s="183"/>
      <c r="W1364" s="183"/>
      <c r="X1364" s="183"/>
      <c r="Y1364" s="183"/>
      <c r="Z1364" s="183"/>
    </row>
    <row r="1365" spans="2:26">
      <c r="B1365" s="191"/>
      <c r="D1365" s="183"/>
      <c r="I1365" s="183"/>
      <c r="J1365" s="183"/>
      <c r="L1365" s="183"/>
      <c r="M1365" s="183"/>
      <c r="N1365" s="183"/>
      <c r="O1365" s="183"/>
      <c r="P1365" s="183"/>
      <c r="Q1365" s="183"/>
      <c r="R1365" s="183"/>
      <c r="S1365" s="183"/>
      <c r="T1365" s="183"/>
      <c r="U1365" s="183"/>
      <c r="V1365" s="183"/>
      <c r="W1365" s="183"/>
      <c r="X1365" s="183"/>
      <c r="Y1365" s="183"/>
      <c r="Z1365" s="183"/>
    </row>
    <row r="1366" spans="2:26">
      <c r="B1366" s="191"/>
      <c r="D1366" s="183"/>
      <c r="I1366" s="183"/>
      <c r="J1366" s="183"/>
      <c r="L1366" s="183"/>
      <c r="M1366" s="183"/>
      <c r="N1366" s="183"/>
      <c r="O1366" s="183"/>
      <c r="P1366" s="183"/>
      <c r="Q1366" s="183"/>
      <c r="R1366" s="183"/>
      <c r="S1366" s="183"/>
      <c r="T1366" s="183"/>
      <c r="U1366" s="183"/>
      <c r="V1366" s="183"/>
      <c r="W1366" s="183"/>
      <c r="X1366" s="183"/>
      <c r="Y1366" s="183"/>
      <c r="Z1366" s="183"/>
    </row>
    <row r="1367" spans="2:26">
      <c r="B1367" s="191"/>
      <c r="D1367" s="183"/>
      <c r="I1367" s="183"/>
      <c r="J1367" s="183"/>
      <c r="L1367" s="183"/>
      <c r="M1367" s="183"/>
      <c r="N1367" s="183"/>
      <c r="O1367" s="183"/>
      <c r="P1367" s="183"/>
      <c r="Q1367" s="183"/>
      <c r="R1367" s="183"/>
      <c r="S1367" s="183"/>
      <c r="T1367" s="183"/>
      <c r="U1367" s="183"/>
      <c r="V1367" s="183"/>
      <c r="W1367" s="183"/>
      <c r="X1367" s="183"/>
      <c r="Y1367" s="183"/>
      <c r="Z1367" s="183"/>
    </row>
    <row r="1368" spans="2:26">
      <c r="B1368" s="191"/>
      <c r="D1368" s="183"/>
      <c r="I1368" s="183"/>
      <c r="J1368" s="183"/>
      <c r="L1368" s="183"/>
      <c r="M1368" s="183"/>
      <c r="N1368" s="183"/>
      <c r="O1368" s="183"/>
      <c r="P1368" s="183"/>
      <c r="Q1368" s="183"/>
      <c r="R1368" s="183"/>
      <c r="S1368" s="183"/>
      <c r="T1368" s="183"/>
      <c r="U1368" s="183"/>
      <c r="V1368" s="183"/>
      <c r="W1368" s="183"/>
      <c r="X1368" s="183"/>
      <c r="Y1368" s="183"/>
      <c r="Z1368" s="183"/>
    </row>
    <row r="1369" spans="2:26">
      <c r="B1369" s="191"/>
      <c r="D1369" s="183"/>
      <c r="I1369" s="183"/>
      <c r="J1369" s="183"/>
      <c r="L1369" s="183"/>
      <c r="M1369" s="183"/>
      <c r="N1369" s="183"/>
      <c r="O1369" s="183"/>
      <c r="P1369" s="183"/>
      <c r="Q1369" s="183"/>
      <c r="R1369" s="183"/>
      <c r="S1369" s="183"/>
      <c r="T1369" s="183"/>
      <c r="U1369" s="183"/>
      <c r="V1369" s="183"/>
      <c r="W1369" s="183"/>
      <c r="X1369" s="183"/>
      <c r="Y1369" s="183"/>
      <c r="Z1369" s="183"/>
    </row>
    <row r="1370" spans="2:26">
      <c r="B1370" s="191"/>
      <c r="D1370" s="183"/>
      <c r="I1370" s="183"/>
      <c r="J1370" s="183"/>
      <c r="L1370" s="183"/>
      <c r="M1370" s="183"/>
      <c r="N1370" s="183"/>
      <c r="O1370" s="183"/>
      <c r="P1370" s="183"/>
      <c r="Q1370" s="183"/>
      <c r="R1370" s="183"/>
      <c r="S1370" s="183"/>
      <c r="T1370" s="183"/>
      <c r="U1370" s="183"/>
      <c r="V1370" s="183"/>
      <c r="W1370" s="183"/>
      <c r="X1370" s="183"/>
      <c r="Y1370" s="183"/>
      <c r="Z1370" s="183"/>
    </row>
    <row r="1371" spans="2:26">
      <c r="B1371" s="191"/>
      <c r="D1371" s="183"/>
      <c r="I1371" s="183"/>
      <c r="J1371" s="183"/>
      <c r="L1371" s="183"/>
      <c r="M1371" s="183"/>
      <c r="N1371" s="183"/>
      <c r="O1371" s="183"/>
      <c r="P1371" s="183"/>
      <c r="Q1371" s="183"/>
      <c r="R1371" s="183"/>
      <c r="S1371" s="183"/>
      <c r="T1371" s="183"/>
      <c r="U1371" s="183"/>
      <c r="V1371" s="183"/>
      <c r="W1371" s="183"/>
      <c r="X1371" s="183"/>
      <c r="Y1371" s="183"/>
      <c r="Z1371" s="183"/>
    </row>
    <row r="1372" spans="2:26">
      <c r="B1372" s="191"/>
      <c r="D1372" s="183"/>
      <c r="I1372" s="183"/>
      <c r="J1372" s="183"/>
      <c r="L1372" s="183"/>
      <c r="M1372" s="183"/>
      <c r="N1372" s="183"/>
      <c r="O1372" s="183"/>
      <c r="P1372" s="183"/>
      <c r="Q1372" s="183"/>
      <c r="R1372" s="183"/>
      <c r="S1372" s="183"/>
      <c r="T1372" s="183"/>
      <c r="U1372" s="183"/>
      <c r="V1372" s="183"/>
      <c r="W1372" s="183"/>
      <c r="X1372" s="183"/>
      <c r="Y1372" s="183"/>
      <c r="Z1372" s="183"/>
    </row>
    <row r="1373" spans="2:26">
      <c r="B1373" s="191"/>
      <c r="D1373" s="183"/>
      <c r="I1373" s="183"/>
      <c r="J1373" s="183"/>
      <c r="L1373" s="183"/>
      <c r="M1373" s="183"/>
      <c r="N1373" s="183"/>
      <c r="O1373" s="183"/>
      <c r="P1373" s="183"/>
      <c r="Q1373" s="183"/>
      <c r="R1373" s="183"/>
      <c r="S1373" s="183"/>
      <c r="T1373" s="183"/>
      <c r="U1373" s="183"/>
      <c r="V1373" s="183"/>
      <c r="W1373" s="183"/>
      <c r="X1373" s="183"/>
      <c r="Y1373" s="183"/>
      <c r="Z1373" s="183"/>
    </row>
    <row r="1374" spans="2:26">
      <c r="B1374" s="191"/>
      <c r="D1374" s="183"/>
      <c r="I1374" s="183"/>
      <c r="J1374" s="183"/>
      <c r="L1374" s="183"/>
      <c r="M1374" s="183"/>
      <c r="N1374" s="183"/>
      <c r="O1374" s="183"/>
      <c r="P1374" s="183"/>
      <c r="Q1374" s="183"/>
      <c r="R1374" s="183"/>
      <c r="S1374" s="183"/>
      <c r="T1374" s="183"/>
      <c r="U1374" s="183"/>
      <c r="V1374" s="183"/>
      <c r="W1374" s="183"/>
      <c r="X1374" s="183"/>
      <c r="Y1374" s="183"/>
      <c r="Z1374" s="183"/>
    </row>
    <row r="1375" spans="2:26">
      <c r="B1375" s="191"/>
      <c r="D1375" s="183"/>
      <c r="I1375" s="183"/>
      <c r="J1375" s="183"/>
      <c r="L1375" s="183"/>
      <c r="M1375" s="183"/>
      <c r="N1375" s="183"/>
      <c r="O1375" s="183"/>
      <c r="P1375" s="183"/>
      <c r="Q1375" s="183"/>
      <c r="R1375" s="183"/>
      <c r="S1375" s="183"/>
      <c r="T1375" s="183"/>
      <c r="U1375" s="183"/>
      <c r="V1375" s="183"/>
      <c r="W1375" s="183"/>
      <c r="X1375" s="183"/>
      <c r="Y1375" s="183"/>
      <c r="Z1375" s="183"/>
    </row>
    <row r="1376" spans="2:26">
      <c r="B1376" s="191"/>
      <c r="D1376" s="183"/>
      <c r="I1376" s="183"/>
      <c r="J1376" s="183"/>
      <c r="L1376" s="183"/>
      <c r="M1376" s="183"/>
      <c r="N1376" s="183"/>
      <c r="O1376" s="183"/>
      <c r="P1376" s="183"/>
      <c r="Q1376" s="183"/>
      <c r="R1376" s="183"/>
      <c r="S1376" s="183"/>
      <c r="T1376" s="183"/>
      <c r="U1376" s="183"/>
      <c r="V1376" s="183"/>
      <c r="W1376" s="183"/>
      <c r="X1376" s="183"/>
      <c r="Y1376" s="183"/>
      <c r="Z1376" s="183"/>
    </row>
    <row r="1377" spans="2:26">
      <c r="B1377" s="191"/>
      <c r="D1377" s="183"/>
      <c r="I1377" s="183"/>
      <c r="J1377" s="183"/>
      <c r="L1377" s="183"/>
      <c r="M1377" s="183"/>
      <c r="N1377" s="183"/>
      <c r="O1377" s="183"/>
      <c r="P1377" s="183"/>
      <c r="Q1377" s="183"/>
      <c r="R1377" s="183"/>
      <c r="S1377" s="183"/>
      <c r="T1377" s="183"/>
      <c r="U1377" s="183"/>
      <c r="V1377" s="183"/>
      <c r="W1377" s="183"/>
      <c r="X1377" s="183"/>
      <c r="Y1377" s="183"/>
      <c r="Z1377" s="183"/>
    </row>
    <row r="1378" spans="2:26">
      <c r="B1378" s="191"/>
      <c r="D1378" s="183"/>
      <c r="I1378" s="183"/>
      <c r="J1378" s="183"/>
      <c r="L1378" s="183"/>
      <c r="M1378" s="183"/>
      <c r="N1378" s="183"/>
      <c r="O1378" s="183"/>
      <c r="P1378" s="183"/>
      <c r="Q1378" s="183"/>
      <c r="R1378" s="183"/>
      <c r="S1378" s="183"/>
      <c r="T1378" s="183"/>
      <c r="U1378" s="183"/>
      <c r="V1378" s="183"/>
      <c r="W1378" s="183"/>
      <c r="X1378" s="183"/>
      <c r="Y1378" s="183"/>
      <c r="Z1378" s="183"/>
    </row>
    <row r="1379" spans="2:26">
      <c r="B1379" s="191"/>
      <c r="D1379" s="183"/>
      <c r="I1379" s="183"/>
      <c r="J1379" s="183"/>
      <c r="L1379" s="183"/>
      <c r="M1379" s="183"/>
      <c r="N1379" s="183"/>
      <c r="O1379" s="183"/>
      <c r="P1379" s="183"/>
      <c r="Q1379" s="183"/>
      <c r="R1379" s="183"/>
      <c r="S1379" s="183"/>
      <c r="T1379" s="183"/>
      <c r="U1379" s="183"/>
      <c r="V1379" s="183"/>
      <c r="W1379" s="183"/>
      <c r="X1379" s="183"/>
      <c r="Y1379" s="183"/>
      <c r="Z1379" s="183"/>
    </row>
    <row r="1380" spans="2:26">
      <c r="B1380" s="191"/>
      <c r="D1380" s="183"/>
      <c r="I1380" s="183"/>
      <c r="J1380" s="183"/>
      <c r="L1380" s="183"/>
      <c r="M1380" s="183"/>
      <c r="N1380" s="183"/>
      <c r="O1380" s="183"/>
      <c r="P1380" s="183"/>
      <c r="Q1380" s="183"/>
      <c r="R1380" s="183"/>
      <c r="S1380" s="183"/>
      <c r="T1380" s="183"/>
      <c r="U1380" s="183"/>
      <c r="V1380" s="183"/>
      <c r="W1380" s="183"/>
      <c r="X1380" s="183"/>
      <c r="Y1380" s="183"/>
      <c r="Z1380" s="183"/>
    </row>
    <row r="1381" spans="2:26">
      <c r="B1381" s="191"/>
      <c r="D1381" s="183"/>
      <c r="I1381" s="183"/>
      <c r="J1381" s="183"/>
      <c r="L1381" s="183"/>
      <c r="M1381" s="183"/>
      <c r="N1381" s="183"/>
      <c r="O1381" s="183"/>
      <c r="P1381" s="183"/>
      <c r="Q1381" s="183"/>
      <c r="R1381" s="183"/>
      <c r="S1381" s="183"/>
      <c r="T1381" s="183"/>
      <c r="U1381" s="183"/>
      <c r="V1381" s="183"/>
      <c r="W1381" s="183"/>
      <c r="X1381" s="183"/>
      <c r="Y1381" s="183"/>
      <c r="Z1381" s="183"/>
    </row>
    <row r="1382" spans="2:26">
      <c r="B1382" s="191"/>
      <c r="D1382" s="183"/>
      <c r="I1382" s="183"/>
      <c r="J1382" s="183"/>
      <c r="L1382" s="183"/>
      <c r="M1382" s="183"/>
      <c r="N1382" s="183"/>
      <c r="O1382" s="183"/>
      <c r="P1382" s="183"/>
      <c r="Q1382" s="183"/>
      <c r="R1382" s="183"/>
      <c r="S1382" s="183"/>
      <c r="T1382" s="183"/>
      <c r="U1382" s="183"/>
      <c r="V1382" s="183"/>
      <c r="W1382" s="183"/>
      <c r="X1382" s="183"/>
      <c r="Y1382" s="183"/>
      <c r="Z1382" s="183"/>
    </row>
    <row r="1383" spans="2:26">
      <c r="B1383" s="191"/>
      <c r="D1383" s="183"/>
      <c r="I1383" s="183"/>
      <c r="J1383" s="183"/>
      <c r="L1383" s="183"/>
      <c r="M1383" s="183"/>
      <c r="N1383" s="183"/>
      <c r="O1383" s="183"/>
      <c r="P1383" s="183"/>
      <c r="Q1383" s="183"/>
      <c r="R1383" s="183"/>
      <c r="S1383" s="183"/>
      <c r="T1383" s="183"/>
      <c r="U1383" s="183"/>
      <c r="V1383" s="183"/>
      <c r="W1383" s="183"/>
      <c r="X1383" s="183"/>
      <c r="Y1383" s="183"/>
      <c r="Z1383" s="183"/>
    </row>
    <row r="1384" spans="2:26">
      <c r="B1384" s="191"/>
      <c r="D1384" s="183"/>
      <c r="I1384" s="183"/>
      <c r="J1384" s="183"/>
      <c r="L1384" s="183"/>
      <c r="M1384" s="183"/>
      <c r="N1384" s="183"/>
      <c r="O1384" s="183"/>
      <c r="P1384" s="183"/>
      <c r="Q1384" s="183"/>
      <c r="R1384" s="183"/>
      <c r="S1384" s="183"/>
      <c r="T1384" s="183"/>
      <c r="U1384" s="183"/>
      <c r="V1384" s="183"/>
      <c r="W1384" s="183"/>
      <c r="X1384" s="183"/>
      <c r="Y1384" s="183"/>
      <c r="Z1384" s="183"/>
    </row>
    <row r="1385" spans="2:26">
      <c r="B1385" s="191"/>
      <c r="D1385" s="183"/>
      <c r="I1385" s="183"/>
      <c r="J1385" s="183"/>
      <c r="L1385" s="183"/>
      <c r="M1385" s="183"/>
      <c r="N1385" s="183"/>
      <c r="O1385" s="183"/>
      <c r="P1385" s="183"/>
      <c r="Q1385" s="183"/>
      <c r="R1385" s="183"/>
      <c r="S1385" s="183"/>
      <c r="T1385" s="183"/>
      <c r="U1385" s="183"/>
      <c r="V1385" s="183"/>
      <c r="W1385" s="183"/>
      <c r="X1385" s="183"/>
      <c r="Y1385" s="183"/>
      <c r="Z1385" s="183"/>
    </row>
    <row r="1386" spans="2:26">
      <c r="B1386" s="191"/>
      <c r="D1386" s="183"/>
      <c r="I1386" s="183"/>
      <c r="J1386" s="183"/>
      <c r="L1386" s="183"/>
      <c r="M1386" s="183"/>
      <c r="N1386" s="183"/>
      <c r="O1386" s="183"/>
      <c r="P1386" s="183"/>
      <c r="Q1386" s="183"/>
      <c r="R1386" s="183"/>
      <c r="S1386" s="183"/>
      <c r="T1386" s="183"/>
      <c r="U1386" s="183"/>
      <c r="V1386" s="183"/>
      <c r="W1386" s="183"/>
      <c r="X1386" s="183"/>
      <c r="Y1386" s="183"/>
      <c r="Z1386" s="183"/>
    </row>
    <row r="1387" spans="2:26">
      <c r="B1387" s="191"/>
      <c r="D1387" s="183"/>
      <c r="I1387" s="183"/>
      <c r="J1387" s="183"/>
      <c r="L1387" s="183"/>
      <c r="M1387" s="183"/>
      <c r="N1387" s="183"/>
      <c r="O1387" s="183"/>
      <c r="P1387" s="183"/>
      <c r="Q1387" s="183"/>
      <c r="R1387" s="183"/>
      <c r="S1387" s="183"/>
      <c r="T1387" s="183"/>
      <c r="U1387" s="183"/>
      <c r="V1387" s="183"/>
      <c r="W1387" s="183"/>
      <c r="X1387" s="183"/>
      <c r="Y1387" s="183"/>
      <c r="Z1387" s="183"/>
    </row>
    <row r="1388" spans="2:26">
      <c r="B1388" s="191"/>
      <c r="D1388" s="183"/>
      <c r="I1388" s="183"/>
      <c r="J1388" s="183"/>
      <c r="L1388" s="183"/>
      <c r="M1388" s="183"/>
      <c r="N1388" s="183"/>
      <c r="O1388" s="183"/>
      <c r="P1388" s="183"/>
      <c r="Q1388" s="183"/>
      <c r="R1388" s="183"/>
      <c r="S1388" s="183"/>
      <c r="T1388" s="183"/>
      <c r="U1388" s="183"/>
      <c r="V1388" s="183"/>
      <c r="W1388" s="183"/>
      <c r="X1388" s="183"/>
      <c r="Y1388" s="183"/>
      <c r="Z1388" s="183"/>
    </row>
    <row r="1389" spans="2:26">
      <c r="B1389" s="191"/>
      <c r="D1389" s="183"/>
      <c r="I1389" s="183"/>
      <c r="J1389" s="183"/>
      <c r="L1389" s="183"/>
      <c r="M1389" s="183"/>
      <c r="N1389" s="183"/>
      <c r="O1389" s="183"/>
      <c r="P1389" s="183"/>
      <c r="Q1389" s="183"/>
      <c r="R1389" s="183"/>
      <c r="S1389" s="183"/>
      <c r="T1389" s="183"/>
      <c r="U1389" s="183"/>
      <c r="V1389" s="183"/>
      <c r="W1389" s="183"/>
      <c r="X1389" s="183"/>
      <c r="Y1389" s="183"/>
      <c r="Z1389" s="183"/>
    </row>
    <row r="1390" spans="2:26">
      <c r="B1390" s="191"/>
      <c r="D1390" s="183"/>
      <c r="I1390" s="183"/>
      <c r="J1390" s="183"/>
      <c r="L1390" s="183"/>
      <c r="M1390" s="183"/>
      <c r="N1390" s="183"/>
      <c r="O1390" s="183"/>
      <c r="P1390" s="183"/>
      <c r="Q1390" s="183"/>
      <c r="R1390" s="183"/>
      <c r="S1390" s="183"/>
      <c r="T1390" s="183"/>
      <c r="U1390" s="183"/>
      <c r="V1390" s="183"/>
      <c r="W1390" s="183"/>
      <c r="X1390" s="183"/>
      <c r="Y1390" s="183"/>
      <c r="Z1390" s="183"/>
    </row>
    <row r="1391" spans="2:26">
      <c r="B1391" s="191"/>
      <c r="D1391" s="183"/>
      <c r="I1391" s="183"/>
      <c r="J1391" s="183"/>
      <c r="L1391" s="183"/>
      <c r="M1391" s="183"/>
      <c r="N1391" s="183"/>
      <c r="O1391" s="183"/>
      <c r="P1391" s="183"/>
      <c r="Q1391" s="183"/>
      <c r="R1391" s="183"/>
      <c r="S1391" s="183"/>
      <c r="T1391" s="183"/>
      <c r="U1391" s="183"/>
      <c r="V1391" s="183"/>
      <c r="W1391" s="183"/>
      <c r="X1391" s="183"/>
      <c r="Y1391" s="183"/>
      <c r="Z1391" s="183"/>
    </row>
    <row r="1392" spans="2:26">
      <c r="B1392" s="191"/>
      <c r="D1392" s="183"/>
      <c r="I1392" s="183"/>
      <c r="J1392" s="183"/>
      <c r="L1392" s="183"/>
      <c r="M1392" s="183"/>
      <c r="N1392" s="183"/>
      <c r="O1392" s="183"/>
      <c r="P1392" s="183"/>
      <c r="Q1392" s="183"/>
      <c r="R1392" s="183"/>
      <c r="S1392" s="183"/>
      <c r="T1392" s="183"/>
      <c r="U1392" s="183"/>
      <c r="V1392" s="183"/>
      <c r="W1392" s="183"/>
      <c r="X1392" s="183"/>
      <c r="Y1392" s="183"/>
      <c r="Z1392" s="183"/>
    </row>
    <row r="1393" spans="2:26">
      <c r="B1393" s="191"/>
      <c r="D1393" s="183"/>
      <c r="I1393" s="183"/>
      <c r="J1393" s="183"/>
      <c r="L1393" s="183"/>
      <c r="M1393" s="183"/>
      <c r="N1393" s="183"/>
      <c r="O1393" s="183"/>
      <c r="P1393" s="183"/>
      <c r="Q1393" s="183"/>
      <c r="R1393" s="183"/>
      <c r="S1393" s="183"/>
      <c r="T1393" s="183"/>
      <c r="U1393" s="183"/>
      <c r="V1393" s="183"/>
      <c r="W1393" s="183"/>
      <c r="X1393" s="183"/>
      <c r="Y1393" s="183"/>
      <c r="Z1393" s="183"/>
    </row>
    <row r="1394" spans="2:26">
      <c r="B1394" s="191"/>
      <c r="D1394" s="183"/>
      <c r="I1394" s="183"/>
      <c r="J1394" s="183"/>
      <c r="L1394" s="183"/>
      <c r="M1394" s="183"/>
      <c r="N1394" s="183"/>
      <c r="O1394" s="183"/>
      <c r="P1394" s="183"/>
      <c r="Q1394" s="183"/>
      <c r="R1394" s="183"/>
      <c r="S1394" s="183"/>
      <c r="T1394" s="183"/>
      <c r="U1394" s="183"/>
      <c r="V1394" s="183"/>
      <c r="W1394" s="183"/>
      <c r="X1394" s="183"/>
      <c r="Y1394" s="183"/>
      <c r="Z1394" s="183"/>
    </row>
    <row r="1395" spans="2:26">
      <c r="B1395" s="191"/>
      <c r="D1395" s="183"/>
      <c r="I1395" s="183"/>
      <c r="J1395" s="183"/>
      <c r="L1395" s="183"/>
      <c r="M1395" s="183"/>
      <c r="N1395" s="183"/>
      <c r="O1395" s="183"/>
      <c r="P1395" s="183"/>
      <c r="Q1395" s="183"/>
      <c r="R1395" s="183"/>
      <c r="S1395" s="183"/>
      <c r="T1395" s="183"/>
      <c r="U1395" s="183"/>
      <c r="V1395" s="183"/>
      <c r="W1395" s="183"/>
      <c r="X1395" s="183"/>
      <c r="Y1395" s="183"/>
      <c r="Z1395" s="183"/>
    </row>
    <row r="1396" spans="2:26">
      <c r="B1396" s="191"/>
      <c r="D1396" s="183"/>
      <c r="I1396" s="183"/>
      <c r="J1396" s="183"/>
      <c r="L1396" s="183"/>
      <c r="M1396" s="183"/>
      <c r="N1396" s="183"/>
      <c r="O1396" s="183"/>
      <c r="P1396" s="183"/>
      <c r="Q1396" s="183"/>
      <c r="R1396" s="183"/>
      <c r="S1396" s="183"/>
      <c r="T1396" s="183"/>
      <c r="U1396" s="183"/>
      <c r="V1396" s="183"/>
      <c r="W1396" s="183"/>
      <c r="X1396" s="183"/>
      <c r="Y1396" s="183"/>
      <c r="Z1396" s="183"/>
    </row>
    <row r="1397" spans="2:26">
      <c r="B1397" s="191"/>
      <c r="D1397" s="183"/>
      <c r="I1397" s="183"/>
      <c r="J1397" s="183"/>
      <c r="L1397" s="183"/>
      <c r="M1397" s="183"/>
      <c r="N1397" s="183"/>
      <c r="O1397" s="183"/>
      <c r="P1397" s="183"/>
      <c r="Q1397" s="183"/>
      <c r="R1397" s="183"/>
      <c r="S1397" s="183"/>
      <c r="T1397" s="183"/>
      <c r="U1397" s="183"/>
      <c r="V1397" s="183"/>
      <c r="W1397" s="183"/>
      <c r="X1397" s="183"/>
      <c r="Y1397" s="183"/>
      <c r="Z1397" s="183"/>
    </row>
    <row r="1398" spans="2:26">
      <c r="B1398" s="191"/>
      <c r="D1398" s="183"/>
      <c r="I1398" s="183"/>
      <c r="J1398" s="183"/>
      <c r="L1398" s="183"/>
      <c r="M1398" s="183"/>
      <c r="N1398" s="183"/>
      <c r="O1398" s="183"/>
      <c r="P1398" s="183"/>
      <c r="Q1398" s="183"/>
      <c r="R1398" s="183"/>
      <c r="S1398" s="183"/>
      <c r="T1398" s="183"/>
      <c r="U1398" s="183"/>
      <c r="V1398" s="183"/>
      <c r="W1398" s="183"/>
      <c r="X1398" s="183"/>
      <c r="Y1398" s="183"/>
      <c r="Z1398" s="183"/>
    </row>
    <row r="1399" spans="2:26">
      <c r="B1399" s="191"/>
      <c r="D1399" s="183"/>
      <c r="I1399" s="183"/>
      <c r="J1399" s="183"/>
      <c r="L1399" s="183"/>
      <c r="M1399" s="183"/>
      <c r="N1399" s="183"/>
      <c r="O1399" s="183"/>
      <c r="P1399" s="183"/>
      <c r="Q1399" s="183"/>
      <c r="R1399" s="183"/>
      <c r="S1399" s="183"/>
      <c r="T1399" s="183"/>
      <c r="U1399" s="183"/>
      <c r="V1399" s="183"/>
      <c r="W1399" s="183"/>
      <c r="X1399" s="183"/>
      <c r="Y1399" s="183"/>
      <c r="Z1399" s="183"/>
    </row>
    <row r="1400" spans="2:26">
      <c r="B1400" s="191"/>
      <c r="D1400" s="183"/>
      <c r="I1400" s="183"/>
      <c r="J1400" s="183"/>
      <c r="L1400" s="183"/>
      <c r="M1400" s="183"/>
      <c r="N1400" s="183"/>
      <c r="O1400" s="183"/>
      <c r="P1400" s="183"/>
      <c r="Q1400" s="183"/>
      <c r="R1400" s="183"/>
      <c r="S1400" s="183"/>
      <c r="T1400" s="183"/>
      <c r="U1400" s="183"/>
      <c r="V1400" s="183"/>
      <c r="W1400" s="183"/>
      <c r="X1400" s="183"/>
      <c r="Y1400" s="183"/>
      <c r="Z1400" s="183"/>
    </row>
    <row r="1401" spans="2:26">
      <c r="B1401" s="191"/>
      <c r="D1401" s="183"/>
      <c r="I1401" s="183"/>
      <c r="J1401" s="183"/>
      <c r="L1401" s="183"/>
      <c r="M1401" s="183"/>
      <c r="N1401" s="183"/>
      <c r="O1401" s="183"/>
      <c r="P1401" s="183"/>
      <c r="Q1401" s="183"/>
      <c r="R1401" s="183"/>
      <c r="S1401" s="183"/>
      <c r="T1401" s="183"/>
      <c r="U1401" s="183"/>
      <c r="V1401" s="183"/>
      <c r="W1401" s="183"/>
      <c r="X1401" s="183"/>
      <c r="Y1401" s="183"/>
      <c r="Z1401" s="183"/>
    </row>
    <row r="1402" spans="2:26">
      <c r="B1402" s="191"/>
      <c r="D1402" s="183"/>
      <c r="I1402" s="183"/>
      <c r="J1402" s="183"/>
      <c r="L1402" s="183"/>
      <c r="M1402" s="183"/>
      <c r="N1402" s="183"/>
      <c r="O1402" s="183"/>
      <c r="P1402" s="183"/>
      <c r="Q1402" s="183"/>
      <c r="R1402" s="183"/>
      <c r="S1402" s="183"/>
      <c r="T1402" s="183"/>
      <c r="U1402" s="183"/>
      <c r="V1402" s="183"/>
      <c r="W1402" s="183"/>
      <c r="X1402" s="183"/>
      <c r="Y1402" s="183"/>
      <c r="Z1402" s="183"/>
    </row>
    <row r="1403" spans="2:26">
      <c r="B1403" s="191"/>
      <c r="D1403" s="183"/>
      <c r="I1403" s="183"/>
      <c r="J1403" s="183"/>
      <c r="L1403" s="183"/>
      <c r="M1403" s="183"/>
      <c r="N1403" s="183"/>
      <c r="O1403" s="183"/>
      <c r="P1403" s="183"/>
      <c r="Q1403" s="183"/>
      <c r="R1403" s="183"/>
      <c r="S1403" s="183"/>
      <c r="T1403" s="183"/>
      <c r="U1403" s="183"/>
      <c r="V1403" s="183"/>
      <c r="W1403" s="183"/>
      <c r="X1403" s="183"/>
      <c r="Y1403" s="183"/>
      <c r="Z1403" s="183"/>
    </row>
    <row r="1404" spans="2:26">
      <c r="B1404" s="191"/>
      <c r="D1404" s="183"/>
      <c r="I1404" s="183"/>
      <c r="J1404" s="183"/>
      <c r="L1404" s="183"/>
      <c r="M1404" s="183"/>
      <c r="N1404" s="183"/>
      <c r="O1404" s="183"/>
      <c r="P1404" s="183"/>
      <c r="Q1404" s="183"/>
      <c r="R1404" s="183"/>
      <c r="S1404" s="183"/>
      <c r="T1404" s="183"/>
      <c r="U1404" s="183"/>
      <c r="V1404" s="183"/>
      <c r="W1404" s="183"/>
      <c r="X1404" s="183"/>
      <c r="Y1404" s="183"/>
      <c r="Z1404" s="183"/>
    </row>
    <row r="1405" spans="2:26">
      <c r="B1405" s="191"/>
      <c r="D1405" s="183"/>
      <c r="I1405" s="183"/>
      <c r="J1405" s="183"/>
      <c r="L1405" s="183"/>
      <c r="M1405" s="183"/>
      <c r="N1405" s="183"/>
      <c r="O1405" s="183"/>
      <c r="P1405" s="183"/>
      <c r="Q1405" s="183"/>
      <c r="R1405" s="183"/>
      <c r="S1405" s="183"/>
      <c r="T1405" s="183"/>
      <c r="U1405" s="183"/>
      <c r="V1405" s="183"/>
      <c r="W1405" s="183"/>
      <c r="X1405" s="183"/>
      <c r="Y1405" s="183"/>
      <c r="Z1405" s="183"/>
    </row>
    <row r="1406" spans="2:26">
      <c r="B1406" s="191"/>
      <c r="D1406" s="183"/>
      <c r="I1406" s="183"/>
      <c r="J1406" s="183"/>
      <c r="L1406" s="183"/>
      <c r="M1406" s="183"/>
      <c r="N1406" s="183"/>
      <c r="O1406" s="183"/>
      <c r="P1406" s="183"/>
      <c r="Q1406" s="183"/>
      <c r="R1406" s="183"/>
      <c r="S1406" s="183"/>
      <c r="T1406" s="183"/>
      <c r="U1406" s="183"/>
      <c r="V1406" s="183"/>
      <c r="W1406" s="183"/>
      <c r="X1406" s="183"/>
      <c r="Y1406" s="183"/>
      <c r="Z1406" s="183"/>
    </row>
    <row r="1407" spans="2:26">
      <c r="B1407" s="191"/>
      <c r="D1407" s="183"/>
      <c r="I1407" s="183"/>
      <c r="J1407" s="183"/>
      <c r="L1407" s="183"/>
      <c r="M1407" s="183"/>
      <c r="N1407" s="183"/>
      <c r="O1407" s="183"/>
      <c r="P1407" s="183"/>
      <c r="Q1407" s="183"/>
      <c r="R1407" s="183"/>
      <c r="S1407" s="183"/>
      <c r="T1407" s="183"/>
      <c r="U1407" s="183"/>
      <c r="V1407" s="183"/>
      <c r="W1407" s="183"/>
      <c r="X1407" s="183"/>
      <c r="Y1407" s="183"/>
      <c r="Z1407" s="183"/>
    </row>
    <row r="1408" spans="2:26">
      <c r="B1408" s="191"/>
      <c r="D1408" s="183"/>
      <c r="I1408" s="183"/>
      <c r="J1408" s="183"/>
      <c r="L1408" s="183"/>
      <c r="M1408" s="183"/>
      <c r="N1408" s="183"/>
      <c r="O1408" s="183"/>
      <c r="P1408" s="183"/>
      <c r="Q1408" s="183"/>
      <c r="R1408" s="183"/>
      <c r="S1408" s="183"/>
      <c r="T1408" s="183"/>
      <c r="U1408" s="183"/>
      <c r="V1408" s="183"/>
      <c r="W1408" s="183"/>
      <c r="X1408" s="183"/>
      <c r="Y1408" s="183"/>
      <c r="Z1408" s="183"/>
    </row>
    <row r="1409" spans="2:26">
      <c r="B1409" s="191"/>
      <c r="D1409" s="183"/>
      <c r="I1409" s="183"/>
      <c r="J1409" s="183"/>
      <c r="L1409" s="183"/>
      <c r="M1409" s="183"/>
      <c r="N1409" s="183"/>
      <c r="O1409" s="183"/>
      <c r="P1409" s="183"/>
      <c r="Q1409" s="183"/>
      <c r="R1409" s="183"/>
      <c r="S1409" s="183"/>
      <c r="T1409" s="183"/>
      <c r="U1409" s="183"/>
      <c r="V1409" s="183"/>
      <c r="W1409" s="183"/>
      <c r="X1409" s="183"/>
      <c r="Y1409" s="183"/>
      <c r="Z1409" s="183"/>
    </row>
    <row r="1410" spans="2:26">
      <c r="B1410" s="191"/>
      <c r="D1410" s="183"/>
      <c r="I1410" s="183"/>
      <c r="J1410" s="183"/>
      <c r="L1410" s="183"/>
      <c r="M1410" s="183"/>
      <c r="N1410" s="183"/>
      <c r="O1410" s="183"/>
      <c r="P1410" s="183"/>
      <c r="Q1410" s="183"/>
      <c r="R1410" s="183"/>
      <c r="S1410" s="183"/>
      <c r="T1410" s="183"/>
      <c r="U1410" s="183"/>
      <c r="V1410" s="183"/>
      <c r="W1410" s="183"/>
      <c r="X1410" s="183"/>
      <c r="Y1410" s="183"/>
      <c r="Z1410" s="183"/>
    </row>
    <row r="1411" spans="2:26">
      <c r="B1411" s="191"/>
      <c r="D1411" s="183"/>
      <c r="I1411" s="183"/>
      <c r="J1411" s="183"/>
      <c r="L1411" s="183"/>
      <c r="M1411" s="183"/>
      <c r="N1411" s="183"/>
      <c r="O1411" s="183"/>
      <c r="P1411" s="183"/>
      <c r="Q1411" s="183"/>
      <c r="R1411" s="183"/>
      <c r="S1411" s="183"/>
      <c r="T1411" s="183"/>
      <c r="U1411" s="183"/>
      <c r="V1411" s="183"/>
      <c r="W1411" s="183"/>
      <c r="X1411" s="183"/>
      <c r="Y1411" s="183"/>
      <c r="Z1411" s="183"/>
    </row>
    <row r="1412" spans="2:26">
      <c r="B1412" s="191"/>
      <c r="D1412" s="183"/>
      <c r="I1412" s="183"/>
      <c r="J1412" s="183"/>
      <c r="L1412" s="183"/>
      <c r="M1412" s="183"/>
      <c r="N1412" s="183"/>
      <c r="O1412" s="183"/>
      <c r="P1412" s="183"/>
      <c r="Q1412" s="183"/>
      <c r="R1412" s="183"/>
      <c r="S1412" s="183"/>
      <c r="T1412" s="183"/>
      <c r="U1412" s="183"/>
      <c r="V1412" s="183"/>
      <c r="W1412" s="183"/>
      <c r="X1412" s="183"/>
      <c r="Y1412" s="183"/>
      <c r="Z1412" s="183"/>
    </row>
    <row r="1413" spans="2:26">
      <c r="B1413" s="191"/>
      <c r="D1413" s="183"/>
      <c r="I1413" s="183"/>
      <c r="J1413" s="183"/>
      <c r="L1413" s="183"/>
      <c r="M1413" s="183"/>
      <c r="N1413" s="183"/>
      <c r="O1413" s="183"/>
      <c r="P1413" s="183"/>
      <c r="Q1413" s="183"/>
      <c r="R1413" s="183"/>
      <c r="S1413" s="183"/>
      <c r="T1413" s="183"/>
      <c r="U1413" s="183"/>
      <c r="V1413" s="183"/>
      <c r="W1413" s="183"/>
      <c r="X1413" s="183"/>
      <c r="Y1413" s="183"/>
      <c r="Z1413" s="183"/>
    </row>
    <row r="1414" spans="2:26">
      <c r="B1414" s="191"/>
      <c r="D1414" s="183"/>
      <c r="I1414" s="183"/>
      <c r="J1414" s="183"/>
      <c r="L1414" s="183"/>
      <c r="M1414" s="183"/>
      <c r="N1414" s="183"/>
      <c r="O1414" s="183"/>
      <c r="P1414" s="183"/>
      <c r="Q1414" s="183"/>
      <c r="R1414" s="183"/>
      <c r="S1414" s="183"/>
      <c r="T1414" s="183"/>
      <c r="U1414" s="183"/>
      <c r="V1414" s="183"/>
      <c r="W1414" s="183"/>
      <c r="X1414" s="183"/>
      <c r="Y1414" s="183"/>
      <c r="Z1414" s="183"/>
    </row>
    <row r="1415" spans="2:26">
      <c r="B1415" s="191"/>
      <c r="D1415" s="183"/>
      <c r="I1415" s="183"/>
      <c r="J1415" s="183"/>
      <c r="L1415" s="183"/>
      <c r="M1415" s="183"/>
      <c r="N1415" s="183"/>
      <c r="O1415" s="183"/>
      <c r="P1415" s="183"/>
      <c r="Q1415" s="183"/>
      <c r="R1415" s="183"/>
      <c r="S1415" s="183"/>
      <c r="T1415" s="183"/>
      <c r="U1415" s="183"/>
      <c r="V1415" s="183"/>
      <c r="W1415" s="183"/>
      <c r="X1415" s="183"/>
      <c r="Y1415" s="183"/>
      <c r="Z1415" s="183"/>
    </row>
    <row r="1416" spans="2:26">
      <c r="B1416" s="191"/>
      <c r="D1416" s="183"/>
      <c r="I1416" s="183"/>
      <c r="J1416" s="183"/>
      <c r="L1416" s="183"/>
      <c r="M1416" s="183"/>
      <c r="N1416" s="183"/>
      <c r="O1416" s="183"/>
      <c r="P1416" s="183"/>
      <c r="Q1416" s="183"/>
      <c r="R1416" s="183"/>
      <c r="S1416" s="183"/>
      <c r="T1416" s="183"/>
      <c r="U1416" s="183"/>
      <c r="V1416" s="183"/>
      <c r="W1416" s="183"/>
      <c r="X1416" s="183"/>
      <c r="Y1416" s="183"/>
      <c r="Z1416" s="183"/>
    </row>
    <row r="1417" spans="2:26">
      <c r="B1417" s="191"/>
      <c r="D1417" s="183"/>
      <c r="I1417" s="183"/>
      <c r="J1417" s="183"/>
      <c r="L1417" s="183"/>
      <c r="M1417" s="183"/>
      <c r="N1417" s="183"/>
      <c r="O1417" s="183"/>
      <c r="P1417" s="183"/>
      <c r="Q1417" s="183"/>
      <c r="R1417" s="183"/>
      <c r="S1417" s="183"/>
      <c r="T1417" s="183"/>
      <c r="U1417" s="183"/>
      <c r="V1417" s="183"/>
      <c r="W1417" s="183"/>
      <c r="X1417" s="183"/>
      <c r="Y1417" s="183"/>
      <c r="Z1417" s="183"/>
    </row>
    <row r="1418" spans="2:26">
      <c r="B1418" s="191"/>
      <c r="D1418" s="183"/>
      <c r="I1418" s="183"/>
      <c r="J1418" s="183"/>
      <c r="L1418" s="183"/>
      <c r="M1418" s="183"/>
      <c r="N1418" s="183"/>
      <c r="O1418" s="183"/>
      <c r="P1418" s="183"/>
      <c r="Q1418" s="183"/>
      <c r="R1418" s="183"/>
      <c r="S1418" s="183"/>
      <c r="T1418" s="183"/>
      <c r="U1418" s="183"/>
      <c r="V1418" s="183"/>
      <c r="W1418" s="183"/>
      <c r="X1418" s="183"/>
      <c r="Y1418" s="183"/>
      <c r="Z1418" s="183"/>
    </row>
    <row r="1419" spans="2:26">
      <c r="B1419" s="191"/>
      <c r="D1419" s="183"/>
      <c r="I1419" s="183"/>
      <c r="J1419" s="183"/>
      <c r="L1419" s="183"/>
      <c r="M1419" s="183"/>
      <c r="N1419" s="183"/>
      <c r="O1419" s="183"/>
      <c r="P1419" s="183"/>
      <c r="Q1419" s="183"/>
      <c r="R1419" s="183"/>
      <c r="S1419" s="183"/>
      <c r="T1419" s="183"/>
      <c r="U1419" s="183"/>
      <c r="V1419" s="183"/>
      <c r="W1419" s="183"/>
      <c r="X1419" s="183"/>
      <c r="Y1419" s="183"/>
      <c r="Z1419" s="183"/>
    </row>
    <row r="1420" spans="2:26">
      <c r="B1420" s="191"/>
      <c r="D1420" s="183"/>
      <c r="I1420" s="183"/>
      <c r="J1420" s="183"/>
      <c r="L1420" s="183"/>
      <c r="M1420" s="183"/>
      <c r="N1420" s="183"/>
      <c r="O1420" s="183"/>
      <c r="P1420" s="183"/>
      <c r="Q1420" s="183"/>
      <c r="R1420" s="183"/>
      <c r="S1420" s="183"/>
      <c r="T1420" s="183"/>
      <c r="U1420" s="183"/>
      <c r="V1420" s="183"/>
      <c r="W1420" s="183"/>
      <c r="X1420" s="183"/>
      <c r="Y1420" s="183"/>
      <c r="Z1420" s="183"/>
    </row>
    <row r="1421" spans="2:26">
      <c r="B1421" s="191"/>
      <c r="D1421" s="183"/>
      <c r="I1421" s="183"/>
      <c r="J1421" s="183"/>
      <c r="L1421" s="183"/>
      <c r="M1421" s="183"/>
      <c r="N1421" s="183"/>
      <c r="O1421" s="183"/>
      <c r="P1421" s="183"/>
      <c r="Q1421" s="183"/>
      <c r="R1421" s="183"/>
      <c r="S1421" s="183"/>
      <c r="T1421" s="183"/>
      <c r="U1421" s="183"/>
      <c r="V1421" s="183"/>
      <c r="W1421" s="183"/>
      <c r="X1421" s="183"/>
      <c r="Y1421" s="183"/>
      <c r="Z1421" s="183"/>
    </row>
    <row r="1422" spans="2:26">
      <c r="B1422" s="191"/>
      <c r="D1422" s="183"/>
      <c r="I1422" s="183"/>
      <c r="J1422" s="183"/>
      <c r="L1422" s="183"/>
      <c r="M1422" s="183"/>
      <c r="N1422" s="183"/>
      <c r="O1422" s="183"/>
      <c r="P1422" s="183"/>
      <c r="Q1422" s="183"/>
      <c r="R1422" s="183"/>
      <c r="S1422" s="183"/>
      <c r="T1422" s="183"/>
      <c r="U1422" s="183"/>
      <c r="V1422" s="183"/>
      <c r="W1422" s="183"/>
      <c r="X1422" s="183"/>
      <c r="Y1422" s="183"/>
      <c r="Z1422" s="183"/>
    </row>
    <row r="1423" spans="2:26">
      <c r="B1423" s="191"/>
      <c r="D1423" s="183"/>
      <c r="I1423" s="183"/>
      <c r="J1423" s="183"/>
      <c r="L1423" s="183"/>
      <c r="M1423" s="183"/>
      <c r="N1423" s="183"/>
      <c r="O1423" s="183"/>
      <c r="P1423" s="183"/>
      <c r="Q1423" s="183"/>
      <c r="R1423" s="183"/>
      <c r="S1423" s="183"/>
      <c r="T1423" s="183"/>
      <c r="U1423" s="183"/>
      <c r="V1423" s="183"/>
      <c r="W1423" s="183"/>
      <c r="X1423" s="183"/>
      <c r="Y1423" s="183"/>
      <c r="Z1423" s="183"/>
    </row>
    <row r="1424" spans="2:26">
      <c r="B1424" s="191"/>
      <c r="D1424" s="183"/>
      <c r="I1424" s="183"/>
      <c r="J1424" s="183"/>
      <c r="L1424" s="183"/>
      <c r="M1424" s="183"/>
      <c r="N1424" s="183"/>
      <c r="O1424" s="183"/>
      <c r="P1424" s="183"/>
      <c r="Q1424" s="183"/>
      <c r="R1424" s="183"/>
      <c r="S1424" s="183"/>
      <c r="T1424" s="183"/>
      <c r="U1424" s="183"/>
      <c r="V1424" s="183"/>
      <c r="W1424" s="183"/>
      <c r="X1424" s="183"/>
      <c r="Y1424" s="183"/>
      <c r="Z1424" s="183"/>
    </row>
    <row r="1425" spans="2:26">
      <c r="B1425" s="191"/>
      <c r="D1425" s="183"/>
      <c r="I1425" s="183"/>
      <c r="J1425" s="183"/>
      <c r="L1425" s="183"/>
      <c r="M1425" s="183"/>
      <c r="N1425" s="183"/>
      <c r="O1425" s="183"/>
      <c r="P1425" s="183"/>
      <c r="Q1425" s="183"/>
      <c r="R1425" s="183"/>
      <c r="S1425" s="183"/>
      <c r="T1425" s="183"/>
      <c r="U1425" s="183"/>
      <c r="V1425" s="183"/>
      <c r="W1425" s="183"/>
      <c r="X1425" s="183"/>
      <c r="Y1425" s="183"/>
      <c r="Z1425" s="183"/>
    </row>
    <row r="1426" spans="2:26">
      <c r="B1426" s="191"/>
      <c r="D1426" s="183"/>
      <c r="I1426" s="183"/>
      <c r="J1426" s="183"/>
      <c r="L1426" s="183"/>
      <c r="M1426" s="183"/>
      <c r="N1426" s="183"/>
      <c r="O1426" s="183"/>
      <c r="P1426" s="183"/>
      <c r="Q1426" s="183"/>
      <c r="R1426" s="183"/>
      <c r="S1426" s="183"/>
      <c r="T1426" s="183"/>
      <c r="U1426" s="183"/>
      <c r="V1426" s="183"/>
      <c r="W1426" s="183"/>
      <c r="X1426" s="183"/>
      <c r="Y1426" s="183"/>
      <c r="Z1426" s="183"/>
    </row>
    <row r="1427" spans="2:26">
      <c r="B1427" s="191"/>
      <c r="D1427" s="183"/>
      <c r="I1427" s="183"/>
      <c r="J1427" s="183"/>
      <c r="L1427" s="183"/>
      <c r="M1427" s="183"/>
      <c r="N1427" s="183"/>
      <c r="O1427" s="183"/>
      <c r="P1427" s="183"/>
      <c r="Q1427" s="183"/>
      <c r="R1427" s="183"/>
      <c r="S1427" s="183"/>
      <c r="T1427" s="183"/>
      <c r="U1427" s="183"/>
      <c r="V1427" s="183"/>
      <c r="W1427" s="183"/>
      <c r="X1427" s="183"/>
      <c r="Y1427" s="183"/>
      <c r="Z1427" s="183"/>
    </row>
    <row r="1428" spans="2:26">
      <c r="B1428" s="191"/>
      <c r="D1428" s="183"/>
      <c r="I1428" s="183"/>
      <c r="J1428" s="183"/>
      <c r="L1428" s="183"/>
      <c r="M1428" s="183"/>
      <c r="N1428" s="183"/>
      <c r="O1428" s="183"/>
      <c r="P1428" s="183"/>
      <c r="Q1428" s="183"/>
      <c r="R1428" s="183"/>
      <c r="S1428" s="183"/>
      <c r="T1428" s="183"/>
      <c r="U1428" s="183"/>
      <c r="V1428" s="183"/>
      <c r="W1428" s="183"/>
      <c r="X1428" s="183"/>
      <c r="Y1428" s="183"/>
      <c r="Z1428" s="183"/>
    </row>
    <row r="1429" spans="2:26">
      <c r="B1429" s="191"/>
      <c r="D1429" s="183"/>
      <c r="I1429" s="183"/>
      <c r="J1429" s="183"/>
      <c r="L1429" s="183"/>
      <c r="M1429" s="183"/>
      <c r="N1429" s="183"/>
      <c r="O1429" s="183"/>
      <c r="P1429" s="183"/>
      <c r="Q1429" s="183"/>
      <c r="R1429" s="183"/>
      <c r="S1429" s="183"/>
      <c r="T1429" s="183"/>
      <c r="U1429" s="183"/>
      <c r="V1429" s="183"/>
      <c r="W1429" s="183"/>
      <c r="X1429" s="183"/>
      <c r="Y1429" s="183"/>
      <c r="Z1429" s="183"/>
    </row>
    <row r="1430" spans="2:26">
      <c r="B1430" s="191"/>
      <c r="D1430" s="183"/>
      <c r="I1430" s="183"/>
      <c r="J1430" s="183"/>
      <c r="L1430" s="183"/>
      <c r="M1430" s="183"/>
      <c r="N1430" s="183"/>
      <c r="O1430" s="183"/>
      <c r="P1430" s="183"/>
      <c r="Q1430" s="183"/>
      <c r="R1430" s="183"/>
      <c r="S1430" s="183"/>
      <c r="T1430" s="183"/>
      <c r="U1430" s="183"/>
      <c r="V1430" s="183"/>
      <c r="W1430" s="183"/>
      <c r="X1430" s="183"/>
      <c r="Y1430" s="183"/>
      <c r="Z1430" s="183"/>
    </row>
    <row r="1431" spans="2:26">
      <c r="B1431" s="191"/>
      <c r="D1431" s="183"/>
      <c r="I1431" s="183"/>
      <c r="J1431" s="183"/>
      <c r="L1431" s="183"/>
      <c r="M1431" s="183"/>
      <c r="N1431" s="183"/>
      <c r="O1431" s="183"/>
      <c r="P1431" s="183"/>
      <c r="Q1431" s="183"/>
      <c r="R1431" s="183"/>
      <c r="S1431" s="183"/>
      <c r="T1431" s="183"/>
      <c r="U1431" s="183"/>
      <c r="V1431" s="183"/>
      <c r="W1431" s="183"/>
      <c r="X1431" s="183"/>
      <c r="Y1431" s="183"/>
      <c r="Z1431" s="183"/>
    </row>
    <row r="1432" spans="2:26">
      <c r="B1432" s="191"/>
      <c r="D1432" s="183"/>
      <c r="I1432" s="183"/>
      <c r="J1432" s="183"/>
      <c r="L1432" s="183"/>
      <c r="M1432" s="183"/>
      <c r="N1432" s="183"/>
      <c r="O1432" s="183"/>
      <c r="P1432" s="183"/>
      <c r="Q1432" s="183"/>
      <c r="R1432" s="183"/>
      <c r="S1432" s="183"/>
      <c r="T1432" s="183"/>
      <c r="U1432" s="183"/>
      <c r="V1432" s="183"/>
      <c r="W1432" s="183"/>
      <c r="X1432" s="183"/>
      <c r="Y1432" s="183"/>
      <c r="Z1432" s="183"/>
    </row>
    <row r="1433" spans="2:26">
      <c r="B1433" s="191"/>
      <c r="D1433" s="183"/>
      <c r="I1433" s="183"/>
      <c r="J1433" s="183"/>
      <c r="L1433" s="183"/>
      <c r="M1433" s="183"/>
      <c r="N1433" s="183"/>
      <c r="O1433" s="183"/>
      <c r="P1433" s="183"/>
      <c r="Q1433" s="183"/>
      <c r="R1433" s="183"/>
      <c r="S1433" s="183"/>
      <c r="T1433" s="183"/>
      <c r="U1433" s="183"/>
      <c r="V1433" s="183"/>
      <c r="W1433" s="183"/>
      <c r="X1433" s="183"/>
      <c r="Y1433" s="183"/>
      <c r="Z1433" s="183"/>
    </row>
    <row r="1434" spans="2:26">
      <c r="B1434" s="191"/>
      <c r="D1434" s="183"/>
      <c r="I1434" s="183"/>
      <c r="J1434" s="183"/>
      <c r="L1434" s="183"/>
      <c r="M1434" s="183"/>
      <c r="N1434" s="183"/>
      <c r="O1434" s="183"/>
      <c r="P1434" s="183"/>
      <c r="Q1434" s="183"/>
      <c r="R1434" s="183"/>
      <c r="S1434" s="183"/>
      <c r="T1434" s="183"/>
      <c r="U1434" s="183"/>
      <c r="V1434" s="183"/>
      <c r="W1434" s="183"/>
      <c r="X1434" s="183"/>
      <c r="Y1434" s="183"/>
      <c r="Z1434" s="183"/>
    </row>
    <row r="1435" spans="2:26">
      <c r="B1435" s="191"/>
      <c r="D1435" s="183"/>
      <c r="I1435" s="183"/>
      <c r="J1435" s="183"/>
      <c r="L1435" s="183"/>
      <c r="M1435" s="183"/>
      <c r="N1435" s="183"/>
      <c r="O1435" s="183"/>
      <c r="P1435" s="183"/>
      <c r="Q1435" s="183"/>
      <c r="R1435" s="183"/>
      <c r="S1435" s="183"/>
      <c r="T1435" s="183"/>
      <c r="U1435" s="183"/>
      <c r="V1435" s="183"/>
      <c r="W1435" s="183"/>
      <c r="X1435" s="183"/>
      <c r="Y1435" s="183"/>
      <c r="Z1435" s="183"/>
    </row>
    <row r="1436" spans="2:26">
      <c r="B1436" s="191"/>
      <c r="D1436" s="183"/>
      <c r="I1436" s="183"/>
      <c r="J1436" s="183"/>
      <c r="L1436" s="183"/>
      <c r="M1436" s="183"/>
      <c r="N1436" s="183"/>
      <c r="O1436" s="183"/>
      <c r="P1436" s="183"/>
      <c r="Q1436" s="183"/>
      <c r="R1436" s="183"/>
      <c r="S1436" s="183"/>
      <c r="T1436" s="183"/>
      <c r="U1436" s="183"/>
      <c r="V1436" s="183"/>
      <c r="W1436" s="183"/>
      <c r="X1436" s="183"/>
      <c r="Y1436" s="183"/>
      <c r="Z1436" s="183"/>
    </row>
    <row r="1437" spans="2:26">
      <c r="B1437" s="191"/>
      <c r="D1437" s="183"/>
      <c r="I1437" s="183"/>
      <c r="J1437" s="183"/>
      <c r="L1437" s="183"/>
      <c r="M1437" s="183"/>
      <c r="N1437" s="183"/>
      <c r="O1437" s="183"/>
      <c r="P1437" s="183"/>
      <c r="Q1437" s="183"/>
      <c r="R1437" s="183"/>
      <c r="S1437" s="183"/>
      <c r="T1437" s="183"/>
      <c r="U1437" s="183"/>
      <c r="V1437" s="183"/>
      <c r="W1437" s="183"/>
      <c r="X1437" s="183"/>
      <c r="Y1437" s="183"/>
      <c r="Z1437" s="183"/>
    </row>
    <row r="1438" spans="2:26">
      <c r="B1438" s="191"/>
      <c r="D1438" s="183"/>
      <c r="I1438" s="183"/>
      <c r="J1438" s="183"/>
      <c r="L1438" s="183"/>
      <c r="M1438" s="183"/>
      <c r="N1438" s="183"/>
      <c r="O1438" s="183"/>
      <c r="P1438" s="183"/>
      <c r="Q1438" s="183"/>
      <c r="R1438" s="183"/>
      <c r="S1438" s="183"/>
      <c r="T1438" s="183"/>
      <c r="U1438" s="183"/>
      <c r="V1438" s="183"/>
      <c r="W1438" s="183"/>
      <c r="X1438" s="183"/>
      <c r="Y1438" s="183"/>
      <c r="Z1438" s="183"/>
    </row>
    <row r="1439" spans="2:26">
      <c r="B1439" s="191"/>
      <c r="D1439" s="183"/>
      <c r="I1439" s="183"/>
      <c r="J1439" s="183"/>
      <c r="L1439" s="183"/>
      <c r="M1439" s="183"/>
      <c r="N1439" s="183"/>
      <c r="O1439" s="183"/>
      <c r="P1439" s="183"/>
      <c r="Q1439" s="183"/>
      <c r="R1439" s="183"/>
      <c r="S1439" s="183"/>
      <c r="T1439" s="183"/>
      <c r="U1439" s="183"/>
      <c r="V1439" s="183"/>
      <c r="W1439" s="183"/>
      <c r="X1439" s="183"/>
      <c r="Y1439" s="183"/>
      <c r="Z1439" s="183"/>
    </row>
    <row r="1440" spans="2:26">
      <c r="B1440" s="191"/>
      <c r="D1440" s="183"/>
      <c r="I1440" s="183"/>
      <c r="J1440" s="183"/>
      <c r="L1440" s="183"/>
      <c r="M1440" s="183"/>
      <c r="N1440" s="183"/>
      <c r="O1440" s="183"/>
      <c r="P1440" s="183"/>
      <c r="Q1440" s="183"/>
      <c r="R1440" s="183"/>
      <c r="S1440" s="183"/>
      <c r="T1440" s="183"/>
      <c r="U1440" s="183"/>
      <c r="V1440" s="183"/>
      <c r="W1440" s="183"/>
      <c r="X1440" s="183"/>
      <c r="Y1440" s="183"/>
      <c r="Z1440" s="183"/>
    </row>
    <row r="1441" spans="2:26">
      <c r="B1441" s="191"/>
      <c r="D1441" s="183"/>
      <c r="I1441" s="183"/>
      <c r="J1441" s="183"/>
      <c r="L1441" s="183"/>
      <c r="M1441" s="183"/>
      <c r="N1441" s="183"/>
      <c r="O1441" s="183"/>
      <c r="P1441" s="183"/>
      <c r="Q1441" s="183"/>
      <c r="R1441" s="183"/>
      <c r="S1441" s="183"/>
      <c r="T1441" s="183"/>
      <c r="U1441" s="183"/>
      <c r="V1441" s="183"/>
      <c r="W1441" s="183"/>
      <c r="X1441" s="183"/>
      <c r="Y1441" s="183"/>
      <c r="Z1441" s="183"/>
    </row>
    <row r="1442" spans="2:26">
      <c r="B1442" s="191"/>
      <c r="D1442" s="183"/>
      <c r="I1442" s="183"/>
      <c r="J1442" s="183"/>
      <c r="L1442" s="183"/>
      <c r="M1442" s="183"/>
      <c r="N1442" s="183"/>
      <c r="O1442" s="183"/>
      <c r="P1442" s="183"/>
      <c r="Q1442" s="183"/>
      <c r="R1442" s="183"/>
      <c r="S1442" s="183"/>
      <c r="T1442" s="183"/>
      <c r="U1442" s="183"/>
      <c r="V1442" s="183"/>
      <c r="W1442" s="183"/>
      <c r="X1442" s="183"/>
      <c r="Y1442" s="183"/>
      <c r="Z1442" s="183"/>
    </row>
    <row r="1443" spans="2:26">
      <c r="B1443" s="191"/>
      <c r="D1443" s="183"/>
      <c r="I1443" s="183"/>
      <c r="J1443" s="183"/>
      <c r="L1443" s="183"/>
      <c r="M1443" s="183"/>
      <c r="N1443" s="183"/>
      <c r="O1443" s="183"/>
      <c r="P1443" s="183"/>
      <c r="Q1443" s="183"/>
      <c r="R1443" s="183"/>
      <c r="S1443" s="183"/>
      <c r="T1443" s="183"/>
      <c r="U1443" s="183"/>
      <c r="V1443" s="183"/>
      <c r="W1443" s="183"/>
      <c r="X1443" s="183"/>
      <c r="Y1443" s="183"/>
      <c r="Z1443" s="183"/>
    </row>
    <row r="1444" spans="2:26">
      <c r="B1444" s="191"/>
      <c r="D1444" s="183"/>
      <c r="I1444" s="183"/>
      <c r="J1444" s="183"/>
      <c r="L1444" s="183"/>
      <c r="M1444" s="183"/>
      <c r="N1444" s="183"/>
      <c r="O1444" s="183"/>
      <c r="P1444" s="183"/>
      <c r="Q1444" s="183"/>
      <c r="R1444" s="183"/>
      <c r="S1444" s="183"/>
      <c r="T1444" s="183"/>
      <c r="U1444" s="183"/>
      <c r="V1444" s="183"/>
      <c r="W1444" s="183"/>
      <c r="X1444" s="183"/>
      <c r="Y1444" s="183"/>
      <c r="Z1444" s="183"/>
    </row>
    <row r="1445" spans="2:26">
      <c r="B1445" s="191"/>
      <c r="D1445" s="183"/>
      <c r="I1445" s="183"/>
      <c r="J1445" s="183"/>
      <c r="L1445" s="183"/>
      <c r="M1445" s="183"/>
      <c r="N1445" s="183"/>
      <c r="O1445" s="183"/>
      <c r="P1445" s="183"/>
      <c r="Q1445" s="183"/>
      <c r="R1445" s="183"/>
      <c r="S1445" s="183"/>
      <c r="T1445" s="183"/>
      <c r="U1445" s="183"/>
      <c r="V1445" s="183"/>
      <c r="W1445" s="183"/>
      <c r="X1445" s="183"/>
      <c r="Y1445" s="183"/>
      <c r="Z1445" s="183"/>
    </row>
    <row r="1446" spans="2:26">
      <c r="B1446" s="191"/>
      <c r="D1446" s="183"/>
      <c r="I1446" s="183"/>
      <c r="J1446" s="183"/>
      <c r="L1446" s="183"/>
      <c r="M1446" s="183"/>
      <c r="N1446" s="183"/>
      <c r="O1446" s="183"/>
      <c r="P1446" s="183"/>
      <c r="Q1446" s="183"/>
      <c r="R1446" s="183"/>
      <c r="S1446" s="183"/>
      <c r="T1446" s="183"/>
      <c r="U1446" s="183"/>
      <c r="V1446" s="183"/>
      <c r="W1446" s="183"/>
      <c r="X1446" s="183"/>
      <c r="Y1446" s="183"/>
      <c r="Z1446" s="183"/>
    </row>
    <row r="1447" spans="2:26">
      <c r="B1447" s="191"/>
      <c r="D1447" s="183"/>
      <c r="I1447" s="183"/>
      <c r="J1447" s="183"/>
      <c r="L1447" s="183"/>
      <c r="M1447" s="183"/>
      <c r="N1447" s="183"/>
      <c r="O1447" s="183"/>
      <c r="P1447" s="183"/>
      <c r="Q1447" s="183"/>
      <c r="R1447" s="183"/>
      <c r="S1447" s="183"/>
      <c r="T1447" s="183"/>
      <c r="U1447" s="183"/>
      <c r="V1447" s="183"/>
      <c r="W1447" s="183"/>
      <c r="X1447" s="183"/>
      <c r="Y1447" s="183"/>
      <c r="Z1447" s="183"/>
    </row>
    <row r="1448" spans="2:26">
      <c r="B1448" s="191"/>
      <c r="D1448" s="183"/>
      <c r="I1448" s="183"/>
      <c r="J1448" s="183"/>
      <c r="L1448" s="183"/>
      <c r="M1448" s="183"/>
      <c r="N1448" s="183"/>
      <c r="O1448" s="183"/>
      <c r="P1448" s="183"/>
      <c r="Q1448" s="183"/>
      <c r="R1448" s="183"/>
      <c r="S1448" s="183"/>
      <c r="T1448" s="183"/>
      <c r="U1448" s="183"/>
      <c r="V1448" s="183"/>
      <c r="W1448" s="183"/>
      <c r="X1448" s="183"/>
      <c r="Y1448" s="183"/>
      <c r="Z1448" s="183"/>
    </row>
    <row r="1449" spans="2:26">
      <c r="B1449" s="191"/>
      <c r="D1449" s="183"/>
      <c r="I1449" s="183"/>
      <c r="J1449" s="183"/>
      <c r="L1449" s="183"/>
      <c r="M1449" s="183"/>
      <c r="N1449" s="183"/>
      <c r="O1449" s="183"/>
      <c r="P1449" s="183"/>
      <c r="Q1449" s="183"/>
      <c r="R1449" s="183"/>
      <c r="S1449" s="183"/>
      <c r="T1449" s="183"/>
      <c r="U1449" s="183"/>
      <c r="V1449" s="183"/>
      <c r="W1449" s="183"/>
      <c r="X1449" s="183"/>
      <c r="Y1449" s="183"/>
      <c r="Z1449" s="183"/>
    </row>
    <row r="1450" spans="2:26">
      <c r="B1450" s="191"/>
      <c r="D1450" s="183"/>
      <c r="I1450" s="183"/>
      <c r="J1450" s="183"/>
      <c r="L1450" s="183"/>
      <c r="M1450" s="183"/>
      <c r="N1450" s="183"/>
      <c r="O1450" s="183"/>
      <c r="P1450" s="183"/>
      <c r="Q1450" s="183"/>
      <c r="R1450" s="183"/>
      <c r="S1450" s="183"/>
      <c r="T1450" s="183"/>
      <c r="U1450" s="183"/>
      <c r="V1450" s="183"/>
      <c r="W1450" s="183"/>
      <c r="X1450" s="183"/>
      <c r="Y1450" s="183"/>
      <c r="Z1450" s="183"/>
    </row>
    <row r="1451" spans="2:26">
      <c r="B1451" s="191"/>
      <c r="D1451" s="183"/>
      <c r="I1451" s="183"/>
      <c r="J1451" s="183"/>
      <c r="L1451" s="183"/>
      <c r="M1451" s="183"/>
      <c r="N1451" s="183"/>
      <c r="O1451" s="183"/>
      <c r="P1451" s="183"/>
      <c r="Q1451" s="183"/>
      <c r="R1451" s="183"/>
      <c r="S1451" s="183"/>
      <c r="T1451" s="183"/>
      <c r="U1451" s="183"/>
      <c r="V1451" s="183"/>
      <c r="W1451" s="183"/>
      <c r="X1451" s="183"/>
      <c r="Y1451" s="183"/>
      <c r="Z1451" s="183"/>
    </row>
    <row r="1452" spans="2:26">
      <c r="B1452" s="191"/>
      <c r="D1452" s="183"/>
      <c r="I1452" s="183"/>
      <c r="J1452" s="183"/>
      <c r="L1452" s="183"/>
      <c r="M1452" s="183"/>
      <c r="N1452" s="183"/>
      <c r="O1452" s="183"/>
      <c r="P1452" s="183"/>
      <c r="Q1452" s="183"/>
      <c r="R1452" s="183"/>
      <c r="S1452" s="183"/>
      <c r="T1452" s="183"/>
      <c r="U1452" s="183"/>
      <c r="V1452" s="183"/>
      <c r="W1452" s="183"/>
      <c r="X1452" s="183"/>
      <c r="Y1452" s="183"/>
      <c r="Z1452" s="183"/>
    </row>
    <row r="1453" spans="2:26">
      <c r="B1453" s="191"/>
      <c r="D1453" s="183"/>
      <c r="I1453" s="183"/>
      <c r="J1453" s="183"/>
      <c r="L1453" s="183"/>
      <c r="M1453" s="183"/>
      <c r="N1453" s="183"/>
      <c r="O1453" s="183"/>
      <c r="P1453" s="183"/>
      <c r="Q1453" s="183"/>
      <c r="R1453" s="183"/>
      <c r="S1453" s="183"/>
      <c r="T1453" s="183"/>
      <c r="U1453" s="183"/>
      <c r="V1453" s="183"/>
      <c r="W1453" s="183"/>
      <c r="X1453" s="183"/>
      <c r="Y1453" s="183"/>
      <c r="Z1453" s="183"/>
    </row>
    <row r="1454" spans="2:26">
      <c r="B1454" s="191"/>
      <c r="D1454" s="183"/>
      <c r="I1454" s="183"/>
      <c r="J1454" s="183"/>
      <c r="L1454" s="183"/>
      <c r="M1454" s="183"/>
      <c r="N1454" s="183"/>
      <c r="O1454" s="183"/>
      <c r="P1454" s="183"/>
      <c r="Q1454" s="183"/>
      <c r="R1454" s="183"/>
      <c r="S1454" s="183"/>
      <c r="T1454" s="183"/>
      <c r="U1454" s="183"/>
      <c r="V1454" s="183"/>
      <c r="W1454" s="183"/>
      <c r="X1454" s="183"/>
      <c r="Y1454" s="183"/>
      <c r="Z1454" s="183"/>
    </row>
    <row r="1455" spans="2:26">
      <c r="B1455" s="191"/>
      <c r="D1455" s="183"/>
      <c r="I1455" s="183"/>
      <c r="J1455" s="183"/>
      <c r="L1455" s="183"/>
      <c r="M1455" s="183"/>
      <c r="N1455" s="183"/>
      <c r="O1455" s="183"/>
      <c r="P1455" s="183"/>
      <c r="Q1455" s="183"/>
      <c r="R1455" s="183"/>
      <c r="S1455" s="183"/>
      <c r="T1455" s="183"/>
      <c r="U1455" s="183"/>
      <c r="V1455" s="183"/>
      <c r="W1455" s="183"/>
      <c r="X1455" s="183"/>
      <c r="Y1455" s="183"/>
      <c r="Z1455" s="183"/>
    </row>
    <row r="1456" spans="2:26">
      <c r="B1456" s="191"/>
      <c r="D1456" s="183"/>
      <c r="I1456" s="183"/>
      <c r="J1456" s="183"/>
      <c r="L1456" s="183"/>
      <c r="M1456" s="183"/>
      <c r="N1456" s="183"/>
      <c r="O1456" s="183"/>
      <c r="P1456" s="183"/>
      <c r="Q1456" s="183"/>
      <c r="R1456" s="183"/>
      <c r="S1456" s="183"/>
      <c r="T1456" s="183"/>
      <c r="U1456" s="183"/>
      <c r="V1456" s="183"/>
      <c r="W1456" s="183"/>
      <c r="X1456" s="183"/>
      <c r="Y1456" s="183"/>
      <c r="Z1456" s="183"/>
    </row>
    <row r="1457" spans="2:26">
      <c r="B1457" s="191"/>
      <c r="D1457" s="183"/>
      <c r="I1457" s="183"/>
      <c r="J1457" s="183"/>
      <c r="L1457" s="183"/>
      <c r="M1457" s="183"/>
      <c r="N1457" s="183"/>
      <c r="O1457" s="183"/>
      <c r="P1457" s="183"/>
      <c r="Q1457" s="183"/>
      <c r="R1457" s="183"/>
      <c r="S1457" s="183"/>
      <c r="T1457" s="183"/>
      <c r="U1457" s="183"/>
      <c r="V1457" s="183"/>
      <c r="W1457" s="183"/>
      <c r="X1457" s="183"/>
      <c r="Y1457" s="183"/>
      <c r="Z1457" s="183"/>
    </row>
    <row r="1458" spans="2:26">
      <c r="B1458" s="191"/>
      <c r="D1458" s="183"/>
      <c r="I1458" s="183"/>
      <c r="J1458" s="183"/>
      <c r="L1458" s="183"/>
      <c r="M1458" s="183"/>
      <c r="N1458" s="183"/>
      <c r="O1458" s="183"/>
      <c r="P1458" s="183"/>
      <c r="Q1458" s="183"/>
      <c r="R1458" s="183"/>
      <c r="S1458" s="183"/>
      <c r="T1458" s="183"/>
      <c r="U1458" s="183"/>
      <c r="V1458" s="183"/>
      <c r="W1458" s="183"/>
      <c r="X1458" s="183"/>
      <c r="Y1458" s="183"/>
      <c r="Z1458" s="183"/>
    </row>
    <row r="1459" spans="2:26">
      <c r="B1459" s="191"/>
      <c r="D1459" s="183"/>
      <c r="I1459" s="183"/>
      <c r="J1459" s="183"/>
      <c r="L1459" s="183"/>
      <c r="M1459" s="183"/>
      <c r="N1459" s="183"/>
      <c r="O1459" s="183"/>
      <c r="P1459" s="183"/>
      <c r="Q1459" s="183"/>
      <c r="R1459" s="183"/>
      <c r="S1459" s="183"/>
      <c r="T1459" s="183"/>
      <c r="U1459" s="183"/>
      <c r="V1459" s="183"/>
      <c r="W1459" s="183"/>
      <c r="X1459" s="183"/>
      <c r="Y1459" s="183"/>
      <c r="Z1459" s="183"/>
    </row>
    <row r="1460" spans="2:26">
      <c r="B1460" s="191"/>
      <c r="D1460" s="183"/>
      <c r="I1460" s="183"/>
      <c r="J1460" s="183"/>
      <c r="L1460" s="183"/>
      <c r="M1460" s="183"/>
      <c r="N1460" s="183"/>
      <c r="O1460" s="183"/>
      <c r="P1460" s="183"/>
      <c r="Q1460" s="183"/>
      <c r="R1460" s="183"/>
      <c r="S1460" s="183"/>
      <c r="T1460" s="183"/>
      <c r="U1460" s="183"/>
      <c r="V1460" s="183"/>
      <c r="W1460" s="183"/>
      <c r="X1460" s="183"/>
      <c r="Y1460" s="183"/>
      <c r="Z1460" s="183"/>
    </row>
    <row r="1461" spans="2:26">
      <c r="B1461" s="191"/>
      <c r="D1461" s="183"/>
      <c r="I1461" s="183"/>
      <c r="J1461" s="183"/>
      <c r="L1461" s="183"/>
      <c r="M1461" s="183"/>
      <c r="N1461" s="183"/>
      <c r="O1461" s="183"/>
      <c r="P1461" s="183"/>
      <c r="Q1461" s="183"/>
      <c r="R1461" s="183"/>
      <c r="S1461" s="183"/>
      <c r="T1461" s="183"/>
      <c r="U1461" s="183"/>
      <c r="V1461" s="183"/>
      <c r="W1461" s="183"/>
      <c r="X1461" s="183"/>
      <c r="Y1461" s="183"/>
      <c r="Z1461" s="183"/>
    </row>
    <row r="1462" spans="2:26">
      <c r="B1462" s="191"/>
      <c r="D1462" s="183"/>
      <c r="I1462" s="183"/>
      <c r="J1462" s="183"/>
      <c r="L1462" s="183"/>
      <c r="M1462" s="183"/>
      <c r="N1462" s="183"/>
      <c r="O1462" s="183"/>
      <c r="P1462" s="183"/>
      <c r="Q1462" s="183"/>
      <c r="R1462" s="183"/>
      <c r="S1462" s="183"/>
      <c r="T1462" s="183"/>
      <c r="U1462" s="183"/>
      <c r="V1462" s="183"/>
      <c r="W1462" s="183"/>
      <c r="X1462" s="183"/>
      <c r="Y1462" s="183"/>
      <c r="Z1462" s="183"/>
    </row>
    <row r="1463" spans="2:26">
      <c r="B1463" s="191"/>
      <c r="D1463" s="183"/>
      <c r="I1463" s="183"/>
      <c r="J1463" s="183"/>
      <c r="L1463" s="183"/>
      <c r="M1463" s="183"/>
      <c r="N1463" s="183"/>
      <c r="O1463" s="183"/>
      <c r="P1463" s="183"/>
      <c r="Q1463" s="183"/>
      <c r="R1463" s="183"/>
      <c r="S1463" s="183"/>
      <c r="T1463" s="183"/>
      <c r="U1463" s="183"/>
      <c r="V1463" s="183"/>
      <c r="W1463" s="183"/>
      <c r="X1463" s="183"/>
      <c r="Y1463" s="183"/>
      <c r="Z1463" s="183"/>
    </row>
    <row r="1464" spans="2:26">
      <c r="B1464" s="191"/>
      <c r="D1464" s="183"/>
      <c r="I1464" s="183"/>
      <c r="J1464" s="183"/>
      <c r="L1464" s="183"/>
      <c r="M1464" s="183"/>
      <c r="N1464" s="183"/>
      <c r="O1464" s="183"/>
      <c r="P1464" s="183"/>
      <c r="Q1464" s="183"/>
      <c r="R1464" s="183"/>
      <c r="S1464" s="183"/>
      <c r="T1464" s="183"/>
      <c r="U1464" s="183"/>
      <c r="V1464" s="183"/>
      <c r="W1464" s="183"/>
      <c r="X1464" s="183"/>
      <c r="Y1464" s="183"/>
      <c r="Z1464" s="183"/>
    </row>
    <row r="1465" spans="2:26">
      <c r="B1465" s="191"/>
      <c r="D1465" s="183"/>
      <c r="I1465" s="183"/>
      <c r="J1465" s="183"/>
      <c r="L1465" s="183"/>
      <c r="M1465" s="183"/>
      <c r="N1465" s="183"/>
      <c r="O1465" s="183"/>
      <c r="P1465" s="183"/>
      <c r="Q1465" s="183"/>
      <c r="R1465" s="183"/>
      <c r="S1465" s="183"/>
      <c r="T1465" s="183"/>
      <c r="U1465" s="183"/>
      <c r="V1465" s="183"/>
      <c r="W1465" s="183"/>
      <c r="X1465" s="183"/>
      <c r="Y1465" s="183"/>
      <c r="Z1465" s="183"/>
    </row>
    <row r="1466" spans="2:26">
      <c r="B1466" s="191"/>
      <c r="D1466" s="183"/>
      <c r="I1466" s="183"/>
      <c r="J1466" s="183"/>
      <c r="L1466" s="183"/>
      <c r="M1466" s="183"/>
      <c r="N1466" s="183"/>
      <c r="O1466" s="183"/>
      <c r="P1466" s="183"/>
      <c r="Q1466" s="183"/>
      <c r="R1466" s="183"/>
      <c r="S1466" s="183"/>
      <c r="T1466" s="183"/>
      <c r="U1466" s="183"/>
      <c r="V1466" s="183"/>
      <c r="W1466" s="183"/>
      <c r="X1466" s="183"/>
      <c r="Y1466" s="183"/>
      <c r="Z1466" s="183"/>
    </row>
    <row r="1467" spans="2:26">
      <c r="B1467" s="191"/>
      <c r="D1467" s="183"/>
      <c r="I1467" s="183"/>
      <c r="J1467" s="183"/>
      <c r="L1467" s="183"/>
      <c r="M1467" s="183"/>
      <c r="N1467" s="183"/>
      <c r="O1467" s="183"/>
      <c r="P1467" s="183"/>
      <c r="Q1467" s="183"/>
      <c r="R1467" s="183"/>
      <c r="S1467" s="183"/>
      <c r="T1467" s="183"/>
      <c r="U1467" s="183"/>
      <c r="V1467" s="183"/>
      <c r="W1467" s="183"/>
      <c r="X1467" s="183"/>
      <c r="Y1467" s="183"/>
      <c r="Z1467" s="183"/>
    </row>
    <row r="1468" spans="2:26">
      <c r="B1468" s="191"/>
      <c r="D1468" s="183"/>
      <c r="I1468" s="183"/>
      <c r="J1468" s="183"/>
      <c r="L1468" s="183"/>
      <c r="M1468" s="183"/>
      <c r="N1468" s="183"/>
      <c r="O1468" s="183"/>
      <c r="P1468" s="183"/>
      <c r="Q1468" s="183"/>
      <c r="R1468" s="183"/>
      <c r="S1468" s="183"/>
      <c r="T1468" s="183"/>
      <c r="U1468" s="183"/>
      <c r="V1468" s="183"/>
      <c r="W1468" s="183"/>
      <c r="X1468" s="183"/>
      <c r="Y1468" s="183"/>
      <c r="Z1468" s="183"/>
    </row>
    <row r="1469" spans="2:26">
      <c r="B1469" s="191"/>
      <c r="D1469" s="183"/>
      <c r="I1469" s="183"/>
      <c r="J1469" s="183"/>
      <c r="L1469" s="183"/>
      <c r="M1469" s="183"/>
      <c r="N1469" s="183"/>
      <c r="O1469" s="183"/>
      <c r="P1469" s="183"/>
      <c r="Q1469" s="183"/>
      <c r="R1469" s="183"/>
      <c r="S1469" s="183"/>
      <c r="T1469" s="183"/>
      <c r="U1469" s="183"/>
      <c r="V1469" s="183"/>
      <c r="W1469" s="183"/>
      <c r="X1469" s="183"/>
      <c r="Y1469" s="183"/>
      <c r="Z1469" s="183"/>
    </row>
    <row r="1470" spans="2:26">
      <c r="B1470" s="191"/>
      <c r="D1470" s="183"/>
      <c r="I1470" s="183"/>
      <c r="J1470" s="183"/>
      <c r="L1470" s="183"/>
      <c r="M1470" s="183"/>
      <c r="N1470" s="183"/>
      <c r="O1470" s="183"/>
      <c r="P1470" s="183"/>
      <c r="Q1470" s="183"/>
      <c r="R1470" s="183"/>
      <c r="S1470" s="183"/>
      <c r="T1470" s="183"/>
      <c r="U1470" s="183"/>
      <c r="V1470" s="183"/>
      <c r="W1470" s="183"/>
      <c r="X1470" s="183"/>
      <c r="Y1470" s="183"/>
      <c r="Z1470" s="183"/>
    </row>
    <row r="1471" spans="2:26">
      <c r="B1471" s="191"/>
      <c r="D1471" s="183"/>
      <c r="I1471" s="183"/>
      <c r="J1471" s="183"/>
      <c r="L1471" s="183"/>
      <c r="M1471" s="183"/>
      <c r="N1471" s="183"/>
      <c r="O1471" s="183"/>
      <c r="P1471" s="183"/>
      <c r="Q1471" s="183"/>
      <c r="R1471" s="183"/>
      <c r="S1471" s="183"/>
      <c r="T1471" s="183"/>
      <c r="U1471" s="183"/>
      <c r="V1471" s="183"/>
      <c r="W1471" s="183"/>
      <c r="X1471" s="183"/>
      <c r="Y1471" s="183"/>
      <c r="Z1471" s="183"/>
    </row>
    <row r="1472" spans="2:26">
      <c r="B1472" s="191"/>
      <c r="D1472" s="183"/>
      <c r="I1472" s="183"/>
      <c r="J1472" s="183"/>
      <c r="L1472" s="183"/>
      <c r="M1472" s="183"/>
      <c r="N1472" s="183"/>
      <c r="O1472" s="183"/>
      <c r="P1472" s="183"/>
      <c r="Q1472" s="183"/>
      <c r="R1472" s="183"/>
      <c r="S1472" s="183"/>
      <c r="T1472" s="183"/>
      <c r="U1472" s="183"/>
      <c r="V1472" s="183"/>
      <c r="W1472" s="183"/>
      <c r="X1472" s="183"/>
      <c r="Y1472" s="183"/>
      <c r="Z1472" s="183"/>
    </row>
    <row r="1473" spans="2:26">
      <c r="B1473" s="191"/>
      <c r="D1473" s="183"/>
      <c r="I1473" s="183"/>
      <c r="J1473" s="183"/>
      <c r="L1473" s="183"/>
      <c r="M1473" s="183"/>
      <c r="N1473" s="183"/>
      <c r="O1473" s="183"/>
      <c r="P1473" s="183"/>
      <c r="Q1473" s="183"/>
      <c r="R1473" s="183"/>
      <c r="S1473" s="183"/>
      <c r="T1473" s="183"/>
      <c r="U1473" s="183"/>
      <c r="V1473" s="183"/>
      <c r="W1473" s="183"/>
      <c r="X1473" s="183"/>
      <c r="Y1473" s="183"/>
      <c r="Z1473" s="183"/>
    </row>
    <row r="1474" spans="2:26">
      <c r="B1474" s="191"/>
      <c r="D1474" s="183"/>
      <c r="I1474" s="183"/>
      <c r="J1474" s="183"/>
      <c r="L1474" s="183"/>
      <c r="M1474" s="183"/>
      <c r="N1474" s="183"/>
      <c r="O1474" s="183"/>
      <c r="P1474" s="183"/>
      <c r="Q1474" s="183"/>
      <c r="R1474" s="183"/>
      <c r="S1474" s="183"/>
      <c r="T1474" s="183"/>
      <c r="U1474" s="183"/>
      <c r="V1474" s="183"/>
      <c r="W1474" s="183"/>
      <c r="X1474" s="183"/>
      <c r="Y1474" s="183"/>
      <c r="Z1474" s="183"/>
    </row>
    <row r="1475" spans="2:26">
      <c r="B1475" s="191"/>
      <c r="D1475" s="183"/>
      <c r="I1475" s="183"/>
      <c r="J1475" s="183"/>
      <c r="L1475" s="183"/>
      <c r="M1475" s="183"/>
      <c r="N1475" s="183"/>
      <c r="O1475" s="183"/>
      <c r="P1475" s="183"/>
      <c r="Q1475" s="183"/>
      <c r="R1475" s="183"/>
      <c r="S1475" s="183"/>
      <c r="T1475" s="183"/>
      <c r="U1475" s="183"/>
      <c r="V1475" s="183"/>
      <c r="W1475" s="183"/>
      <c r="X1475" s="183"/>
      <c r="Y1475" s="183"/>
      <c r="Z1475" s="183"/>
    </row>
    <row r="1476" spans="2:26">
      <c r="B1476" s="191"/>
      <c r="D1476" s="183"/>
      <c r="I1476" s="183"/>
      <c r="J1476" s="183"/>
      <c r="L1476" s="183"/>
      <c r="M1476" s="183"/>
      <c r="N1476" s="183"/>
      <c r="O1476" s="183"/>
      <c r="P1476" s="183"/>
      <c r="Q1476" s="183"/>
      <c r="R1476" s="183"/>
      <c r="S1476" s="183"/>
      <c r="T1476" s="183"/>
      <c r="U1476" s="183"/>
      <c r="V1476" s="183"/>
      <c r="W1476" s="183"/>
      <c r="X1476" s="183"/>
      <c r="Y1476" s="183"/>
      <c r="Z1476" s="183"/>
    </row>
    <row r="1477" spans="2:26">
      <c r="B1477" s="191"/>
      <c r="D1477" s="183"/>
      <c r="I1477" s="183"/>
      <c r="J1477" s="183"/>
      <c r="L1477" s="183"/>
      <c r="M1477" s="183"/>
      <c r="N1477" s="183"/>
      <c r="O1477" s="183"/>
      <c r="P1477" s="183"/>
      <c r="Q1477" s="183"/>
      <c r="R1477" s="183"/>
      <c r="S1477" s="183"/>
      <c r="T1477" s="183"/>
      <c r="U1477" s="183"/>
      <c r="V1477" s="183"/>
      <c r="W1477" s="183"/>
      <c r="X1477" s="183"/>
      <c r="Y1477" s="183"/>
      <c r="Z1477" s="183"/>
    </row>
    <row r="1478" spans="2:26">
      <c r="B1478" s="191"/>
      <c r="D1478" s="183"/>
      <c r="I1478" s="183"/>
      <c r="J1478" s="183"/>
      <c r="L1478" s="183"/>
      <c r="M1478" s="183"/>
      <c r="N1478" s="183"/>
      <c r="O1478" s="183"/>
      <c r="P1478" s="183"/>
      <c r="Q1478" s="183"/>
      <c r="R1478" s="183"/>
      <c r="S1478" s="183"/>
      <c r="T1478" s="183"/>
      <c r="U1478" s="183"/>
      <c r="V1478" s="183"/>
      <c r="W1478" s="183"/>
      <c r="X1478" s="183"/>
      <c r="Y1478" s="183"/>
      <c r="Z1478" s="183"/>
    </row>
    <row r="1479" spans="2:26">
      <c r="B1479" s="191"/>
      <c r="D1479" s="183"/>
      <c r="I1479" s="183"/>
      <c r="J1479" s="183"/>
      <c r="L1479" s="183"/>
      <c r="M1479" s="183"/>
      <c r="N1479" s="183"/>
      <c r="O1479" s="183"/>
      <c r="P1479" s="183"/>
      <c r="Q1479" s="183"/>
      <c r="R1479" s="183"/>
      <c r="S1479" s="183"/>
      <c r="T1479" s="183"/>
      <c r="U1479" s="183"/>
      <c r="V1479" s="183"/>
      <c r="W1479" s="183"/>
      <c r="X1479" s="183"/>
      <c r="Y1479" s="183"/>
      <c r="Z1479" s="183"/>
    </row>
    <row r="1480" spans="2:26">
      <c r="B1480" s="191"/>
      <c r="D1480" s="183"/>
      <c r="I1480" s="183"/>
      <c r="J1480" s="183"/>
      <c r="L1480" s="183"/>
      <c r="M1480" s="183"/>
      <c r="N1480" s="183"/>
      <c r="O1480" s="183"/>
      <c r="P1480" s="183"/>
      <c r="Q1480" s="183"/>
      <c r="R1480" s="183"/>
      <c r="S1480" s="183"/>
      <c r="T1480" s="183"/>
      <c r="U1480" s="183"/>
      <c r="V1480" s="183"/>
      <c r="W1480" s="183"/>
      <c r="X1480" s="183"/>
      <c r="Y1480" s="183"/>
      <c r="Z1480" s="183"/>
    </row>
    <row r="1481" spans="2:26">
      <c r="B1481" s="191"/>
      <c r="D1481" s="183"/>
      <c r="I1481" s="183"/>
      <c r="J1481" s="183"/>
      <c r="L1481" s="183"/>
      <c r="M1481" s="183"/>
      <c r="N1481" s="183"/>
      <c r="O1481" s="183"/>
      <c r="P1481" s="183"/>
      <c r="Q1481" s="183"/>
      <c r="R1481" s="183"/>
      <c r="S1481" s="183"/>
      <c r="T1481" s="183"/>
      <c r="U1481" s="183"/>
      <c r="V1481" s="183"/>
      <c r="W1481" s="183"/>
      <c r="X1481" s="183"/>
      <c r="Y1481" s="183"/>
      <c r="Z1481" s="183"/>
    </row>
    <row r="1482" spans="2:26">
      <c r="B1482" s="191"/>
      <c r="D1482" s="183"/>
      <c r="I1482" s="183"/>
      <c r="J1482" s="183"/>
      <c r="L1482" s="183"/>
      <c r="M1482" s="183"/>
      <c r="N1482" s="183"/>
      <c r="O1482" s="183"/>
      <c r="P1482" s="183"/>
      <c r="Q1482" s="183"/>
      <c r="R1482" s="183"/>
      <c r="S1482" s="183"/>
      <c r="T1482" s="183"/>
      <c r="U1482" s="183"/>
      <c r="V1482" s="183"/>
      <c r="W1482" s="183"/>
      <c r="X1482" s="183"/>
      <c r="Y1482" s="183"/>
      <c r="Z1482" s="183"/>
    </row>
    <row r="1483" spans="2:26">
      <c r="B1483" s="191"/>
      <c r="D1483" s="183"/>
      <c r="I1483" s="183"/>
      <c r="J1483" s="183"/>
      <c r="L1483" s="183"/>
      <c r="M1483" s="183"/>
      <c r="N1483" s="183"/>
      <c r="O1483" s="183"/>
      <c r="P1483" s="183"/>
      <c r="Q1483" s="183"/>
      <c r="R1483" s="183"/>
      <c r="S1483" s="183"/>
      <c r="T1483" s="183"/>
      <c r="U1483" s="183"/>
      <c r="V1483" s="183"/>
      <c r="W1483" s="183"/>
      <c r="X1483" s="183"/>
      <c r="Y1483" s="183"/>
      <c r="Z1483" s="183"/>
    </row>
    <row r="1484" spans="2:26">
      <c r="B1484" s="191"/>
      <c r="D1484" s="183"/>
      <c r="I1484" s="183"/>
      <c r="J1484" s="183"/>
      <c r="L1484" s="183"/>
      <c r="M1484" s="183"/>
      <c r="N1484" s="183"/>
      <c r="O1484" s="183"/>
      <c r="P1484" s="183"/>
      <c r="Q1484" s="183"/>
      <c r="R1484" s="183"/>
      <c r="S1484" s="183"/>
      <c r="T1484" s="183"/>
      <c r="U1484" s="183"/>
      <c r="V1484" s="183"/>
      <c r="W1484" s="183"/>
      <c r="X1484" s="183"/>
      <c r="Y1484" s="183"/>
      <c r="Z1484" s="183"/>
    </row>
    <row r="1485" spans="2:26">
      <c r="B1485" s="191"/>
      <c r="D1485" s="183"/>
      <c r="I1485" s="183"/>
      <c r="J1485" s="183"/>
      <c r="L1485" s="183"/>
      <c r="M1485" s="183"/>
      <c r="N1485" s="183"/>
      <c r="O1485" s="183"/>
      <c r="P1485" s="183"/>
      <c r="Q1485" s="183"/>
      <c r="R1485" s="183"/>
      <c r="S1485" s="183"/>
      <c r="T1485" s="183"/>
      <c r="U1485" s="183"/>
      <c r="V1485" s="183"/>
      <c r="W1485" s="183"/>
      <c r="X1485" s="183"/>
      <c r="Y1485" s="183"/>
      <c r="Z1485" s="183"/>
    </row>
    <row r="1486" spans="2:26">
      <c r="B1486" s="191"/>
      <c r="D1486" s="183"/>
      <c r="I1486" s="183"/>
      <c r="J1486" s="183"/>
      <c r="L1486" s="183"/>
      <c r="M1486" s="183"/>
      <c r="N1486" s="183"/>
      <c r="O1486" s="183"/>
      <c r="P1486" s="183"/>
      <c r="Q1486" s="183"/>
      <c r="R1486" s="183"/>
      <c r="S1486" s="183"/>
      <c r="T1486" s="183"/>
      <c r="U1486" s="183"/>
      <c r="V1486" s="183"/>
      <c r="W1486" s="183"/>
      <c r="X1486" s="183"/>
      <c r="Y1486" s="183"/>
      <c r="Z1486" s="183"/>
    </row>
    <row r="1487" spans="2:26">
      <c r="B1487" s="191"/>
      <c r="D1487" s="183"/>
      <c r="I1487" s="183"/>
      <c r="J1487" s="183"/>
      <c r="L1487" s="183"/>
      <c r="M1487" s="183"/>
      <c r="N1487" s="183"/>
      <c r="O1487" s="183"/>
      <c r="P1487" s="183"/>
      <c r="Q1487" s="183"/>
      <c r="R1487" s="183"/>
      <c r="S1487" s="183"/>
      <c r="T1487" s="183"/>
      <c r="U1487" s="183"/>
      <c r="V1487" s="183"/>
      <c r="W1487" s="183"/>
      <c r="X1487" s="183"/>
      <c r="Y1487" s="183"/>
      <c r="Z1487" s="183"/>
    </row>
    <row r="1488" spans="2:26">
      <c r="B1488" s="191"/>
      <c r="D1488" s="183"/>
      <c r="I1488" s="183"/>
      <c r="J1488" s="183"/>
      <c r="L1488" s="183"/>
      <c r="M1488" s="183"/>
      <c r="N1488" s="183"/>
      <c r="O1488" s="183"/>
      <c r="P1488" s="183"/>
      <c r="Q1488" s="183"/>
      <c r="R1488" s="183"/>
      <c r="S1488" s="183"/>
      <c r="T1488" s="183"/>
      <c r="U1488" s="183"/>
      <c r="V1488" s="183"/>
      <c r="W1488" s="183"/>
      <c r="X1488" s="183"/>
      <c r="Y1488" s="183"/>
      <c r="Z1488" s="183"/>
    </row>
    <row r="1489" spans="2:26">
      <c r="B1489" s="191"/>
      <c r="D1489" s="183"/>
      <c r="I1489" s="183"/>
      <c r="J1489" s="183"/>
      <c r="L1489" s="183"/>
      <c r="M1489" s="183"/>
      <c r="N1489" s="183"/>
      <c r="O1489" s="183"/>
      <c r="P1489" s="183"/>
      <c r="Q1489" s="183"/>
      <c r="R1489" s="183"/>
      <c r="S1489" s="183"/>
      <c r="T1489" s="183"/>
      <c r="U1489" s="183"/>
      <c r="V1489" s="183"/>
      <c r="W1489" s="183"/>
      <c r="X1489" s="183"/>
      <c r="Y1489" s="183"/>
      <c r="Z1489" s="183"/>
    </row>
    <row r="1490" spans="2:26">
      <c r="B1490" s="191"/>
      <c r="D1490" s="183"/>
      <c r="I1490" s="183"/>
      <c r="J1490" s="183"/>
      <c r="L1490" s="183"/>
      <c r="M1490" s="183"/>
      <c r="N1490" s="183"/>
      <c r="O1490" s="183"/>
      <c r="P1490" s="183"/>
      <c r="Q1490" s="183"/>
      <c r="R1490" s="183"/>
      <c r="S1490" s="183"/>
      <c r="T1490" s="183"/>
      <c r="U1490" s="183"/>
      <c r="V1490" s="183"/>
      <c r="W1490" s="183"/>
      <c r="X1490" s="183"/>
      <c r="Y1490" s="183"/>
      <c r="Z1490" s="183"/>
    </row>
    <row r="1491" spans="2:26">
      <c r="B1491" s="191"/>
      <c r="D1491" s="183"/>
      <c r="I1491" s="183"/>
      <c r="J1491" s="183"/>
      <c r="L1491" s="183"/>
      <c r="M1491" s="183"/>
      <c r="N1491" s="183"/>
      <c r="O1491" s="183"/>
      <c r="P1491" s="183"/>
      <c r="Q1491" s="183"/>
      <c r="R1491" s="183"/>
      <c r="S1491" s="183"/>
      <c r="T1491" s="183"/>
      <c r="U1491" s="183"/>
      <c r="V1491" s="183"/>
      <c r="W1491" s="183"/>
      <c r="X1491" s="183"/>
      <c r="Y1491" s="183"/>
      <c r="Z1491" s="183"/>
    </row>
    <row r="1492" spans="2:26">
      <c r="B1492" s="191"/>
      <c r="D1492" s="183"/>
      <c r="I1492" s="183"/>
      <c r="J1492" s="183"/>
      <c r="L1492" s="183"/>
      <c r="M1492" s="183"/>
      <c r="N1492" s="183"/>
      <c r="O1492" s="183"/>
      <c r="P1492" s="183"/>
      <c r="Q1492" s="183"/>
      <c r="R1492" s="183"/>
      <c r="S1492" s="183"/>
      <c r="T1492" s="183"/>
      <c r="U1492" s="183"/>
      <c r="V1492" s="183"/>
      <c r="W1492" s="183"/>
      <c r="X1492" s="183"/>
      <c r="Y1492" s="183"/>
      <c r="Z1492" s="183"/>
    </row>
    <row r="1493" spans="2:26">
      <c r="B1493" s="191"/>
      <c r="D1493" s="183"/>
      <c r="I1493" s="183"/>
      <c r="J1493" s="183"/>
      <c r="L1493" s="183"/>
      <c r="M1493" s="183"/>
      <c r="N1493" s="183"/>
      <c r="O1493" s="183"/>
      <c r="P1493" s="183"/>
      <c r="Q1493" s="183"/>
      <c r="R1493" s="183"/>
      <c r="S1493" s="183"/>
      <c r="T1493" s="183"/>
      <c r="U1493" s="183"/>
      <c r="V1493" s="183"/>
      <c r="W1493" s="183"/>
      <c r="X1493" s="183"/>
      <c r="Y1493" s="183"/>
      <c r="Z1493" s="183"/>
    </row>
    <row r="1494" spans="2:26">
      <c r="B1494" s="191"/>
      <c r="D1494" s="183"/>
      <c r="I1494" s="183"/>
      <c r="J1494" s="183"/>
      <c r="L1494" s="183"/>
      <c r="M1494" s="183"/>
      <c r="N1494" s="183"/>
      <c r="O1494" s="183"/>
      <c r="P1494" s="183"/>
      <c r="Q1494" s="183"/>
      <c r="R1494" s="183"/>
      <c r="S1494" s="183"/>
      <c r="T1494" s="183"/>
      <c r="U1494" s="183"/>
      <c r="V1494" s="183"/>
      <c r="W1494" s="183"/>
      <c r="X1494" s="183"/>
      <c r="Y1494" s="183"/>
      <c r="Z1494" s="183"/>
    </row>
    <row r="1495" spans="2:26">
      <c r="B1495" s="191"/>
      <c r="D1495" s="183"/>
      <c r="I1495" s="183"/>
      <c r="J1495" s="183"/>
      <c r="L1495" s="183"/>
      <c r="M1495" s="183"/>
      <c r="N1495" s="183"/>
      <c r="O1495" s="183"/>
      <c r="P1495" s="183"/>
      <c r="Q1495" s="183"/>
      <c r="R1495" s="183"/>
      <c r="S1495" s="183"/>
      <c r="T1495" s="183"/>
      <c r="U1495" s="183"/>
      <c r="V1495" s="183"/>
      <c r="W1495" s="183"/>
      <c r="X1495" s="183"/>
      <c r="Y1495" s="183"/>
      <c r="Z1495" s="183"/>
    </row>
    <row r="1496" spans="2:26">
      <c r="B1496" s="191"/>
      <c r="D1496" s="183"/>
      <c r="I1496" s="183"/>
      <c r="J1496" s="183"/>
      <c r="L1496" s="183"/>
      <c r="M1496" s="183"/>
      <c r="N1496" s="183"/>
      <c r="O1496" s="183"/>
      <c r="P1496" s="183"/>
      <c r="Q1496" s="183"/>
      <c r="R1496" s="183"/>
      <c r="S1496" s="183"/>
      <c r="T1496" s="183"/>
      <c r="U1496" s="183"/>
      <c r="V1496" s="183"/>
      <c r="W1496" s="183"/>
      <c r="X1496" s="183"/>
      <c r="Y1496" s="183"/>
      <c r="Z1496" s="183"/>
    </row>
    <row r="1497" spans="2:26">
      <c r="B1497" s="191"/>
      <c r="D1497" s="183"/>
      <c r="I1497" s="183"/>
      <c r="J1497" s="183"/>
      <c r="L1497" s="183"/>
      <c r="M1497" s="183"/>
      <c r="N1497" s="183"/>
      <c r="O1497" s="183"/>
      <c r="P1497" s="183"/>
      <c r="Q1497" s="183"/>
      <c r="R1497" s="183"/>
      <c r="S1497" s="183"/>
      <c r="T1497" s="183"/>
      <c r="U1497" s="183"/>
      <c r="V1497" s="183"/>
      <c r="W1497" s="183"/>
      <c r="X1497" s="183"/>
      <c r="Y1497" s="183"/>
      <c r="Z1497" s="183"/>
    </row>
    <row r="1498" spans="2:26">
      <c r="B1498" s="191"/>
      <c r="D1498" s="183"/>
      <c r="I1498" s="183"/>
      <c r="J1498" s="183"/>
      <c r="L1498" s="183"/>
      <c r="M1498" s="183"/>
      <c r="N1498" s="183"/>
      <c r="O1498" s="183"/>
      <c r="P1498" s="183"/>
      <c r="Q1498" s="183"/>
      <c r="R1498" s="183"/>
      <c r="S1498" s="183"/>
      <c r="T1498" s="183"/>
      <c r="U1498" s="183"/>
      <c r="V1498" s="183"/>
      <c r="W1498" s="183"/>
      <c r="X1498" s="183"/>
      <c r="Y1498" s="183"/>
      <c r="Z1498" s="183"/>
    </row>
    <row r="1499" spans="2:26">
      <c r="B1499" s="191"/>
      <c r="D1499" s="183"/>
      <c r="I1499" s="183"/>
      <c r="J1499" s="183"/>
      <c r="L1499" s="183"/>
      <c r="M1499" s="183"/>
      <c r="N1499" s="183"/>
      <c r="O1499" s="183"/>
      <c r="P1499" s="183"/>
      <c r="Q1499" s="183"/>
      <c r="R1499" s="183"/>
      <c r="S1499" s="183"/>
      <c r="T1499" s="183"/>
      <c r="U1499" s="183"/>
      <c r="V1499" s="183"/>
      <c r="W1499" s="183"/>
      <c r="X1499" s="183"/>
      <c r="Y1499" s="183"/>
      <c r="Z1499" s="183"/>
    </row>
    <row r="1500" spans="2:26">
      <c r="B1500" s="191"/>
      <c r="D1500" s="183"/>
      <c r="I1500" s="183"/>
      <c r="J1500" s="183"/>
      <c r="L1500" s="183"/>
      <c r="M1500" s="183"/>
      <c r="N1500" s="183"/>
      <c r="O1500" s="183"/>
      <c r="P1500" s="183"/>
      <c r="Q1500" s="183"/>
      <c r="R1500" s="183"/>
      <c r="S1500" s="183"/>
      <c r="T1500" s="183"/>
      <c r="U1500" s="183"/>
      <c r="V1500" s="183"/>
      <c r="W1500" s="183"/>
      <c r="X1500" s="183"/>
      <c r="Y1500" s="183"/>
      <c r="Z1500" s="183"/>
    </row>
    <row r="1501" spans="2:26">
      <c r="B1501" s="191"/>
      <c r="D1501" s="183"/>
      <c r="I1501" s="183"/>
      <c r="J1501" s="183"/>
      <c r="L1501" s="183"/>
      <c r="M1501" s="183"/>
      <c r="N1501" s="183"/>
      <c r="O1501" s="183"/>
      <c r="P1501" s="183"/>
      <c r="Q1501" s="183"/>
      <c r="R1501" s="183"/>
      <c r="S1501" s="183"/>
      <c r="T1501" s="183"/>
      <c r="U1501" s="183"/>
      <c r="V1501" s="183"/>
      <c r="W1501" s="183"/>
      <c r="X1501" s="183"/>
      <c r="Y1501" s="183"/>
      <c r="Z1501" s="183"/>
    </row>
    <row r="1502" spans="2:26">
      <c r="B1502" s="191"/>
      <c r="D1502" s="183"/>
      <c r="I1502" s="183"/>
      <c r="J1502" s="183"/>
      <c r="L1502" s="183"/>
      <c r="M1502" s="183"/>
      <c r="N1502" s="183"/>
      <c r="O1502" s="183"/>
      <c r="P1502" s="183"/>
      <c r="Q1502" s="183"/>
      <c r="R1502" s="183"/>
      <c r="S1502" s="183"/>
      <c r="T1502" s="183"/>
      <c r="U1502" s="183"/>
      <c r="V1502" s="183"/>
      <c r="W1502" s="183"/>
      <c r="X1502" s="183"/>
      <c r="Y1502" s="183"/>
      <c r="Z1502" s="183"/>
    </row>
    <row r="1503" spans="2:26">
      <c r="B1503" s="191"/>
      <c r="D1503" s="183"/>
      <c r="I1503" s="183"/>
      <c r="J1503" s="183"/>
      <c r="L1503" s="183"/>
      <c r="M1503" s="183"/>
      <c r="N1503" s="183"/>
      <c r="O1503" s="183"/>
      <c r="P1503" s="183"/>
      <c r="Q1503" s="183"/>
      <c r="R1503" s="183"/>
      <c r="S1503" s="183"/>
      <c r="T1503" s="183"/>
      <c r="U1503" s="183"/>
      <c r="V1503" s="183"/>
      <c r="W1503" s="183"/>
      <c r="X1503" s="183"/>
      <c r="Y1503" s="183"/>
      <c r="Z1503" s="183"/>
    </row>
    <row r="1504" spans="2:26">
      <c r="B1504" s="191"/>
      <c r="D1504" s="183"/>
      <c r="I1504" s="183"/>
      <c r="J1504" s="183"/>
      <c r="L1504" s="183"/>
      <c r="M1504" s="183"/>
      <c r="N1504" s="183"/>
      <c r="O1504" s="183"/>
      <c r="P1504" s="183"/>
      <c r="Q1504" s="183"/>
      <c r="R1504" s="183"/>
      <c r="S1504" s="183"/>
      <c r="T1504" s="183"/>
      <c r="U1504" s="183"/>
      <c r="V1504" s="183"/>
      <c r="W1504" s="183"/>
      <c r="X1504" s="183"/>
      <c r="Y1504" s="183"/>
      <c r="Z1504" s="183"/>
    </row>
    <row r="1505" spans="2:26">
      <c r="B1505" s="191"/>
      <c r="D1505" s="183"/>
      <c r="I1505" s="183"/>
      <c r="J1505" s="183"/>
      <c r="L1505" s="183"/>
      <c r="M1505" s="183"/>
      <c r="N1505" s="183"/>
      <c r="O1505" s="183"/>
      <c r="P1505" s="183"/>
      <c r="Q1505" s="183"/>
      <c r="R1505" s="183"/>
      <c r="S1505" s="183"/>
      <c r="T1505" s="183"/>
      <c r="U1505" s="183"/>
      <c r="V1505" s="183"/>
      <c r="W1505" s="183"/>
      <c r="X1505" s="183"/>
      <c r="Y1505" s="183"/>
      <c r="Z1505" s="183"/>
    </row>
    <row r="1506" spans="2:26">
      <c r="B1506" s="191"/>
      <c r="D1506" s="183"/>
      <c r="I1506" s="183"/>
      <c r="J1506" s="183"/>
      <c r="L1506" s="183"/>
      <c r="M1506" s="183"/>
      <c r="N1506" s="183"/>
      <c r="O1506" s="183"/>
      <c r="P1506" s="183"/>
      <c r="Q1506" s="183"/>
      <c r="R1506" s="183"/>
      <c r="S1506" s="183"/>
      <c r="T1506" s="183"/>
      <c r="U1506" s="183"/>
      <c r="V1506" s="183"/>
      <c r="W1506" s="183"/>
      <c r="X1506" s="183"/>
      <c r="Y1506" s="183"/>
      <c r="Z1506" s="183"/>
    </row>
    <row r="1507" spans="2:26">
      <c r="B1507" s="191"/>
      <c r="D1507" s="183"/>
      <c r="I1507" s="183"/>
      <c r="J1507" s="183"/>
      <c r="L1507" s="183"/>
      <c r="M1507" s="183"/>
      <c r="N1507" s="183"/>
      <c r="O1507" s="183"/>
      <c r="P1507" s="183"/>
      <c r="Q1507" s="183"/>
      <c r="R1507" s="183"/>
      <c r="S1507" s="183"/>
      <c r="T1507" s="183"/>
      <c r="U1507" s="183"/>
      <c r="V1507" s="183"/>
      <c r="W1507" s="183"/>
      <c r="X1507" s="183"/>
      <c r="Y1507" s="183"/>
      <c r="Z1507" s="183"/>
    </row>
    <row r="1508" spans="2:26">
      <c r="B1508" s="191"/>
      <c r="D1508" s="183"/>
      <c r="I1508" s="183"/>
      <c r="J1508" s="183"/>
      <c r="L1508" s="183"/>
      <c r="M1508" s="183"/>
      <c r="N1508" s="183"/>
      <c r="O1508" s="183"/>
      <c r="P1508" s="183"/>
      <c r="Q1508" s="183"/>
      <c r="R1508" s="183"/>
      <c r="S1508" s="183"/>
      <c r="T1508" s="183"/>
      <c r="U1508" s="183"/>
      <c r="V1508" s="183"/>
      <c r="W1508" s="183"/>
      <c r="X1508" s="183"/>
      <c r="Y1508" s="183"/>
      <c r="Z1508" s="183"/>
    </row>
    <row r="1509" spans="2:26">
      <c r="B1509" s="191"/>
      <c r="D1509" s="183"/>
      <c r="I1509" s="183"/>
      <c r="J1509" s="183"/>
      <c r="L1509" s="183"/>
      <c r="M1509" s="183"/>
      <c r="N1509" s="183"/>
      <c r="O1509" s="183"/>
      <c r="P1509" s="183"/>
      <c r="Q1509" s="183"/>
      <c r="R1509" s="183"/>
      <c r="S1509" s="183"/>
      <c r="T1509" s="183"/>
      <c r="U1509" s="183"/>
      <c r="V1509" s="183"/>
      <c r="W1509" s="183"/>
      <c r="X1509" s="183"/>
      <c r="Y1509" s="183"/>
      <c r="Z1509" s="183"/>
    </row>
    <row r="1510" spans="2:26">
      <c r="B1510" s="191"/>
      <c r="D1510" s="183"/>
      <c r="I1510" s="183"/>
      <c r="J1510" s="183"/>
      <c r="L1510" s="183"/>
      <c r="M1510" s="183"/>
      <c r="N1510" s="183"/>
      <c r="O1510" s="183"/>
      <c r="P1510" s="183"/>
      <c r="Q1510" s="183"/>
      <c r="R1510" s="183"/>
      <c r="S1510" s="183"/>
      <c r="T1510" s="183"/>
      <c r="U1510" s="183"/>
      <c r="V1510" s="183"/>
      <c r="W1510" s="183"/>
      <c r="X1510" s="183"/>
      <c r="Y1510" s="183"/>
      <c r="Z1510" s="183"/>
    </row>
    <row r="1511" spans="2:26">
      <c r="B1511" s="191"/>
      <c r="D1511" s="183"/>
      <c r="I1511" s="183"/>
      <c r="J1511" s="183"/>
      <c r="L1511" s="183"/>
      <c r="M1511" s="183"/>
      <c r="N1511" s="183"/>
      <c r="O1511" s="183"/>
      <c r="P1511" s="183"/>
      <c r="Q1511" s="183"/>
      <c r="R1511" s="183"/>
      <c r="S1511" s="183"/>
      <c r="T1511" s="183"/>
      <c r="U1511" s="183"/>
      <c r="V1511" s="183"/>
      <c r="W1511" s="183"/>
      <c r="X1511" s="183"/>
      <c r="Y1511" s="183"/>
      <c r="Z1511" s="183"/>
    </row>
    <row r="1512" spans="2:26">
      <c r="B1512" s="191"/>
      <c r="D1512" s="183"/>
      <c r="I1512" s="183"/>
      <c r="J1512" s="183"/>
      <c r="L1512" s="183"/>
      <c r="M1512" s="183"/>
      <c r="N1512" s="183"/>
      <c r="O1512" s="183"/>
      <c r="P1512" s="183"/>
      <c r="Q1512" s="183"/>
      <c r="R1512" s="183"/>
      <c r="S1512" s="183"/>
      <c r="T1512" s="183"/>
      <c r="U1512" s="183"/>
      <c r="V1512" s="183"/>
      <c r="W1512" s="183"/>
      <c r="X1512" s="183"/>
      <c r="Y1512" s="183"/>
      <c r="Z1512" s="183"/>
    </row>
    <row r="1513" spans="2:26">
      <c r="B1513" s="191"/>
      <c r="D1513" s="183"/>
      <c r="I1513" s="183"/>
      <c r="J1513" s="183"/>
      <c r="L1513" s="183"/>
      <c r="M1513" s="183"/>
      <c r="N1513" s="183"/>
      <c r="O1513" s="183"/>
      <c r="P1513" s="183"/>
      <c r="Q1513" s="183"/>
      <c r="R1513" s="183"/>
      <c r="S1513" s="183"/>
      <c r="T1513" s="183"/>
      <c r="U1513" s="183"/>
      <c r="V1513" s="183"/>
      <c r="W1513" s="183"/>
      <c r="X1513" s="183"/>
      <c r="Y1513" s="183"/>
      <c r="Z1513" s="183"/>
    </row>
    <row r="1514" spans="2:26">
      <c r="B1514" s="191"/>
      <c r="D1514" s="183"/>
      <c r="I1514" s="183"/>
      <c r="J1514" s="183"/>
      <c r="L1514" s="183"/>
      <c r="M1514" s="183"/>
      <c r="N1514" s="183"/>
      <c r="O1514" s="183"/>
      <c r="P1514" s="183"/>
      <c r="Q1514" s="183"/>
      <c r="R1514" s="183"/>
      <c r="S1514" s="183"/>
      <c r="T1514" s="183"/>
      <c r="U1514" s="183"/>
      <c r="V1514" s="183"/>
      <c r="W1514" s="183"/>
      <c r="X1514" s="183"/>
      <c r="Y1514" s="183"/>
      <c r="Z1514" s="183"/>
    </row>
    <row r="1515" spans="2:26">
      <c r="B1515" s="191"/>
      <c r="D1515" s="183"/>
      <c r="I1515" s="183"/>
      <c r="J1515" s="183"/>
      <c r="L1515" s="183"/>
      <c r="M1515" s="183"/>
      <c r="N1515" s="183"/>
      <c r="O1515" s="183"/>
      <c r="P1515" s="183"/>
      <c r="Q1515" s="183"/>
      <c r="R1515" s="183"/>
      <c r="S1515" s="183"/>
      <c r="T1515" s="183"/>
      <c r="U1515" s="183"/>
      <c r="V1515" s="183"/>
      <c r="W1515" s="183"/>
      <c r="X1515" s="183"/>
      <c r="Y1515" s="183"/>
      <c r="Z1515" s="183"/>
    </row>
    <row r="1516" spans="2:26">
      <c r="B1516" s="191"/>
      <c r="D1516" s="183"/>
      <c r="I1516" s="183"/>
      <c r="J1516" s="183"/>
      <c r="L1516" s="183"/>
      <c r="M1516" s="183"/>
      <c r="N1516" s="183"/>
      <c r="O1516" s="183"/>
      <c r="P1516" s="183"/>
      <c r="Q1516" s="183"/>
      <c r="R1516" s="183"/>
      <c r="S1516" s="183"/>
      <c r="T1516" s="183"/>
      <c r="U1516" s="183"/>
      <c r="V1516" s="183"/>
      <c r="W1516" s="183"/>
      <c r="X1516" s="183"/>
      <c r="Y1516" s="183"/>
      <c r="Z1516" s="183"/>
    </row>
    <row r="1517" spans="2:26">
      <c r="B1517" s="191"/>
      <c r="D1517" s="183"/>
      <c r="I1517" s="183"/>
      <c r="J1517" s="183"/>
      <c r="L1517" s="183"/>
      <c r="M1517" s="183"/>
      <c r="N1517" s="183"/>
      <c r="O1517" s="183"/>
      <c r="P1517" s="183"/>
      <c r="Q1517" s="183"/>
      <c r="R1517" s="183"/>
      <c r="S1517" s="183"/>
      <c r="T1517" s="183"/>
      <c r="U1517" s="183"/>
      <c r="V1517" s="183"/>
      <c r="W1517" s="183"/>
      <c r="X1517" s="183"/>
      <c r="Y1517" s="183"/>
      <c r="Z1517" s="183"/>
    </row>
    <row r="1518" spans="2:26">
      <c r="B1518" s="191"/>
      <c r="D1518" s="183"/>
      <c r="I1518" s="183"/>
      <c r="J1518" s="183"/>
      <c r="L1518" s="183"/>
      <c r="M1518" s="183"/>
      <c r="N1518" s="183"/>
      <c r="O1518" s="183"/>
      <c r="P1518" s="183"/>
      <c r="Q1518" s="183"/>
      <c r="R1518" s="183"/>
      <c r="S1518" s="183"/>
      <c r="T1518" s="183"/>
      <c r="U1518" s="183"/>
      <c r="V1518" s="183"/>
      <c r="W1518" s="183"/>
      <c r="X1518" s="183"/>
      <c r="Y1518" s="183"/>
      <c r="Z1518" s="183"/>
    </row>
    <row r="1519" spans="2:26">
      <c r="B1519" s="191"/>
      <c r="D1519" s="183"/>
      <c r="I1519" s="183"/>
      <c r="J1519" s="183"/>
      <c r="L1519" s="183"/>
      <c r="M1519" s="183"/>
      <c r="N1519" s="183"/>
      <c r="O1519" s="183"/>
      <c r="P1519" s="183"/>
      <c r="Q1519" s="183"/>
      <c r="R1519" s="183"/>
      <c r="S1519" s="183"/>
      <c r="T1519" s="183"/>
      <c r="U1519" s="183"/>
      <c r="V1519" s="183"/>
      <c r="W1519" s="183"/>
      <c r="X1519" s="183"/>
      <c r="Y1519" s="183"/>
      <c r="Z1519" s="183"/>
    </row>
    <row r="1520" spans="2:26">
      <c r="B1520" s="191"/>
      <c r="D1520" s="183"/>
      <c r="I1520" s="183"/>
      <c r="J1520" s="183"/>
      <c r="L1520" s="183"/>
      <c r="M1520" s="183"/>
      <c r="N1520" s="183"/>
      <c r="O1520" s="183"/>
      <c r="P1520" s="183"/>
      <c r="Q1520" s="183"/>
      <c r="R1520" s="183"/>
      <c r="S1520" s="183"/>
      <c r="T1520" s="183"/>
      <c r="U1520" s="183"/>
      <c r="V1520" s="183"/>
      <c r="W1520" s="183"/>
      <c r="X1520" s="183"/>
      <c r="Y1520" s="183"/>
      <c r="Z1520" s="183"/>
    </row>
    <row r="1521" spans="2:26">
      <c r="B1521" s="191"/>
      <c r="D1521" s="183"/>
      <c r="I1521" s="183"/>
      <c r="J1521" s="183"/>
      <c r="L1521" s="183"/>
      <c r="M1521" s="183"/>
      <c r="N1521" s="183"/>
      <c r="O1521" s="183"/>
      <c r="P1521" s="183"/>
      <c r="Q1521" s="183"/>
      <c r="R1521" s="183"/>
      <c r="S1521" s="183"/>
      <c r="T1521" s="183"/>
      <c r="U1521" s="183"/>
      <c r="V1521" s="183"/>
      <c r="W1521" s="183"/>
      <c r="X1521" s="183"/>
      <c r="Y1521" s="183"/>
      <c r="Z1521" s="183"/>
    </row>
    <row r="1522" spans="2:26">
      <c r="B1522" s="191"/>
      <c r="D1522" s="183"/>
      <c r="I1522" s="183"/>
      <c r="J1522" s="183"/>
      <c r="L1522" s="183"/>
      <c r="M1522" s="183"/>
      <c r="N1522" s="183"/>
      <c r="O1522" s="183"/>
      <c r="P1522" s="183"/>
      <c r="Q1522" s="183"/>
      <c r="R1522" s="183"/>
      <c r="S1522" s="183"/>
      <c r="T1522" s="183"/>
      <c r="U1522" s="183"/>
      <c r="V1522" s="183"/>
      <c r="W1522" s="183"/>
      <c r="X1522" s="183"/>
      <c r="Y1522" s="183"/>
      <c r="Z1522" s="183"/>
    </row>
    <row r="1523" spans="2:26">
      <c r="B1523" s="191"/>
      <c r="D1523" s="183"/>
      <c r="I1523" s="183"/>
      <c r="J1523" s="183"/>
      <c r="L1523" s="183"/>
      <c r="M1523" s="183"/>
      <c r="N1523" s="183"/>
      <c r="O1523" s="183"/>
      <c r="P1523" s="183"/>
      <c r="Q1523" s="183"/>
      <c r="R1523" s="183"/>
      <c r="S1523" s="183"/>
      <c r="T1523" s="183"/>
      <c r="U1523" s="183"/>
      <c r="V1523" s="183"/>
      <c r="W1523" s="183"/>
      <c r="X1523" s="183"/>
      <c r="Y1523" s="183"/>
      <c r="Z1523" s="183"/>
    </row>
    <row r="1524" spans="2:26">
      <c r="B1524" s="191"/>
      <c r="D1524" s="183"/>
      <c r="I1524" s="183"/>
      <c r="J1524" s="183"/>
      <c r="L1524" s="183"/>
      <c r="M1524" s="183"/>
      <c r="N1524" s="183"/>
      <c r="O1524" s="183"/>
      <c r="P1524" s="183"/>
      <c r="Q1524" s="183"/>
      <c r="R1524" s="183"/>
      <c r="S1524" s="183"/>
      <c r="T1524" s="183"/>
      <c r="U1524" s="183"/>
      <c r="V1524" s="183"/>
      <c r="W1524" s="183"/>
      <c r="X1524" s="183"/>
      <c r="Y1524" s="183"/>
      <c r="Z1524" s="183"/>
    </row>
    <row r="1525" spans="2:26">
      <c r="B1525" s="191"/>
      <c r="D1525" s="183"/>
      <c r="I1525" s="183"/>
      <c r="J1525" s="183"/>
      <c r="L1525" s="183"/>
      <c r="M1525" s="183"/>
      <c r="N1525" s="183"/>
      <c r="O1525" s="183"/>
      <c r="P1525" s="183"/>
      <c r="Q1525" s="183"/>
      <c r="R1525" s="183"/>
      <c r="S1525" s="183"/>
      <c r="T1525" s="183"/>
      <c r="U1525" s="183"/>
      <c r="V1525" s="183"/>
      <c r="W1525" s="183"/>
      <c r="X1525" s="183"/>
      <c r="Y1525" s="183"/>
      <c r="Z1525" s="183"/>
    </row>
    <row r="1526" spans="2:26">
      <c r="B1526" s="191"/>
      <c r="D1526" s="183"/>
      <c r="I1526" s="183"/>
      <c r="J1526" s="183"/>
      <c r="L1526" s="183"/>
      <c r="M1526" s="183"/>
      <c r="N1526" s="183"/>
      <c r="O1526" s="183"/>
      <c r="P1526" s="183"/>
      <c r="Q1526" s="183"/>
      <c r="R1526" s="183"/>
      <c r="S1526" s="183"/>
      <c r="T1526" s="183"/>
      <c r="U1526" s="183"/>
      <c r="V1526" s="183"/>
      <c r="W1526" s="183"/>
      <c r="X1526" s="183"/>
      <c r="Y1526" s="183"/>
      <c r="Z1526" s="183"/>
    </row>
    <row r="1527" spans="2:26">
      <c r="B1527" s="191"/>
      <c r="D1527" s="183"/>
      <c r="I1527" s="183"/>
      <c r="J1527" s="183"/>
      <c r="L1527" s="183"/>
      <c r="M1527" s="183"/>
      <c r="N1527" s="183"/>
      <c r="O1527" s="183"/>
      <c r="P1527" s="183"/>
      <c r="Q1527" s="183"/>
      <c r="R1527" s="183"/>
      <c r="S1527" s="183"/>
      <c r="T1527" s="183"/>
      <c r="U1527" s="183"/>
      <c r="V1527" s="183"/>
      <c r="W1527" s="183"/>
      <c r="X1527" s="183"/>
      <c r="Y1527" s="183"/>
      <c r="Z1527" s="183"/>
    </row>
    <row r="1528" spans="2:26">
      <c r="B1528" s="191"/>
      <c r="D1528" s="183"/>
      <c r="I1528" s="183"/>
      <c r="J1528" s="183"/>
      <c r="L1528" s="183"/>
      <c r="M1528" s="183"/>
      <c r="N1528" s="183"/>
      <c r="O1528" s="183"/>
      <c r="P1528" s="183"/>
      <c r="Q1528" s="183"/>
      <c r="R1528" s="183"/>
      <c r="S1528" s="183"/>
      <c r="T1528" s="183"/>
      <c r="U1528" s="183"/>
      <c r="V1528" s="183"/>
      <c r="W1528" s="183"/>
      <c r="X1528" s="183"/>
      <c r="Y1528" s="183"/>
      <c r="Z1528" s="183"/>
    </row>
    <row r="1529" spans="2:26">
      <c r="B1529" s="191"/>
      <c r="D1529" s="183"/>
      <c r="I1529" s="183"/>
      <c r="J1529" s="183"/>
      <c r="L1529" s="183"/>
      <c r="M1529" s="183"/>
      <c r="N1529" s="183"/>
      <c r="O1529" s="183"/>
      <c r="P1529" s="183"/>
      <c r="Q1529" s="183"/>
      <c r="R1529" s="183"/>
      <c r="S1529" s="183"/>
      <c r="T1529" s="183"/>
      <c r="U1529" s="183"/>
      <c r="V1529" s="183"/>
      <c r="W1529" s="183"/>
      <c r="X1529" s="183"/>
      <c r="Y1529" s="183"/>
      <c r="Z1529" s="183"/>
    </row>
    <row r="1530" spans="2:26">
      <c r="B1530" s="191"/>
      <c r="D1530" s="183"/>
      <c r="I1530" s="183"/>
      <c r="J1530" s="183"/>
      <c r="L1530" s="183"/>
      <c r="M1530" s="183"/>
      <c r="N1530" s="183"/>
      <c r="O1530" s="183"/>
      <c r="P1530" s="183"/>
      <c r="Q1530" s="183"/>
      <c r="R1530" s="183"/>
      <c r="S1530" s="183"/>
      <c r="T1530" s="183"/>
      <c r="U1530" s="183"/>
      <c r="V1530" s="183"/>
      <c r="W1530" s="183"/>
      <c r="X1530" s="183"/>
      <c r="Y1530" s="183"/>
      <c r="Z1530" s="183"/>
    </row>
    <row r="1531" spans="2:26">
      <c r="B1531" s="191"/>
      <c r="D1531" s="183"/>
      <c r="I1531" s="183"/>
      <c r="J1531" s="183"/>
      <c r="L1531" s="183"/>
      <c r="M1531" s="183"/>
      <c r="N1531" s="183"/>
      <c r="O1531" s="183"/>
      <c r="P1531" s="183"/>
      <c r="Q1531" s="183"/>
      <c r="R1531" s="183"/>
      <c r="S1531" s="183"/>
      <c r="T1531" s="183"/>
      <c r="U1531" s="183"/>
      <c r="V1531" s="183"/>
      <c r="W1531" s="183"/>
      <c r="X1531" s="183"/>
      <c r="Y1531" s="183"/>
      <c r="Z1531" s="183"/>
    </row>
    <row r="1532" spans="2:26">
      <c r="B1532" s="191"/>
      <c r="D1532" s="183"/>
      <c r="I1532" s="183"/>
      <c r="J1532" s="183"/>
      <c r="L1532" s="183"/>
      <c r="M1532" s="183"/>
      <c r="N1532" s="183"/>
      <c r="O1532" s="183"/>
      <c r="P1532" s="183"/>
      <c r="Q1532" s="183"/>
      <c r="R1532" s="183"/>
      <c r="S1532" s="183"/>
      <c r="T1532" s="183"/>
      <c r="U1532" s="183"/>
      <c r="V1532" s="183"/>
      <c r="W1532" s="183"/>
      <c r="X1532" s="183"/>
      <c r="Y1532" s="183"/>
      <c r="Z1532" s="183"/>
    </row>
    <row r="1533" spans="2:26">
      <c r="B1533" s="191"/>
      <c r="D1533" s="183"/>
      <c r="I1533" s="183"/>
      <c r="J1533" s="183"/>
      <c r="L1533" s="183"/>
      <c r="M1533" s="183"/>
      <c r="N1533" s="183"/>
      <c r="O1533" s="183"/>
      <c r="P1533" s="183"/>
      <c r="Q1533" s="183"/>
      <c r="R1533" s="183"/>
      <c r="S1533" s="183"/>
      <c r="T1533" s="183"/>
      <c r="U1533" s="183"/>
      <c r="V1533" s="183"/>
      <c r="W1533" s="183"/>
      <c r="X1533" s="183"/>
      <c r="Y1533" s="183"/>
      <c r="Z1533" s="183"/>
    </row>
    <row r="1534" spans="2:26">
      <c r="B1534" s="191"/>
      <c r="D1534" s="183"/>
      <c r="I1534" s="183"/>
      <c r="J1534" s="183"/>
      <c r="L1534" s="183"/>
      <c r="M1534" s="183"/>
      <c r="N1534" s="183"/>
      <c r="O1534" s="183"/>
      <c r="P1534" s="183"/>
      <c r="Q1534" s="183"/>
      <c r="R1534" s="183"/>
      <c r="S1534" s="183"/>
      <c r="T1534" s="183"/>
      <c r="U1534" s="183"/>
      <c r="V1534" s="183"/>
      <c r="W1534" s="183"/>
      <c r="X1534" s="183"/>
      <c r="Y1534" s="183"/>
      <c r="Z1534" s="183"/>
    </row>
    <row r="1535" spans="2:26">
      <c r="B1535" s="191"/>
      <c r="D1535" s="183"/>
      <c r="I1535" s="183"/>
      <c r="J1535" s="183"/>
      <c r="L1535" s="183"/>
      <c r="M1535" s="183"/>
      <c r="N1535" s="183"/>
      <c r="O1535" s="183"/>
      <c r="P1535" s="183"/>
      <c r="Q1535" s="183"/>
      <c r="R1535" s="183"/>
      <c r="S1535" s="183"/>
      <c r="T1535" s="183"/>
      <c r="U1535" s="183"/>
      <c r="V1535" s="183"/>
      <c r="W1535" s="183"/>
      <c r="X1535" s="183"/>
      <c r="Y1535" s="183"/>
      <c r="Z1535" s="183"/>
    </row>
    <row r="1536" spans="2:26">
      <c r="B1536" s="191"/>
      <c r="D1536" s="183"/>
      <c r="I1536" s="183"/>
      <c r="J1536" s="183"/>
      <c r="L1536" s="183"/>
      <c r="M1536" s="183"/>
      <c r="N1536" s="183"/>
      <c r="O1536" s="183"/>
      <c r="P1536" s="183"/>
      <c r="Q1536" s="183"/>
      <c r="R1536" s="183"/>
      <c r="S1536" s="183"/>
      <c r="T1536" s="183"/>
      <c r="U1536" s="183"/>
      <c r="V1536" s="183"/>
      <c r="W1536" s="183"/>
      <c r="X1536" s="183"/>
      <c r="Y1536" s="183"/>
      <c r="Z1536" s="183"/>
    </row>
    <row r="1537" spans="2:26">
      <c r="B1537" s="191"/>
      <c r="D1537" s="183"/>
      <c r="I1537" s="183"/>
      <c r="J1537" s="183"/>
      <c r="L1537" s="183"/>
      <c r="M1537" s="183"/>
      <c r="N1537" s="183"/>
      <c r="O1537" s="183"/>
      <c r="P1537" s="183"/>
      <c r="Q1537" s="183"/>
      <c r="R1537" s="183"/>
      <c r="S1537" s="183"/>
      <c r="T1537" s="183"/>
      <c r="U1537" s="183"/>
      <c r="V1537" s="183"/>
      <c r="W1537" s="183"/>
      <c r="X1537" s="183"/>
      <c r="Y1537" s="183"/>
      <c r="Z1537" s="183"/>
    </row>
    <row r="1538" spans="2:26">
      <c r="B1538" s="191"/>
      <c r="D1538" s="183"/>
      <c r="I1538" s="183"/>
      <c r="J1538" s="183"/>
      <c r="L1538" s="183"/>
      <c r="M1538" s="183"/>
      <c r="N1538" s="183"/>
      <c r="O1538" s="183"/>
      <c r="P1538" s="183"/>
      <c r="Q1538" s="183"/>
      <c r="R1538" s="183"/>
      <c r="S1538" s="183"/>
      <c r="T1538" s="183"/>
      <c r="U1538" s="183"/>
      <c r="V1538" s="183"/>
      <c r="W1538" s="183"/>
      <c r="X1538" s="183"/>
      <c r="Y1538" s="183"/>
      <c r="Z1538" s="183"/>
    </row>
    <row r="1539" spans="2:26">
      <c r="B1539" s="191"/>
      <c r="D1539" s="183"/>
      <c r="I1539" s="183"/>
      <c r="J1539" s="183"/>
      <c r="L1539" s="183"/>
      <c r="M1539" s="183"/>
      <c r="N1539" s="183"/>
      <c r="O1539" s="183"/>
      <c r="P1539" s="183"/>
      <c r="Q1539" s="183"/>
      <c r="R1539" s="183"/>
      <c r="S1539" s="183"/>
      <c r="T1539" s="183"/>
      <c r="U1539" s="183"/>
      <c r="V1539" s="183"/>
      <c r="W1539" s="183"/>
      <c r="X1539" s="183"/>
      <c r="Y1539" s="183"/>
      <c r="Z1539" s="183"/>
    </row>
    <row r="1540" spans="2:26">
      <c r="B1540" s="191"/>
      <c r="D1540" s="183"/>
      <c r="I1540" s="183"/>
      <c r="J1540" s="183"/>
      <c r="L1540" s="183"/>
      <c r="M1540" s="183"/>
      <c r="N1540" s="183"/>
      <c r="O1540" s="183"/>
      <c r="P1540" s="183"/>
      <c r="Q1540" s="183"/>
      <c r="R1540" s="183"/>
      <c r="S1540" s="183"/>
      <c r="T1540" s="183"/>
      <c r="U1540" s="183"/>
      <c r="V1540" s="183"/>
      <c r="W1540" s="183"/>
      <c r="X1540" s="183"/>
      <c r="Y1540" s="183"/>
      <c r="Z1540" s="183"/>
    </row>
    <row r="1541" spans="2:26">
      <c r="B1541" s="191"/>
      <c r="D1541" s="183"/>
      <c r="I1541" s="183"/>
      <c r="J1541" s="183"/>
      <c r="L1541" s="183"/>
      <c r="M1541" s="183"/>
      <c r="N1541" s="183"/>
      <c r="O1541" s="183"/>
      <c r="P1541" s="183"/>
      <c r="Q1541" s="183"/>
      <c r="R1541" s="183"/>
      <c r="S1541" s="183"/>
      <c r="T1541" s="183"/>
      <c r="U1541" s="183"/>
      <c r="V1541" s="183"/>
      <c r="W1541" s="183"/>
      <c r="X1541" s="183"/>
      <c r="Y1541" s="183"/>
      <c r="Z1541" s="183"/>
    </row>
    <row r="1542" spans="2:26">
      <c r="B1542" s="191"/>
      <c r="D1542" s="183"/>
      <c r="I1542" s="183"/>
      <c r="J1542" s="183"/>
      <c r="L1542" s="183"/>
      <c r="M1542" s="183"/>
      <c r="N1542" s="183"/>
      <c r="O1542" s="183"/>
      <c r="P1542" s="183"/>
      <c r="Q1542" s="183"/>
      <c r="R1542" s="183"/>
      <c r="S1542" s="183"/>
      <c r="T1542" s="183"/>
      <c r="U1542" s="183"/>
      <c r="V1542" s="183"/>
      <c r="W1542" s="183"/>
      <c r="X1542" s="183"/>
      <c r="Y1542" s="183"/>
      <c r="Z1542" s="183"/>
    </row>
    <row r="1543" spans="2:26">
      <c r="B1543" s="191"/>
      <c r="D1543" s="183"/>
      <c r="I1543" s="183"/>
      <c r="J1543" s="183"/>
      <c r="L1543" s="183"/>
      <c r="M1543" s="183"/>
      <c r="N1543" s="183"/>
      <c r="O1543" s="183"/>
      <c r="P1543" s="183"/>
      <c r="Q1543" s="183"/>
      <c r="R1543" s="183"/>
      <c r="S1543" s="183"/>
      <c r="T1543" s="183"/>
      <c r="U1543" s="183"/>
      <c r="V1543" s="183"/>
      <c r="W1543" s="183"/>
      <c r="X1543" s="183"/>
      <c r="Y1543" s="183"/>
      <c r="Z1543" s="183"/>
    </row>
    <row r="1544" spans="2:26">
      <c r="B1544" s="191"/>
      <c r="D1544" s="183"/>
      <c r="I1544" s="183"/>
      <c r="J1544" s="183"/>
      <c r="L1544" s="183"/>
      <c r="M1544" s="183"/>
      <c r="N1544" s="183"/>
      <c r="O1544" s="183"/>
      <c r="P1544" s="183"/>
      <c r="Q1544" s="183"/>
      <c r="R1544" s="183"/>
      <c r="S1544" s="183"/>
      <c r="T1544" s="183"/>
      <c r="U1544" s="183"/>
      <c r="V1544" s="183"/>
      <c r="W1544" s="183"/>
      <c r="X1544" s="183"/>
      <c r="Y1544" s="183"/>
      <c r="Z1544" s="183"/>
    </row>
    <row r="1545" spans="2:26">
      <c r="B1545" s="191"/>
      <c r="D1545" s="183"/>
      <c r="I1545" s="183"/>
      <c r="J1545" s="183"/>
      <c r="L1545" s="183"/>
      <c r="M1545" s="183"/>
      <c r="N1545" s="183"/>
      <c r="O1545" s="183"/>
      <c r="P1545" s="183"/>
      <c r="Q1545" s="183"/>
      <c r="R1545" s="183"/>
      <c r="S1545" s="183"/>
      <c r="T1545" s="183"/>
      <c r="U1545" s="183"/>
      <c r="V1545" s="183"/>
      <c r="W1545" s="183"/>
      <c r="X1545" s="183"/>
      <c r="Y1545" s="183"/>
      <c r="Z1545" s="183"/>
    </row>
    <row r="1546" spans="2:26">
      <c r="B1546" s="191"/>
      <c r="D1546" s="183"/>
      <c r="I1546" s="183"/>
      <c r="J1546" s="183"/>
      <c r="L1546" s="183"/>
      <c r="M1546" s="183"/>
      <c r="N1546" s="183"/>
      <c r="O1546" s="183"/>
      <c r="P1546" s="183"/>
      <c r="Q1546" s="183"/>
      <c r="R1546" s="183"/>
      <c r="S1546" s="183"/>
      <c r="T1546" s="183"/>
      <c r="U1546" s="183"/>
      <c r="V1546" s="183"/>
      <c r="W1546" s="183"/>
      <c r="X1546" s="183"/>
      <c r="Y1546" s="183"/>
      <c r="Z1546" s="183"/>
    </row>
    <row r="1547" spans="2:26">
      <c r="B1547" s="191"/>
      <c r="D1547" s="183"/>
      <c r="I1547" s="183"/>
      <c r="J1547" s="183"/>
      <c r="L1547" s="183"/>
      <c r="M1547" s="183"/>
      <c r="N1547" s="183"/>
      <c r="O1547" s="183"/>
      <c r="P1547" s="183"/>
      <c r="Q1547" s="183"/>
      <c r="R1547" s="183"/>
      <c r="S1547" s="183"/>
      <c r="T1547" s="183"/>
      <c r="U1547" s="183"/>
      <c r="V1547" s="183"/>
      <c r="W1547" s="183"/>
      <c r="X1547" s="183"/>
      <c r="Y1547" s="183"/>
      <c r="Z1547" s="183"/>
    </row>
    <row r="1548" spans="2:26">
      <c r="B1548" s="191"/>
      <c r="D1548" s="183"/>
      <c r="I1548" s="183"/>
      <c r="J1548" s="183"/>
      <c r="L1548" s="183"/>
      <c r="M1548" s="183"/>
      <c r="N1548" s="183"/>
      <c r="O1548" s="183"/>
      <c r="P1548" s="183"/>
      <c r="Q1548" s="183"/>
      <c r="R1548" s="183"/>
      <c r="S1548" s="183"/>
      <c r="T1548" s="183"/>
      <c r="U1548" s="183"/>
      <c r="V1548" s="183"/>
      <c r="W1548" s="183"/>
      <c r="X1548" s="183"/>
      <c r="Y1548" s="183"/>
      <c r="Z1548" s="183"/>
    </row>
    <row r="1549" spans="2:26">
      <c r="B1549" s="191"/>
      <c r="D1549" s="183"/>
      <c r="I1549" s="183"/>
      <c r="J1549" s="183"/>
      <c r="L1549" s="183"/>
      <c r="M1549" s="183"/>
      <c r="N1549" s="183"/>
      <c r="O1549" s="183"/>
      <c r="P1549" s="183"/>
      <c r="Q1549" s="183"/>
      <c r="R1549" s="183"/>
      <c r="S1549" s="183"/>
      <c r="T1549" s="183"/>
      <c r="U1549" s="183"/>
      <c r="V1549" s="183"/>
      <c r="W1549" s="183"/>
      <c r="X1549" s="183"/>
      <c r="Y1549" s="183"/>
      <c r="Z1549" s="183"/>
    </row>
    <row r="1550" spans="2:26">
      <c r="B1550" s="191"/>
      <c r="D1550" s="183"/>
      <c r="I1550" s="183"/>
      <c r="J1550" s="183"/>
      <c r="L1550" s="183"/>
      <c r="M1550" s="183"/>
      <c r="N1550" s="183"/>
      <c r="O1550" s="183"/>
      <c r="P1550" s="183"/>
      <c r="Q1550" s="183"/>
      <c r="R1550" s="183"/>
      <c r="S1550" s="183"/>
      <c r="T1550" s="183"/>
      <c r="U1550" s="183"/>
      <c r="V1550" s="183"/>
      <c r="W1550" s="183"/>
      <c r="X1550" s="183"/>
      <c r="Y1550" s="183"/>
      <c r="Z1550" s="183"/>
    </row>
    <row r="1551" spans="2:26">
      <c r="B1551" s="191"/>
      <c r="D1551" s="183"/>
      <c r="I1551" s="183"/>
      <c r="J1551" s="183"/>
      <c r="L1551" s="183"/>
      <c r="M1551" s="183"/>
      <c r="N1551" s="183"/>
      <c r="O1551" s="183"/>
      <c r="P1551" s="183"/>
      <c r="Q1551" s="183"/>
      <c r="R1551" s="183"/>
      <c r="S1551" s="183"/>
      <c r="T1551" s="183"/>
      <c r="U1551" s="183"/>
      <c r="V1551" s="183"/>
      <c r="W1551" s="183"/>
      <c r="X1551" s="183"/>
      <c r="Y1551" s="183"/>
      <c r="Z1551" s="183"/>
    </row>
    <row r="1552" spans="2:26">
      <c r="B1552" s="191"/>
      <c r="D1552" s="183"/>
      <c r="I1552" s="183"/>
      <c r="J1552" s="183"/>
      <c r="L1552" s="183"/>
      <c r="M1552" s="183"/>
      <c r="N1552" s="183"/>
      <c r="O1552" s="183"/>
      <c r="P1552" s="183"/>
      <c r="Q1552" s="183"/>
      <c r="R1552" s="183"/>
      <c r="S1552" s="183"/>
      <c r="T1552" s="183"/>
      <c r="U1552" s="183"/>
      <c r="V1552" s="183"/>
      <c r="W1552" s="183"/>
      <c r="X1552" s="183"/>
      <c r="Y1552" s="183"/>
      <c r="Z1552" s="183"/>
    </row>
    <row r="1553" spans="2:26">
      <c r="B1553" s="191"/>
      <c r="D1553" s="183"/>
      <c r="I1553" s="183"/>
      <c r="J1553" s="183"/>
      <c r="L1553" s="183"/>
      <c r="M1553" s="183"/>
      <c r="N1553" s="183"/>
      <c r="O1553" s="183"/>
      <c r="P1553" s="183"/>
      <c r="Q1553" s="183"/>
      <c r="R1553" s="183"/>
      <c r="S1553" s="183"/>
      <c r="T1553" s="183"/>
      <c r="U1553" s="183"/>
      <c r="V1553" s="183"/>
      <c r="W1553" s="183"/>
      <c r="X1553" s="183"/>
      <c r="Y1553" s="183"/>
      <c r="Z1553" s="183"/>
    </row>
    <row r="1554" spans="2:26">
      <c r="B1554" s="191"/>
      <c r="D1554" s="183"/>
      <c r="I1554" s="183"/>
      <c r="J1554" s="183"/>
      <c r="L1554" s="183"/>
      <c r="M1554" s="183"/>
      <c r="N1554" s="183"/>
      <c r="O1554" s="183"/>
      <c r="P1554" s="183"/>
      <c r="Q1554" s="183"/>
      <c r="R1554" s="183"/>
      <c r="S1554" s="183"/>
      <c r="T1554" s="183"/>
      <c r="U1554" s="183"/>
      <c r="V1554" s="183"/>
      <c r="W1554" s="183"/>
      <c r="X1554" s="183"/>
      <c r="Y1554" s="183"/>
      <c r="Z1554" s="183"/>
    </row>
    <row r="1555" spans="2:26">
      <c r="B1555" s="191"/>
      <c r="D1555" s="183"/>
      <c r="I1555" s="183"/>
      <c r="J1555" s="183"/>
      <c r="L1555" s="183"/>
      <c r="M1555" s="183"/>
      <c r="N1555" s="183"/>
      <c r="O1555" s="183"/>
      <c r="P1555" s="183"/>
      <c r="Q1555" s="183"/>
      <c r="R1555" s="183"/>
      <c r="S1555" s="183"/>
      <c r="T1555" s="183"/>
      <c r="U1555" s="183"/>
      <c r="V1555" s="183"/>
      <c r="W1555" s="183"/>
      <c r="X1555" s="183"/>
      <c r="Y1555" s="183"/>
      <c r="Z1555" s="183"/>
    </row>
    <row r="1556" spans="2:26">
      <c r="B1556" s="191"/>
      <c r="D1556" s="183"/>
      <c r="I1556" s="183"/>
      <c r="J1556" s="183"/>
      <c r="L1556" s="183"/>
      <c r="M1556" s="183"/>
      <c r="N1556" s="183"/>
      <c r="O1556" s="183"/>
      <c r="P1556" s="183"/>
      <c r="Q1556" s="183"/>
      <c r="R1556" s="183"/>
      <c r="S1556" s="183"/>
      <c r="T1556" s="183"/>
      <c r="U1556" s="183"/>
      <c r="V1556" s="183"/>
      <c r="W1556" s="183"/>
      <c r="X1556" s="183"/>
      <c r="Y1556" s="183"/>
      <c r="Z1556" s="183"/>
    </row>
    <row r="1557" spans="2:26">
      <c r="B1557" s="191"/>
      <c r="D1557" s="183"/>
      <c r="I1557" s="183"/>
      <c r="J1557" s="183"/>
      <c r="L1557" s="183"/>
      <c r="M1557" s="183"/>
      <c r="N1557" s="183"/>
      <c r="O1557" s="183"/>
      <c r="P1557" s="183"/>
      <c r="Q1557" s="183"/>
      <c r="R1557" s="183"/>
      <c r="S1557" s="183"/>
      <c r="T1557" s="183"/>
      <c r="U1557" s="183"/>
      <c r="V1557" s="183"/>
      <c r="W1557" s="183"/>
      <c r="X1557" s="183"/>
      <c r="Y1557" s="183"/>
      <c r="Z1557" s="183"/>
    </row>
    <row r="1558" spans="2:26">
      <c r="B1558" s="191"/>
      <c r="D1558" s="183"/>
      <c r="I1558" s="183"/>
      <c r="J1558" s="183"/>
      <c r="L1558" s="183"/>
      <c r="M1558" s="183"/>
      <c r="N1558" s="183"/>
      <c r="O1558" s="183"/>
      <c r="P1558" s="183"/>
      <c r="Q1558" s="183"/>
      <c r="R1558" s="183"/>
      <c r="S1558" s="183"/>
      <c r="T1558" s="183"/>
      <c r="U1558" s="183"/>
      <c r="V1558" s="183"/>
      <c r="W1558" s="183"/>
      <c r="X1558" s="183"/>
      <c r="Y1558" s="183"/>
      <c r="Z1558" s="183"/>
    </row>
    <row r="1559" spans="2:26">
      <c r="B1559" s="191"/>
      <c r="D1559" s="183"/>
      <c r="I1559" s="183"/>
      <c r="J1559" s="183"/>
      <c r="L1559" s="183"/>
      <c r="M1559" s="183"/>
      <c r="N1559" s="183"/>
      <c r="O1559" s="183"/>
      <c r="P1559" s="183"/>
      <c r="Q1559" s="183"/>
      <c r="R1559" s="183"/>
      <c r="S1559" s="183"/>
      <c r="T1559" s="183"/>
      <c r="U1559" s="183"/>
      <c r="V1559" s="183"/>
      <c r="W1559" s="183"/>
      <c r="X1559" s="183"/>
      <c r="Y1559" s="183"/>
      <c r="Z1559" s="183"/>
    </row>
    <row r="1560" spans="2:26">
      <c r="B1560" s="191"/>
      <c r="D1560" s="183"/>
      <c r="I1560" s="183"/>
      <c r="J1560" s="183"/>
      <c r="L1560" s="183"/>
      <c r="M1560" s="183"/>
      <c r="N1560" s="183"/>
      <c r="O1560" s="183"/>
      <c r="P1560" s="183"/>
      <c r="Q1560" s="183"/>
      <c r="R1560" s="183"/>
      <c r="S1560" s="183"/>
      <c r="T1560" s="183"/>
      <c r="U1560" s="183"/>
      <c r="V1560" s="183"/>
      <c r="W1560" s="183"/>
      <c r="X1560" s="183"/>
      <c r="Y1560" s="183"/>
      <c r="Z1560" s="183"/>
    </row>
    <row r="1561" spans="2:26">
      <c r="B1561" s="191"/>
      <c r="D1561" s="183"/>
      <c r="I1561" s="183"/>
      <c r="J1561" s="183"/>
      <c r="L1561" s="183"/>
      <c r="M1561" s="183"/>
      <c r="N1561" s="183"/>
      <c r="O1561" s="183"/>
      <c r="P1561" s="183"/>
      <c r="Q1561" s="183"/>
      <c r="R1561" s="183"/>
      <c r="S1561" s="183"/>
      <c r="T1561" s="183"/>
      <c r="U1561" s="183"/>
      <c r="V1561" s="183"/>
      <c r="W1561" s="183"/>
      <c r="X1561" s="183"/>
      <c r="Y1561" s="183"/>
      <c r="Z1561" s="183"/>
    </row>
    <row r="1562" spans="2:26">
      <c r="B1562" s="191"/>
      <c r="D1562" s="183"/>
      <c r="I1562" s="183"/>
      <c r="J1562" s="183"/>
      <c r="L1562" s="183"/>
      <c r="M1562" s="183"/>
      <c r="N1562" s="183"/>
      <c r="O1562" s="183"/>
      <c r="P1562" s="183"/>
      <c r="Q1562" s="183"/>
      <c r="R1562" s="183"/>
      <c r="S1562" s="183"/>
      <c r="T1562" s="183"/>
      <c r="U1562" s="183"/>
      <c r="V1562" s="183"/>
      <c r="W1562" s="183"/>
      <c r="X1562" s="183"/>
      <c r="Y1562" s="183"/>
      <c r="Z1562" s="183"/>
    </row>
    <row r="1563" spans="2:26">
      <c r="B1563" s="191"/>
      <c r="D1563" s="183"/>
      <c r="I1563" s="183"/>
      <c r="J1563" s="183"/>
      <c r="L1563" s="183"/>
      <c r="M1563" s="183"/>
      <c r="N1563" s="183"/>
      <c r="O1563" s="183"/>
      <c r="P1563" s="183"/>
      <c r="Q1563" s="183"/>
      <c r="R1563" s="183"/>
      <c r="S1563" s="183"/>
      <c r="T1563" s="183"/>
      <c r="U1563" s="183"/>
      <c r="V1563" s="183"/>
      <c r="W1563" s="183"/>
      <c r="X1563" s="183"/>
      <c r="Y1563" s="183"/>
      <c r="Z1563" s="183"/>
    </row>
    <row r="1564" spans="2:26">
      <c r="B1564" s="191"/>
      <c r="D1564" s="183"/>
      <c r="I1564" s="183"/>
      <c r="J1564" s="183"/>
      <c r="L1564" s="183"/>
      <c r="M1564" s="183"/>
      <c r="N1564" s="183"/>
      <c r="O1564" s="183"/>
      <c r="P1564" s="183"/>
      <c r="Q1564" s="183"/>
      <c r="R1564" s="183"/>
      <c r="S1564" s="183"/>
      <c r="T1564" s="183"/>
      <c r="U1564" s="183"/>
      <c r="V1564" s="183"/>
      <c r="W1564" s="183"/>
      <c r="X1564" s="183"/>
      <c r="Y1564" s="183"/>
      <c r="Z1564" s="183"/>
    </row>
    <row r="1565" spans="2:26">
      <c r="B1565" s="191"/>
      <c r="D1565" s="183"/>
      <c r="I1565" s="183"/>
      <c r="J1565" s="183"/>
      <c r="L1565" s="183"/>
      <c r="M1565" s="183"/>
      <c r="N1565" s="183"/>
      <c r="O1565" s="183"/>
      <c r="P1565" s="183"/>
      <c r="Q1565" s="183"/>
      <c r="R1565" s="183"/>
      <c r="S1565" s="183"/>
      <c r="T1565" s="183"/>
      <c r="U1565" s="183"/>
      <c r="V1565" s="183"/>
      <c r="W1565" s="183"/>
      <c r="X1565" s="183"/>
      <c r="Y1565" s="183"/>
      <c r="Z1565" s="183"/>
    </row>
    <row r="1566" spans="2:26">
      <c r="B1566" s="191"/>
      <c r="D1566" s="183"/>
      <c r="I1566" s="183"/>
      <c r="J1566" s="183"/>
      <c r="L1566" s="183"/>
      <c r="M1566" s="183"/>
      <c r="N1566" s="183"/>
      <c r="O1566" s="183"/>
      <c r="P1566" s="183"/>
      <c r="Q1566" s="183"/>
      <c r="R1566" s="183"/>
      <c r="S1566" s="183"/>
      <c r="T1566" s="183"/>
      <c r="U1566" s="183"/>
      <c r="V1566" s="183"/>
      <c r="W1566" s="183"/>
      <c r="X1566" s="183"/>
      <c r="Y1566" s="183"/>
      <c r="Z1566" s="183"/>
    </row>
    <row r="1567" spans="2:26">
      <c r="B1567" s="191"/>
      <c r="D1567" s="183"/>
      <c r="I1567" s="183"/>
      <c r="J1567" s="183"/>
      <c r="L1567" s="183"/>
      <c r="M1567" s="183"/>
      <c r="N1567" s="183"/>
      <c r="O1567" s="183"/>
      <c r="P1567" s="183"/>
      <c r="Q1567" s="183"/>
      <c r="R1567" s="183"/>
      <c r="S1567" s="183"/>
      <c r="T1567" s="183"/>
      <c r="U1567" s="183"/>
      <c r="V1567" s="183"/>
      <c r="W1567" s="183"/>
      <c r="X1567" s="183"/>
      <c r="Y1567" s="183"/>
      <c r="Z1567" s="183"/>
    </row>
    <row r="1568" spans="2:26">
      <c r="B1568" s="191"/>
      <c r="D1568" s="183"/>
      <c r="I1568" s="183"/>
      <c r="J1568" s="183"/>
      <c r="L1568" s="183"/>
      <c r="M1568" s="183"/>
      <c r="N1568" s="183"/>
      <c r="O1568" s="183"/>
      <c r="P1568" s="183"/>
      <c r="Q1568" s="183"/>
      <c r="R1568" s="183"/>
      <c r="S1568" s="183"/>
      <c r="T1568" s="183"/>
      <c r="U1568" s="183"/>
      <c r="V1568" s="183"/>
      <c r="W1568" s="183"/>
      <c r="X1568" s="183"/>
      <c r="Y1568" s="183"/>
      <c r="Z1568" s="183"/>
    </row>
    <row r="1569" spans="2:26">
      <c r="B1569" s="191"/>
      <c r="D1569" s="183"/>
      <c r="I1569" s="183"/>
      <c r="J1569" s="183"/>
      <c r="L1569" s="183"/>
      <c r="M1569" s="183"/>
      <c r="N1569" s="183"/>
      <c r="O1569" s="183"/>
      <c r="P1569" s="183"/>
      <c r="Q1569" s="183"/>
      <c r="R1569" s="183"/>
      <c r="S1569" s="183"/>
      <c r="T1569" s="183"/>
      <c r="U1569" s="183"/>
      <c r="V1569" s="183"/>
      <c r="W1569" s="183"/>
      <c r="X1569" s="183"/>
      <c r="Y1569" s="183"/>
      <c r="Z1569" s="183"/>
    </row>
    <row r="1570" spans="2:26">
      <c r="B1570" s="191"/>
      <c r="D1570" s="183"/>
      <c r="I1570" s="183"/>
      <c r="J1570" s="183"/>
      <c r="L1570" s="183"/>
      <c r="M1570" s="183"/>
      <c r="N1570" s="183"/>
      <c r="O1570" s="183"/>
      <c r="P1570" s="183"/>
      <c r="Q1570" s="183"/>
      <c r="R1570" s="183"/>
      <c r="S1570" s="183"/>
      <c r="T1570" s="183"/>
      <c r="U1570" s="183"/>
      <c r="V1570" s="183"/>
      <c r="W1570" s="183"/>
      <c r="X1570" s="183"/>
      <c r="Y1570" s="183"/>
      <c r="Z1570" s="183"/>
    </row>
    <row r="1571" spans="2:26">
      <c r="B1571" s="191"/>
      <c r="D1571" s="183"/>
      <c r="I1571" s="183"/>
      <c r="J1571" s="183"/>
      <c r="L1571" s="183"/>
      <c r="M1571" s="183"/>
      <c r="N1571" s="183"/>
      <c r="O1571" s="183"/>
      <c r="P1571" s="183"/>
      <c r="Q1571" s="183"/>
      <c r="R1571" s="183"/>
      <c r="S1571" s="183"/>
      <c r="T1571" s="183"/>
      <c r="U1571" s="183"/>
      <c r="V1571" s="183"/>
      <c r="W1571" s="183"/>
      <c r="X1571" s="183"/>
      <c r="Y1571" s="183"/>
      <c r="Z1571" s="183"/>
    </row>
    <row r="1572" spans="2:26">
      <c r="B1572" s="191"/>
      <c r="D1572" s="183"/>
      <c r="I1572" s="183"/>
      <c r="J1572" s="183"/>
      <c r="L1572" s="183"/>
      <c r="M1572" s="183"/>
      <c r="N1572" s="183"/>
      <c r="O1572" s="183"/>
      <c r="P1572" s="183"/>
      <c r="Q1572" s="183"/>
      <c r="R1572" s="183"/>
      <c r="S1572" s="183"/>
      <c r="T1572" s="183"/>
      <c r="U1572" s="183"/>
      <c r="V1572" s="183"/>
      <c r="W1572" s="183"/>
      <c r="X1572" s="183"/>
      <c r="Y1572" s="183"/>
      <c r="Z1572" s="183"/>
    </row>
    <row r="1573" spans="2:26">
      <c r="B1573" s="191"/>
      <c r="D1573" s="183"/>
      <c r="I1573" s="183"/>
      <c r="J1573" s="183"/>
      <c r="L1573" s="183"/>
      <c r="M1573" s="183"/>
      <c r="N1573" s="183"/>
      <c r="O1573" s="183"/>
      <c r="P1573" s="183"/>
      <c r="Q1573" s="183"/>
      <c r="R1573" s="183"/>
      <c r="S1573" s="183"/>
      <c r="T1573" s="183"/>
      <c r="U1573" s="183"/>
      <c r="V1573" s="183"/>
      <c r="W1573" s="183"/>
      <c r="X1573" s="183"/>
      <c r="Y1573" s="183"/>
      <c r="Z1573" s="183"/>
    </row>
    <row r="1574" spans="2:26">
      <c r="B1574" s="191"/>
      <c r="D1574" s="183"/>
      <c r="I1574" s="183"/>
      <c r="J1574" s="183"/>
      <c r="L1574" s="183"/>
      <c r="M1574" s="183"/>
      <c r="N1574" s="183"/>
      <c r="O1574" s="183"/>
      <c r="P1574" s="183"/>
      <c r="Q1574" s="183"/>
      <c r="R1574" s="183"/>
      <c r="S1574" s="183"/>
      <c r="T1574" s="183"/>
      <c r="U1574" s="183"/>
      <c r="V1574" s="183"/>
      <c r="W1574" s="183"/>
      <c r="X1574" s="183"/>
      <c r="Y1574" s="183"/>
      <c r="Z1574" s="183"/>
    </row>
    <row r="1575" spans="2:26">
      <c r="B1575" s="191"/>
      <c r="D1575" s="183"/>
      <c r="I1575" s="183"/>
      <c r="J1575" s="183"/>
      <c r="L1575" s="183"/>
      <c r="M1575" s="183"/>
      <c r="N1575" s="183"/>
      <c r="O1575" s="183"/>
      <c r="P1575" s="183"/>
      <c r="Q1575" s="183"/>
      <c r="R1575" s="183"/>
      <c r="S1575" s="183"/>
      <c r="T1575" s="183"/>
      <c r="U1575" s="183"/>
      <c r="V1575" s="183"/>
      <c r="W1575" s="183"/>
      <c r="X1575" s="183"/>
      <c r="Y1575" s="183"/>
      <c r="Z1575" s="183"/>
    </row>
    <row r="1576" spans="2:26">
      <c r="B1576" s="191"/>
      <c r="D1576" s="183"/>
      <c r="I1576" s="183"/>
      <c r="J1576" s="183"/>
      <c r="L1576" s="183"/>
      <c r="M1576" s="183"/>
      <c r="N1576" s="183"/>
      <c r="O1576" s="183"/>
      <c r="P1576" s="183"/>
      <c r="Q1576" s="183"/>
      <c r="R1576" s="183"/>
      <c r="S1576" s="183"/>
      <c r="T1576" s="183"/>
      <c r="U1576" s="183"/>
      <c r="V1576" s="183"/>
      <c r="W1576" s="183"/>
      <c r="X1576" s="183"/>
      <c r="Y1576" s="183"/>
      <c r="Z1576" s="183"/>
    </row>
    <row r="1577" spans="2:26">
      <c r="B1577" s="191"/>
      <c r="D1577" s="183"/>
      <c r="I1577" s="183"/>
      <c r="J1577" s="183"/>
      <c r="L1577" s="183"/>
      <c r="M1577" s="183"/>
      <c r="N1577" s="183"/>
      <c r="O1577" s="183"/>
      <c r="P1577" s="183"/>
      <c r="Q1577" s="183"/>
      <c r="R1577" s="183"/>
      <c r="S1577" s="183"/>
      <c r="T1577" s="183"/>
      <c r="U1577" s="183"/>
      <c r="V1577" s="183"/>
      <c r="W1577" s="183"/>
      <c r="X1577" s="183"/>
      <c r="Y1577" s="183"/>
      <c r="Z1577" s="183"/>
    </row>
    <row r="1578" spans="2:26">
      <c r="B1578" s="191"/>
      <c r="D1578" s="183"/>
      <c r="I1578" s="183"/>
      <c r="J1578" s="183"/>
      <c r="L1578" s="183"/>
      <c r="M1578" s="183"/>
      <c r="N1578" s="183"/>
      <c r="O1578" s="183"/>
      <c r="P1578" s="183"/>
      <c r="Q1578" s="183"/>
      <c r="R1578" s="183"/>
      <c r="S1578" s="183"/>
      <c r="T1578" s="183"/>
      <c r="U1578" s="183"/>
      <c r="V1578" s="183"/>
      <c r="W1578" s="183"/>
      <c r="X1578" s="183"/>
      <c r="Y1578" s="183"/>
      <c r="Z1578" s="183"/>
    </row>
    <row r="1579" spans="2:26">
      <c r="B1579" s="191"/>
      <c r="D1579" s="183"/>
      <c r="I1579" s="183"/>
      <c r="J1579" s="183"/>
      <c r="L1579" s="183"/>
      <c r="M1579" s="183"/>
      <c r="N1579" s="183"/>
      <c r="O1579" s="183"/>
      <c r="P1579" s="183"/>
      <c r="Q1579" s="183"/>
      <c r="R1579" s="183"/>
      <c r="S1579" s="183"/>
      <c r="T1579" s="183"/>
      <c r="U1579" s="183"/>
      <c r="V1579" s="183"/>
      <c r="W1579" s="183"/>
      <c r="X1579" s="183"/>
      <c r="Y1579" s="183"/>
      <c r="Z1579" s="183"/>
    </row>
    <row r="1580" spans="2:26">
      <c r="B1580" s="191"/>
      <c r="D1580" s="183"/>
      <c r="I1580" s="183"/>
      <c r="J1580" s="183"/>
      <c r="L1580" s="183"/>
      <c r="M1580" s="183"/>
      <c r="N1580" s="183"/>
      <c r="O1580" s="183"/>
      <c r="P1580" s="183"/>
      <c r="Q1580" s="183"/>
      <c r="R1580" s="183"/>
      <c r="S1580" s="183"/>
      <c r="T1580" s="183"/>
      <c r="U1580" s="183"/>
      <c r="V1580" s="183"/>
      <c r="W1580" s="183"/>
      <c r="X1580" s="183"/>
      <c r="Y1580" s="183"/>
      <c r="Z1580" s="183"/>
    </row>
    <row r="1581" spans="2:26">
      <c r="B1581" s="191"/>
      <c r="D1581" s="183"/>
      <c r="I1581" s="183"/>
      <c r="J1581" s="183"/>
      <c r="L1581" s="183"/>
      <c r="M1581" s="183"/>
      <c r="N1581" s="183"/>
      <c r="O1581" s="183"/>
      <c r="P1581" s="183"/>
      <c r="Q1581" s="183"/>
      <c r="R1581" s="183"/>
      <c r="S1581" s="183"/>
      <c r="T1581" s="183"/>
      <c r="U1581" s="183"/>
      <c r="V1581" s="183"/>
      <c r="W1581" s="183"/>
      <c r="X1581" s="183"/>
      <c r="Y1581" s="183"/>
      <c r="Z1581" s="183"/>
    </row>
    <row r="1582" spans="2:26">
      <c r="B1582" s="191"/>
      <c r="D1582" s="183"/>
      <c r="I1582" s="183"/>
      <c r="J1582" s="183"/>
      <c r="L1582" s="183"/>
      <c r="M1582" s="183"/>
      <c r="N1582" s="183"/>
      <c r="O1582" s="183"/>
      <c r="P1582" s="183"/>
      <c r="Q1582" s="183"/>
      <c r="R1582" s="183"/>
      <c r="S1582" s="183"/>
      <c r="T1582" s="183"/>
      <c r="U1582" s="183"/>
      <c r="V1582" s="183"/>
      <c r="W1582" s="183"/>
      <c r="X1582" s="183"/>
      <c r="Y1582" s="183"/>
      <c r="Z1582" s="183"/>
    </row>
    <row r="1583" spans="2:26">
      <c r="B1583" s="191"/>
      <c r="D1583" s="183"/>
      <c r="I1583" s="183"/>
      <c r="J1583" s="183"/>
      <c r="L1583" s="183"/>
      <c r="M1583" s="183"/>
      <c r="N1583" s="183"/>
      <c r="O1583" s="183"/>
      <c r="P1583" s="183"/>
      <c r="Q1583" s="183"/>
      <c r="R1583" s="183"/>
      <c r="S1583" s="183"/>
      <c r="T1583" s="183"/>
      <c r="U1583" s="183"/>
      <c r="V1583" s="183"/>
      <c r="W1583" s="183"/>
      <c r="X1583" s="183"/>
      <c r="Y1583" s="183"/>
      <c r="Z1583" s="183"/>
    </row>
    <row r="1584" spans="2:26">
      <c r="B1584" s="191"/>
      <c r="D1584" s="183"/>
      <c r="I1584" s="183"/>
      <c r="J1584" s="183"/>
      <c r="L1584" s="183"/>
      <c r="M1584" s="183"/>
      <c r="N1584" s="183"/>
      <c r="O1584" s="183"/>
      <c r="P1584" s="183"/>
      <c r="Q1584" s="183"/>
      <c r="R1584" s="183"/>
      <c r="S1584" s="183"/>
      <c r="T1584" s="183"/>
      <c r="U1584" s="183"/>
      <c r="V1584" s="183"/>
      <c r="W1584" s="183"/>
      <c r="X1584" s="183"/>
      <c r="Y1584" s="183"/>
      <c r="Z1584" s="183"/>
    </row>
    <row r="1585" spans="2:26">
      <c r="B1585" s="191"/>
      <c r="D1585" s="183"/>
      <c r="I1585" s="183"/>
      <c r="J1585" s="183"/>
      <c r="L1585" s="183"/>
      <c r="M1585" s="183"/>
      <c r="N1585" s="183"/>
      <c r="O1585" s="183"/>
      <c r="P1585" s="183"/>
      <c r="Q1585" s="183"/>
      <c r="R1585" s="183"/>
      <c r="S1585" s="183"/>
      <c r="T1585" s="183"/>
      <c r="U1585" s="183"/>
      <c r="V1585" s="183"/>
      <c r="W1585" s="183"/>
      <c r="X1585" s="183"/>
      <c r="Y1585" s="183"/>
      <c r="Z1585" s="183"/>
    </row>
    <row r="1586" spans="2:26">
      <c r="B1586" s="191"/>
      <c r="D1586" s="183"/>
      <c r="I1586" s="183"/>
      <c r="J1586" s="183"/>
      <c r="L1586" s="183"/>
      <c r="M1586" s="183"/>
      <c r="N1586" s="183"/>
      <c r="O1586" s="183"/>
      <c r="P1586" s="183"/>
      <c r="Q1586" s="183"/>
      <c r="R1586" s="183"/>
      <c r="S1586" s="183"/>
      <c r="T1586" s="183"/>
      <c r="U1586" s="183"/>
      <c r="V1586" s="183"/>
      <c r="W1586" s="183"/>
      <c r="X1586" s="183"/>
      <c r="Y1586" s="183"/>
      <c r="Z1586" s="183"/>
    </row>
    <row r="1587" spans="2:26">
      <c r="B1587" s="191"/>
      <c r="D1587" s="183"/>
      <c r="I1587" s="183"/>
      <c r="J1587" s="183"/>
      <c r="L1587" s="183"/>
      <c r="M1587" s="183"/>
      <c r="N1587" s="183"/>
      <c r="O1587" s="183"/>
      <c r="P1587" s="183"/>
      <c r="Q1587" s="183"/>
      <c r="R1587" s="183"/>
      <c r="S1587" s="183"/>
      <c r="T1587" s="183"/>
      <c r="U1587" s="183"/>
      <c r="V1587" s="183"/>
      <c r="W1587" s="183"/>
      <c r="X1587" s="183"/>
      <c r="Y1587" s="183"/>
      <c r="Z1587" s="183"/>
    </row>
    <row r="1588" spans="2:26">
      <c r="B1588" s="191"/>
      <c r="D1588" s="183"/>
      <c r="I1588" s="183"/>
      <c r="J1588" s="183"/>
      <c r="L1588" s="183"/>
      <c r="M1588" s="183"/>
      <c r="N1588" s="183"/>
      <c r="O1588" s="183"/>
      <c r="P1588" s="183"/>
      <c r="Q1588" s="183"/>
      <c r="R1588" s="183"/>
      <c r="S1588" s="183"/>
      <c r="T1588" s="183"/>
      <c r="U1588" s="183"/>
      <c r="V1588" s="183"/>
      <c r="W1588" s="183"/>
      <c r="X1588" s="183"/>
      <c r="Y1588" s="183"/>
      <c r="Z1588" s="183"/>
    </row>
    <row r="1589" spans="2:26">
      <c r="B1589" s="191"/>
      <c r="D1589" s="183"/>
      <c r="I1589" s="183"/>
      <c r="J1589" s="183"/>
      <c r="L1589" s="183"/>
      <c r="M1589" s="183"/>
      <c r="N1589" s="183"/>
      <c r="O1589" s="183"/>
      <c r="P1589" s="183"/>
      <c r="Q1589" s="183"/>
      <c r="R1589" s="183"/>
      <c r="S1589" s="183"/>
      <c r="T1589" s="183"/>
      <c r="U1589" s="183"/>
      <c r="V1589" s="183"/>
      <c r="W1589" s="183"/>
      <c r="X1589" s="183"/>
      <c r="Y1589" s="183"/>
      <c r="Z1589" s="183"/>
    </row>
    <row r="1590" spans="2:26">
      <c r="B1590" s="191"/>
      <c r="D1590" s="183"/>
      <c r="I1590" s="183"/>
      <c r="J1590" s="183"/>
      <c r="L1590" s="183"/>
      <c r="M1590" s="183"/>
      <c r="N1590" s="183"/>
      <c r="O1590" s="183"/>
      <c r="P1590" s="183"/>
      <c r="Q1590" s="183"/>
      <c r="R1590" s="183"/>
      <c r="S1590" s="183"/>
      <c r="T1590" s="183"/>
      <c r="U1590" s="183"/>
      <c r="V1590" s="183"/>
      <c r="W1590" s="183"/>
      <c r="X1590" s="183"/>
      <c r="Y1590" s="183"/>
      <c r="Z1590" s="183"/>
    </row>
    <row r="1591" spans="2:26">
      <c r="B1591" s="191"/>
      <c r="D1591" s="183"/>
      <c r="I1591" s="183"/>
      <c r="J1591" s="183"/>
      <c r="L1591" s="183"/>
      <c r="M1591" s="183"/>
      <c r="N1591" s="183"/>
      <c r="O1591" s="183"/>
      <c r="P1591" s="183"/>
      <c r="Q1591" s="183"/>
      <c r="R1591" s="183"/>
      <c r="S1591" s="183"/>
      <c r="T1591" s="183"/>
      <c r="U1591" s="183"/>
      <c r="V1591" s="183"/>
      <c r="W1591" s="183"/>
      <c r="X1591" s="183"/>
      <c r="Y1591" s="183"/>
      <c r="Z1591" s="183"/>
    </row>
    <row r="1592" spans="2:26">
      <c r="B1592" s="191"/>
      <c r="D1592" s="183"/>
      <c r="I1592" s="183"/>
      <c r="J1592" s="183"/>
      <c r="L1592" s="183"/>
      <c r="M1592" s="183"/>
      <c r="N1592" s="183"/>
      <c r="O1592" s="183"/>
      <c r="P1592" s="183"/>
      <c r="Q1592" s="183"/>
      <c r="R1592" s="183"/>
      <c r="S1592" s="183"/>
      <c r="T1592" s="183"/>
      <c r="U1592" s="183"/>
      <c r="V1592" s="183"/>
      <c r="W1592" s="183"/>
      <c r="X1592" s="183"/>
      <c r="Y1592" s="183"/>
      <c r="Z1592" s="183"/>
    </row>
    <row r="1593" spans="2:26">
      <c r="B1593" s="191"/>
      <c r="D1593" s="183"/>
      <c r="I1593" s="183"/>
      <c r="J1593" s="183"/>
      <c r="L1593" s="183"/>
      <c r="M1593" s="183"/>
      <c r="N1593" s="183"/>
      <c r="O1593" s="183"/>
      <c r="P1593" s="183"/>
      <c r="Q1593" s="183"/>
      <c r="R1593" s="183"/>
      <c r="S1593" s="183"/>
      <c r="T1593" s="183"/>
      <c r="U1593" s="183"/>
      <c r="V1593" s="183"/>
      <c r="W1593" s="183"/>
      <c r="X1593" s="183"/>
      <c r="Y1593" s="183"/>
      <c r="Z1593" s="183"/>
    </row>
    <row r="1594" spans="2:26">
      <c r="B1594" s="191"/>
      <c r="D1594" s="183"/>
      <c r="I1594" s="183"/>
      <c r="J1594" s="183"/>
      <c r="L1594" s="183"/>
      <c r="M1594" s="183"/>
      <c r="N1594" s="183"/>
      <c r="O1594" s="183"/>
      <c r="P1594" s="183"/>
      <c r="Q1594" s="183"/>
      <c r="R1594" s="183"/>
      <c r="S1594" s="183"/>
      <c r="T1594" s="183"/>
      <c r="U1594" s="183"/>
      <c r="V1594" s="183"/>
      <c r="W1594" s="183"/>
      <c r="X1594" s="183"/>
      <c r="Y1594" s="183"/>
      <c r="Z1594" s="183"/>
    </row>
    <row r="1595" spans="2:26">
      <c r="B1595" s="191"/>
      <c r="D1595" s="183"/>
      <c r="I1595" s="183"/>
      <c r="J1595" s="183"/>
      <c r="L1595" s="183"/>
      <c r="M1595" s="183"/>
      <c r="N1595" s="183"/>
      <c r="O1595" s="183"/>
      <c r="P1595" s="183"/>
      <c r="Q1595" s="183"/>
      <c r="R1595" s="183"/>
      <c r="S1595" s="183"/>
      <c r="T1595" s="183"/>
      <c r="U1595" s="183"/>
      <c r="V1595" s="183"/>
      <c r="W1595" s="183"/>
      <c r="X1595" s="183"/>
      <c r="Y1595" s="183"/>
      <c r="Z1595" s="183"/>
    </row>
    <row r="1596" spans="2:26">
      <c r="B1596" s="191"/>
      <c r="D1596" s="183"/>
      <c r="I1596" s="183"/>
      <c r="J1596" s="183"/>
      <c r="L1596" s="183"/>
      <c r="M1596" s="183"/>
      <c r="N1596" s="183"/>
      <c r="O1596" s="183"/>
      <c r="P1596" s="183"/>
      <c r="Q1596" s="183"/>
      <c r="R1596" s="183"/>
      <c r="S1596" s="183"/>
      <c r="T1596" s="183"/>
      <c r="U1596" s="183"/>
      <c r="V1596" s="183"/>
      <c r="W1596" s="183"/>
      <c r="X1596" s="183"/>
      <c r="Y1596" s="183"/>
      <c r="Z1596" s="183"/>
    </row>
    <row r="1597" spans="2:26">
      <c r="B1597" s="191"/>
      <c r="D1597" s="183"/>
      <c r="I1597" s="183"/>
      <c r="J1597" s="183"/>
      <c r="L1597" s="183"/>
      <c r="M1597" s="183"/>
      <c r="N1597" s="183"/>
      <c r="O1597" s="183"/>
      <c r="P1597" s="183"/>
      <c r="Q1597" s="183"/>
      <c r="R1597" s="183"/>
      <c r="S1597" s="183"/>
      <c r="T1597" s="183"/>
      <c r="U1597" s="183"/>
      <c r="V1597" s="183"/>
      <c r="W1597" s="183"/>
      <c r="X1597" s="183"/>
      <c r="Y1597" s="183"/>
      <c r="Z1597" s="183"/>
    </row>
    <row r="1598" spans="2:26">
      <c r="B1598" s="191"/>
      <c r="D1598" s="183"/>
      <c r="I1598" s="183"/>
      <c r="J1598" s="183"/>
      <c r="L1598" s="183"/>
      <c r="M1598" s="183"/>
      <c r="N1598" s="183"/>
      <c r="O1598" s="183"/>
      <c r="P1598" s="183"/>
      <c r="Q1598" s="183"/>
      <c r="R1598" s="183"/>
      <c r="S1598" s="183"/>
      <c r="T1598" s="183"/>
      <c r="U1598" s="183"/>
      <c r="V1598" s="183"/>
      <c r="W1598" s="183"/>
      <c r="X1598" s="183"/>
      <c r="Y1598" s="183"/>
      <c r="Z1598" s="183"/>
    </row>
    <row r="1599" spans="2:26">
      <c r="B1599" s="191"/>
      <c r="D1599" s="183"/>
      <c r="I1599" s="183"/>
      <c r="J1599" s="183"/>
      <c r="L1599" s="183"/>
      <c r="M1599" s="183"/>
      <c r="N1599" s="183"/>
      <c r="O1599" s="183"/>
      <c r="P1599" s="183"/>
      <c r="Q1599" s="183"/>
      <c r="R1599" s="183"/>
      <c r="S1599" s="183"/>
      <c r="T1599" s="183"/>
      <c r="U1599" s="183"/>
      <c r="V1599" s="183"/>
      <c r="W1599" s="183"/>
      <c r="X1599" s="183"/>
      <c r="Y1599" s="183"/>
      <c r="Z1599" s="183"/>
    </row>
    <row r="1600" spans="2:26">
      <c r="B1600" s="191"/>
      <c r="D1600" s="183"/>
      <c r="I1600" s="183"/>
      <c r="J1600" s="183"/>
      <c r="L1600" s="183"/>
      <c r="M1600" s="183"/>
      <c r="N1600" s="183"/>
      <c r="O1600" s="183"/>
      <c r="P1600" s="183"/>
      <c r="Q1600" s="183"/>
      <c r="R1600" s="183"/>
      <c r="S1600" s="183"/>
      <c r="T1600" s="183"/>
      <c r="U1600" s="183"/>
      <c r="V1600" s="183"/>
      <c r="W1600" s="183"/>
      <c r="X1600" s="183"/>
      <c r="Y1600" s="183"/>
      <c r="Z1600" s="183"/>
    </row>
    <row r="1601" spans="2:26">
      <c r="B1601" s="191"/>
      <c r="D1601" s="183"/>
      <c r="I1601" s="183"/>
      <c r="J1601" s="183"/>
      <c r="L1601" s="183"/>
      <c r="M1601" s="183"/>
      <c r="N1601" s="183"/>
      <c r="O1601" s="183"/>
      <c r="P1601" s="183"/>
      <c r="Q1601" s="183"/>
      <c r="R1601" s="183"/>
      <c r="S1601" s="183"/>
      <c r="T1601" s="183"/>
      <c r="U1601" s="183"/>
      <c r="V1601" s="183"/>
      <c r="W1601" s="183"/>
      <c r="X1601" s="183"/>
      <c r="Y1601" s="183"/>
      <c r="Z1601" s="183"/>
    </row>
    <row r="1602" spans="2:26">
      <c r="B1602" s="191"/>
      <c r="D1602" s="183"/>
      <c r="I1602" s="183"/>
      <c r="J1602" s="183"/>
      <c r="L1602" s="183"/>
      <c r="M1602" s="183"/>
      <c r="N1602" s="183"/>
      <c r="O1602" s="183"/>
      <c r="P1602" s="183"/>
      <c r="Q1602" s="183"/>
      <c r="R1602" s="183"/>
      <c r="S1602" s="183"/>
      <c r="T1602" s="183"/>
      <c r="U1602" s="183"/>
      <c r="V1602" s="183"/>
      <c r="W1602" s="183"/>
      <c r="X1602" s="183"/>
      <c r="Y1602" s="183"/>
      <c r="Z1602" s="183"/>
    </row>
    <row r="1603" spans="2:26">
      <c r="B1603" s="191"/>
      <c r="D1603" s="183"/>
      <c r="I1603" s="183"/>
      <c r="J1603" s="183"/>
      <c r="L1603" s="183"/>
      <c r="M1603" s="183"/>
      <c r="N1603" s="183"/>
      <c r="O1603" s="183"/>
      <c r="P1603" s="183"/>
      <c r="Q1603" s="183"/>
      <c r="R1603" s="183"/>
      <c r="S1603" s="183"/>
      <c r="T1603" s="183"/>
      <c r="U1603" s="183"/>
      <c r="V1603" s="183"/>
      <c r="W1603" s="183"/>
      <c r="X1603" s="183"/>
      <c r="Y1603" s="183"/>
      <c r="Z1603" s="183"/>
    </row>
    <row r="1604" spans="2:26">
      <c r="B1604" s="191"/>
      <c r="D1604" s="183"/>
      <c r="I1604" s="183"/>
      <c r="J1604" s="183"/>
      <c r="L1604" s="183"/>
      <c r="M1604" s="183"/>
      <c r="N1604" s="183"/>
      <c r="O1604" s="183"/>
      <c r="P1604" s="183"/>
      <c r="Q1604" s="183"/>
      <c r="R1604" s="183"/>
      <c r="S1604" s="183"/>
      <c r="T1604" s="183"/>
      <c r="U1604" s="183"/>
      <c r="V1604" s="183"/>
      <c r="W1604" s="183"/>
      <c r="X1604" s="183"/>
      <c r="Y1604" s="183"/>
      <c r="Z1604" s="183"/>
    </row>
    <row r="1605" spans="2:26">
      <c r="B1605" s="191"/>
      <c r="D1605" s="183"/>
      <c r="I1605" s="183"/>
      <c r="J1605" s="183"/>
      <c r="L1605" s="183"/>
      <c r="M1605" s="183"/>
      <c r="N1605" s="183"/>
      <c r="O1605" s="183"/>
      <c r="P1605" s="183"/>
      <c r="Q1605" s="183"/>
      <c r="R1605" s="183"/>
      <c r="S1605" s="183"/>
      <c r="T1605" s="183"/>
      <c r="U1605" s="183"/>
      <c r="V1605" s="183"/>
      <c r="W1605" s="183"/>
      <c r="X1605" s="183"/>
      <c r="Y1605" s="183"/>
      <c r="Z1605" s="183"/>
    </row>
    <row r="1606" spans="2:26">
      <c r="B1606" s="191"/>
      <c r="D1606" s="183"/>
      <c r="I1606" s="183"/>
      <c r="J1606" s="183"/>
      <c r="L1606" s="183"/>
      <c r="M1606" s="183"/>
      <c r="N1606" s="183"/>
      <c r="O1606" s="183"/>
      <c r="P1606" s="183"/>
      <c r="Q1606" s="183"/>
      <c r="R1606" s="183"/>
      <c r="S1606" s="183"/>
      <c r="T1606" s="183"/>
      <c r="U1606" s="183"/>
      <c r="V1606" s="183"/>
      <c r="W1606" s="183"/>
      <c r="X1606" s="183"/>
      <c r="Y1606" s="183"/>
      <c r="Z1606" s="183"/>
    </row>
    <row r="1607" spans="2:26">
      <c r="B1607" s="191"/>
      <c r="D1607" s="183"/>
      <c r="I1607" s="183"/>
      <c r="J1607" s="183"/>
      <c r="L1607" s="183"/>
      <c r="M1607" s="183"/>
      <c r="N1607" s="183"/>
      <c r="O1607" s="183"/>
      <c r="P1607" s="183"/>
      <c r="Q1607" s="183"/>
      <c r="R1607" s="183"/>
      <c r="S1607" s="183"/>
      <c r="T1607" s="183"/>
      <c r="U1607" s="183"/>
      <c r="V1607" s="183"/>
      <c r="W1607" s="183"/>
      <c r="X1607" s="183"/>
      <c r="Y1607" s="183"/>
      <c r="Z1607" s="183"/>
    </row>
    <row r="1608" spans="2:26">
      <c r="B1608" s="191"/>
      <c r="D1608" s="183"/>
      <c r="I1608" s="183"/>
      <c r="J1608" s="183"/>
      <c r="L1608" s="183"/>
      <c r="M1608" s="183"/>
      <c r="N1608" s="183"/>
      <c r="O1608" s="183"/>
      <c r="P1608" s="183"/>
      <c r="Q1608" s="183"/>
      <c r="R1608" s="183"/>
      <c r="S1608" s="183"/>
      <c r="T1608" s="183"/>
      <c r="U1608" s="183"/>
      <c r="V1608" s="183"/>
      <c r="W1608" s="183"/>
      <c r="X1608" s="183"/>
      <c r="Y1608" s="183"/>
      <c r="Z1608" s="183"/>
    </row>
    <row r="1609" spans="2:26">
      <c r="B1609" s="191"/>
      <c r="D1609" s="183"/>
      <c r="I1609" s="183"/>
      <c r="J1609" s="183"/>
      <c r="L1609" s="183"/>
      <c r="M1609" s="183"/>
      <c r="N1609" s="183"/>
      <c r="O1609" s="183"/>
      <c r="P1609" s="183"/>
      <c r="Q1609" s="183"/>
      <c r="R1609" s="183"/>
      <c r="S1609" s="183"/>
      <c r="T1609" s="183"/>
      <c r="U1609" s="183"/>
      <c r="V1609" s="183"/>
      <c r="W1609" s="183"/>
      <c r="X1609" s="183"/>
      <c r="Y1609" s="183"/>
      <c r="Z1609" s="183"/>
    </row>
    <row r="1610" spans="2:26">
      <c r="B1610" s="191"/>
      <c r="D1610" s="183"/>
      <c r="I1610" s="183"/>
      <c r="J1610" s="183"/>
      <c r="L1610" s="183"/>
      <c r="M1610" s="183"/>
      <c r="N1610" s="183"/>
      <c r="O1610" s="183"/>
      <c r="P1610" s="183"/>
      <c r="Q1610" s="183"/>
      <c r="R1610" s="183"/>
      <c r="S1610" s="183"/>
      <c r="T1610" s="183"/>
      <c r="U1610" s="183"/>
      <c r="V1610" s="183"/>
      <c r="W1610" s="183"/>
      <c r="X1610" s="183"/>
      <c r="Y1610" s="183"/>
      <c r="Z1610" s="183"/>
    </row>
    <row r="1611" spans="2:26">
      <c r="B1611" s="191"/>
      <c r="D1611" s="183"/>
      <c r="I1611" s="183"/>
      <c r="J1611" s="183"/>
      <c r="L1611" s="183"/>
      <c r="M1611" s="183"/>
      <c r="N1611" s="183"/>
      <c r="O1611" s="183"/>
      <c r="P1611" s="183"/>
      <c r="Q1611" s="183"/>
      <c r="R1611" s="183"/>
      <c r="S1611" s="183"/>
      <c r="T1611" s="183"/>
      <c r="U1611" s="183"/>
      <c r="V1611" s="183"/>
      <c r="W1611" s="183"/>
      <c r="X1611" s="183"/>
      <c r="Y1611" s="183"/>
      <c r="Z1611" s="183"/>
    </row>
    <row r="1612" spans="2:26">
      <c r="B1612" s="191"/>
      <c r="D1612" s="183"/>
      <c r="I1612" s="183"/>
      <c r="J1612" s="183"/>
      <c r="L1612" s="183"/>
      <c r="M1612" s="183"/>
      <c r="N1612" s="183"/>
      <c r="O1612" s="183"/>
      <c r="P1612" s="183"/>
      <c r="Q1612" s="183"/>
      <c r="R1612" s="183"/>
      <c r="S1612" s="183"/>
      <c r="T1612" s="183"/>
      <c r="U1612" s="183"/>
      <c r="V1612" s="183"/>
      <c r="W1612" s="183"/>
      <c r="X1612" s="183"/>
      <c r="Y1612" s="183"/>
      <c r="Z1612" s="183"/>
    </row>
    <row r="1613" spans="2:26">
      <c r="B1613" s="191"/>
      <c r="D1613" s="183"/>
      <c r="I1613" s="183"/>
      <c r="J1613" s="183"/>
      <c r="L1613" s="183"/>
      <c r="M1613" s="183"/>
      <c r="N1613" s="183"/>
      <c r="O1613" s="183"/>
      <c r="P1613" s="183"/>
      <c r="Q1613" s="183"/>
      <c r="R1613" s="183"/>
      <c r="S1613" s="183"/>
      <c r="T1613" s="183"/>
      <c r="U1613" s="183"/>
      <c r="V1613" s="183"/>
      <c r="W1613" s="183"/>
      <c r="X1613" s="183"/>
      <c r="Y1613" s="183"/>
      <c r="Z1613" s="183"/>
    </row>
    <row r="1614" spans="2:26">
      <c r="B1614" s="191"/>
      <c r="D1614" s="183"/>
      <c r="I1614" s="183"/>
      <c r="J1614" s="183"/>
      <c r="L1614" s="183"/>
      <c r="M1614" s="183"/>
      <c r="N1614" s="183"/>
      <c r="O1614" s="183"/>
      <c r="P1614" s="183"/>
      <c r="Q1614" s="183"/>
      <c r="R1614" s="183"/>
      <c r="S1614" s="183"/>
      <c r="T1614" s="183"/>
      <c r="U1614" s="183"/>
      <c r="V1614" s="183"/>
      <c r="W1614" s="183"/>
      <c r="X1614" s="183"/>
      <c r="Y1614" s="183"/>
      <c r="Z1614" s="183"/>
    </row>
    <row r="1615" spans="2:26">
      <c r="B1615" s="191"/>
      <c r="D1615" s="183"/>
      <c r="I1615" s="183"/>
      <c r="J1615" s="183"/>
      <c r="L1615" s="183"/>
      <c r="M1615" s="183"/>
      <c r="N1615" s="183"/>
      <c r="O1615" s="183"/>
      <c r="P1615" s="183"/>
      <c r="Q1615" s="183"/>
      <c r="R1615" s="183"/>
      <c r="S1615" s="183"/>
      <c r="T1615" s="183"/>
      <c r="U1615" s="183"/>
      <c r="V1615" s="183"/>
      <c r="W1615" s="183"/>
      <c r="X1615" s="183"/>
      <c r="Y1615" s="183"/>
      <c r="Z1615" s="183"/>
    </row>
    <row r="1616" spans="2:26">
      <c r="B1616" s="191"/>
      <c r="D1616" s="183"/>
      <c r="I1616" s="183"/>
      <c r="J1616" s="183"/>
      <c r="L1616" s="183"/>
      <c r="M1616" s="183"/>
      <c r="N1616" s="183"/>
      <c r="O1616" s="183"/>
      <c r="P1616" s="183"/>
      <c r="Q1616" s="183"/>
      <c r="R1616" s="183"/>
      <c r="S1616" s="183"/>
      <c r="T1616" s="183"/>
      <c r="U1616" s="183"/>
      <c r="V1616" s="183"/>
      <c r="W1616" s="183"/>
      <c r="X1616" s="183"/>
      <c r="Y1616" s="183"/>
      <c r="Z1616" s="183"/>
    </row>
    <row r="1617" spans="2:26">
      <c r="B1617" s="191"/>
      <c r="D1617" s="183"/>
      <c r="I1617" s="183"/>
      <c r="J1617" s="183"/>
      <c r="L1617" s="183"/>
      <c r="M1617" s="183"/>
      <c r="N1617" s="183"/>
      <c r="O1617" s="183"/>
      <c r="P1617" s="183"/>
      <c r="Q1617" s="183"/>
      <c r="R1617" s="183"/>
      <c r="S1617" s="183"/>
      <c r="T1617" s="183"/>
      <c r="U1617" s="183"/>
      <c r="V1617" s="183"/>
      <c r="W1617" s="183"/>
      <c r="X1617" s="183"/>
      <c r="Y1617" s="183"/>
      <c r="Z1617" s="183"/>
    </row>
    <row r="1618" spans="2:26">
      <c r="B1618" s="191"/>
      <c r="D1618" s="183"/>
      <c r="I1618" s="183"/>
      <c r="J1618" s="183"/>
      <c r="L1618" s="183"/>
      <c r="M1618" s="183"/>
      <c r="N1618" s="183"/>
      <c r="O1618" s="183"/>
      <c r="P1618" s="183"/>
      <c r="Q1618" s="183"/>
      <c r="R1618" s="183"/>
      <c r="S1618" s="183"/>
      <c r="T1618" s="183"/>
      <c r="U1618" s="183"/>
      <c r="V1618" s="183"/>
      <c r="W1618" s="183"/>
      <c r="X1618" s="183"/>
      <c r="Y1618" s="183"/>
      <c r="Z1618" s="183"/>
    </row>
    <row r="1619" spans="2:26">
      <c r="B1619" s="191"/>
      <c r="D1619" s="183"/>
      <c r="I1619" s="183"/>
      <c r="J1619" s="183"/>
      <c r="L1619" s="183"/>
      <c r="M1619" s="183"/>
      <c r="N1619" s="183"/>
      <c r="O1619" s="183"/>
      <c r="P1619" s="183"/>
      <c r="Q1619" s="183"/>
      <c r="R1619" s="183"/>
      <c r="S1619" s="183"/>
      <c r="T1619" s="183"/>
      <c r="U1619" s="183"/>
      <c r="V1619" s="183"/>
      <c r="W1619" s="183"/>
      <c r="X1619" s="183"/>
      <c r="Y1619" s="183"/>
      <c r="Z1619" s="183"/>
    </row>
    <row r="1620" spans="2:26">
      <c r="B1620" s="191"/>
      <c r="D1620" s="183"/>
      <c r="I1620" s="183"/>
      <c r="J1620" s="183"/>
      <c r="L1620" s="183"/>
      <c r="M1620" s="183"/>
      <c r="N1620" s="183"/>
      <c r="O1620" s="183"/>
      <c r="P1620" s="183"/>
      <c r="Q1620" s="183"/>
      <c r="R1620" s="183"/>
      <c r="S1620" s="183"/>
      <c r="T1620" s="183"/>
      <c r="U1620" s="183"/>
      <c r="V1620" s="183"/>
      <c r="W1620" s="183"/>
      <c r="X1620" s="183"/>
      <c r="Y1620" s="183"/>
      <c r="Z1620" s="183"/>
    </row>
    <row r="1621" spans="2:26">
      <c r="B1621" s="191"/>
      <c r="D1621" s="183"/>
      <c r="I1621" s="183"/>
      <c r="J1621" s="183"/>
      <c r="L1621" s="183"/>
      <c r="M1621" s="183"/>
      <c r="N1621" s="183"/>
      <c r="O1621" s="183"/>
      <c r="P1621" s="183"/>
      <c r="Q1621" s="183"/>
      <c r="R1621" s="183"/>
      <c r="S1621" s="183"/>
      <c r="T1621" s="183"/>
      <c r="U1621" s="183"/>
      <c r="V1621" s="183"/>
      <c r="W1621" s="183"/>
      <c r="X1621" s="183"/>
      <c r="Y1621" s="183"/>
      <c r="Z1621" s="183"/>
    </row>
    <row r="1622" spans="2:26">
      <c r="B1622" s="191"/>
      <c r="D1622" s="183"/>
      <c r="I1622" s="183"/>
      <c r="J1622" s="183"/>
      <c r="L1622" s="183"/>
      <c r="M1622" s="183"/>
      <c r="N1622" s="183"/>
      <c r="O1622" s="183"/>
      <c r="P1622" s="183"/>
      <c r="Q1622" s="183"/>
      <c r="R1622" s="183"/>
      <c r="S1622" s="183"/>
      <c r="T1622" s="183"/>
      <c r="U1622" s="183"/>
      <c r="V1622" s="183"/>
      <c r="W1622" s="183"/>
      <c r="X1622" s="183"/>
      <c r="Y1622" s="183"/>
      <c r="Z1622" s="183"/>
    </row>
    <row r="1623" spans="2:26">
      <c r="B1623" s="191"/>
      <c r="D1623" s="183"/>
      <c r="I1623" s="183"/>
      <c r="J1623" s="183"/>
      <c r="L1623" s="183"/>
      <c r="M1623" s="183"/>
      <c r="N1623" s="183"/>
      <c r="O1623" s="183"/>
      <c r="P1623" s="183"/>
      <c r="Q1623" s="183"/>
      <c r="R1623" s="183"/>
      <c r="S1623" s="183"/>
      <c r="T1623" s="183"/>
      <c r="U1623" s="183"/>
      <c r="V1623" s="183"/>
      <c r="W1623" s="183"/>
      <c r="X1623" s="183"/>
      <c r="Y1623" s="183"/>
      <c r="Z1623" s="183"/>
    </row>
    <row r="1624" spans="2:26">
      <c r="B1624" s="191"/>
      <c r="D1624" s="183"/>
      <c r="I1624" s="183"/>
      <c r="J1624" s="183"/>
      <c r="L1624" s="183"/>
      <c r="M1624" s="183"/>
      <c r="N1624" s="183"/>
      <c r="O1624" s="183"/>
      <c r="P1624" s="183"/>
      <c r="Q1624" s="183"/>
      <c r="R1624" s="183"/>
      <c r="S1624" s="183"/>
      <c r="T1624" s="183"/>
      <c r="U1624" s="183"/>
      <c r="V1624" s="183"/>
      <c r="W1624" s="183"/>
      <c r="X1624" s="183"/>
      <c r="Y1624" s="183"/>
      <c r="Z1624" s="183"/>
    </row>
    <row r="1625" spans="2:26">
      <c r="B1625" s="191"/>
      <c r="D1625" s="183"/>
      <c r="I1625" s="183"/>
      <c r="J1625" s="183"/>
      <c r="L1625" s="183"/>
      <c r="M1625" s="183"/>
      <c r="N1625" s="183"/>
      <c r="O1625" s="183"/>
      <c r="P1625" s="183"/>
      <c r="Q1625" s="183"/>
      <c r="R1625" s="183"/>
      <c r="S1625" s="183"/>
      <c r="T1625" s="183"/>
      <c r="U1625" s="183"/>
      <c r="V1625" s="183"/>
      <c r="W1625" s="183"/>
      <c r="X1625" s="183"/>
      <c r="Y1625" s="183"/>
      <c r="Z1625" s="183"/>
    </row>
    <row r="1626" spans="2:26">
      <c r="B1626" s="191"/>
      <c r="D1626" s="183"/>
      <c r="I1626" s="183"/>
      <c r="J1626" s="183"/>
      <c r="L1626" s="183"/>
      <c r="M1626" s="183"/>
      <c r="N1626" s="183"/>
      <c r="O1626" s="183"/>
      <c r="P1626" s="183"/>
      <c r="Q1626" s="183"/>
      <c r="R1626" s="183"/>
      <c r="S1626" s="183"/>
      <c r="T1626" s="183"/>
      <c r="U1626" s="183"/>
      <c r="V1626" s="183"/>
      <c r="W1626" s="183"/>
      <c r="X1626" s="183"/>
      <c r="Y1626" s="183"/>
      <c r="Z1626" s="183"/>
    </row>
    <row r="1627" spans="2:26">
      <c r="B1627" s="191"/>
      <c r="D1627" s="183"/>
      <c r="I1627" s="183"/>
      <c r="J1627" s="183"/>
      <c r="L1627" s="183"/>
      <c r="M1627" s="183"/>
      <c r="N1627" s="183"/>
      <c r="O1627" s="183"/>
      <c r="P1627" s="183"/>
      <c r="Q1627" s="183"/>
      <c r="R1627" s="183"/>
      <c r="S1627" s="183"/>
      <c r="T1627" s="183"/>
      <c r="U1627" s="183"/>
      <c r="V1627" s="183"/>
      <c r="W1627" s="183"/>
      <c r="X1627" s="183"/>
      <c r="Y1627" s="183"/>
      <c r="Z1627" s="183"/>
    </row>
    <row r="1628" spans="2:26">
      <c r="B1628" s="191"/>
      <c r="D1628" s="183"/>
      <c r="I1628" s="183"/>
      <c r="J1628" s="183"/>
      <c r="L1628" s="183"/>
      <c r="M1628" s="183"/>
      <c r="N1628" s="183"/>
      <c r="O1628" s="183"/>
      <c r="P1628" s="183"/>
      <c r="Q1628" s="183"/>
      <c r="R1628" s="183"/>
      <c r="S1628" s="183"/>
      <c r="T1628" s="183"/>
      <c r="U1628" s="183"/>
      <c r="V1628" s="183"/>
      <c r="W1628" s="183"/>
      <c r="X1628" s="183"/>
      <c r="Y1628" s="183"/>
      <c r="Z1628" s="183"/>
    </row>
    <row r="1629" spans="2:26">
      <c r="B1629" s="191"/>
      <c r="D1629" s="183"/>
      <c r="I1629" s="183"/>
      <c r="J1629" s="183"/>
      <c r="L1629" s="183"/>
      <c r="M1629" s="183"/>
      <c r="N1629" s="183"/>
      <c r="O1629" s="183"/>
      <c r="P1629" s="183"/>
      <c r="Q1629" s="183"/>
      <c r="R1629" s="183"/>
      <c r="S1629" s="183"/>
      <c r="T1629" s="183"/>
      <c r="U1629" s="183"/>
      <c r="V1629" s="183"/>
      <c r="W1629" s="183"/>
      <c r="X1629" s="183"/>
      <c r="Y1629" s="183"/>
      <c r="Z1629" s="183"/>
    </row>
    <row r="1630" spans="2:26">
      <c r="B1630" s="191"/>
      <c r="D1630" s="183"/>
      <c r="I1630" s="183"/>
      <c r="J1630" s="183"/>
      <c r="L1630" s="183"/>
      <c r="M1630" s="183"/>
      <c r="N1630" s="183"/>
      <c r="O1630" s="183"/>
      <c r="P1630" s="183"/>
      <c r="Q1630" s="183"/>
      <c r="R1630" s="183"/>
      <c r="S1630" s="183"/>
      <c r="T1630" s="183"/>
      <c r="U1630" s="183"/>
      <c r="V1630" s="183"/>
      <c r="W1630" s="183"/>
      <c r="X1630" s="183"/>
      <c r="Y1630" s="183"/>
      <c r="Z1630" s="183"/>
    </row>
    <row r="1631" spans="2:26">
      <c r="B1631" s="191"/>
      <c r="D1631" s="183"/>
      <c r="I1631" s="183"/>
      <c r="J1631" s="183"/>
      <c r="L1631" s="183"/>
      <c r="M1631" s="183"/>
      <c r="N1631" s="183"/>
      <c r="O1631" s="183"/>
      <c r="P1631" s="183"/>
      <c r="Q1631" s="183"/>
      <c r="R1631" s="183"/>
      <c r="S1631" s="183"/>
      <c r="T1631" s="183"/>
      <c r="U1631" s="183"/>
      <c r="V1631" s="183"/>
      <c r="W1631" s="183"/>
      <c r="X1631" s="183"/>
      <c r="Y1631" s="183"/>
      <c r="Z1631" s="183"/>
    </row>
    <row r="1632" spans="2:26">
      <c r="B1632" s="191"/>
      <c r="D1632" s="183"/>
      <c r="I1632" s="183"/>
      <c r="J1632" s="183"/>
      <c r="L1632" s="183"/>
      <c r="M1632" s="183"/>
      <c r="N1632" s="183"/>
      <c r="O1632" s="183"/>
      <c r="P1632" s="183"/>
      <c r="Q1632" s="183"/>
      <c r="R1632" s="183"/>
      <c r="S1632" s="183"/>
      <c r="T1632" s="183"/>
      <c r="U1632" s="183"/>
      <c r="V1632" s="183"/>
      <c r="W1632" s="183"/>
      <c r="X1632" s="183"/>
      <c r="Y1632" s="183"/>
      <c r="Z1632" s="183"/>
    </row>
    <row r="1633" spans="2:26">
      <c r="B1633" s="191"/>
      <c r="D1633" s="183"/>
      <c r="I1633" s="183"/>
      <c r="J1633" s="183"/>
      <c r="L1633" s="183"/>
      <c r="M1633" s="183"/>
      <c r="N1633" s="183"/>
      <c r="O1633" s="183"/>
      <c r="P1633" s="183"/>
      <c r="Q1633" s="183"/>
      <c r="R1633" s="183"/>
      <c r="S1633" s="183"/>
      <c r="T1633" s="183"/>
      <c r="U1633" s="183"/>
      <c r="V1633" s="183"/>
      <c r="W1633" s="183"/>
      <c r="X1633" s="183"/>
      <c r="Y1633" s="183"/>
      <c r="Z1633" s="183"/>
    </row>
    <row r="1634" spans="2:26">
      <c r="B1634" s="191"/>
      <c r="D1634" s="183"/>
      <c r="I1634" s="183"/>
      <c r="J1634" s="183"/>
      <c r="L1634" s="183"/>
      <c r="M1634" s="183"/>
      <c r="N1634" s="183"/>
      <c r="O1634" s="183"/>
      <c r="P1634" s="183"/>
      <c r="Q1634" s="183"/>
      <c r="R1634" s="183"/>
      <c r="S1634" s="183"/>
      <c r="T1634" s="183"/>
      <c r="U1634" s="183"/>
      <c r="V1634" s="183"/>
      <c r="W1634" s="183"/>
      <c r="X1634" s="183"/>
      <c r="Y1634" s="183"/>
      <c r="Z1634" s="183"/>
    </row>
    <row r="1635" spans="2:26">
      <c r="B1635" s="191"/>
      <c r="D1635" s="183"/>
      <c r="I1635" s="183"/>
      <c r="J1635" s="183"/>
      <c r="L1635" s="183"/>
      <c r="M1635" s="183"/>
      <c r="N1635" s="183"/>
      <c r="O1635" s="183"/>
      <c r="P1635" s="183"/>
      <c r="Q1635" s="183"/>
      <c r="R1635" s="183"/>
      <c r="S1635" s="183"/>
      <c r="T1635" s="183"/>
      <c r="U1635" s="183"/>
      <c r="V1635" s="183"/>
      <c r="W1635" s="183"/>
      <c r="X1635" s="183"/>
      <c r="Y1635" s="183"/>
      <c r="Z1635" s="183"/>
    </row>
    <row r="1636" spans="2:26">
      <c r="B1636" s="191"/>
      <c r="D1636" s="183"/>
      <c r="I1636" s="183"/>
      <c r="J1636" s="183"/>
      <c r="L1636" s="183"/>
      <c r="M1636" s="183"/>
      <c r="N1636" s="183"/>
      <c r="O1636" s="183"/>
      <c r="P1636" s="183"/>
      <c r="Q1636" s="183"/>
      <c r="R1636" s="183"/>
      <c r="S1636" s="183"/>
      <c r="T1636" s="183"/>
      <c r="U1636" s="183"/>
      <c r="V1636" s="183"/>
      <c r="W1636" s="183"/>
      <c r="X1636" s="183"/>
      <c r="Y1636" s="183"/>
      <c r="Z1636" s="183"/>
    </row>
    <row r="1637" spans="2:26">
      <c r="B1637" s="191"/>
      <c r="D1637" s="183"/>
      <c r="I1637" s="183"/>
      <c r="J1637" s="183"/>
      <c r="L1637" s="183"/>
      <c r="M1637" s="183"/>
      <c r="N1637" s="183"/>
      <c r="O1637" s="183"/>
      <c r="P1637" s="183"/>
      <c r="Q1637" s="183"/>
      <c r="R1637" s="183"/>
      <c r="S1637" s="183"/>
      <c r="T1637" s="183"/>
      <c r="U1637" s="183"/>
      <c r="V1637" s="183"/>
      <c r="W1637" s="183"/>
      <c r="X1637" s="183"/>
      <c r="Y1637" s="183"/>
      <c r="Z1637" s="183"/>
    </row>
    <row r="1638" spans="2:26">
      <c r="B1638" s="191"/>
      <c r="D1638" s="183"/>
      <c r="I1638" s="183"/>
      <c r="J1638" s="183"/>
      <c r="L1638" s="183"/>
      <c r="M1638" s="183"/>
      <c r="N1638" s="183"/>
      <c r="O1638" s="183"/>
      <c r="P1638" s="183"/>
      <c r="Q1638" s="183"/>
      <c r="R1638" s="183"/>
      <c r="S1638" s="183"/>
      <c r="T1638" s="183"/>
      <c r="U1638" s="183"/>
      <c r="V1638" s="183"/>
      <c r="W1638" s="183"/>
      <c r="X1638" s="183"/>
      <c r="Y1638" s="183"/>
      <c r="Z1638" s="183"/>
    </row>
    <row r="1639" spans="2:26">
      <c r="B1639" s="191"/>
      <c r="D1639" s="183"/>
      <c r="I1639" s="183"/>
      <c r="J1639" s="183"/>
      <c r="L1639" s="183"/>
      <c r="M1639" s="183"/>
      <c r="N1639" s="183"/>
      <c r="O1639" s="183"/>
      <c r="P1639" s="183"/>
      <c r="Q1639" s="183"/>
      <c r="R1639" s="183"/>
      <c r="S1639" s="183"/>
      <c r="T1639" s="183"/>
      <c r="U1639" s="183"/>
      <c r="V1639" s="183"/>
      <c r="W1639" s="183"/>
      <c r="X1639" s="183"/>
      <c r="Y1639" s="183"/>
      <c r="Z1639" s="183"/>
    </row>
    <row r="1640" spans="2:26">
      <c r="B1640" s="191"/>
      <c r="D1640" s="183"/>
      <c r="I1640" s="183"/>
      <c r="J1640" s="183"/>
      <c r="L1640" s="183"/>
      <c r="M1640" s="183"/>
      <c r="N1640" s="183"/>
      <c r="O1640" s="183"/>
      <c r="P1640" s="183"/>
      <c r="Q1640" s="183"/>
      <c r="R1640" s="183"/>
      <c r="S1640" s="183"/>
      <c r="T1640" s="183"/>
      <c r="U1640" s="183"/>
      <c r="V1640" s="183"/>
      <c r="W1640" s="183"/>
      <c r="X1640" s="183"/>
      <c r="Y1640" s="183"/>
      <c r="Z1640" s="183"/>
    </row>
    <row r="1641" spans="2:26">
      <c r="B1641" s="191"/>
      <c r="D1641" s="183"/>
      <c r="I1641" s="183"/>
      <c r="J1641" s="183"/>
      <c r="L1641" s="183"/>
      <c r="M1641" s="183"/>
      <c r="N1641" s="183"/>
      <c r="O1641" s="183"/>
      <c r="P1641" s="183"/>
      <c r="Q1641" s="183"/>
      <c r="R1641" s="183"/>
      <c r="S1641" s="183"/>
      <c r="T1641" s="183"/>
      <c r="U1641" s="183"/>
      <c r="V1641" s="183"/>
      <c r="W1641" s="183"/>
      <c r="X1641" s="183"/>
      <c r="Y1641" s="183"/>
      <c r="Z1641" s="183"/>
    </row>
    <row r="1642" spans="2:26">
      <c r="B1642" s="191"/>
      <c r="D1642" s="183"/>
      <c r="I1642" s="183"/>
      <c r="J1642" s="183"/>
      <c r="L1642" s="183"/>
      <c r="M1642" s="183"/>
      <c r="N1642" s="183"/>
      <c r="O1642" s="183"/>
      <c r="P1642" s="183"/>
      <c r="Q1642" s="183"/>
      <c r="R1642" s="183"/>
      <c r="S1642" s="183"/>
      <c r="T1642" s="183"/>
      <c r="U1642" s="183"/>
      <c r="V1642" s="183"/>
      <c r="W1642" s="183"/>
      <c r="X1642" s="183"/>
      <c r="Y1642" s="183"/>
      <c r="Z1642" s="183"/>
    </row>
    <row r="1643" spans="2:26">
      <c r="B1643" s="191"/>
      <c r="D1643" s="183"/>
      <c r="I1643" s="183"/>
      <c r="J1643" s="183"/>
      <c r="L1643" s="183"/>
      <c r="M1643" s="183"/>
      <c r="N1643" s="183"/>
      <c r="O1643" s="183"/>
      <c r="P1643" s="183"/>
      <c r="Q1643" s="183"/>
      <c r="R1643" s="183"/>
      <c r="S1643" s="183"/>
      <c r="T1643" s="183"/>
      <c r="U1643" s="183"/>
      <c r="V1643" s="183"/>
      <c r="W1643" s="183"/>
      <c r="X1643" s="183"/>
      <c r="Y1643" s="183"/>
      <c r="Z1643" s="183"/>
    </row>
    <row r="1644" spans="2:26">
      <c r="B1644" s="191"/>
      <c r="D1644" s="183"/>
      <c r="I1644" s="183"/>
      <c r="J1644" s="183"/>
      <c r="L1644" s="183"/>
      <c r="M1644" s="183"/>
      <c r="N1644" s="183"/>
      <c r="O1644" s="183"/>
      <c r="P1644" s="183"/>
      <c r="Q1644" s="183"/>
      <c r="R1644" s="183"/>
      <c r="S1644" s="183"/>
      <c r="T1644" s="183"/>
      <c r="U1644" s="183"/>
      <c r="V1644" s="183"/>
      <c r="W1644" s="183"/>
      <c r="X1644" s="183"/>
      <c r="Y1644" s="183"/>
      <c r="Z1644" s="183"/>
    </row>
    <row r="1645" spans="2:26">
      <c r="B1645" s="191"/>
      <c r="D1645" s="183"/>
      <c r="I1645" s="183"/>
      <c r="J1645" s="183"/>
      <c r="L1645" s="183"/>
      <c r="M1645" s="183"/>
      <c r="N1645" s="183"/>
      <c r="O1645" s="183"/>
      <c r="P1645" s="183"/>
      <c r="Q1645" s="183"/>
      <c r="R1645" s="183"/>
      <c r="S1645" s="183"/>
      <c r="T1645" s="183"/>
      <c r="U1645" s="183"/>
      <c r="V1645" s="183"/>
      <c r="W1645" s="183"/>
      <c r="X1645" s="183"/>
      <c r="Y1645" s="183"/>
      <c r="Z1645" s="183"/>
    </row>
    <row r="1646" spans="2:26">
      <c r="B1646" s="191"/>
      <c r="D1646" s="183"/>
      <c r="I1646" s="183"/>
      <c r="J1646" s="183"/>
      <c r="L1646" s="183"/>
      <c r="M1646" s="183"/>
      <c r="N1646" s="183"/>
      <c r="O1646" s="183"/>
      <c r="P1646" s="183"/>
      <c r="Q1646" s="183"/>
      <c r="R1646" s="183"/>
      <c r="S1646" s="183"/>
      <c r="T1646" s="183"/>
      <c r="U1646" s="183"/>
      <c r="V1646" s="183"/>
      <c r="W1646" s="183"/>
      <c r="X1646" s="183"/>
      <c r="Y1646" s="183"/>
      <c r="Z1646" s="183"/>
    </row>
    <row r="1647" spans="2:26">
      <c r="B1647" s="191"/>
      <c r="D1647" s="183"/>
      <c r="I1647" s="183"/>
      <c r="J1647" s="183"/>
      <c r="L1647" s="183"/>
      <c r="M1647" s="183"/>
      <c r="N1647" s="183"/>
      <c r="O1647" s="183"/>
      <c r="P1647" s="183"/>
      <c r="Q1647" s="183"/>
      <c r="R1647" s="183"/>
      <c r="S1647" s="183"/>
      <c r="T1647" s="183"/>
      <c r="U1647" s="183"/>
      <c r="V1647" s="183"/>
      <c r="W1647" s="183"/>
      <c r="X1647" s="183"/>
      <c r="Y1647" s="183"/>
      <c r="Z1647" s="183"/>
    </row>
    <row r="1648" spans="2:26">
      <c r="B1648" s="191"/>
      <c r="D1648" s="183"/>
      <c r="I1648" s="183"/>
      <c r="J1648" s="183"/>
      <c r="L1648" s="183"/>
      <c r="M1648" s="183"/>
      <c r="N1648" s="183"/>
      <c r="O1648" s="183"/>
      <c r="P1648" s="183"/>
      <c r="Q1648" s="183"/>
      <c r="R1648" s="183"/>
      <c r="S1648" s="183"/>
      <c r="T1648" s="183"/>
      <c r="U1648" s="183"/>
      <c r="V1648" s="183"/>
      <c r="W1648" s="183"/>
      <c r="X1648" s="183"/>
      <c r="Y1648" s="183"/>
      <c r="Z1648" s="183"/>
    </row>
    <row r="1649" spans="2:26">
      <c r="B1649" s="191"/>
      <c r="D1649" s="183"/>
      <c r="I1649" s="183"/>
      <c r="J1649" s="183"/>
      <c r="L1649" s="183"/>
      <c r="M1649" s="183"/>
      <c r="N1649" s="183"/>
      <c r="O1649" s="183"/>
      <c r="P1649" s="183"/>
      <c r="Q1649" s="183"/>
      <c r="R1649" s="183"/>
      <c r="S1649" s="183"/>
      <c r="T1649" s="183"/>
      <c r="U1649" s="183"/>
      <c r="V1649" s="183"/>
      <c r="W1649" s="183"/>
      <c r="X1649" s="183"/>
      <c r="Y1649" s="183"/>
      <c r="Z1649" s="183"/>
    </row>
    <row r="1650" spans="2:26">
      <c r="B1650" s="191"/>
      <c r="D1650" s="183"/>
      <c r="I1650" s="183"/>
      <c r="J1650" s="183"/>
      <c r="L1650" s="183"/>
      <c r="M1650" s="183"/>
      <c r="N1650" s="183"/>
      <c r="O1650" s="183"/>
      <c r="P1650" s="183"/>
      <c r="Q1650" s="183"/>
      <c r="R1650" s="183"/>
      <c r="S1650" s="183"/>
      <c r="T1650" s="183"/>
      <c r="U1650" s="183"/>
      <c r="V1650" s="183"/>
      <c r="W1650" s="183"/>
      <c r="X1650" s="183"/>
      <c r="Y1650" s="183"/>
      <c r="Z1650" s="183"/>
    </row>
    <row r="1651" spans="2:26">
      <c r="B1651" s="191"/>
      <c r="D1651" s="183"/>
      <c r="I1651" s="183"/>
      <c r="J1651" s="183"/>
      <c r="L1651" s="183"/>
      <c r="M1651" s="183"/>
      <c r="N1651" s="183"/>
      <c r="O1651" s="183"/>
      <c r="P1651" s="183"/>
      <c r="Q1651" s="183"/>
      <c r="R1651" s="183"/>
      <c r="S1651" s="183"/>
      <c r="T1651" s="183"/>
      <c r="U1651" s="183"/>
      <c r="V1651" s="183"/>
      <c r="W1651" s="183"/>
      <c r="X1651" s="183"/>
      <c r="Y1651" s="183"/>
      <c r="Z1651" s="183"/>
    </row>
    <row r="1652" spans="2:26">
      <c r="B1652" s="191"/>
      <c r="D1652" s="183"/>
      <c r="I1652" s="183"/>
      <c r="J1652" s="183"/>
      <c r="L1652" s="183"/>
      <c r="M1652" s="183"/>
      <c r="N1652" s="183"/>
      <c r="O1652" s="183"/>
      <c r="P1652" s="183"/>
      <c r="Q1652" s="183"/>
      <c r="R1652" s="183"/>
      <c r="S1652" s="183"/>
      <c r="T1652" s="183"/>
      <c r="U1652" s="183"/>
      <c r="V1652" s="183"/>
      <c r="W1652" s="183"/>
      <c r="X1652" s="183"/>
      <c r="Y1652" s="183"/>
      <c r="Z1652" s="183"/>
    </row>
    <row r="1653" spans="2:26">
      <c r="B1653" s="191"/>
      <c r="D1653" s="183"/>
      <c r="I1653" s="183"/>
      <c r="J1653" s="183"/>
      <c r="L1653" s="183"/>
      <c r="M1653" s="183"/>
      <c r="N1653" s="183"/>
      <c r="O1653" s="183"/>
      <c r="P1653" s="183"/>
      <c r="Q1653" s="183"/>
      <c r="R1653" s="183"/>
      <c r="S1653" s="183"/>
      <c r="T1653" s="183"/>
      <c r="U1653" s="183"/>
      <c r="V1653" s="183"/>
      <c r="W1653" s="183"/>
      <c r="X1653" s="183"/>
      <c r="Y1653" s="183"/>
      <c r="Z1653" s="183"/>
    </row>
    <row r="1654" spans="2:26">
      <c r="B1654" s="191"/>
      <c r="D1654" s="183"/>
      <c r="I1654" s="183"/>
      <c r="J1654" s="183"/>
      <c r="L1654" s="183"/>
      <c r="M1654" s="183"/>
      <c r="N1654" s="183"/>
      <c r="O1654" s="183"/>
      <c r="P1654" s="183"/>
      <c r="Q1654" s="183"/>
      <c r="R1654" s="183"/>
      <c r="S1654" s="183"/>
      <c r="T1654" s="183"/>
      <c r="U1654" s="183"/>
      <c r="V1654" s="183"/>
      <c r="W1654" s="183"/>
      <c r="X1654" s="183"/>
      <c r="Y1654" s="183"/>
      <c r="Z1654" s="183"/>
    </row>
    <row r="1655" spans="2:26">
      <c r="B1655" s="191"/>
      <c r="D1655" s="183"/>
      <c r="I1655" s="183"/>
      <c r="J1655" s="183"/>
      <c r="L1655" s="183"/>
      <c r="M1655" s="183"/>
      <c r="N1655" s="183"/>
      <c r="O1655" s="183"/>
      <c r="P1655" s="183"/>
      <c r="Q1655" s="183"/>
      <c r="R1655" s="183"/>
      <c r="S1655" s="183"/>
      <c r="T1655" s="183"/>
      <c r="U1655" s="183"/>
      <c r="V1655" s="183"/>
      <c r="W1655" s="183"/>
      <c r="X1655" s="183"/>
      <c r="Y1655" s="183"/>
      <c r="Z1655" s="183"/>
    </row>
    <row r="1656" spans="2:26">
      <c r="B1656" s="191"/>
      <c r="D1656" s="183"/>
      <c r="I1656" s="183"/>
      <c r="J1656" s="183"/>
      <c r="L1656" s="183"/>
      <c r="M1656" s="183"/>
      <c r="N1656" s="183"/>
      <c r="O1656" s="183"/>
      <c r="P1656" s="183"/>
      <c r="Q1656" s="183"/>
      <c r="R1656" s="183"/>
      <c r="S1656" s="183"/>
      <c r="T1656" s="183"/>
      <c r="U1656" s="183"/>
      <c r="V1656" s="183"/>
      <c r="W1656" s="183"/>
      <c r="X1656" s="183"/>
      <c r="Y1656" s="183"/>
      <c r="Z1656" s="183"/>
    </row>
    <row r="1657" spans="2:26">
      <c r="B1657" s="191"/>
      <c r="D1657" s="183"/>
      <c r="I1657" s="183"/>
      <c r="J1657" s="183"/>
      <c r="L1657" s="183"/>
      <c r="M1657" s="183"/>
      <c r="N1657" s="183"/>
      <c r="O1657" s="183"/>
      <c r="P1657" s="183"/>
      <c r="Q1657" s="183"/>
      <c r="R1657" s="183"/>
      <c r="S1657" s="183"/>
      <c r="T1657" s="183"/>
      <c r="U1657" s="183"/>
      <c r="V1657" s="183"/>
      <c r="W1657" s="183"/>
      <c r="X1657" s="183"/>
      <c r="Y1657" s="183"/>
      <c r="Z1657" s="183"/>
    </row>
    <row r="1658" spans="2:26">
      <c r="B1658" s="191"/>
      <c r="D1658" s="183"/>
      <c r="I1658" s="183"/>
      <c r="J1658" s="183"/>
      <c r="L1658" s="183"/>
      <c r="M1658" s="183"/>
      <c r="N1658" s="183"/>
      <c r="O1658" s="183"/>
      <c r="P1658" s="183"/>
      <c r="Q1658" s="183"/>
      <c r="R1658" s="183"/>
      <c r="S1658" s="183"/>
      <c r="T1658" s="183"/>
      <c r="U1658" s="183"/>
      <c r="V1658" s="183"/>
      <c r="W1658" s="183"/>
      <c r="X1658" s="183"/>
      <c r="Y1658" s="183"/>
      <c r="Z1658" s="183"/>
    </row>
    <row r="1659" spans="2:26">
      <c r="B1659" s="191"/>
      <c r="D1659" s="183"/>
      <c r="I1659" s="183"/>
      <c r="J1659" s="183"/>
      <c r="L1659" s="183"/>
      <c r="M1659" s="183"/>
      <c r="N1659" s="183"/>
      <c r="O1659" s="183"/>
      <c r="P1659" s="183"/>
      <c r="Q1659" s="183"/>
      <c r="R1659" s="183"/>
      <c r="S1659" s="183"/>
      <c r="T1659" s="183"/>
      <c r="U1659" s="183"/>
      <c r="V1659" s="183"/>
      <c r="W1659" s="183"/>
      <c r="X1659" s="183"/>
      <c r="Y1659" s="183"/>
      <c r="Z1659" s="183"/>
    </row>
    <row r="1660" spans="2:26">
      <c r="B1660" s="191"/>
      <c r="D1660" s="183"/>
      <c r="I1660" s="183"/>
      <c r="J1660" s="183"/>
      <c r="L1660" s="183"/>
      <c r="M1660" s="183"/>
      <c r="N1660" s="183"/>
      <c r="O1660" s="183"/>
      <c r="P1660" s="183"/>
      <c r="Q1660" s="183"/>
      <c r="R1660" s="183"/>
      <c r="S1660" s="183"/>
      <c r="T1660" s="183"/>
      <c r="U1660" s="183"/>
      <c r="V1660" s="183"/>
      <c r="W1660" s="183"/>
      <c r="X1660" s="183"/>
      <c r="Y1660" s="183"/>
      <c r="Z1660" s="183"/>
    </row>
    <row r="1661" spans="2:26">
      <c r="B1661" s="191"/>
      <c r="D1661" s="183"/>
      <c r="I1661" s="183"/>
      <c r="J1661" s="183"/>
      <c r="L1661" s="183"/>
      <c r="M1661" s="183"/>
      <c r="N1661" s="183"/>
      <c r="O1661" s="183"/>
      <c r="P1661" s="183"/>
      <c r="Q1661" s="183"/>
      <c r="R1661" s="183"/>
      <c r="S1661" s="183"/>
      <c r="T1661" s="183"/>
      <c r="U1661" s="183"/>
      <c r="V1661" s="183"/>
      <c r="W1661" s="183"/>
      <c r="X1661" s="183"/>
      <c r="Y1661" s="183"/>
      <c r="Z1661" s="183"/>
    </row>
    <row r="1662" spans="2:26">
      <c r="B1662" s="191"/>
      <c r="D1662" s="183"/>
      <c r="I1662" s="183"/>
      <c r="J1662" s="183"/>
      <c r="L1662" s="183"/>
      <c r="M1662" s="183"/>
      <c r="N1662" s="183"/>
      <c r="O1662" s="183"/>
      <c r="P1662" s="183"/>
      <c r="Q1662" s="183"/>
      <c r="R1662" s="183"/>
      <c r="S1662" s="183"/>
      <c r="T1662" s="183"/>
      <c r="U1662" s="183"/>
      <c r="V1662" s="183"/>
      <c r="W1662" s="183"/>
      <c r="X1662" s="183"/>
      <c r="Y1662" s="183"/>
      <c r="Z1662" s="183"/>
    </row>
    <row r="1663" spans="2:26">
      <c r="B1663" s="191"/>
      <c r="D1663" s="183"/>
      <c r="I1663" s="183"/>
      <c r="J1663" s="183"/>
      <c r="L1663" s="183"/>
      <c r="M1663" s="183"/>
      <c r="N1663" s="183"/>
      <c r="O1663" s="183"/>
      <c r="P1663" s="183"/>
      <c r="Q1663" s="183"/>
      <c r="R1663" s="183"/>
      <c r="S1663" s="183"/>
      <c r="T1663" s="183"/>
      <c r="U1663" s="183"/>
      <c r="V1663" s="183"/>
      <c r="W1663" s="183"/>
      <c r="X1663" s="183"/>
      <c r="Y1663" s="183"/>
      <c r="Z1663" s="183"/>
    </row>
    <row r="1664" spans="2:26">
      <c r="B1664" s="191"/>
      <c r="D1664" s="183"/>
      <c r="I1664" s="183"/>
      <c r="J1664" s="183"/>
      <c r="L1664" s="183"/>
      <c r="M1664" s="183"/>
      <c r="N1664" s="183"/>
      <c r="O1664" s="183"/>
      <c r="P1664" s="183"/>
      <c r="Q1664" s="183"/>
      <c r="R1664" s="183"/>
      <c r="S1664" s="183"/>
      <c r="T1664" s="183"/>
      <c r="U1664" s="183"/>
      <c r="V1664" s="183"/>
      <c r="W1664" s="183"/>
      <c r="X1664" s="183"/>
      <c r="Y1664" s="183"/>
      <c r="Z1664" s="183"/>
    </row>
    <row r="1665" spans="2:26">
      <c r="B1665" s="191"/>
      <c r="D1665" s="183"/>
      <c r="I1665" s="183"/>
      <c r="J1665" s="183"/>
      <c r="L1665" s="183"/>
      <c r="M1665" s="183"/>
      <c r="N1665" s="183"/>
      <c r="O1665" s="183"/>
      <c r="P1665" s="183"/>
      <c r="Q1665" s="183"/>
      <c r="R1665" s="183"/>
      <c r="S1665" s="183"/>
      <c r="T1665" s="183"/>
      <c r="U1665" s="183"/>
      <c r="V1665" s="183"/>
      <c r="W1665" s="183"/>
      <c r="X1665" s="183"/>
      <c r="Y1665" s="183"/>
      <c r="Z1665" s="183"/>
    </row>
    <row r="1666" spans="2:26">
      <c r="B1666" s="191"/>
      <c r="D1666" s="183"/>
      <c r="I1666" s="183"/>
      <c r="J1666" s="183"/>
      <c r="L1666" s="183"/>
      <c r="M1666" s="183"/>
      <c r="N1666" s="183"/>
      <c r="O1666" s="183"/>
      <c r="P1666" s="183"/>
      <c r="Q1666" s="183"/>
      <c r="R1666" s="183"/>
      <c r="S1666" s="183"/>
      <c r="T1666" s="183"/>
      <c r="U1666" s="183"/>
      <c r="V1666" s="183"/>
      <c r="W1666" s="183"/>
      <c r="X1666" s="183"/>
      <c r="Y1666" s="183"/>
      <c r="Z1666" s="183"/>
    </row>
    <row r="1667" spans="2:26">
      <c r="B1667" s="191"/>
      <c r="D1667" s="183"/>
      <c r="I1667" s="183"/>
      <c r="J1667" s="183"/>
      <c r="L1667" s="183"/>
      <c r="M1667" s="183"/>
      <c r="N1667" s="183"/>
      <c r="O1667" s="183"/>
      <c r="P1667" s="183"/>
      <c r="Q1667" s="183"/>
      <c r="R1667" s="183"/>
      <c r="S1667" s="183"/>
      <c r="T1667" s="183"/>
      <c r="U1667" s="183"/>
      <c r="V1667" s="183"/>
      <c r="W1667" s="183"/>
      <c r="X1667" s="183"/>
      <c r="Y1667" s="183"/>
      <c r="Z1667" s="183"/>
    </row>
    <row r="1668" spans="2:26">
      <c r="B1668" s="191"/>
      <c r="D1668" s="183"/>
      <c r="I1668" s="183"/>
      <c r="J1668" s="183"/>
      <c r="L1668" s="183"/>
      <c r="M1668" s="183"/>
      <c r="N1668" s="183"/>
      <c r="O1668" s="183"/>
      <c r="P1668" s="183"/>
      <c r="Q1668" s="183"/>
      <c r="R1668" s="183"/>
      <c r="S1668" s="183"/>
      <c r="T1668" s="183"/>
      <c r="U1668" s="183"/>
      <c r="V1668" s="183"/>
      <c r="W1668" s="183"/>
      <c r="X1668" s="183"/>
      <c r="Y1668" s="183"/>
      <c r="Z1668" s="183"/>
    </row>
    <row r="1669" spans="2:26">
      <c r="B1669" s="191"/>
      <c r="D1669" s="183"/>
      <c r="I1669" s="183"/>
      <c r="J1669" s="183"/>
      <c r="L1669" s="183"/>
      <c r="M1669" s="183"/>
      <c r="N1669" s="183"/>
      <c r="O1669" s="183"/>
      <c r="P1669" s="183"/>
      <c r="Q1669" s="183"/>
      <c r="R1669" s="183"/>
      <c r="S1669" s="183"/>
      <c r="T1669" s="183"/>
      <c r="U1669" s="183"/>
      <c r="V1669" s="183"/>
      <c r="W1669" s="183"/>
      <c r="X1669" s="183"/>
      <c r="Y1669" s="183"/>
      <c r="Z1669" s="183"/>
    </row>
    <row r="1670" spans="2:26">
      <c r="B1670" s="191"/>
      <c r="D1670" s="183"/>
      <c r="I1670" s="183"/>
      <c r="J1670" s="183"/>
      <c r="L1670" s="183"/>
      <c r="M1670" s="183"/>
      <c r="N1670" s="183"/>
      <c r="O1670" s="183"/>
      <c r="P1670" s="183"/>
      <c r="Q1670" s="183"/>
      <c r="R1670" s="183"/>
      <c r="S1670" s="183"/>
      <c r="T1670" s="183"/>
      <c r="U1670" s="183"/>
      <c r="V1670" s="183"/>
      <c r="W1670" s="183"/>
      <c r="X1670" s="183"/>
      <c r="Y1670" s="183"/>
      <c r="Z1670" s="183"/>
    </row>
    <row r="1671" spans="2:26">
      <c r="B1671" s="191"/>
      <c r="D1671" s="183"/>
      <c r="I1671" s="183"/>
      <c r="J1671" s="183"/>
      <c r="L1671" s="183"/>
      <c r="M1671" s="183"/>
      <c r="N1671" s="183"/>
      <c r="O1671" s="183"/>
      <c r="P1671" s="183"/>
      <c r="Q1671" s="183"/>
      <c r="R1671" s="183"/>
      <c r="S1671" s="183"/>
      <c r="T1671" s="183"/>
      <c r="U1671" s="183"/>
      <c r="V1671" s="183"/>
      <c r="W1671" s="183"/>
      <c r="X1671" s="183"/>
      <c r="Y1671" s="183"/>
      <c r="Z1671" s="183"/>
    </row>
    <row r="1672" spans="2:26">
      <c r="B1672" s="191"/>
      <c r="D1672" s="183"/>
      <c r="I1672" s="183"/>
      <c r="J1672" s="183"/>
      <c r="L1672" s="183"/>
      <c r="M1672" s="183"/>
      <c r="N1672" s="183"/>
      <c r="O1672" s="183"/>
      <c r="P1672" s="183"/>
      <c r="Q1672" s="183"/>
      <c r="R1672" s="183"/>
      <c r="S1672" s="183"/>
      <c r="T1672" s="183"/>
      <c r="U1672" s="183"/>
      <c r="V1672" s="183"/>
      <c r="W1672" s="183"/>
      <c r="X1672" s="183"/>
      <c r="Y1672" s="183"/>
      <c r="Z1672" s="183"/>
    </row>
    <row r="1673" spans="2:26">
      <c r="B1673" s="191"/>
      <c r="D1673" s="183"/>
      <c r="I1673" s="183"/>
      <c r="J1673" s="183"/>
      <c r="L1673" s="183"/>
      <c r="M1673" s="183"/>
      <c r="N1673" s="183"/>
      <c r="O1673" s="183"/>
      <c r="P1673" s="183"/>
      <c r="Q1673" s="183"/>
      <c r="R1673" s="183"/>
      <c r="S1673" s="183"/>
      <c r="T1673" s="183"/>
      <c r="U1673" s="183"/>
      <c r="V1673" s="183"/>
      <c r="W1673" s="183"/>
      <c r="X1673" s="183"/>
      <c r="Y1673" s="183"/>
      <c r="Z1673" s="183"/>
    </row>
    <row r="1674" spans="2:26">
      <c r="B1674" s="191"/>
      <c r="D1674" s="183"/>
      <c r="I1674" s="183"/>
      <c r="J1674" s="183"/>
      <c r="L1674" s="183"/>
      <c r="M1674" s="183"/>
      <c r="N1674" s="183"/>
      <c r="O1674" s="183"/>
      <c r="P1674" s="183"/>
      <c r="Q1674" s="183"/>
      <c r="R1674" s="183"/>
      <c r="S1674" s="183"/>
      <c r="T1674" s="183"/>
      <c r="U1674" s="183"/>
      <c r="V1674" s="183"/>
      <c r="W1674" s="183"/>
      <c r="X1674" s="183"/>
      <c r="Y1674" s="183"/>
      <c r="Z1674" s="183"/>
    </row>
    <row r="1675" spans="2:26">
      <c r="B1675" s="191"/>
      <c r="D1675" s="183"/>
      <c r="I1675" s="183"/>
      <c r="J1675" s="183"/>
      <c r="L1675" s="183"/>
      <c r="M1675" s="183"/>
      <c r="N1675" s="183"/>
      <c r="O1675" s="183"/>
      <c r="P1675" s="183"/>
      <c r="Q1675" s="183"/>
      <c r="R1675" s="183"/>
      <c r="S1675" s="183"/>
      <c r="T1675" s="183"/>
      <c r="U1675" s="183"/>
      <c r="V1675" s="183"/>
      <c r="W1675" s="183"/>
      <c r="X1675" s="183"/>
      <c r="Y1675" s="183"/>
      <c r="Z1675" s="183"/>
    </row>
    <row r="1676" spans="2:26">
      <c r="B1676" s="191"/>
      <c r="D1676" s="183"/>
      <c r="I1676" s="183"/>
      <c r="J1676" s="183"/>
      <c r="L1676" s="183"/>
      <c r="M1676" s="183"/>
      <c r="N1676" s="183"/>
      <c r="O1676" s="183"/>
      <c r="P1676" s="183"/>
      <c r="Q1676" s="183"/>
      <c r="R1676" s="183"/>
      <c r="S1676" s="183"/>
      <c r="T1676" s="183"/>
      <c r="U1676" s="183"/>
      <c r="V1676" s="183"/>
      <c r="W1676" s="183"/>
      <c r="X1676" s="183"/>
      <c r="Y1676" s="183"/>
      <c r="Z1676" s="183"/>
    </row>
    <row r="1677" spans="2:26">
      <c r="B1677" s="191"/>
      <c r="D1677" s="183"/>
      <c r="I1677" s="183"/>
      <c r="J1677" s="183"/>
      <c r="L1677" s="183"/>
      <c r="M1677" s="183"/>
      <c r="N1677" s="183"/>
      <c r="O1677" s="183"/>
      <c r="P1677" s="183"/>
      <c r="Q1677" s="183"/>
      <c r="R1677" s="183"/>
      <c r="S1677" s="183"/>
      <c r="T1677" s="183"/>
      <c r="U1677" s="183"/>
      <c r="V1677" s="183"/>
      <c r="W1677" s="183"/>
      <c r="X1677" s="183"/>
      <c r="Y1677" s="183"/>
      <c r="Z1677" s="183"/>
    </row>
    <row r="1678" spans="2:26">
      <c r="B1678" s="191"/>
      <c r="D1678" s="183"/>
      <c r="I1678" s="183"/>
      <c r="J1678" s="183"/>
      <c r="L1678" s="183"/>
      <c r="M1678" s="183"/>
      <c r="N1678" s="183"/>
      <c r="O1678" s="183"/>
      <c r="P1678" s="183"/>
      <c r="Q1678" s="183"/>
      <c r="R1678" s="183"/>
      <c r="S1678" s="183"/>
      <c r="T1678" s="183"/>
      <c r="U1678" s="183"/>
      <c r="V1678" s="183"/>
      <c r="W1678" s="183"/>
      <c r="X1678" s="183"/>
      <c r="Y1678" s="183"/>
      <c r="Z1678" s="183"/>
    </row>
    <row r="1679" spans="2:26">
      <c r="B1679" s="191"/>
      <c r="D1679" s="183"/>
      <c r="I1679" s="183"/>
      <c r="J1679" s="183"/>
      <c r="L1679" s="183"/>
      <c r="M1679" s="183"/>
      <c r="N1679" s="183"/>
      <c r="O1679" s="183"/>
      <c r="P1679" s="183"/>
      <c r="Q1679" s="183"/>
      <c r="R1679" s="183"/>
      <c r="S1679" s="183"/>
      <c r="T1679" s="183"/>
      <c r="U1679" s="183"/>
      <c r="V1679" s="183"/>
      <c r="W1679" s="183"/>
      <c r="X1679" s="183"/>
      <c r="Y1679" s="183"/>
      <c r="Z1679" s="183"/>
    </row>
    <row r="1680" spans="2:26">
      <c r="B1680" s="191"/>
      <c r="D1680" s="183"/>
      <c r="I1680" s="183"/>
      <c r="J1680" s="183"/>
      <c r="L1680" s="183"/>
      <c r="M1680" s="183"/>
      <c r="N1680" s="183"/>
      <c r="O1680" s="183"/>
      <c r="P1680" s="183"/>
      <c r="Q1680" s="183"/>
      <c r="R1680" s="183"/>
      <c r="S1680" s="183"/>
      <c r="T1680" s="183"/>
      <c r="U1680" s="183"/>
      <c r="V1680" s="183"/>
      <c r="W1680" s="183"/>
      <c r="X1680" s="183"/>
      <c r="Y1680" s="183"/>
      <c r="Z1680" s="183"/>
    </row>
    <row r="1681" spans="2:26">
      <c r="B1681" s="191"/>
      <c r="D1681" s="183"/>
      <c r="I1681" s="183"/>
      <c r="J1681" s="183"/>
      <c r="L1681" s="183"/>
      <c r="M1681" s="183"/>
      <c r="N1681" s="183"/>
      <c r="O1681" s="183"/>
      <c r="P1681" s="183"/>
      <c r="Q1681" s="183"/>
      <c r="R1681" s="183"/>
      <c r="S1681" s="183"/>
      <c r="T1681" s="183"/>
      <c r="U1681" s="183"/>
      <c r="V1681" s="183"/>
      <c r="W1681" s="183"/>
      <c r="X1681" s="183"/>
      <c r="Y1681" s="183"/>
      <c r="Z1681" s="183"/>
    </row>
    <row r="1682" spans="2:26">
      <c r="B1682" s="191"/>
      <c r="D1682" s="183"/>
      <c r="I1682" s="183"/>
      <c r="J1682" s="183"/>
      <c r="L1682" s="183"/>
      <c r="M1682" s="183"/>
      <c r="N1682" s="183"/>
      <c r="O1682" s="183"/>
      <c r="P1682" s="183"/>
      <c r="Q1682" s="183"/>
      <c r="R1682" s="183"/>
      <c r="S1682" s="183"/>
      <c r="T1682" s="183"/>
      <c r="U1682" s="183"/>
      <c r="V1682" s="183"/>
      <c r="W1682" s="183"/>
      <c r="X1682" s="183"/>
      <c r="Y1682" s="183"/>
      <c r="Z1682" s="183"/>
    </row>
    <row r="1683" spans="2:26">
      <c r="B1683" s="191"/>
      <c r="D1683" s="183"/>
      <c r="I1683" s="183"/>
      <c r="J1683" s="183"/>
      <c r="L1683" s="183"/>
      <c r="M1683" s="183"/>
      <c r="N1683" s="183"/>
      <c r="O1683" s="183"/>
      <c r="P1683" s="183"/>
      <c r="Q1683" s="183"/>
      <c r="R1683" s="183"/>
      <c r="S1683" s="183"/>
      <c r="T1683" s="183"/>
      <c r="U1683" s="183"/>
      <c r="V1683" s="183"/>
      <c r="W1683" s="183"/>
      <c r="X1683" s="183"/>
      <c r="Y1683" s="183"/>
      <c r="Z1683" s="183"/>
    </row>
    <row r="1684" spans="2:26">
      <c r="B1684" s="191"/>
      <c r="D1684" s="183"/>
      <c r="I1684" s="183"/>
      <c r="J1684" s="183"/>
      <c r="L1684" s="183"/>
      <c r="M1684" s="183"/>
      <c r="N1684" s="183"/>
      <c r="O1684" s="183"/>
      <c r="P1684" s="183"/>
      <c r="Q1684" s="183"/>
      <c r="R1684" s="183"/>
      <c r="S1684" s="183"/>
      <c r="T1684" s="183"/>
      <c r="U1684" s="183"/>
      <c r="V1684" s="183"/>
      <c r="W1684" s="183"/>
      <c r="X1684" s="183"/>
      <c r="Y1684" s="183"/>
      <c r="Z1684" s="183"/>
    </row>
    <row r="1685" spans="2:26">
      <c r="B1685" s="191"/>
      <c r="D1685" s="183"/>
      <c r="I1685" s="183"/>
      <c r="J1685" s="183"/>
      <c r="L1685" s="183"/>
      <c r="M1685" s="183"/>
      <c r="N1685" s="183"/>
      <c r="O1685" s="183"/>
      <c r="P1685" s="183"/>
      <c r="Q1685" s="183"/>
      <c r="R1685" s="183"/>
      <c r="S1685" s="183"/>
      <c r="T1685" s="183"/>
      <c r="U1685" s="183"/>
      <c r="V1685" s="183"/>
      <c r="W1685" s="183"/>
      <c r="X1685" s="183"/>
      <c r="Y1685" s="183"/>
      <c r="Z1685" s="183"/>
    </row>
    <row r="1686" spans="2:26">
      <c r="B1686" s="191"/>
      <c r="D1686" s="183"/>
      <c r="I1686" s="183"/>
      <c r="J1686" s="183"/>
      <c r="L1686" s="183"/>
      <c r="M1686" s="183"/>
      <c r="N1686" s="183"/>
      <c r="O1686" s="183"/>
      <c r="P1686" s="183"/>
      <c r="Q1686" s="183"/>
      <c r="R1686" s="183"/>
      <c r="S1686" s="183"/>
      <c r="T1686" s="183"/>
      <c r="U1686" s="183"/>
      <c r="V1686" s="183"/>
      <c r="W1686" s="183"/>
      <c r="X1686" s="183"/>
      <c r="Y1686" s="183"/>
      <c r="Z1686" s="183"/>
    </row>
    <row r="1687" spans="2:26">
      <c r="B1687" s="191"/>
      <c r="D1687" s="183"/>
      <c r="I1687" s="183"/>
      <c r="J1687" s="183"/>
      <c r="L1687" s="183"/>
      <c r="M1687" s="183"/>
      <c r="N1687" s="183"/>
      <c r="O1687" s="183"/>
      <c r="P1687" s="183"/>
      <c r="Q1687" s="183"/>
      <c r="R1687" s="183"/>
      <c r="S1687" s="183"/>
      <c r="T1687" s="183"/>
      <c r="U1687" s="183"/>
      <c r="V1687" s="183"/>
      <c r="W1687" s="183"/>
      <c r="X1687" s="183"/>
      <c r="Y1687" s="183"/>
      <c r="Z1687" s="183"/>
    </row>
    <row r="1688" spans="2:26">
      <c r="B1688" s="191"/>
      <c r="D1688" s="183"/>
      <c r="I1688" s="183"/>
      <c r="J1688" s="183"/>
      <c r="L1688" s="183"/>
      <c r="M1688" s="183"/>
      <c r="N1688" s="183"/>
      <c r="O1688" s="183"/>
      <c r="P1688" s="183"/>
      <c r="Q1688" s="183"/>
      <c r="R1688" s="183"/>
      <c r="S1688" s="183"/>
      <c r="T1688" s="183"/>
      <c r="U1688" s="183"/>
      <c r="V1688" s="183"/>
      <c r="W1688" s="183"/>
      <c r="X1688" s="183"/>
      <c r="Y1688" s="183"/>
      <c r="Z1688" s="183"/>
    </row>
    <row r="1689" spans="2:26">
      <c r="B1689" s="191"/>
      <c r="D1689" s="183"/>
      <c r="I1689" s="183"/>
      <c r="J1689" s="183"/>
      <c r="L1689" s="183"/>
      <c r="M1689" s="183"/>
      <c r="N1689" s="183"/>
      <c r="O1689" s="183"/>
      <c r="P1689" s="183"/>
      <c r="Q1689" s="183"/>
      <c r="R1689" s="183"/>
      <c r="S1689" s="183"/>
      <c r="T1689" s="183"/>
      <c r="U1689" s="183"/>
      <c r="V1689" s="183"/>
      <c r="W1689" s="183"/>
      <c r="X1689" s="183"/>
      <c r="Y1689" s="183"/>
      <c r="Z1689" s="183"/>
    </row>
    <row r="1690" spans="2:26">
      <c r="B1690" s="191"/>
      <c r="D1690" s="183"/>
      <c r="I1690" s="183"/>
      <c r="J1690" s="183"/>
      <c r="L1690" s="183"/>
      <c r="M1690" s="183"/>
      <c r="N1690" s="183"/>
      <c r="O1690" s="183"/>
      <c r="P1690" s="183"/>
      <c r="Q1690" s="183"/>
      <c r="R1690" s="183"/>
      <c r="S1690" s="183"/>
      <c r="T1690" s="183"/>
      <c r="U1690" s="183"/>
      <c r="V1690" s="183"/>
      <c r="W1690" s="183"/>
      <c r="X1690" s="183"/>
      <c r="Y1690" s="183"/>
      <c r="Z1690" s="183"/>
    </row>
    <row r="1691" spans="2:26">
      <c r="B1691" s="191"/>
      <c r="D1691" s="183"/>
      <c r="I1691" s="183"/>
      <c r="J1691" s="183"/>
      <c r="L1691" s="183"/>
      <c r="M1691" s="183"/>
      <c r="N1691" s="183"/>
      <c r="O1691" s="183"/>
      <c r="P1691" s="183"/>
      <c r="Q1691" s="183"/>
      <c r="R1691" s="183"/>
      <c r="S1691" s="183"/>
      <c r="T1691" s="183"/>
      <c r="U1691" s="183"/>
      <c r="V1691" s="183"/>
      <c r="W1691" s="183"/>
      <c r="X1691" s="183"/>
      <c r="Y1691" s="183"/>
      <c r="Z1691" s="183"/>
    </row>
    <row r="1692" spans="2:26">
      <c r="B1692" s="191"/>
      <c r="D1692" s="183"/>
      <c r="I1692" s="183"/>
      <c r="J1692" s="183"/>
      <c r="L1692" s="183"/>
      <c r="M1692" s="183"/>
      <c r="N1692" s="183"/>
      <c r="O1692" s="183"/>
      <c r="P1692" s="183"/>
      <c r="Q1692" s="183"/>
      <c r="R1692" s="183"/>
      <c r="S1692" s="183"/>
      <c r="T1692" s="183"/>
      <c r="U1692" s="183"/>
      <c r="V1692" s="183"/>
      <c r="W1692" s="183"/>
      <c r="X1692" s="183"/>
      <c r="Y1692" s="183"/>
      <c r="Z1692" s="183"/>
    </row>
    <row r="1693" spans="2:26">
      <c r="B1693" s="191"/>
      <c r="D1693" s="183"/>
      <c r="I1693" s="183"/>
      <c r="J1693" s="183"/>
      <c r="L1693" s="183"/>
      <c r="M1693" s="183"/>
      <c r="N1693" s="183"/>
      <c r="O1693" s="183"/>
      <c r="P1693" s="183"/>
      <c r="Q1693" s="183"/>
      <c r="R1693" s="183"/>
      <c r="S1693" s="183"/>
      <c r="T1693" s="183"/>
      <c r="U1693" s="183"/>
      <c r="V1693" s="183"/>
      <c r="W1693" s="183"/>
      <c r="X1693" s="183"/>
      <c r="Y1693" s="183"/>
      <c r="Z1693" s="183"/>
    </row>
    <row r="1694" spans="2:26">
      <c r="B1694" s="191"/>
      <c r="D1694" s="183"/>
      <c r="I1694" s="183"/>
      <c r="J1694" s="183"/>
      <c r="L1694" s="183"/>
      <c r="M1694" s="183"/>
      <c r="N1694" s="183"/>
      <c r="O1694" s="183"/>
      <c r="P1694" s="183"/>
      <c r="Q1694" s="183"/>
      <c r="R1694" s="183"/>
      <c r="S1694" s="183"/>
      <c r="T1694" s="183"/>
      <c r="U1694" s="183"/>
      <c r="V1694" s="183"/>
      <c r="W1694" s="183"/>
      <c r="X1694" s="183"/>
      <c r="Y1694" s="183"/>
      <c r="Z1694" s="183"/>
    </row>
    <row r="1695" spans="2:26">
      <c r="B1695" s="191"/>
      <c r="D1695" s="183"/>
      <c r="I1695" s="183"/>
      <c r="J1695" s="183"/>
      <c r="L1695" s="183"/>
      <c r="M1695" s="183"/>
      <c r="N1695" s="183"/>
      <c r="O1695" s="183"/>
      <c r="P1695" s="183"/>
      <c r="Q1695" s="183"/>
      <c r="R1695" s="183"/>
      <c r="S1695" s="183"/>
      <c r="T1695" s="183"/>
      <c r="U1695" s="183"/>
      <c r="V1695" s="183"/>
      <c r="W1695" s="183"/>
      <c r="X1695" s="183"/>
      <c r="Y1695" s="183"/>
      <c r="Z1695" s="183"/>
    </row>
    <row r="1696" spans="2:26">
      <c r="B1696" s="191"/>
      <c r="D1696" s="183"/>
      <c r="I1696" s="183"/>
      <c r="J1696" s="183"/>
      <c r="L1696" s="183"/>
      <c r="M1696" s="183"/>
      <c r="N1696" s="183"/>
      <c r="O1696" s="183"/>
      <c r="P1696" s="183"/>
      <c r="Q1696" s="183"/>
      <c r="R1696" s="183"/>
      <c r="S1696" s="183"/>
      <c r="T1696" s="183"/>
      <c r="U1696" s="183"/>
      <c r="V1696" s="183"/>
      <c r="W1696" s="183"/>
      <c r="X1696" s="183"/>
      <c r="Y1696" s="183"/>
      <c r="Z1696" s="183"/>
    </row>
    <row r="1697" spans="2:26">
      <c r="B1697" s="191"/>
      <c r="D1697" s="183"/>
      <c r="I1697" s="183"/>
      <c r="J1697" s="183"/>
      <c r="L1697" s="183"/>
      <c r="M1697" s="183"/>
      <c r="N1697" s="183"/>
      <c r="O1697" s="183"/>
      <c r="P1697" s="183"/>
      <c r="Q1697" s="183"/>
      <c r="R1697" s="183"/>
      <c r="S1697" s="183"/>
      <c r="T1697" s="183"/>
      <c r="U1697" s="183"/>
      <c r="V1697" s="183"/>
      <c r="W1697" s="183"/>
      <c r="X1697" s="183"/>
      <c r="Y1697" s="183"/>
      <c r="Z1697" s="183"/>
    </row>
    <row r="1698" spans="2:26">
      <c r="B1698" s="191"/>
      <c r="D1698" s="183"/>
      <c r="I1698" s="183"/>
      <c r="J1698" s="183"/>
      <c r="L1698" s="183"/>
      <c r="M1698" s="183"/>
      <c r="N1698" s="183"/>
      <c r="O1698" s="183"/>
      <c r="P1698" s="183"/>
      <c r="Q1698" s="183"/>
      <c r="R1698" s="183"/>
      <c r="S1698" s="183"/>
      <c r="T1698" s="183"/>
      <c r="U1698" s="183"/>
      <c r="V1698" s="183"/>
      <c r="W1698" s="183"/>
      <c r="X1698" s="183"/>
      <c r="Y1698" s="183"/>
      <c r="Z1698" s="183"/>
    </row>
    <row r="1699" spans="2:26">
      <c r="B1699" s="191"/>
      <c r="D1699" s="183"/>
      <c r="I1699" s="183"/>
      <c r="J1699" s="183"/>
      <c r="L1699" s="183"/>
      <c r="M1699" s="183"/>
      <c r="N1699" s="183"/>
      <c r="O1699" s="183"/>
      <c r="P1699" s="183"/>
      <c r="Q1699" s="183"/>
      <c r="R1699" s="183"/>
      <c r="S1699" s="183"/>
      <c r="T1699" s="183"/>
      <c r="U1699" s="183"/>
      <c r="V1699" s="183"/>
      <c r="W1699" s="183"/>
      <c r="X1699" s="183"/>
      <c r="Y1699" s="183"/>
      <c r="Z1699" s="183"/>
    </row>
    <row r="1700" spans="2:26">
      <c r="B1700" s="191"/>
      <c r="D1700" s="183"/>
      <c r="I1700" s="183"/>
      <c r="J1700" s="183"/>
      <c r="L1700" s="183"/>
      <c r="M1700" s="183"/>
      <c r="N1700" s="183"/>
      <c r="O1700" s="183"/>
      <c r="P1700" s="183"/>
      <c r="Q1700" s="183"/>
      <c r="R1700" s="183"/>
      <c r="S1700" s="183"/>
      <c r="T1700" s="183"/>
      <c r="U1700" s="183"/>
      <c r="V1700" s="183"/>
      <c r="W1700" s="183"/>
      <c r="X1700" s="183"/>
      <c r="Y1700" s="183"/>
      <c r="Z1700" s="183"/>
    </row>
    <row r="1701" spans="2:26">
      <c r="B1701" s="191"/>
      <c r="D1701" s="183"/>
      <c r="I1701" s="183"/>
      <c r="J1701" s="183"/>
      <c r="L1701" s="183"/>
      <c r="M1701" s="183"/>
      <c r="N1701" s="183"/>
      <c r="O1701" s="183"/>
      <c r="P1701" s="183"/>
      <c r="Q1701" s="183"/>
      <c r="R1701" s="183"/>
      <c r="S1701" s="183"/>
      <c r="T1701" s="183"/>
      <c r="U1701" s="183"/>
      <c r="V1701" s="183"/>
      <c r="W1701" s="183"/>
      <c r="X1701" s="183"/>
      <c r="Y1701" s="183"/>
      <c r="Z1701" s="183"/>
    </row>
    <row r="1702" spans="2:26">
      <c r="B1702" s="191"/>
      <c r="D1702" s="183"/>
      <c r="I1702" s="183"/>
      <c r="J1702" s="183"/>
      <c r="L1702" s="183"/>
      <c r="M1702" s="183"/>
      <c r="N1702" s="183"/>
      <c r="O1702" s="183"/>
      <c r="P1702" s="183"/>
      <c r="Q1702" s="183"/>
      <c r="R1702" s="183"/>
      <c r="S1702" s="183"/>
      <c r="T1702" s="183"/>
      <c r="U1702" s="183"/>
      <c r="V1702" s="183"/>
      <c r="W1702" s="183"/>
      <c r="X1702" s="183"/>
      <c r="Y1702" s="183"/>
      <c r="Z1702" s="183"/>
    </row>
    <row r="1703" spans="2:26">
      <c r="B1703" s="191"/>
      <c r="D1703" s="183"/>
      <c r="I1703" s="183"/>
      <c r="J1703" s="183"/>
      <c r="L1703" s="183"/>
      <c r="M1703" s="183"/>
      <c r="N1703" s="183"/>
      <c r="O1703" s="183"/>
      <c r="P1703" s="183"/>
      <c r="Q1703" s="183"/>
      <c r="R1703" s="183"/>
      <c r="S1703" s="183"/>
      <c r="T1703" s="183"/>
      <c r="U1703" s="183"/>
      <c r="V1703" s="183"/>
      <c r="W1703" s="183"/>
      <c r="X1703" s="183"/>
      <c r="Y1703" s="183"/>
      <c r="Z1703" s="183"/>
    </row>
    <row r="1704" spans="2:26">
      <c r="B1704" s="191"/>
      <c r="D1704" s="183"/>
      <c r="I1704" s="183"/>
      <c r="J1704" s="183"/>
      <c r="L1704" s="183"/>
      <c r="M1704" s="183"/>
      <c r="N1704" s="183"/>
      <c r="O1704" s="183"/>
      <c r="P1704" s="183"/>
      <c r="Q1704" s="183"/>
      <c r="R1704" s="183"/>
      <c r="S1704" s="183"/>
      <c r="T1704" s="183"/>
      <c r="U1704" s="183"/>
      <c r="V1704" s="183"/>
      <c r="W1704" s="183"/>
      <c r="X1704" s="183"/>
      <c r="Y1704" s="183"/>
      <c r="Z1704" s="183"/>
    </row>
    <row r="1705" spans="2:26">
      <c r="B1705" s="191"/>
      <c r="D1705" s="183"/>
      <c r="I1705" s="183"/>
      <c r="J1705" s="183"/>
      <c r="L1705" s="183"/>
      <c r="M1705" s="183"/>
      <c r="N1705" s="183"/>
      <c r="O1705" s="183"/>
      <c r="P1705" s="183"/>
      <c r="Q1705" s="183"/>
      <c r="R1705" s="183"/>
      <c r="S1705" s="183"/>
      <c r="T1705" s="183"/>
      <c r="U1705" s="183"/>
      <c r="V1705" s="183"/>
      <c r="W1705" s="183"/>
      <c r="X1705" s="183"/>
      <c r="Y1705" s="183"/>
      <c r="Z1705" s="183"/>
    </row>
    <row r="1706" spans="2:26">
      <c r="B1706" s="191"/>
      <c r="D1706" s="183"/>
      <c r="I1706" s="183"/>
      <c r="J1706" s="183"/>
      <c r="L1706" s="183"/>
      <c r="M1706" s="183"/>
      <c r="N1706" s="183"/>
      <c r="O1706" s="183"/>
      <c r="P1706" s="183"/>
      <c r="Q1706" s="183"/>
      <c r="R1706" s="183"/>
      <c r="S1706" s="183"/>
      <c r="T1706" s="183"/>
      <c r="U1706" s="183"/>
      <c r="V1706" s="183"/>
      <c r="W1706" s="183"/>
      <c r="X1706" s="183"/>
      <c r="Y1706" s="183"/>
      <c r="Z1706" s="183"/>
    </row>
    <row r="1707" spans="2:26">
      <c r="B1707" s="191"/>
      <c r="D1707" s="183"/>
      <c r="I1707" s="183"/>
      <c r="J1707" s="183"/>
      <c r="L1707" s="183"/>
      <c r="M1707" s="183"/>
      <c r="N1707" s="183"/>
      <c r="O1707" s="183"/>
      <c r="P1707" s="183"/>
      <c r="Q1707" s="183"/>
      <c r="R1707" s="183"/>
      <c r="S1707" s="183"/>
      <c r="T1707" s="183"/>
      <c r="U1707" s="183"/>
      <c r="V1707" s="183"/>
      <c r="W1707" s="183"/>
      <c r="X1707" s="183"/>
      <c r="Y1707" s="183"/>
      <c r="Z1707" s="183"/>
    </row>
    <row r="1708" spans="2:26">
      <c r="B1708" s="191"/>
      <c r="D1708" s="183"/>
      <c r="I1708" s="183"/>
      <c r="J1708" s="183"/>
      <c r="L1708" s="183"/>
      <c r="M1708" s="183"/>
      <c r="N1708" s="183"/>
      <c r="O1708" s="183"/>
      <c r="P1708" s="183"/>
      <c r="Q1708" s="183"/>
      <c r="R1708" s="183"/>
      <c r="S1708" s="183"/>
      <c r="T1708" s="183"/>
      <c r="U1708" s="183"/>
      <c r="V1708" s="183"/>
      <c r="W1708" s="183"/>
      <c r="X1708" s="183"/>
      <c r="Y1708" s="183"/>
      <c r="Z1708" s="183"/>
    </row>
    <row r="1709" spans="2:26">
      <c r="B1709" s="191"/>
      <c r="D1709" s="183"/>
      <c r="I1709" s="183"/>
      <c r="J1709" s="183"/>
      <c r="L1709" s="183"/>
      <c r="M1709" s="183"/>
      <c r="N1709" s="183"/>
      <c r="O1709" s="183"/>
      <c r="P1709" s="183"/>
      <c r="Q1709" s="183"/>
      <c r="R1709" s="183"/>
      <c r="S1709" s="183"/>
      <c r="T1709" s="183"/>
      <c r="U1709" s="183"/>
      <c r="V1709" s="183"/>
      <c r="W1709" s="183"/>
      <c r="X1709" s="183"/>
      <c r="Y1709" s="183"/>
      <c r="Z1709" s="183"/>
    </row>
    <row r="1710" spans="2:26">
      <c r="B1710" s="191"/>
      <c r="D1710" s="183"/>
      <c r="I1710" s="183"/>
      <c r="J1710" s="183"/>
      <c r="L1710" s="183"/>
      <c r="M1710" s="183"/>
      <c r="N1710" s="183"/>
      <c r="O1710" s="183"/>
      <c r="P1710" s="183"/>
      <c r="Q1710" s="183"/>
      <c r="R1710" s="183"/>
      <c r="S1710" s="183"/>
      <c r="T1710" s="183"/>
      <c r="U1710" s="183"/>
      <c r="V1710" s="183"/>
      <c r="W1710" s="183"/>
      <c r="X1710" s="183"/>
      <c r="Y1710" s="183"/>
      <c r="Z1710" s="183"/>
    </row>
    <row r="1711" spans="2:26">
      <c r="B1711" s="191"/>
      <c r="D1711" s="183"/>
      <c r="I1711" s="183"/>
      <c r="J1711" s="183"/>
      <c r="L1711" s="183"/>
      <c r="M1711" s="183"/>
      <c r="N1711" s="183"/>
      <c r="O1711" s="183"/>
      <c r="P1711" s="183"/>
      <c r="Q1711" s="183"/>
      <c r="R1711" s="183"/>
      <c r="S1711" s="183"/>
      <c r="T1711" s="183"/>
      <c r="U1711" s="183"/>
      <c r="V1711" s="183"/>
      <c r="W1711" s="183"/>
      <c r="X1711" s="183"/>
      <c r="Y1711" s="183"/>
      <c r="Z1711" s="183"/>
    </row>
    <row r="1712" spans="2:26">
      <c r="B1712" s="191"/>
      <c r="D1712" s="183"/>
      <c r="I1712" s="183"/>
      <c r="J1712" s="183"/>
      <c r="L1712" s="183"/>
      <c r="M1712" s="183"/>
      <c r="N1712" s="183"/>
      <c r="O1712" s="183"/>
      <c r="P1712" s="183"/>
      <c r="Q1712" s="183"/>
      <c r="R1712" s="183"/>
      <c r="S1712" s="183"/>
      <c r="T1712" s="183"/>
      <c r="U1712" s="183"/>
      <c r="V1712" s="183"/>
      <c r="W1712" s="183"/>
      <c r="X1712" s="183"/>
      <c r="Y1712" s="183"/>
      <c r="Z1712" s="183"/>
    </row>
    <row r="1713" spans="2:26">
      <c r="B1713" s="191"/>
      <c r="D1713" s="183"/>
      <c r="I1713" s="183"/>
      <c r="J1713" s="183"/>
      <c r="L1713" s="183"/>
      <c r="M1713" s="183"/>
      <c r="N1713" s="183"/>
      <c r="O1713" s="183"/>
      <c r="P1713" s="183"/>
      <c r="Q1713" s="183"/>
      <c r="R1713" s="183"/>
      <c r="S1713" s="183"/>
      <c r="T1713" s="183"/>
      <c r="U1713" s="183"/>
      <c r="V1713" s="183"/>
      <c r="W1713" s="183"/>
      <c r="X1713" s="183"/>
      <c r="Y1713" s="183"/>
      <c r="Z1713" s="183"/>
    </row>
    <row r="1714" spans="2:26">
      <c r="B1714" s="191"/>
      <c r="D1714" s="183"/>
      <c r="I1714" s="183"/>
      <c r="J1714" s="183"/>
      <c r="L1714" s="183"/>
      <c r="M1714" s="183"/>
      <c r="N1714" s="183"/>
      <c r="O1714" s="183"/>
      <c r="P1714" s="183"/>
      <c r="Q1714" s="183"/>
      <c r="R1714" s="183"/>
      <c r="S1714" s="183"/>
      <c r="T1714" s="183"/>
      <c r="U1714" s="183"/>
      <c r="V1714" s="183"/>
      <c r="W1714" s="183"/>
      <c r="X1714" s="183"/>
      <c r="Y1714" s="183"/>
      <c r="Z1714" s="183"/>
    </row>
    <row r="1715" spans="2:26">
      <c r="B1715" s="191"/>
      <c r="D1715" s="183"/>
      <c r="I1715" s="183"/>
      <c r="J1715" s="183"/>
      <c r="L1715" s="183"/>
      <c r="M1715" s="183"/>
      <c r="N1715" s="183"/>
      <c r="O1715" s="183"/>
      <c r="P1715" s="183"/>
      <c r="Q1715" s="183"/>
      <c r="R1715" s="183"/>
      <c r="S1715" s="183"/>
      <c r="T1715" s="183"/>
      <c r="U1715" s="183"/>
      <c r="V1715" s="183"/>
      <c r="W1715" s="183"/>
      <c r="X1715" s="183"/>
      <c r="Y1715" s="183"/>
      <c r="Z1715" s="183"/>
    </row>
    <row r="1716" spans="2:26">
      <c r="B1716" s="191"/>
      <c r="D1716" s="183"/>
      <c r="I1716" s="183"/>
      <c r="J1716" s="183"/>
      <c r="L1716" s="183"/>
      <c r="M1716" s="183"/>
      <c r="N1716" s="183"/>
      <c r="O1716" s="183"/>
      <c r="P1716" s="183"/>
      <c r="Q1716" s="183"/>
      <c r="R1716" s="183"/>
      <c r="S1716" s="183"/>
      <c r="T1716" s="183"/>
      <c r="U1716" s="183"/>
      <c r="V1716" s="183"/>
      <c r="W1716" s="183"/>
      <c r="X1716" s="183"/>
      <c r="Y1716" s="183"/>
      <c r="Z1716" s="183"/>
    </row>
    <row r="1717" spans="2:26">
      <c r="B1717" s="191"/>
      <c r="D1717" s="183"/>
      <c r="I1717" s="183"/>
      <c r="J1717" s="183"/>
      <c r="L1717" s="183"/>
      <c r="M1717" s="183"/>
      <c r="N1717" s="183"/>
      <c r="O1717" s="183"/>
      <c r="P1717" s="183"/>
      <c r="Q1717" s="183"/>
      <c r="R1717" s="183"/>
      <c r="S1717" s="183"/>
      <c r="T1717" s="183"/>
      <c r="U1717" s="183"/>
      <c r="V1717" s="183"/>
      <c r="W1717" s="183"/>
      <c r="X1717" s="183"/>
      <c r="Y1717" s="183"/>
      <c r="Z1717" s="183"/>
    </row>
    <row r="1718" spans="2:26">
      <c r="B1718" s="191"/>
      <c r="D1718" s="183"/>
      <c r="I1718" s="183"/>
      <c r="J1718" s="183"/>
      <c r="L1718" s="183"/>
      <c r="M1718" s="183"/>
      <c r="N1718" s="183"/>
      <c r="O1718" s="183"/>
      <c r="P1718" s="183"/>
      <c r="Q1718" s="183"/>
      <c r="R1718" s="183"/>
      <c r="S1718" s="183"/>
      <c r="T1718" s="183"/>
      <c r="U1718" s="183"/>
      <c r="V1718" s="183"/>
      <c r="W1718" s="183"/>
      <c r="X1718" s="183"/>
      <c r="Y1718" s="183"/>
      <c r="Z1718" s="183"/>
    </row>
    <row r="1719" spans="2:26">
      <c r="B1719" s="191"/>
      <c r="D1719" s="183"/>
      <c r="I1719" s="183"/>
      <c r="J1719" s="183"/>
      <c r="L1719" s="183"/>
      <c r="M1719" s="183"/>
      <c r="N1719" s="183"/>
      <c r="O1719" s="183"/>
      <c r="P1719" s="183"/>
      <c r="Q1719" s="183"/>
      <c r="R1719" s="183"/>
      <c r="S1719" s="183"/>
      <c r="T1719" s="183"/>
      <c r="U1719" s="183"/>
      <c r="V1719" s="183"/>
      <c r="W1719" s="183"/>
      <c r="X1719" s="183"/>
      <c r="Y1719" s="183"/>
      <c r="Z1719" s="183"/>
    </row>
    <row r="1720" spans="2:26">
      <c r="B1720" s="191"/>
      <c r="D1720" s="183"/>
      <c r="I1720" s="183"/>
      <c r="J1720" s="183"/>
      <c r="L1720" s="183"/>
      <c r="M1720" s="183"/>
      <c r="N1720" s="183"/>
      <c r="O1720" s="183"/>
      <c r="P1720" s="183"/>
      <c r="Q1720" s="183"/>
      <c r="R1720" s="183"/>
      <c r="S1720" s="183"/>
      <c r="T1720" s="183"/>
      <c r="U1720" s="183"/>
      <c r="V1720" s="183"/>
      <c r="W1720" s="183"/>
      <c r="X1720" s="183"/>
      <c r="Y1720" s="183"/>
      <c r="Z1720" s="183"/>
    </row>
    <row r="1721" spans="2:26">
      <c r="B1721" s="191"/>
      <c r="D1721" s="183"/>
      <c r="I1721" s="183"/>
      <c r="J1721" s="183"/>
      <c r="L1721" s="183"/>
      <c r="M1721" s="183"/>
      <c r="N1721" s="183"/>
      <c r="O1721" s="183"/>
      <c r="P1721" s="183"/>
      <c r="Q1721" s="183"/>
      <c r="R1721" s="183"/>
      <c r="S1721" s="183"/>
      <c r="T1721" s="183"/>
      <c r="U1721" s="183"/>
      <c r="V1721" s="183"/>
      <c r="W1721" s="183"/>
      <c r="X1721" s="183"/>
      <c r="Y1721" s="183"/>
      <c r="Z1721" s="183"/>
    </row>
    <row r="1722" spans="2:26">
      <c r="B1722" s="191"/>
      <c r="D1722" s="183"/>
      <c r="I1722" s="183"/>
      <c r="J1722" s="183"/>
      <c r="L1722" s="183"/>
      <c r="M1722" s="183"/>
      <c r="N1722" s="183"/>
      <c r="O1722" s="183"/>
      <c r="P1722" s="183"/>
      <c r="Q1722" s="183"/>
      <c r="R1722" s="183"/>
      <c r="S1722" s="183"/>
      <c r="T1722" s="183"/>
      <c r="U1722" s="183"/>
      <c r="V1722" s="183"/>
      <c r="W1722" s="183"/>
      <c r="X1722" s="183"/>
      <c r="Y1722" s="183"/>
      <c r="Z1722" s="183"/>
    </row>
    <row r="1723" spans="2:26">
      <c r="B1723" s="191"/>
      <c r="D1723" s="183"/>
      <c r="I1723" s="183"/>
      <c r="J1723" s="183"/>
      <c r="L1723" s="183"/>
      <c r="M1723" s="183"/>
      <c r="N1723" s="183"/>
      <c r="O1723" s="183"/>
      <c r="P1723" s="183"/>
      <c r="Q1723" s="183"/>
      <c r="R1723" s="183"/>
      <c r="S1723" s="183"/>
      <c r="T1723" s="183"/>
      <c r="U1723" s="183"/>
      <c r="V1723" s="183"/>
      <c r="W1723" s="183"/>
      <c r="X1723" s="183"/>
      <c r="Y1723" s="183"/>
      <c r="Z1723" s="183"/>
    </row>
    <row r="1724" spans="2:26">
      <c r="B1724" s="191"/>
      <c r="D1724" s="183"/>
      <c r="I1724" s="183"/>
      <c r="J1724" s="183"/>
      <c r="L1724" s="183"/>
      <c r="M1724" s="183"/>
      <c r="N1724" s="183"/>
      <c r="O1724" s="183"/>
      <c r="P1724" s="183"/>
      <c r="Q1724" s="183"/>
      <c r="R1724" s="183"/>
      <c r="S1724" s="183"/>
      <c r="T1724" s="183"/>
      <c r="U1724" s="183"/>
      <c r="V1724" s="183"/>
      <c r="W1724" s="183"/>
      <c r="X1724" s="183"/>
      <c r="Y1724" s="183"/>
      <c r="Z1724" s="183"/>
    </row>
    <row r="1725" spans="2:26">
      <c r="B1725" s="191"/>
      <c r="D1725" s="183"/>
      <c r="I1725" s="183"/>
      <c r="J1725" s="183"/>
      <c r="L1725" s="183"/>
      <c r="M1725" s="183"/>
      <c r="N1725" s="183"/>
      <c r="O1725" s="183"/>
      <c r="P1725" s="183"/>
      <c r="Q1725" s="183"/>
      <c r="R1725" s="183"/>
      <c r="S1725" s="183"/>
      <c r="T1725" s="183"/>
      <c r="U1725" s="183"/>
      <c r="V1725" s="183"/>
      <c r="W1725" s="183"/>
      <c r="X1725" s="183"/>
      <c r="Y1725" s="183"/>
      <c r="Z1725" s="183"/>
    </row>
    <row r="1726" spans="2:26">
      <c r="B1726" s="191"/>
      <c r="D1726" s="183"/>
      <c r="I1726" s="183"/>
      <c r="J1726" s="183"/>
      <c r="L1726" s="183"/>
      <c r="M1726" s="183"/>
      <c r="N1726" s="183"/>
      <c r="O1726" s="183"/>
      <c r="P1726" s="183"/>
      <c r="Q1726" s="183"/>
      <c r="R1726" s="183"/>
      <c r="S1726" s="183"/>
      <c r="T1726" s="183"/>
      <c r="U1726" s="183"/>
      <c r="V1726" s="183"/>
      <c r="W1726" s="183"/>
      <c r="X1726" s="183"/>
      <c r="Y1726" s="183"/>
      <c r="Z1726" s="183"/>
    </row>
    <row r="1727" spans="2:26">
      <c r="B1727" s="191"/>
      <c r="D1727" s="183"/>
      <c r="I1727" s="183"/>
      <c r="J1727" s="183"/>
      <c r="L1727" s="183"/>
      <c r="M1727" s="183"/>
      <c r="N1727" s="183"/>
      <c r="O1727" s="183"/>
      <c r="P1727" s="183"/>
      <c r="Q1727" s="183"/>
      <c r="R1727" s="183"/>
      <c r="S1727" s="183"/>
      <c r="T1727" s="183"/>
      <c r="U1727" s="183"/>
      <c r="V1727" s="183"/>
      <c r="W1727" s="183"/>
      <c r="X1727" s="183"/>
      <c r="Y1727" s="183"/>
      <c r="Z1727" s="183"/>
    </row>
    <row r="1728" spans="2:26">
      <c r="B1728" s="191"/>
      <c r="D1728" s="183"/>
      <c r="I1728" s="183"/>
      <c r="J1728" s="183"/>
      <c r="L1728" s="183"/>
      <c r="M1728" s="183"/>
      <c r="N1728" s="183"/>
      <c r="O1728" s="183"/>
      <c r="P1728" s="183"/>
      <c r="Q1728" s="183"/>
      <c r="R1728" s="183"/>
      <c r="S1728" s="183"/>
      <c r="T1728" s="183"/>
      <c r="U1728" s="183"/>
      <c r="V1728" s="183"/>
      <c r="W1728" s="183"/>
      <c r="X1728" s="183"/>
      <c r="Y1728" s="183"/>
      <c r="Z1728" s="183"/>
    </row>
    <row r="1729" spans="2:26">
      <c r="B1729" s="191"/>
      <c r="D1729" s="183"/>
      <c r="I1729" s="183"/>
      <c r="J1729" s="183"/>
      <c r="L1729" s="183"/>
      <c r="M1729" s="183"/>
      <c r="N1729" s="183"/>
      <c r="O1729" s="183"/>
      <c r="P1729" s="183"/>
      <c r="Q1729" s="183"/>
      <c r="R1729" s="183"/>
      <c r="S1729" s="183"/>
      <c r="T1729" s="183"/>
      <c r="U1729" s="183"/>
      <c r="V1729" s="183"/>
      <c r="W1729" s="183"/>
      <c r="X1729" s="183"/>
      <c r="Y1729" s="183"/>
      <c r="Z1729" s="183"/>
    </row>
    <row r="1730" spans="2:26">
      <c r="B1730" s="191"/>
      <c r="D1730" s="183"/>
      <c r="I1730" s="183"/>
      <c r="J1730" s="183"/>
      <c r="L1730" s="183"/>
      <c r="M1730" s="183"/>
      <c r="N1730" s="183"/>
      <c r="O1730" s="183"/>
      <c r="P1730" s="183"/>
      <c r="Q1730" s="183"/>
      <c r="R1730" s="183"/>
      <c r="S1730" s="183"/>
      <c r="T1730" s="183"/>
      <c r="U1730" s="183"/>
      <c r="V1730" s="183"/>
      <c r="W1730" s="183"/>
      <c r="X1730" s="183"/>
      <c r="Y1730" s="183"/>
      <c r="Z1730" s="183"/>
    </row>
    <row r="1731" spans="2:26">
      <c r="B1731" s="191"/>
      <c r="D1731" s="183"/>
      <c r="I1731" s="183"/>
      <c r="J1731" s="183"/>
      <c r="L1731" s="183"/>
      <c r="M1731" s="183"/>
      <c r="N1731" s="183"/>
      <c r="O1731" s="183"/>
      <c r="P1731" s="183"/>
      <c r="Q1731" s="183"/>
      <c r="R1731" s="183"/>
      <c r="S1731" s="183"/>
      <c r="T1731" s="183"/>
      <c r="U1731" s="183"/>
      <c r="V1731" s="183"/>
      <c r="W1731" s="183"/>
      <c r="X1731" s="183"/>
      <c r="Y1731" s="183"/>
      <c r="Z1731" s="183"/>
    </row>
    <row r="1732" spans="2:26">
      <c r="B1732" s="191"/>
      <c r="D1732" s="183"/>
      <c r="I1732" s="183"/>
      <c r="J1732" s="183"/>
      <c r="L1732" s="183"/>
      <c r="M1732" s="183"/>
      <c r="N1732" s="183"/>
      <c r="O1732" s="183"/>
      <c r="P1732" s="183"/>
      <c r="Q1732" s="183"/>
      <c r="R1732" s="183"/>
      <c r="S1732" s="183"/>
      <c r="T1732" s="183"/>
      <c r="U1732" s="183"/>
      <c r="V1732" s="183"/>
      <c r="W1732" s="183"/>
      <c r="X1732" s="183"/>
      <c r="Y1732" s="183"/>
      <c r="Z1732" s="183"/>
    </row>
    <row r="1733" spans="2:26">
      <c r="B1733" s="191"/>
      <c r="D1733" s="183"/>
      <c r="I1733" s="183"/>
      <c r="J1733" s="183"/>
      <c r="L1733" s="183"/>
      <c r="M1733" s="183"/>
      <c r="N1733" s="183"/>
      <c r="O1733" s="183"/>
      <c r="P1733" s="183"/>
      <c r="Q1733" s="183"/>
      <c r="R1733" s="183"/>
      <c r="S1733" s="183"/>
      <c r="T1733" s="183"/>
      <c r="U1733" s="183"/>
      <c r="V1733" s="183"/>
      <c r="W1733" s="183"/>
      <c r="X1733" s="183"/>
      <c r="Y1733" s="183"/>
      <c r="Z1733" s="183"/>
    </row>
    <row r="1734" spans="2:26">
      <c r="B1734" s="191"/>
      <c r="D1734" s="183"/>
      <c r="I1734" s="183"/>
      <c r="J1734" s="183"/>
      <c r="L1734" s="183"/>
      <c r="M1734" s="183"/>
      <c r="N1734" s="183"/>
      <c r="O1734" s="183"/>
      <c r="P1734" s="183"/>
      <c r="Q1734" s="183"/>
      <c r="R1734" s="183"/>
      <c r="S1734" s="183"/>
      <c r="T1734" s="183"/>
      <c r="U1734" s="183"/>
      <c r="V1734" s="183"/>
      <c r="W1734" s="183"/>
      <c r="X1734" s="183"/>
      <c r="Y1734" s="183"/>
      <c r="Z1734" s="183"/>
    </row>
    <row r="1735" spans="2:26">
      <c r="B1735" s="191"/>
      <c r="D1735" s="183"/>
      <c r="I1735" s="183"/>
      <c r="J1735" s="183"/>
      <c r="L1735" s="183"/>
      <c r="M1735" s="183"/>
      <c r="N1735" s="183"/>
      <c r="O1735" s="183"/>
      <c r="P1735" s="183"/>
      <c r="Q1735" s="183"/>
      <c r="R1735" s="183"/>
      <c r="S1735" s="183"/>
      <c r="T1735" s="183"/>
      <c r="U1735" s="183"/>
      <c r="V1735" s="183"/>
      <c r="W1735" s="183"/>
      <c r="X1735" s="183"/>
      <c r="Y1735" s="183"/>
      <c r="Z1735" s="183"/>
    </row>
    <row r="1736" spans="2:26">
      <c r="B1736" s="191"/>
      <c r="D1736" s="183"/>
      <c r="I1736" s="183"/>
      <c r="J1736" s="183"/>
      <c r="L1736" s="183"/>
      <c r="M1736" s="183"/>
      <c r="N1736" s="183"/>
      <c r="O1736" s="183"/>
      <c r="P1736" s="183"/>
      <c r="Q1736" s="183"/>
      <c r="R1736" s="183"/>
      <c r="S1736" s="183"/>
      <c r="T1736" s="183"/>
      <c r="U1736" s="183"/>
      <c r="V1736" s="183"/>
      <c r="W1736" s="183"/>
      <c r="X1736" s="183"/>
      <c r="Y1736" s="183"/>
      <c r="Z1736" s="183"/>
    </row>
    <row r="1737" spans="2:26">
      <c r="B1737" s="191"/>
      <c r="D1737" s="183"/>
      <c r="I1737" s="183"/>
      <c r="J1737" s="183"/>
      <c r="L1737" s="183"/>
      <c r="M1737" s="183"/>
      <c r="N1737" s="183"/>
      <c r="O1737" s="183"/>
      <c r="P1737" s="183"/>
      <c r="Q1737" s="183"/>
      <c r="R1737" s="183"/>
      <c r="S1737" s="183"/>
      <c r="T1737" s="183"/>
      <c r="U1737" s="183"/>
      <c r="V1737" s="183"/>
      <c r="W1737" s="183"/>
      <c r="X1737" s="183"/>
      <c r="Y1737" s="183"/>
      <c r="Z1737" s="183"/>
    </row>
    <row r="1738" spans="2:26">
      <c r="B1738" s="191"/>
      <c r="D1738" s="183"/>
      <c r="I1738" s="183"/>
      <c r="J1738" s="183"/>
      <c r="L1738" s="183"/>
      <c r="M1738" s="183"/>
      <c r="N1738" s="183"/>
      <c r="O1738" s="183"/>
      <c r="P1738" s="183"/>
      <c r="Q1738" s="183"/>
      <c r="R1738" s="183"/>
      <c r="S1738" s="183"/>
      <c r="T1738" s="183"/>
      <c r="U1738" s="183"/>
      <c r="V1738" s="183"/>
      <c r="W1738" s="183"/>
      <c r="X1738" s="183"/>
      <c r="Y1738" s="183"/>
      <c r="Z1738" s="183"/>
    </row>
    <row r="1739" spans="2:26">
      <c r="B1739" s="191"/>
      <c r="D1739" s="183"/>
      <c r="I1739" s="183"/>
      <c r="J1739" s="183"/>
      <c r="L1739" s="183"/>
      <c r="M1739" s="183"/>
      <c r="N1739" s="183"/>
      <c r="O1739" s="183"/>
      <c r="P1739" s="183"/>
      <c r="Q1739" s="183"/>
      <c r="R1739" s="183"/>
      <c r="S1739" s="183"/>
      <c r="T1739" s="183"/>
      <c r="U1739" s="183"/>
      <c r="V1739" s="183"/>
      <c r="W1739" s="183"/>
      <c r="X1739" s="183"/>
      <c r="Y1739" s="183"/>
      <c r="Z1739" s="183"/>
    </row>
    <row r="1740" spans="2:26">
      <c r="B1740" s="191"/>
      <c r="D1740" s="183"/>
      <c r="I1740" s="183"/>
      <c r="J1740" s="183"/>
      <c r="L1740" s="183"/>
      <c r="M1740" s="183"/>
      <c r="N1740" s="183"/>
      <c r="O1740" s="183"/>
      <c r="P1740" s="183"/>
      <c r="Q1740" s="183"/>
      <c r="R1740" s="183"/>
      <c r="S1740" s="183"/>
      <c r="T1740" s="183"/>
      <c r="U1740" s="183"/>
      <c r="V1740" s="183"/>
      <c r="W1740" s="183"/>
      <c r="X1740" s="183"/>
      <c r="Y1740" s="183"/>
      <c r="Z1740" s="183"/>
    </row>
    <row r="1741" spans="2:26">
      <c r="B1741" s="191"/>
      <c r="D1741" s="183"/>
      <c r="I1741" s="183"/>
      <c r="J1741" s="183"/>
      <c r="L1741" s="183"/>
      <c r="M1741" s="183"/>
      <c r="N1741" s="183"/>
      <c r="O1741" s="183"/>
      <c r="P1741" s="183"/>
      <c r="Q1741" s="183"/>
      <c r="R1741" s="183"/>
      <c r="S1741" s="183"/>
      <c r="T1741" s="183"/>
      <c r="U1741" s="183"/>
      <c r="V1741" s="183"/>
      <c r="W1741" s="183"/>
      <c r="X1741" s="183"/>
      <c r="Y1741" s="183"/>
      <c r="Z1741" s="183"/>
    </row>
    <row r="1742" spans="2:26">
      <c r="B1742" s="191"/>
      <c r="D1742" s="183"/>
      <c r="I1742" s="183"/>
      <c r="J1742" s="183"/>
      <c r="L1742" s="183"/>
      <c r="M1742" s="183"/>
      <c r="N1742" s="183"/>
      <c r="O1742" s="183"/>
      <c r="P1742" s="183"/>
      <c r="Q1742" s="183"/>
      <c r="R1742" s="183"/>
      <c r="S1742" s="183"/>
      <c r="T1742" s="183"/>
      <c r="U1742" s="183"/>
      <c r="V1742" s="183"/>
      <c r="W1742" s="183"/>
      <c r="X1742" s="183"/>
      <c r="Y1742" s="183"/>
      <c r="Z1742" s="183"/>
    </row>
    <row r="1743" spans="2:26">
      <c r="B1743" s="191"/>
      <c r="D1743" s="183"/>
      <c r="I1743" s="183"/>
      <c r="J1743" s="183"/>
      <c r="L1743" s="183"/>
      <c r="M1743" s="183"/>
      <c r="N1743" s="183"/>
      <c r="O1743" s="183"/>
      <c r="P1743" s="183"/>
      <c r="Q1743" s="183"/>
      <c r="R1743" s="183"/>
      <c r="S1743" s="183"/>
      <c r="T1743" s="183"/>
      <c r="U1743" s="183"/>
      <c r="V1743" s="183"/>
      <c r="W1743" s="183"/>
      <c r="X1743" s="183"/>
      <c r="Y1743" s="183"/>
      <c r="Z1743" s="183"/>
    </row>
    <row r="1744" spans="2:26">
      <c r="B1744" s="191"/>
      <c r="D1744" s="183"/>
      <c r="I1744" s="183"/>
      <c r="J1744" s="183"/>
      <c r="L1744" s="183"/>
      <c r="M1744" s="183"/>
      <c r="N1744" s="183"/>
      <c r="O1744" s="183"/>
      <c r="P1744" s="183"/>
      <c r="Q1744" s="183"/>
      <c r="R1744" s="183"/>
      <c r="S1744" s="183"/>
      <c r="T1744" s="183"/>
      <c r="U1744" s="183"/>
      <c r="V1744" s="183"/>
      <c r="W1744" s="183"/>
      <c r="X1744" s="183"/>
      <c r="Y1744" s="183"/>
      <c r="Z1744" s="183"/>
    </row>
    <row r="1745" spans="2:26">
      <c r="B1745" s="191"/>
      <c r="D1745" s="183"/>
      <c r="I1745" s="183"/>
      <c r="J1745" s="183"/>
      <c r="L1745" s="183"/>
      <c r="M1745" s="183"/>
      <c r="N1745" s="183"/>
      <c r="O1745" s="183"/>
      <c r="P1745" s="183"/>
      <c r="Q1745" s="183"/>
      <c r="R1745" s="183"/>
      <c r="S1745" s="183"/>
      <c r="T1745" s="183"/>
      <c r="U1745" s="183"/>
      <c r="V1745" s="183"/>
      <c r="W1745" s="183"/>
      <c r="X1745" s="183"/>
      <c r="Y1745" s="183"/>
      <c r="Z1745" s="183"/>
    </row>
    <row r="1746" spans="2:26">
      <c r="B1746" s="191"/>
      <c r="D1746" s="183"/>
      <c r="I1746" s="183"/>
      <c r="J1746" s="183"/>
      <c r="L1746" s="183"/>
      <c r="M1746" s="183"/>
      <c r="N1746" s="183"/>
      <c r="O1746" s="183"/>
      <c r="P1746" s="183"/>
      <c r="Q1746" s="183"/>
      <c r="R1746" s="183"/>
      <c r="S1746" s="183"/>
      <c r="T1746" s="183"/>
      <c r="U1746" s="183"/>
      <c r="V1746" s="183"/>
      <c r="W1746" s="183"/>
      <c r="X1746" s="183"/>
      <c r="Y1746" s="183"/>
      <c r="Z1746" s="183"/>
    </row>
    <row r="1747" spans="2:26">
      <c r="B1747" s="191"/>
      <c r="D1747" s="183"/>
      <c r="I1747" s="183"/>
      <c r="J1747" s="183"/>
      <c r="L1747" s="183"/>
      <c r="M1747" s="183"/>
      <c r="N1747" s="183"/>
      <c r="O1747" s="183"/>
      <c r="P1747" s="183"/>
      <c r="Q1747" s="183"/>
      <c r="R1747" s="183"/>
      <c r="S1747" s="183"/>
      <c r="T1747" s="183"/>
      <c r="U1747" s="183"/>
      <c r="V1747" s="183"/>
      <c r="W1747" s="183"/>
      <c r="X1747" s="183"/>
      <c r="Y1747" s="183"/>
      <c r="Z1747" s="183"/>
    </row>
    <row r="1748" spans="2:26">
      <c r="B1748" s="191"/>
      <c r="D1748" s="183"/>
      <c r="I1748" s="183"/>
      <c r="J1748" s="183"/>
      <c r="L1748" s="183"/>
      <c r="M1748" s="183"/>
      <c r="N1748" s="183"/>
      <c r="O1748" s="183"/>
      <c r="P1748" s="183"/>
      <c r="Q1748" s="183"/>
      <c r="R1748" s="183"/>
      <c r="S1748" s="183"/>
      <c r="T1748" s="183"/>
      <c r="U1748" s="183"/>
      <c r="V1748" s="183"/>
      <c r="W1748" s="183"/>
      <c r="X1748" s="183"/>
      <c r="Y1748" s="183"/>
      <c r="Z1748" s="183"/>
    </row>
    <row r="1749" spans="2:26">
      <c r="B1749" s="191"/>
      <c r="D1749" s="183"/>
      <c r="I1749" s="183"/>
      <c r="J1749" s="183"/>
      <c r="L1749" s="183"/>
      <c r="M1749" s="183"/>
      <c r="N1749" s="183"/>
      <c r="O1749" s="183"/>
      <c r="P1749" s="183"/>
      <c r="Q1749" s="183"/>
      <c r="R1749" s="183"/>
      <c r="S1749" s="183"/>
      <c r="T1749" s="183"/>
      <c r="U1749" s="183"/>
      <c r="V1749" s="183"/>
      <c r="W1749" s="183"/>
      <c r="X1749" s="183"/>
      <c r="Y1749" s="183"/>
      <c r="Z1749" s="183"/>
    </row>
    <row r="1750" spans="2:26">
      <c r="B1750" s="191"/>
      <c r="D1750" s="183"/>
      <c r="I1750" s="183"/>
      <c r="J1750" s="183"/>
      <c r="L1750" s="183"/>
      <c r="M1750" s="183"/>
      <c r="N1750" s="183"/>
      <c r="O1750" s="183"/>
      <c r="P1750" s="183"/>
      <c r="Q1750" s="183"/>
      <c r="R1750" s="183"/>
      <c r="S1750" s="183"/>
      <c r="T1750" s="183"/>
      <c r="U1750" s="183"/>
      <c r="V1750" s="183"/>
      <c r="W1750" s="183"/>
      <c r="X1750" s="183"/>
      <c r="Y1750" s="183"/>
      <c r="Z1750" s="183"/>
    </row>
    <row r="1751" spans="2:26">
      <c r="B1751" s="191"/>
      <c r="D1751" s="183"/>
      <c r="I1751" s="183"/>
      <c r="J1751" s="183"/>
      <c r="L1751" s="183"/>
      <c r="M1751" s="183"/>
      <c r="N1751" s="183"/>
      <c r="O1751" s="183"/>
      <c r="P1751" s="183"/>
      <c r="Q1751" s="183"/>
      <c r="R1751" s="183"/>
      <c r="S1751" s="183"/>
      <c r="T1751" s="183"/>
      <c r="U1751" s="183"/>
      <c r="V1751" s="183"/>
      <c r="W1751" s="183"/>
      <c r="X1751" s="183"/>
      <c r="Y1751" s="183"/>
      <c r="Z1751" s="183"/>
    </row>
    <row r="1752" spans="2:26">
      <c r="B1752" s="191"/>
      <c r="D1752" s="183"/>
      <c r="I1752" s="183"/>
      <c r="J1752" s="183"/>
      <c r="L1752" s="183"/>
      <c r="M1752" s="183"/>
      <c r="N1752" s="183"/>
      <c r="O1752" s="183"/>
      <c r="P1752" s="183"/>
      <c r="Q1752" s="183"/>
      <c r="R1752" s="183"/>
      <c r="S1752" s="183"/>
      <c r="T1752" s="183"/>
      <c r="U1752" s="183"/>
      <c r="V1752" s="183"/>
      <c r="W1752" s="183"/>
      <c r="X1752" s="183"/>
      <c r="Y1752" s="183"/>
      <c r="Z1752" s="183"/>
    </row>
    <row r="1753" spans="2:26">
      <c r="B1753" s="191"/>
      <c r="D1753" s="183"/>
      <c r="I1753" s="183"/>
      <c r="J1753" s="183"/>
      <c r="L1753" s="183"/>
      <c r="M1753" s="183"/>
      <c r="N1753" s="183"/>
      <c r="O1753" s="183"/>
      <c r="P1753" s="183"/>
      <c r="Q1753" s="183"/>
      <c r="R1753" s="183"/>
      <c r="S1753" s="183"/>
      <c r="T1753" s="183"/>
      <c r="U1753" s="183"/>
      <c r="V1753" s="183"/>
      <c r="W1753" s="183"/>
      <c r="X1753" s="183"/>
      <c r="Y1753" s="183"/>
      <c r="Z1753" s="183"/>
    </row>
    <row r="1754" spans="2:26">
      <c r="B1754" s="191"/>
      <c r="D1754" s="183"/>
      <c r="I1754" s="183"/>
      <c r="J1754" s="183"/>
      <c r="L1754" s="183"/>
      <c r="M1754" s="183"/>
      <c r="N1754" s="183"/>
      <c r="O1754" s="183"/>
      <c r="P1754" s="183"/>
      <c r="Q1754" s="183"/>
      <c r="R1754" s="183"/>
      <c r="S1754" s="183"/>
      <c r="T1754" s="183"/>
      <c r="U1754" s="183"/>
      <c r="V1754" s="183"/>
      <c r="W1754" s="183"/>
      <c r="X1754" s="183"/>
      <c r="Y1754" s="183"/>
      <c r="Z1754" s="183"/>
    </row>
    <row r="1755" spans="2:26">
      <c r="B1755" s="191"/>
      <c r="D1755" s="183"/>
      <c r="I1755" s="183"/>
      <c r="J1755" s="183"/>
      <c r="L1755" s="183"/>
      <c r="M1755" s="183"/>
      <c r="N1755" s="183"/>
      <c r="O1755" s="183"/>
      <c r="P1755" s="183"/>
      <c r="Q1755" s="183"/>
      <c r="R1755" s="183"/>
      <c r="S1755" s="183"/>
      <c r="T1755" s="183"/>
      <c r="U1755" s="183"/>
      <c r="V1755" s="183"/>
      <c r="W1755" s="183"/>
      <c r="X1755" s="183"/>
      <c r="Y1755" s="183"/>
      <c r="Z1755" s="183"/>
    </row>
    <row r="1756" spans="2:26">
      <c r="B1756" s="191"/>
      <c r="D1756" s="183"/>
      <c r="I1756" s="183"/>
      <c r="J1756" s="183"/>
      <c r="L1756" s="183"/>
      <c r="M1756" s="183"/>
      <c r="N1756" s="183"/>
      <c r="O1756" s="183"/>
      <c r="P1756" s="183"/>
      <c r="Q1756" s="183"/>
      <c r="R1756" s="183"/>
      <c r="S1756" s="183"/>
      <c r="T1756" s="183"/>
      <c r="U1756" s="183"/>
      <c r="V1756" s="183"/>
      <c r="W1756" s="183"/>
      <c r="X1756" s="183"/>
      <c r="Y1756" s="183"/>
      <c r="Z1756" s="183"/>
    </row>
    <row r="1757" spans="2:26">
      <c r="B1757" s="191"/>
      <c r="D1757" s="183"/>
      <c r="I1757" s="183"/>
      <c r="J1757" s="183"/>
      <c r="L1757" s="183"/>
      <c r="M1757" s="183"/>
      <c r="N1757" s="183"/>
      <c r="O1757" s="183"/>
      <c r="P1757" s="183"/>
      <c r="Q1757" s="183"/>
      <c r="R1757" s="183"/>
      <c r="S1757" s="183"/>
      <c r="T1757" s="183"/>
      <c r="U1757" s="183"/>
      <c r="V1757" s="183"/>
      <c r="W1757" s="183"/>
      <c r="X1757" s="183"/>
      <c r="Y1757" s="183"/>
      <c r="Z1757" s="183"/>
    </row>
    <row r="1758" spans="2:26">
      <c r="B1758" s="191"/>
      <c r="D1758" s="183"/>
      <c r="I1758" s="183"/>
      <c r="J1758" s="183"/>
      <c r="L1758" s="183"/>
      <c r="M1758" s="183"/>
      <c r="N1758" s="183"/>
      <c r="O1758" s="183"/>
      <c r="P1758" s="183"/>
      <c r="Q1758" s="183"/>
      <c r="R1758" s="183"/>
      <c r="S1758" s="183"/>
      <c r="T1758" s="183"/>
      <c r="U1758" s="183"/>
      <c r="V1758" s="183"/>
      <c r="W1758" s="183"/>
      <c r="X1758" s="183"/>
      <c r="Y1758" s="183"/>
      <c r="Z1758" s="183"/>
    </row>
    <row r="1759" spans="2:26">
      <c r="B1759" s="191"/>
      <c r="D1759" s="183"/>
      <c r="I1759" s="183"/>
      <c r="J1759" s="183"/>
      <c r="L1759" s="183"/>
      <c r="M1759" s="183"/>
      <c r="N1759" s="183"/>
      <c r="O1759" s="183"/>
      <c r="P1759" s="183"/>
      <c r="Q1759" s="183"/>
      <c r="R1759" s="183"/>
      <c r="S1759" s="183"/>
      <c r="T1759" s="183"/>
      <c r="U1759" s="183"/>
      <c r="V1759" s="183"/>
      <c r="W1759" s="183"/>
      <c r="X1759" s="183"/>
      <c r="Y1759" s="183"/>
      <c r="Z1759" s="183"/>
    </row>
    <row r="1760" spans="2:26">
      <c r="B1760" s="191"/>
      <c r="D1760" s="183"/>
      <c r="I1760" s="183"/>
      <c r="J1760" s="183"/>
      <c r="L1760" s="183"/>
      <c r="M1760" s="183"/>
      <c r="N1760" s="183"/>
      <c r="O1760" s="183"/>
      <c r="P1760" s="183"/>
      <c r="Q1760" s="183"/>
      <c r="R1760" s="183"/>
      <c r="S1760" s="183"/>
      <c r="T1760" s="183"/>
      <c r="U1760" s="183"/>
      <c r="V1760" s="183"/>
      <c r="W1760" s="183"/>
      <c r="X1760" s="183"/>
      <c r="Y1760" s="183"/>
      <c r="Z1760" s="183"/>
    </row>
    <row r="1761" spans="2:26">
      <c r="B1761" s="191"/>
      <c r="D1761" s="183"/>
      <c r="I1761" s="183"/>
      <c r="J1761" s="183"/>
      <c r="L1761" s="183"/>
      <c r="M1761" s="183"/>
      <c r="N1761" s="183"/>
      <c r="O1761" s="183"/>
      <c r="P1761" s="183"/>
      <c r="Q1761" s="183"/>
      <c r="R1761" s="183"/>
      <c r="S1761" s="183"/>
      <c r="T1761" s="183"/>
      <c r="U1761" s="183"/>
      <c r="V1761" s="183"/>
      <c r="W1761" s="183"/>
      <c r="X1761" s="183"/>
      <c r="Y1761" s="183"/>
      <c r="Z1761" s="183"/>
    </row>
    <row r="1762" spans="2:26">
      <c r="B1762" s="191"/>
      <c r="D1762" s="183"/>
      <c r="I1762" s="183"/>
      <c r="J1762" s="183"/>
      <c r="L1762" s="183"/>
      <c r="M1762" s="183"/>
      <c r="N1762" s="183"/>
      <c r="O1762" s="183"/>
      <c r="P1762" s="183"/>
      <c r="Q1762" s="183"/>
      <c r="R1762" s="183"/>
      <c r="S1762" s="183"/>
      <c r="T1762" s="183"/>
      <c r="U1762" s="183"/>
      <c r="V1762" s="183"/>
      <c r="W1762" s="183"/>
      <c r="X1762" s="183"/>
      <c r="Y1762" s="183"/>
      <c r="Z1762" s="183"/>
    </row>
    <row r="1763" spans="2:26">
      <c r="B1763" s="191"/>
      <c r="D1763" s="183"/>
      <c r="I1763" s="183"/>
      <c r="J1763" s="183"/>
      <c r="L1763" s="183"/>
      <c r="M1763" s="183"/>
      <c r="N1763" s="183"/>
      <c r="O1763" s="183"/>
      <c r="P1763" s="183"/>
      <c r="Q1763" s="183"/>
      <c r="R1763" s="183"/>
      <c r="S1763" s="183"/>
      <c r="T1763" s="183"/>
      <c r="U1763" s="183"/>
      <c r="V1763" s="183"/>
      <c r="W1763" s="183"/>
      <c r="X1763" s="183"/>
      <c r="Y1763" s="183"/>
      <c r="Z1763" s="183"/>
    </row>
    <row r="1764" spans="2:26">
      <c r="B1764" s="191"/>
      <c r="D1764" s="183"/>
      <c r="I1764" s="183"/>
      <c r="J1764" s="183"/>
      <c r="L1764" s="183"/>
      <c r="M1764" s="183"/>
      <c r="N1764" s="183"/>
      <c r="O1764" s="183"/>
      <c r="P1764" s="183"/>
      <c r="Q1764" s="183"/>
      <c r="R1764" s="183"/>
      <c r="S1764" s="183"/>
      <c r="T1764" s="183"/>
      <c r="U1764" s="183"/>
      <c r="V1764" s="183"/>
      <c r="W1764" s="183"/>
      <c r="X1764" s="183"/>
      <c r="Y1764" s="183"/>
      <c r="Z1764" s="183"/>
    </row>
    <row r="1765" spans="2:26">
      <c r="B1765" s="191"/>
      <c r="D1765" s="183"/>
      <c r="I1765" s="183"/>
      <c r="J1765" s="183"/>
      <c r="L1765" s="183"/>
      <c r="M1765" s="183"/>
      <c r="N1765" s="183"/>
      <c r="O1765" s="183"/>
      <c r="P1765" s="183"/>
      <c r="Q1765" s="183"/>
      <c r="R1765" s="183"/>
      <c r="S1765" s="183"/>
      <c r="T1765" s="183"/>
      <c r="U1765" s="183"/>
      <c r="V1765" s="183"/>
      <c r="W1765" s="183"/>
      <c r="X1765" s="183"/>
      <c r="Y1765" s="183"/>
      <c r="Z1765" s="183"/>
    </row>
    <row r="1766" spans="2:26">
      <c r="B1766" s="191"/>
      <c r="D1766" s="183"/>
      <c r="I1766" s="183"/>
      <c r="J1766" s="183"/>
      <c r="L1766" s="183"/>
      <c r="M1766" s="183"/>
      <c r="N1766" s="183"/>
      <c r="O1766" s="183"/>
      <c r="P1766" s="183"/>
      <c r="Q1766" s="183"/>
      <c r="R1766" s="183"/>
      <c r="S1766" s="183"/>
      <c r="T1766" s="183"/>
      <c r="U1766" s="183"/>
      <c r="V1766" s="183"/>
      <c r="W1766" s="183"/>
      <c r="X1766" s="183"/>
      <c r="Y1766" s="183"/>
      <c r="Z1766" s="183"/>
    </row>
    <row r="1767" spans="2:26">
      <c r="B1767" s="191"/>
      <c r="D1767" s="183"/>
      <c r="I1767" s="183"/>
      <c r="J1767" s="183"/>
      <c r="L1767" s="183"/>
      <c r="M1767" s="183"/>
      <c r="N1767" s="183"/>
      <c r="O1767" s="183"/>
      <c r="P1767" s="183"/>
      <c r="Q1767" s="183"/>
      <c r="R1767" s="183"/>
      <c r="S1767" s="183"/>
      <c r="T1767" s="183"/>
      <c r="U1767" s="183"/>
      <c r="V1767" s="183"/>
      <c r="W1767" s="183"/>
      <c r="X1767" s="183"/>
      <c r="Y1767" s="183"/>
      <c r="Z1767" s="183"/>
    </row>
    <row r="1768" spans="2:26">
      <c r="B1768" s="191"/>
      <c r="D1768" s="183"/>
      <c r="I1768" s="183"/>
      <c r="J1768" s="183"/>
      <c r="L1768" s="183"/>
      <c r="M1768" s="183"/>
      <c r="N1768" s="183"/>
      <c r="O1768" s="183"/>
      <c r="P1768" s="183"/>
      <c r="Q1768" s="183"/>
      <c r="R1768" s="183"/>
      <c r="S1768" s="183"/>
      <c r="T1768" s="183"/>
      <c r="U1768" s="183"/>
      <c r="V1768" s="183"/>
      <c r="W1768" s="183"/>
      <c r="X1768" s="183"/>
      <c r="Y1768" s="183"/>
      <c r="Z1768" s="183"/>
    </row>
    <row r="1769" spans="2:26">
      <c r="B1769" s="191"/>
      <c r="D1769" s="183"/>
      <c r="I1769" s="183"/>
      <c r="J1769" s="183"/>
      <c r="L1769" s="183"/>
      <c r="M1769" s="183"/>
      <c r="N1769" s="183"/>
      <c r="O1769" s="183"/>
      <c r="P1769" s="183"/>
      <c r="Q1769" s="183"/>
      <c r="R1769" s="183"/>
      <c r="S1769" s="183"/>
      <c r="T1769" s="183"/>
      <c r="U1769" s="183"/>
      <c r="V1769" s="183"/>
      <c r="W1769" s="183"/>
      <c r="X1769" s="183"/>
      <c r="Y1769" s="183"/>
      <c r="Z1769" s="183"/>
    </row>
    <row r="1770" spans="2:26">
      <c r="B1770" s="191"/>
      <c r="D1770" s="183"/>
      <c r="I1770" s="183"/>
      <c r="J1770" s="183"/>
      <c r="L1770" s="183"/>
      <c r="M1770" s="183"/>
      <c r="N1770" s="183"/>
      <c r="O1770" s="183"/>
      <c r="P1770" s="183"/>
      <c r="Q1770" s="183"/>
      <c r="R1770" s="183"/>
      <c r="S1770" s="183"/>
      <c r="T1770" s="183"/>
      <c r="U1770" s="183"/>
      <c r="V1770" s="183"/>
      <c r="W1770" s="183"/>
      <c r="X1770" s="183"/>
      <c r="Y1770" s="183"/>
      <c r="Z1770" s="183"/>
    </row>
    <row r="1771" spans="2:26">
      <c r="B1771" s="191"/>
      <c r="D1771" s="183"/>
      <c r="I1771" s="183"/>
      <c r="J1771" s="183"/>
      <c r="L1771" s="183"/>
      <c r="M1771" s="183"/>
      <c r="N1771" s="183"/>
      <c r="O1771" s="183"/>
      <c r="P1771" s="183"/>
      <c r="Q1771" s="183"/>
      <c r="R1771" s="183"/>
      <c r="S1771" s="183"/>
      <c r="T1771" s="183"/>
      <c r="U1771" s="183"/>
      <c r="V1771" s="183"/>
      <c r="W1771" s="183"/>
      <c r="X1771" s="183"/>
      <c r="Y1771" s="183"/>
      <c r="Z1771" s="183"/>
    </row>
    <row r="1772" spans="2:26">
      <c r="B1772" s="191"/>
      <c r="D1772" s="183"/>
      <c r="I1772" s="183"/>
      <c r="J1772" s="183"/>
      <c r="L1772" s="183"/>
      <c r="M1772" s="183"/>
      <c r="N1772" s="183"/>
      <c r="O1772" s="183"/>
      <c r="P1772" s="183"/>
      <c r="Q1772" s="183"/>
      <c r="R1772" s="183"/>
      <c r="S1772" s="183"/>
      <c r="T1772" s="183"/>
      <c r="U1772" s="183"/>
      <c r="V1772" s="183"/>
      <c r="W1772" s="183"/>
      <c r="X1772" s="183"/>
      <c r="Y1772" s="183"/>
      <c r="Z1772" s="183"/>
    </row>
    <row r="1773" spans="2:26">
      <c r="B1773" s="191"/>
      <c r="D1773" s="183"/>
      <c r="I1773" s="183"/>
      <c r="J1773" s="183"/>
      <c r="L1773" s="183"/>
      <c r="M1773" s="183"/>
      <c r="N1773" s="183"/>
      <c r="O1773" s="183"/>
      <c r="P1773" s="183"/>
      <c r="Q1773" s="183"/>
      <c r="R1773" s="183"/>
      <c r="S1773" s="183"/>
      <c r="T1773" s="183"/>
      <c r="U1773" s="183"/>
      <c r="V1773" s="183"/>
      <c r="W1773" s="183"/>
      <c r="X1773" s="183"/>
      <c r="Y1773" s="183"/>
      <c r="Z1773" s="183"/>
    </row>
    <row r="1774" spans="2:26">
      <c r="B1774" s="191"/>
      <c r="D1774" s="183"/>
      <c r="I1774" s="183"/>
      <c r="J1774" s="183"/>
      <c r="L1774" s="183"/>
      <c r="M1774" s="183"/>
      <c r="N1774" s="183"/>
      <c r="O1774" s="183"/>
      <c r="P1774" s="183"/>
      <c r="Q1774" s="183"/>
      <c r="R1774" s="183"/>
      <c r="S1774" s="183"/>
      <c r="T1774" s="183"/>
      <c r="U1774" s="183"/>
      <c r="V1774" s="183"/>
      <c r="W1774" s="183"/>
      <c r="X1774" s="183"/>
      <c r="Y1774" s="183"/>
      <c r="Z1774" s="183"/>
    </row>
    <row r="1775" spans="2:26">
      <c r="B1775" s="191"/>
      <c r="D1775" s="183"/>
      <c r="I1775" s="183"/>
      <c r="J1775" s="183"/>
      <c r="L1775" s="183"/>
      <c r="M1775" s="183"/>
      <c r="N1775" s="183"/>
      <c r="O1775" s="183"/>
      <c r="P1775" s="183"/>
      <c r="Q1775" s="183"/>
      <c r="R1775" s="183"/>
      <c r="S1775" s="183"/>
      <c r="T1775" s="183"/>
      <c r="U1775" s="183"/>
      <c r="V1775" s="183"/>
      <c r="W1775" s="183"/>
      <c r="X1775" s="183"/>
      <c r="Y1775" s="183"/>
      <c r="Z1775" s="183"/>
    </row>
    <row r="1776" spans="2:26">
      <c r="B1776" s="191"/>
      <c r="D1776" s="183"/>
      <c r="I1776" s="183"/>
      <c r="J1776" s="183"/>
      <c r="L1776" s="183"/>
      <c r="M1776" s="183"/>
      <c r="N1776" s="183"/>
      <c r="O1776" s="183"/>
      <c r="P1776" s="183"/>
      <c r="Q1776" s="183"/>
      <c r="R1776" s="183"/>
      <c r="S1776" s="183"/>
      <c r="T1776" s="183"/>
      <c r="U1776" s="183"/>
      <c r="V1776" s="183"/>
      <c r="W1776" s="183"/>
      <c r="X1776" s="183"/>
      <c r="Y1776" s="183"/>
      <c r="Z1776" s="183"/>
    </row>
    <row r="1777" spans="2:26">
      <c r="B1777" s="191"/>
      <c r="D1777" s="183"/>
      <c r="I1777" s="183"/>
      <c r="J1777" s="183"/>
      <c r="L1777" s="183"/>
      <c r="M1777" s="183"/>
      <c r="N1777" s="183"/>
      <c r="O1777" s="183"/>
      <c r="P1777" s="183"/>
      <c r="Q1777" s="183"/>
      <c r="R1777" s="183"/>
      <c r="S1777" s="183"/>
      <c r="T1777" s="183"/>
      <c r="U1777" s="183"/>
      <c r="V1777" s="183"/>
      <c r="W1777" s="183"/>
      <c r="X1777" s="183"/>
      <c r="Y1777" s="183"/>
      <c r="Z1777" s="183"/>
    </row>
    <row r="1778" spans="2:26">
      <c r="B1778" s="191"/>
      <c r="D1778" s="183"/>
      <c r="I1778" s="183"/>
      <c r="J1778" s="183"/>
      <c r="L1778" s="183"/>
      <c r="M1778" s="183"/>
      <c r="N1778" s="183"/>
      <c r="O1778" s="183"/>
      <c r="P1778" s="183"/>
      <c r="Q1778" s="183"/>
      <c r="R1778" s="183"/>
      <c r="S1778" s="183"/>
      <c r="T1778" s="183"/>
      <c r="U1778" s="183"/>
      <c r="V1778" s="183"/>
      <c r="W1778" s="183"/>
      <c r="X1778" s="183"/>
      <c r="Y1778" s="183"/>
      <c r="Z1778" s="183"/>
    </row>
    <row r="1779" spans="2:26">
      <c r="B1779" s="191"/>
      <c r="D1779" s="183"/>
      <c r="I1779" s="183"/>
      <c r="J1779" s="183"/>
      <c r="L1779" s="183"/>
      <c r="M1779" s="183"/>
      <c r="N1779" s="183"/>
      <c r="O1779" s="183"/>
      <c r="P1779" s="183"/>
      <c r="Q1779" s="183"/>
      <c r="R1779" s="183"/>
      <c r="S1779" s="183"/>
      <c r="T1779" s="183"/>
      <c r="U1779" s="183"/>
      <c r="V1779" s="183"/>
      <c r="W1779" s="183"/>
      <c r="X1779" s="183"/>
      <c r="Y1779" s="183"/>
      <c r="Z1779" s="183"/>
    </row>
    <row r="1780" spans="2:26">
      <c r="B1780" s="191"/>
      <c r="D1780" s="183"/>
      <c r="I1780" s="183"/>
      <c r="J1780" s="183"/>
      <c r="L1780" s="183"/>
      <c r="M1780" s="183"/>
      <c r="N1780" s="183"/>
      <c r="O1780" s="183"/>
      <c r="P1780" s="183"/>
      <c r="Q1780" s="183"/>
      <c r="R1780" s="183"/>
      <c r="S1780" s="183"/>
      <c r="T1780" s="183"/>
      <c r="U1780" s="183"/>
      <c r="V1780" s="183"/>
      <c r="W1780" s="183"/>
      <c r="X1780" s="183"/>
      <c r="Y1780" s="183"/>
      <c r="Z1780" s="183"/>
    </row>
    <row r="1781" spans="2:26">
      <c r="B1781" s="191"/>
      <c r="D1781" s="183"/>
      <c r="I1781" s="183"/>
      <c r="J1781" s="183"/>
      <c r="L1781" s="183"/>
      <c r="M1781" s="183"/>
      <c r="N1781" s="183"/>
      <c r="O1781" s="183"/>
      <c r="P1781" s="183"/>
      <c r="Q1781" s="183"/>
      <c r="R1781" s="183"/>
      <c r="S1781" s="183"/>
      <c r="T1781" s="183"/>
      <c r="U1781" s="183"/>
      <c r="V1781" s="183"/>
      <c r="W1781" s="183"/>
      <c r="X1781" s="183"/>
      <c r="Y1781" s="183"/>
      <c r="Z1781" s="183"/>
    </row>
    <row r="1782" spans="2:26">
      <c r="B1782" s="191"/>
      <c r="D1782" s="183"/>
      <c r="I1782" s="183"/>
      <c r="J1782" s="183"/>
      <c r="L1782" s="183"/>
      <c r="M1782" s="183"/>
      <c r="N1782" s="183"/>
      <c r="O1782" s="183"/>
      <c r="P1782" s="183"/>
      <c r="Q1782" s="183"/>
      <c r="R1782" s="183"/>
      <c r="S1782" s="183"/>
      <c r="T1782" s="183"/>
      <c r="U1782" s="183"/>
      <c r="V1782" s="183"/>
      <c r="W1782" s="183"/>
      <c r="X1782" s="183"/>
      <c r="Y1782" s="183"/>
      <c r="Z1782" s="183"/>
    </row>
    <row r="1783" spans="2:26">
      <c r="B1783" s="191"/>
      <c r="D1783" s="183"/>
      <c r="I1783" s="183"/>
      <c r="J1783" s="183"/>
      <c r="L1783" s="183"/>
      <c r="M1783" s="183"/>
      <c r="N1783" s="183"/>
      <c r="O1783" s="183"/>
      <c r="P1783" s="183"/>
      <c r="Q1783" s="183"/>
      <c r="R1783" s="183"/>
      <c r="S1783" s="183"/>
      <c r="T1783" s="183"/>
      <c r="U1783" s="183"/>
      <c r="V1783" s="183"/>
      <c r="W1783" s="183"/>
      <c r="X1783" s="183"/>
      <c r="Y1783" s="183"/>
      <c r="Z1783" s="183"/>
    </row>
    <row r="1784" spans="2:26">
      <c r="B1784" s="191"/>
      <c r="D1784" s="183"/>
      <c r="I1784" s="183"/>
      <c r="J1784" s="183"/>
      <c r="L1784" s="183"/>
      <c r="M1784" s="183"/>
      <c r="N1784" s="183"/>
      <c r="O1784" s="183"/>
      <c r="P1784" s="183"/>
      <c r="Q1784" s="183"/>
      <c r="R1784" s="183"/>
      <c r="S1784" s="183"/>
      <c r="T1784" s="183"/>
      <c r="U1784" s="183"/>
      <c r="V1784" s="183"/>
      <c r="W1784" s="183"/>
      <c r="X1784" s="183"/>
      <c r="Y1784" s="183"/>
      <c r="Z1784" s="183"/>
    </row>
    <row r="1785" spans="2:26">
      <c r="B1785" s="191"/>
      <c r="D1785" s="183"/>
      <c r="I1785" s="183"/>
      <c r="J1785" s="183"/>
      <c r="L1785" s="183"/>
      <c r="M1785" s="183"/>
      <c r="N1785" s="183"/>
      <c r="O1785" s="183"/>
      <c r="P1785" s="183"/>
      <c r="Q1785" s="183"/>
      <c r="R1785" s="183"/>
      <c r="S1785" s="183"/>
      <c r="T1785" s="183"/>
      <c r="U1785" s="183"/>
      <c r="V1785" s="183"/>
      <c r="W1785" s="183"/>
      <c r="X1785" s="183"/>
      <c r="Y1785" s="183"/>
      <c r="Z1785" s="183"/>
    </row>
    <row r="1786" spans="2:26">
      <c r="B1786" s="191"/>
      <c r="D1786" s="183"/>
      <c r="I1786" s="183"/>
      <c r="J1786" s="183"/>
      <c r="L1786" s="183"/>
      <c r="M1786" s="183"/>
      <c r="N1786" s="183"/>
      <c r="O1786" s="183"/>
      <c r="P1786" s="183"/>
      <c r="Q1786" s="183"/>
      <c r="R1786" s="183"/>
      <c r="S1786" s="183"/>
      <c r="T1786" s="183"/>
      <c r="U1786" s="183"/>
      <c r="V1786" s="183"/>
      <c r="W1786" s="183"/>
      <c r="X1786" s="183"/>
      <c r="Y1786" s="183"/>
      <c r="Z1786" s="183"/>
    </row>
    <row r="1787" spans="2:26">
      <c r="B1787" s="191"/>
      <c r="D1787" s="183"/>
      <c r="I1787" s="183"/>
      <c r="J1787" s="183"/>
      <c r="L1787" s="183"/>
      <c r="M1787" s="183"/>
      <c r="N1787" s="183"/>
      <c r="O1787" s="183"/>
      <c r="P1787" s="183"/>
      <c r="Q1787" s="183"/>
      <c r="R1787" s="183"/>
      <c r="S1787" s="183"/>
      <c r="T1787" s="183"/>
      <c r="U1787" s="183"/>
      <c r="V1787" s="183"/>
      <c r="W1787" s="183"/>
      <c r="X1787" s="183"/>
      <c r="Y1787" s="183"/>
      <c r="Z1787" s="183"/>
    </row>
    <row r="1788" spans="2:26">
      <c r="B1788" s="191"/>
      <c r="D1788" s="183"/>
      <c r="I1788" s="183"/>
      <c r="J1788" s="183"/>
      <c r="L1788" s="183"/>
      <c r="M1788" s="183"/>
      <c r="N1788" s="183"/>
      <c r="O1788" s="183"/>
      <c r="P1788" s="183"/>
      <c r="Q1788" s="183"/>
      <c r="R1788" s="183"/>
      <c r="S1788" s="183"/>
      <c r="T1788" s="183"/>
      <c r="U1788" s="183"/>
      <c r="V1788" s="183"/>
      <c r="W1788" s="183"/>
      <c r="X1788" s="183"/>
      <c r="Y1788" s="183"/>
      <c r="Z1788" s="183"/>
    </row>
    <row r="1789" spans="2:26">
      <c r="B1789" s="191"/>
      <c r="D1789" s="183"/>
      <c r="I1789" s="183"/>
      <c r="J1789" s="183"/>
      <c r="L1789" s="183"/>
      <c r="M1789" s="183"/>
      <c r="N1789" s="183"/>
      <c r="O1789" s="183"/>
      <c r="P1789" s="183"/>
      <c r="Q1789" s="183"/>
      <c r="R1789" s="183"/>
      <c r="S1789" s="183"/>
      <c r="T1789" s="183"/>
      <c r="U1789" s="183"/>
      <c r="V1789" s="183"/>
      <c r="W1789" s="183"/>
      <c r="X1789" s="183"/>
      <c r="Y1789" s="183"/>
      <c r="Z1789" s="183"/>
    </row>
    <row r="1790" spans="2:26">
      <c r="B1790" s="191"/>
      <c r="D1790" s="183"/>
      <c r="I1790" s="183"/>
      <c r="J1790" s="183"/>
      <c r="L1790" s="183"/>
      <c r="M1790" s="183"/>
      <c r="N1790" s="183"/>
      <c r="O1790" s="183"/>
      <c r="P1790" s="183"/>
      <c r="Q1790" s="183"/>
      <c r="R1790" s="183"/>
      <c r="S1790" s="183"/>
      <c r="T1790" s="183"/>
      <c r="U1790" s="183"/>
      <c r="V1790" s="183"/>
      <c r="W1790" s="183"/>
      <c r="X1790" s="183"/>
      <c r="Y1790" s="183"/>
      <c r="Z1790" s="183"/>
    </row>
    <row r="1791" spans="2:26">
      <c r="B1791" s="191"/>
      <c r="D1791" s="183"/>
      <c r="I1791" s="183"/>
      <c r="J1791" s="183"/>
      <c r="L1791" s="183"/>
      <c r="M1791" s="183"/>
      <c r="N1791" s="183"/>
      <c r="O1791" s="183"/>
      <c r="P1791" s="183"/>
      <c r="Q1791" s="183"/>
      <c r="R1791" s="183"/>
      <c r="S1791" s="183"/>
      <c r="T1791" s="183"/>
      <c r="U1791" s="183"/>
      <c r="V1791" s="183"/>
      <c r="W1791" s="183"/>
      <c r="X1791" s="183"/>
      <c r="Y1791" s="183"/>
      <c r="Z1791" s="183"/>
    </row>
    <row r="1792" spans="2:26">
      <c r="B1792" s="191"/>
      <c r="D1792" s="183"/>
      <c r="I1792" s="183"/>
      <c r="J1792" s="183"/>
      <c r="L1792" s="183"/>
      <c r="M1792" s="183"/>
      <c r="N1792" s="183"/>
      <c r="O1792" s="183"/>
      <c r="P1792" s="183"/>
      <c r="Q1792" s="183"/>
      <c r="R1792" s="183"/>
      <c r="S1792" s="183"/>
      <c r="T1792" s="183"/>
      <c r="U1792" s="183"/>
      <c r="V1792" s="183"/>
      <c r="W1792" s="183"/>
      <c r="X1792" s="183"/>
      <c r="Y1792" s="183"/>
      <c r="Z1792" s="183"/>
    </row>
    <row r="1793" spans="2:26">
      <c r="B1793" s="191"/>
      <c r="D1793" s="183"/>
      <c r="I1793" s="183"/>
      <c r="J1793" s="183"/>
      <c r="L1793" s="183"/>
      <c r="M1793" s="183"/>
      <c r="N1793" s="183"/>
      <c r="O1793" s="183"/>
      <c r="P1793" s="183"/>
      <c r="Q1793" s="183"/>
      <c r="R1793" s="183"/>
      <c r="S1793" s="183"/>
      <c r="T1793" s="183"/>
      <c r="U1793" s="183"/>
      <c r="V1793" s="183"/>
      <c r="W1793" s="183"/>
      <c r="X1793" s="183"/>
      <c r="Y1793" s="183"/>
      <c r="Z1793" s="183"/>
    </row>
    <row r="1794" spans="2:26">
      <c r="B1794" s="191"/>
      <c r="D1794" s="183"/>
      <c r="I1794" s="183"/>
      <c r="J1794" s="183"/>
      <c r="L1794" s="183"/>
      <c r="M1794" s="183"/>
      <c r="N1794" s="183"/>
      <c r="O1794" s="183"/>
      <c r="P1794" s="183"/>
      <c r="Q1794" s="183"/>
      <c r="R1794" s="183"/>
      <c r="S1794" s="183"/>
      <c r="T1794" s="183"/>
      <c r="U1794" s="183"/>
      <c r="V1794" s="183"/>
      <c r="W1794" s="183"/>
      <c r="X1794" s="183"/>
      <c r="Y1794" s="183"/>
      <c r="Z1794" s="183"/>
    </row>
    <row r="1795" spans="2:26">
      <c r="B1795" s="191"/>
      <c r="D1795" s="183"/>
      <c r="I1795" s="183"/>
      <c r="J1795" s="183"/>
      <c r="L1795" s="183"/>
      <c r="M1795" s="183"/>
      <c r="N1795" s="183"/>
      <c r="O1795" s="183"/>
      <c r="P1795" s="183"/>
      <c r="Q1795" s="183"/>
      <c r="R1795" s="183"/>
      <c r="S1795" s="183"/>
      <c r="T1795" s="183"/>
      <c r="U1795" s="183"/>
      <c r="V1795" s="183"/>
      <c r="W1795" s="183"/>
      <c r="X1795" s="183"/>
      <c r="Y1795" s="183"/>
      <c r="Z1795" s="183"/>
    </row>
    <row r="1796" spans="2:26">
      <c r="B1796" s="191"/>
      <c r="D1796" s="183"/>
      <c r="I1796" s="183"/>
      <c r="J1796" s="183"/>
      <c r="L1796" s="183"/>
      <c r="M1796" s="183"/>
      <c r="N1796" s="183"/>
      <c r="O1796" s="183"/>
      <c r="P1796" s="183"/>
      <c r="Q1796" s="183"/>
      <c r="R1796" s="183"/>
      <c r="S1796" s="183"/>
      <c r="T1796" s="183"/>
      <c r="U1796" s="183"/>
      <c r="V1796" s="183"/>
      <c r="W1796" s="183"/>
      <c r="X1796" s="183"/>
      <c r="Y1796" s="183"/>
      <c r="Z1796" s="183"/>
    </row>
    <row r="1797" spans="2:26">
      <c r="B1797" s="191"/>
      <c r="D1797" s="183"/>
      <c r="I1797" s="183"/>
      <c r="J1797" s="183"/>
      <c r="L1797" s="183"/>
      <c r="M1797" s="183"/>
      <c r="N1797" s="183"/>
      <c r="O1797" s="183"/>
      <c r="P1797" s="183"/>
      <c r="Q1797" s="183"/>
      <c r="R1797" s="183"/>
      <c r="S1797" s="183"/>
      <c r="T1797" s="183"/>
      <c r="U1797" s="183"/>
      <c r="V1797" s="183"/>
      <c r="W1797" s="183"/>
      <c r="X1797" s="183"/>
      <c r="Y1797" s="183"/>
      <c r="Z1797" s="183"/>
    </row>
    <row r="1798" spans="2:26">
      <c r="B1798" s="191"/>
      <c r="D1798" s="183"/>
      <c r="I1798" s="183"/>
      <c r="J1798" s="183"/>
      <c r="L1798" s="183"/>
      <c r="M1798" s="183"/>
      <c r="N1798" s="183"/>
      <c r="O1798" s="183"/>
      <c r="P1798" s="183"/>
      <c r="Q1798" s="183"/>
      <c r="R1798" s="183"/>
      <c r="S1798" s="183"/>
      <c r="T1798" s="183"/>
      <c r="U1798" s="183"/>
      <c r="V1798" s="183"/>
      <c r="W1798" s="183"/>
      <c r="X1798" s="183"/>
      <c r="Y1798" s="183"/>
      <c r="Z1798" s="183"/>
    </row>
    <row r="1799" spans="2:26">
      <c r="B1799" s="191"/>
      <c r="D1799" s="183"/>
      <c r="I1799" s="183"/>
      <c r="J1799" s="183"/>
      <c r="L1799" s="183"/>
      <c r="M1799" s="183"/>
      <c r="N1799" s="183"/>
      <c r="O1799" s="183"/>
      <c r="P1799" s="183"/>
      <c r="Q1799" s="183"/>
      <c r="R1799" s="183"/>
      <c r="S1799" s="183"/>
      <c r="T1799" s="183"/>
      <c r="U1799" s="183"/>
      <c r="V1799" s="183"/>
      <c r="W1799" s="183"/>
      <c r="X1799" s="183"/>
      <c r="Y1799" s="183"/>
      <c r="Z1799" s="183"/>
    </row>
    <row r="1800" spans="2:26">
      <c r="B1800" s="191"/>
      <c r="D1800" s="183"/>
      <c r="I1800" s="183"/>
      <c r="J1800" s="183"/>
      <c r="L1800" s="183"/>
      <c r="M1800" s="183"/>
      <c r="N1800" s="183"/>
      <c r="O1800" s="183"/>
      <c r="P1800" s="183"/>
      <c r="Q1800" s="183"/>
      <c r="R1800" s="183"/>
      <c r="S1800" s="183"/>
      <c r="T1800" s="183"/>
      <c r="U1800" s="183"/>
      <c r="V1800" s="183"/>
      <c r="W1800" s="183"/>
      <c r="X1800" s="183"/>
      <c r="Y1800" s="183"/>
      <c r="Z1800" s="183"/>
    </row>
    <row r="1801" spans="2:26">
      <c r="B1801" s="191"/>
      <c r="D1801" s="183"/>
      <c r="I1801" s="183"/>
      <c r="J1801" s="183"/>
      <c r="L1801" s="183"/>
      <c r="M1801" s="183"/>
      <c r="N1801" s="183"/>
      <c r="O1801" s="183"/>
      <c r="P1801" s="183"/>
      <c r="Q1801" s="183"/>
      <c r="R1801" s="183"/>
      <c r="S1801" s="183"/>
      <c r="T1801" s="183"/>
      <c r="U1801" s="183"/>
      <c r="V1801" s="183"/>
      <c r="W1801" s="183"/>
      <c r="X1801" s="183"/>
      <c r="Y1801" s="183"/>
      <c r="Z1801" s="183"/>
    </row>
    <row r="1802" spans="2:26">
      <c r="B1802" s="191"/>
      <c r="D1802" s="183"/>
      <c r="I1802" s="183"/>
      <c r="J1802" s="183"/>
      <c r="L1802" s="183"/>
      <c r="M1802" s="183"/>
      <c r="N1802" s="183"/>
      <c r="O1802" s="183"/>
      <c r="P1802" s="183"/>
      <c r="Q1802" s="183"/>
      <c r="R1802" s="183"/>
      <c r="S1802" s="183"/>
      <c r="T1802" s="183"/>
      <c r="U1802" s="183"/>
      <c r="V1802" s="183"/>
      <c r="W1802" s="183"/>
      <c r="X1802" s="183"/>
      <c r="Y1802" s="183"/>
      <c r="Z1802" s="183"/>
    </row>
    <row r="1803" spans="2:26">
      <c r="B1803" s="191"/>
      <c r="D1803" s="183"/>
      <c r="I1803" s="183"/>
      <c r="J1803" s="183"/>
      <c r="L1803" s="183"/>
      <c r="M1803" s="183"/>
      <c r="N1803" s="183"/>
      <c r="O1803" s="183"/>
      <c r="P1803" s="183"/>
      <c r="Q1803" s="183"/>
      <c r="R1803" s="183"/>
      <c r="S1803" s="183"/>
      <c r="T1803" s="183"/>
      <c r="U1803" s="183"/>
      <c r="V1803" s="183"/>
      <c r="W1803" s="183"/>
      <c r="X1803" s="183"/>
      <c r="Y1803" s="183"/>
      <c r="Z1803" s="183"/>
    </row>
  </sheetData>
  <mergeCells count="7">
    <mergeCell ref="Q73:Z73"/>
    <mergeCell ref="A3:A7"/>
    <mergeCell ref="F6:I7"/>
    <mergeCell ref="N29:N38"/>
    <mergeCell ref="C40:C41"/>
    <mergeCell ref="N40:N41"/>
    <mergeCell ref="F71:I7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3029"/>
  <sheetViews>
    <sheetView tabSelected="1" topLeftCell="I1875" zoomScale="75" zoomScaleNormal="75" workbookViewId="0">
      <selection activeCell="W1883" sqref="W1883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8.85546875" style="183" customWidth="1"/>
    <col min="4" max="4" width="63.140625" style="420" customWidth="1"/>
    <col min="5" max="5" width="10.7109375" style="183" customWidth="1"/>
    <col min="6" max="6" width="13.85546875" style="218" bestFit="1" customWidth="1"/>
    <col min="7" max="7" width="14.85546875" style="218" customWidth="1"/>
    <col min="8" max="8" width="21.7109375" style="218" bestFit="1" customWidth="1"/>
    <col min="9" max="9" width="11.140625" style="183" customWidth="1"/>
    <col min="10" max="11" width="2.28515625" style="905" customWidth="1"/>
    <col min="12" max="12" width="3.85546875" style="905" customWidth="1"/>
    <col min="13" max="13" width="14" style="905" customWidth="1"/>
    <col min="14" max="14" width="11.7109375" style="218" customWidth="1"/>
    <col min="15" max="15" width="17.7109375" style="218" customWidth="1"/>
    <col min="16" max="16" width="13.28515625" style="218" customWidth="1"/>
    <col min="17" max="17" width="18.7109375" style="218" customWidth="1"/>
    <col min="18" max="18" width="12.85546875" style="218" bestFit="1" customWidth="1"/>
    <col min="19" max="19" width="17.85546875" style="218" bestFit="1" customWidth="1"/>
    <col min="20" max="21" width="17.85546875" style="218" customWidth="1"/>
    <col min="22" max="22" width="16.28515625" style="220" customWidth="1"/>
    <col min="23" max="23" width="17.28515625" style="218" bestFit="1" customWidth="1"/>
    <col min="24" max="24" width="13.140625" style="218" bestFit="1" customWidth="1"/>
    <col min="25" max="25" width="19.42578125" style="218" bestFit="1" customWidth="1"/>
    <col min="26" max="26" width="9.28515625" style="220" bestFit="1" customWidth="1"/>
    <col min="27" max="27" width="15.7109375" style="218" customWidth="1"/>
    <col min="28" max="28" width="13.140625" style="220" bestFit="1" customWidth="1"/>
    <col min="29" max="29" width="17.7109375" style="218" bestFit="1" customWidth="1"/>
    <col min="30" max="30" width="9.140625" style="183"/>
    <col min="31" max="31" width="15.140625" style="183" bestFit="1" customWidth="1"/>
    <col min="32" max="16384" width="9.140625" style="183"/>
  </cols>
  <sheetData>
    <row r="1" spans="1:31">
      <c r="A1" s="579" t="s">
        <v>1035</v>
      </c>
      <c r="B1" s="581"/>
      <c r="C1" s="579"/>
      <c r="D1" s="915"/>
      <c r="E1" s="581"/>
      <c r="F1" s="582"/>
      <c r="G1" s="582"/>
      <c r="H1" s="582"/>
      <c r="I1" s="581" t="s">
        <v>1779</v>
      </c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3"/>
      <c r="W1" s="582"/>
      <c r="X1" s="582"/>
      <c r="Y1" s="582"/>
      <c r="Z1" s="583"/>
      <c r="AA1" s="582"/>
      <c r="AB1" s="583"/>
      <c r="AC1" s="584"/>
    </row>
    <row r="2" spans="1:31">
      <c r="A2" s="179" t="s">
        <v>2525</v>
      </c>
      <c r="B2" s="180"/>
      <c r="C2" s="179"/>
      <c r="D2" s="585"/>
      <c r="E2" s="180"/>
      <c r="F2" s="181"/>
      <c r="G2" s="181"/>
      <c r="H2" s="181"/>
      <c r="I2" s="180" t="s">
        <v>1779</v>
      </c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2"/>
      <c r="W2" s="181"/>
      <c r="X2" s="181"/>
      <c r="Y2" s="181"/>
      <c r="Z2" s="182"/>
      <c r="AA2" s="181"/>
      <c r="AB2" s="182"/>
      <c r="AC2" s="586"/>
    </row>
    <row r="3" spans="1:31">
      <c r="A3" s="179" t="s">
        <v>3375</v>
      </c>
      <c r="B3" s="180"/>
      <c r="C3" s="179"/>
      <c r="D3" s="585"/>
      <c r="E3" s="180"/>
      <c r="F3" s="181"/>
      <c r="G3" s="181"/>
      <c r="H3" s="181"/>
      <c r="I3" s="180" t="s">
        <v>1779</v>
      </c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2"/>
      <c r="W3" s="181"/>
      <c r="X3" s="181"/>
      <c r="Y3" s="181"/>
      <c r="Z3" s="182"/>
      <c r="AA3" s="181"/>
      <c r="AB3" s="182"/>
      <c r="AC3" s="586"/>
    </row>
    <row r="4" spans="1:31">
      <c r="A4" s="179"/>
      <c r="B4" s="178"/>
      <c r="C4" s="179"/>
      <c r="D4" s="585"/>
      <c r="E4" s="180"/>
      <c r="F4" s="781" t="s">
        <v>3039</v>
      </c>
      <c r="G4" s="760"/>
      <c r="H4" s="761"/>
      <c r="I4" s="180" t="s">
        <v>1779</v>
      </c>
      <c r="J4" s="899" t="s">
        <v>1779</v>
      </c>
      <c r="K4" s="899"/>
      <c r="L4" s="899"/>
      <c r="M4" s="899"/>
      <c r="N4" s="184" t="s">
        <v>1806</v>
      </c>
      <c r="O4" s="184"/>
      <c r="P4" s="184"/>
      <c r="Q4" s="493"/>
      <c r="R4" s="184"/>
      <c r="S4" s="184"/>
      <c r="T4" s="184"/>
      <c r="U4" s="184"/>
      <c r="V4" s="493"/>
      <c r="W4" s="493"/>
      <c r="X4" s="184"/>
      <c r="Y4" s="184"/>
      <c r="Z4" s="184"/>
      <c r="AA4" s="184"/>
      <c r="AB4" s="184"/>
      <c r="AC4" s="184"/>
    </row>
    <row r="5" spans="1:31" s="286" customFormat="1" ht="25.5">
      <c r="A5" s="179"/>
      <c r="B5" s="178"/>
      <c r="C5" s="179"/>
      <c r="D5" s="585"/>
      <c r="E5" s="180"/>
      <c r="F5" s="927" t="s">
        <v>3040</v>
      </c>
      <c r="G5" s="759"/>
      <c r="H5" s="928"/>
      <c r="I5" s="178" t="s">
        <v>1779</v>
      </c>
      <c r="J5" s="899"/>
      <c r="K5" s="899"/>
      <c r="L5" s="899"/>
      <c r="M5" s="899"/>
      <c r="N5" s="770" t="s">
        <v>3175</v>
      </c>
      <c r="O5" s="771"/>
      <c r="P5" s="818" t="s">
        <v>3177</v>
      </c>
      <c r="Q5" s="817"/>
      <c r="R5" s="828" t="s">
        <v>3033</v>
      </c>
      <c r="S5" s="769"/>
      <c r="T5" s="798" t="s">
        <v>3038</v>
      </c>
      <c r="U5" s="799"/>
      <c r="V5" s="818" t="s">
        <v>3034</v>
      </c>
      <c r="W5" s="817"/>
      <c r="X5" s="818" t="s">
        <v>3035</v>
      </c>
      <c r="Y5" s="817"/>
      <c r="Z5" s="818" t="s">
        <v>3036</v>
      </c>
      <c r="AA5" s="817"/>
      <c r="AB5" s="818" t="s">
        <v>3037</v>
      </c>
      <c r="AC5" s="817"/>
    </row>
    <row r="6" spans="1:31" ht="14.25">
      <c r="A6" s="192" t="s">
        <v>1788</v>
      </c>
      <c r="B6" s="193" t="s">
        <v>462</v>
      </c>
      <c r="C6" s="194" t="s">
        <v>3192</v>
      </c>
      <c r="D6" s="195" t="s">
        <v>3180</v>
      </c>
      <c r="E6" s="194" t="s">
        <v>1890</v>
      </c>
      <c r="F6" s="198" t="s">
        <v>1891</v>
      </c>
      <c r="G6" s="197" t="s">
        <v>1892</v>
      </c>
      <c r="H6" s="929" t="s">
        <v>1893</v>
      </c>
      <c r="I6" s="194" t="s">
        <v>1890</v>
      </c>
      <c r="J6" s="900"/>
      <c r="K6" s="900"/>
      <c r="L6" s="900"/>
      <c r="M6" s="900"/>
      <c r="N6" s="198" t="s">
        <v>1891</v>
      </c>
      <c r="O6" s="199" t="s">
        <v>2207</v>
      </c>
      <c r="P6" s="198" t="s">
        <v>1891</v>
      </c>
      <c r="Q6" s="199" t="s">
        <v>2207</v>
      </c>
      <c r="R6" s="198" t="s">
        <v>1891</v>
      </c>
      <c r="S6" s="199" t="s">
        <v>2207</v>
      </c>
      <c r="T6" s="198" t="s">
        <v>1891</v>
      </c>
      <c r="U6" s="199" t="s">
        <v>2207</v>
      </c>
      <c r="V6" s="200" t="s">
        <v>1891</v>
      </c>
      <c r="W6" s="199" t="s">
        <v>2207</v>
      </c>
      <c r="X6" s="198" t="s">
        <v>1891</v>
      </c>
      <c r="Y6" s="199" t="s">
        <v>2207</v>
      </c>
      <c r="Z6" s="200" t="s">
        <v>1891</v>
      </c>
      <c r="AA6" s="199" t="s">
        <v>2207</v>
      </c>
      <c r="AB6" s="200" t="s">
        <v>1891</v>
      </c>
      <c r="AC6" s="199" t="s">
        <v>2207</v>
      </c>
    </row>
    <row r="7" spans="1:31">
      <c r="A7" s="201"/>
      <c r="B7" s="202"/>
      <c r="C7" s="202"/>
      <c r="D7" s="203" t="s">
        <v>1889</v>
      </c>
      <c r="E7" s="202"/>
      <c r="F7" s="207" t="s">
        <v>1894</v>
      </c>
      <c r="G7" s="206" t="s">
        <v>1895</v>
      </c>
      <c r="H7" s="204" t="s">
        <v>1896</v>
      </c>
      <c r="I7" s="202"/>
      <c r="J7" s="901"/>
      <c r="K7" s="901"/>
      <c r="L7" s="901"/>
      <c r="M7" s="901"/>
      <c r="N7" s="207" t="s">
        <v>1894</v>
      </c>
      <c r="O7" s="208"/>
      <c r="P7" s="207" t="s">
        <v>1894</v>
      </c>
      <c r="Q7" s="208"/>
      <c r="R7" s="207" t="s">
        <v>1894</v>
      </c>
      <c r="S7" s="208"/>
      <c r="T7" s="207" t="s">
        <v>1894</v>
      </c>
      <c r="U7" s="208"/>
      <c r="V7" s="209" t="s">
        <v>1894</v>
      </c>
      <c r="W7" s="208"/>
      <c r="X7" s="207" t="s">
        <v>1894</v>
      </c>
      <c r="Y7" s="208"/>
      <c r="Z7" s="209" t="s">
        <v>1894</v>
      </c>
      <c r="AA7" s="208"/>
      <c r="AB7" s="209" t="s">
        <v>1894</v>
      </c>
      <c r="AC7" s="208"/>
    </row>
    <row r="8" spans="1:31" ht="15">
      <c r="A8" s="210"/>
      <c r="B8" s="211"/>
      <c r="C8" s="211"/>
      <c r="D8" s="212"/>
      <c r="E8" s="211"/>
      <c r="F8" s="215" t="s">
        <v>1890</v>
      </c>
      <c r="G8" s="214" t="s">
        <v>1897</v>
      </c>
      <c r="H8" s="396" t="s">
        <v>1897</v>
      </c>
      <c r="I8" s="211"/>
      <c r="J8" s="902"/>
      <c r="K8" s="902"/>
      <c r="L8" s="902"/>
      <c r="M8" s="902"/>
      <c r="N8" s="215" t="s">
        <v>1890</v>
      </c>
      <c r="O8" s="215"/>
      <c r="P8" s="215" t="s">
        <v>1890</v>
      </c>
      <c r="Q8" s="215"/>
      <c r="R8" s="215" t="s">
        <v>1890</v>
      </c>
      <c r="S8" s="215"/>
      <c r="T8" s="215" t="s">
        <v>1890</v>
      </c>
      <c r="U8" s="215"/>
      <c r="V8" s="216" t="s">
        <v>1890</v>
      </c>
      <c r="W8" s="215"/>
      <c r="X8" s="215" t="s">
        <v>1890</v>
      </c>
      <c r="Y8" s="215"/>
      <c r="Z8" s="216" t="s">
        <v>1890</v>
      </c>
      <c r="AA8" s="215"/>
      <c r="AB8" s="216" t="s">
        <v>1890</v>
      </c>
      <c r="AC8" s="215"/>
    </row>
    <row r="9" spans="1:31" ht="22.5">
      <c r="A9" s="201"/>
      <c r="B9" s="202"/>
      <c r="C9" s="879" t="s">
        <v>3232</v>
      </c>
      <c r="D9" s="883" t="s">
        <v>3230</v>
      </c>
      <c r="E9" s="590"/>
      <c r="F9" s="590"/>
      <c r="G9" s="590"/>
      <c r="H9" s="590"/>
      <c r="I9" s="590"/>
      <c r="J9" s="903"/>
      <c r="K9" s="903"/>
      <c r="L9" s="903"/>
      <c r="M9" s="903"/>
      <c r="N9" s="222"/>
      <c r="O9" s="222"/>
      <c r="P9" s="223"/>
      <c r="Q9" s="222"/>
      <c r="R9" s="222"/>
      <c r="S9" s="222"/>
      <c r="T9" s="222"/>
      <c r="U9" s="222"/>
      <c r="V9" s="224"/>
      <c r="W9" s="222"/>
      <c r="X9" s="222"/>
      <c r="Y9" s="222"/>
      <c r="Z9" s="224"/>
      <c r="AA9" s="222"/>
      <c r="AB9" s="224"/>
      <c r="AC9" s="588"/>
      <c r="AD9" s="226"/>
      <c r="AE9" s="226"/>
    </row>
    <row r="10" spans="1:31" ht="38.25" customHeight="1">
      <c r="A10" s="201"/>
      <c r="B10" s="202"/>
      <c r="C10" s="589" t="s">
        <v>3234</v>
      </c>
      <c r="D10" s="882" t="s">
        <v>3233</v>
      </c>
      <c r="E10" s="590"/>
      <c r="F10" s="590"/>
      <c r="G10" s="590"/>
      <c r="H10" s="590"/>
      <c r="I10" s="590"/>
      <c r="J10" s="903"/>
      <c r="K10" s="903"/>
      <c r="L10" s="903"/>
      <c r="M10" s="903"/>
      <c r="N10" s="222"/>
      <c r="O10" s="222"/>
      <c r="P10" s="223"/>
      <c r="Q10" s="222"/>
      <c r="R10" s="222"/>
      <c r="S10" s="222"/>
      <c r="T10" s="222"/>
      <c r="U10" s="222"/>
      <c r="V10" s="224"/>
      <c r="W10" s="222"/>
      <c r="X10" s="222"/>
      <c r="Y10" s="222"/>
      <c r="Z10" s="224"/>
      <c r="AA10" s="222"/>
      <c r="AB10" s="224"/>
      <c r="AC10" s="588"/>
      <c r="AD10" s="226"/>
      <c r="AE10" s="226"/>
    </row>
    <row r="11" spans="1:31" ht="22.5">
      <c r="A11" s="201"/>
      <c r="B11" s="202"/>
      <c r="C11" s="880" t="s">
        <v>3370</v>
      </c>
      <c r="D11" s="589" t="s">
        <v>3231</v>
      </c>
      <c r="E11" s="590"/>
      <c r="F11" s="590"/>
      <c r="G11" s="590"/>
      <c r="H11" s="590"/>
      <c r="I11" s="590"/>
      <c r="J11" s="903"/>
      <c r="K11" s="903"/>
      <c r="L11" s="903"/>
      <c r="M11" s="903"/>
      <c r="N11" s="222"/>
      <c r="O11" s="222"/>
      <c r="P11" s="223"/>
      <c r="Q11" s="222"/>
      <c r="R11" s="222"/>
      <c r="S11" s="222"/>
      <c r="T11" s="222"/>
      <c r="U11" s="222"/>
      <c r="V11" s="224"/>
      <c r="W11" s="222"/>
      <c r="X11" s="222"/>
      <c r="Y11" s="222"/>
      <c r="Z11" s="224"/>
      <c r="AA11" s="222"/>
      <c r="AB11" s="224"/>
      <c r="AC11" s="588"/>
      <c r="AD11" s="226"/>
      <c r="AE11" s="226"/>
    </row>
    <row r="12" spans="1:31" ht="22.5">
      <c r="A12" s="201"/>
      <c r="B12" s="202"/>
      <c r="C12" s="880" t="s">
        <v>3535</v>
      </c>
      <c r="D12" s="589" t="s">
        <v>3326</v>
      </c>
      <c r="E12" s="590"/>
      <c r="F12" s="590"/>
      <c r="G12" s="590"/>
      <c r="H12" s="590"/>
      <c r="I12" s="590"/>
      <c r="J12" s="903"/>
      <c r="K12" s="903"/>
      <c r="L12" s="903"/>
      <c r="M12" s="903"/>
      <c r="N12" s="222"/>
      <c r="O12" s="222"/>
      <c r="P12" s="223"/>
      <c r="Q12" s="222"/>
      <c r="R12" s="222"/>
      <c r="S12" s="222"/>
      <c r="T12" s="222"/>
      <c r="U12" s="222"/>
      <c r="V12" s="224"/>
      <c r="W12" s="222"/>
      <c r="X12" s="222"/>
      <c r="Y12" s="222"/>
      <c r="Z12" s="224"/>
      <c r="AA12" s="222"/>
      <c r="AB12" s="224"/>
      <c r="AC12" s="588"/>
      <c r="AD12" s="226"/>
      <c r="AE12" s="226"/>
    </row>
    <row r="13" spans="1:31" ht="22.5">
      <c r="A13" s="210"/>
      <c r="B13" s="211"/>
      <c r="C13" s="591" t="s">
        <v>3536</v>
      </c>
      <c r="D13" s="591" t="s">
        <v>3231</v>
      </c>
      <c r="E13" s="592"/>
      <c r="F13" s="592"/>
      <c r="G13" s="881"/>
      <c r="H13" s="592"/>
      <c r="I13" s="592"/>
      <c r="J13" s="904"/>
      <c r="K13" s="904"/>
      <c r="L13" s="904"/>
      <c r="M13" s="904"/>
      <c r="N13" s="770" t="s">
        <v>3174</v>
      </c>
      <c r="O13" s="771"/>
      <c r="P13" s="818" t="s">
        <v>3176</v>
      </c>
      <c r="Q13" s="817"/>
      <c r="R13" s="828" t="s">
        <v>3178</v>
      </c>
      <c r="S13" s="769"/>
      <c r="T13" s="798" t="s">
        <v>3179</v>
      </c>
      <c r="U13" s="799"/>
      <c r="V13" s="818" t="s">
        <v>3176</v>
      </c>
      <c r="W13" s="817"/>
      <c r="X13" s="818" t="s">
        <v>3176</v>
      </c>
      <c r="Y13" s="817"/>
      <c r="Z13" s="818" t="s">
        <v>3176</v>
      </c>
      <c r="AA13" s="817"/>
      <c r="AB13" s="818" t="s">
        <v>3176</v>
      </c>
      <c r="AC13" s="817"/>
      <c r="AD13" s="226"/>
      <c r="AE13" s="226"/>
    </row>
    <row r="14" spans="1:31" s="247" customFormat="1" ht="15">
      <c r="A14" s="917" t="s">
        <v>1779</v>
      </c>
      <c r="B14" s="918"/>
      <c r="C14" s="918"/>
      <c r="D14" s="919"/>
      <c r="E14" s="918"/>
      <c r="F14" s="930"/>
      <c r="G14" s="920"/>
      <c r="H14" s="931"/>
      <c r="I14" s="918"/>
      <c r="J14" s="920"/>
      <c r="K14" s="920"/>
      <c r="L14" s="920"/>
      <c r="M14" s="920"/>
      <c r="N14" s="920"/>
      <c r="O14" s="921"/>
      <c r="P14" s="922"/>
      <c r="Q14" s="923"/>
      <c r="R14" s="920"/>
      <c r="S14" s="921"/>
      <c r="T14" s="921"/>
      <c r="U14" s="921"/>
      <c r="V14" s="923"/>
      <c r="W14" s="923"/>
      <c r="X14" s="923"/>
      <c r="Y14" s="923"/>
      <c r="Z14" s="923"/>
      <c r="AA14" s="923"/>
      <c r="AB14" s="923"/>
      <c r="AC14" s="923"/>
    </row>
    <row r="15" spans="1:31" s="247" customFormat="1" ht="15">
      <c r="A15" s="909"/>
      <c r="B15" s="703"/>
      <c r="C15" s="857">
        <v>51</v>
      </c>
      <c r="D15" s="744" t="s">
        <v>1444</v>
      </c>
      <c r="E15" s="703"/>
      <c r="F15" s="734"/>
      <c r="G15" s="241"/>
      <c r="H15" s="241"/>
      <c r="I15" s="703"/>
      <c r="J15" s="241"/>
      <c r="K15" s="241"/>
      <c r="L15" s="241"/>
      <c r="M15" s="241"/>
      <c r="N15" s="241"/>
      <c r="O15" s="910"/>
      <c r="P15" s="911"/>
      <c r="Q15" s="908"/>
      <c r="R15" s="241"/>
      <c r="S15" s="910"/>
      <c r="T15" s="910"/>
      <c r="U15" s="910"/>
      <c r="V15" s="908"/>
      <c r="W15" s="908"/>
      <c r="X15" s="908"/>
      <c r="Y15" s="908"/>
      <c r="Z15" s="908"/>
      <c r="AA15" s="908"/>
      <c r="AB15" s="908"/>
      <c r="AC15" s="908"/>
    </row>
    <row r="16" spans="1:31" s="247" customFormat="1" ht="25.5">
      <c r="A16" s="236"/>
      <c r="B16" s="237"/>
      <c r="C16" s="856" t="s">
        <v>3045</v>
      </c>
      <c r="D16" s="238" t="s">
        <v>3046</v>
      </c>
      <c r="E16" s="237"/>
      <c r="F16" s="733"/>
      <c r="G16" s="243"/>
      <c r="H16" s="243"/>
      <c r="I16" s="237"/>
      <c r="J16" s="243"/>
      <c r="K16" s="243"/>
      <c r="L16" s="243"/>
      <c r="M16" s="243"/>
      <c r="N16" s="243"/>
      <c r="O16" s="242"/>
      <c r="P16" s="243"/>
      <c r="Q16" s="245"/>
      <c r="R16" s="243"/>
      <c r="S16" s="242"/>
      <c r="T16" s="242"/>
      <c r="U16" s="242"/>
      <c r="V16" s="245"/>
      <c r="W16" s="245"/>
      <c r="X16" s="242"/>
      <c r="Y16" s="245"/>
      <c r="Z16" s="245"/>
      <c r="AA16" s="245"/>
      <c r="AB16" s="245"/>
      <c r="AC16" s="245"/>
    </row>
    <row r="17" spans="1:29" ht="15">
      <c r="A17" s="250">
        <v>1</v>
      </c>
      <c r="B17" s="251"/>
      <c r="C17" s="855" t="s">
        <v>2028</v>
      </c>
      <c r="D17" s="526" t="s">
        <v>3041</v>
      </c>
      <c r="E17" s="251" t="s">
        <v>545</v>
      </c>
      <c r="F17" s="735">
        <f>N17+R17+P17+T17+V17+X17+Z17+AB17</f>
        <v>76</v>
      </c>
      <c r="G17" s="872">
        <v>39.31</v>
      </c>
      <c r="H17" s="261">
        <f>O17+S17+Q17+U17+W17+Y17+AA17+AC17</f>
        <v>2987.5600000000004</v>
      </c>
      <c r="I17" s="251" t="s">
        <v>545</v>
      </c>
      <c r="J17" s="872"/>
      <c r="K17" s="872"/>
      <c r="L17" s="872"/>
      <c r="M17" s="872"/>
      <c r="N17" s="256">
        <v>18</v>
      </c>
      <c r="O17" s="257">
        <f>INT($G17*N17*100+0.5)/100</f>
        <v>707.58</v>
      </c>
      <c r="P17" s="256">
        <v>7</v>
      </c>
      <c r="Q17" s="257">
        <f>INT($G17*P17*100+0.5)/100</f>
        <v>275.17</v>
      </c>
      <c r="R17" s="256">
        <v>24</v>
      </c>
      <c r="S17" s="257">
        <f>INT($G17*R17*100+0.5)/100</f>
        <v>943.44</v>
      </c>
      <c r="T17" s="258">
        <v>4</v>
      </c>
      <c r="U17" s="257">
        <f>INT($G17*T17*100+0.5)/100</f>
        <v>157.24</v>
      </c>
      <c r="V17" s="258">
        <v>0</v>
      </c>
      <c r="W17" s="257">
        <f>INT($G17*V17*100+0.5)/100</f>
        <v>0</v>
      </c>
      <c r="X17" s="256">
        <v>18</v>
      </c>
      <c r="Y17" s="257">
        <f>INT($G17*X17*100+0.5)/100</f>
        <v>707.58</v>
      </c>
      <c r="Z17" s="258">
        <v>5</v>
      </c>
      <c r="AA17" s="257">
        <f>INT($G17*Z17*100+0.5)/100</f>
        <v>196.55</v>
      </c>
      <c r="AB17" s="258">
        <v>0</v>
      </c>
      <c r="AC17" s="257">
        <f>INT($G17*AB17*100+0.5)/100</f>
        <v>0</v>
      </c>
    </row>
    <row r="18" spans="1:29" ht="15">
      <c r="A18" s="250"/>
      <c r="B18" s="251"/>
      <c r="C18" s="646"/>
      <c r="D18" s="526" t="s">
        <v>3042</v>
      </c>
      <c r="E18" s="251"/>
      <c r="F18" s="735"/>
      <c r="G18" s="872"/>
      <c r="H18" s="261"/>
      <c r="I18" s="251"/>
      <c r="J18" s="872"/>
      <c r="K18" s="872"/>
      <c r="L18" s="872"/>
      <c r="M18" s="872"/>
      <c r="N18" s="256"/>
      <c r="O18" s="257"/>
      <c r="P18" s="256"/>
      <c r="Q18" s="257"/>
      <c r="R18" s="256"/>
      <c r="S18" s="257"/>
      <c r="T18" s="258"/>
      <c r="U18" s="257"/>
      <c r="V18" s="258"/>
      <c r="W18" s="257"/>
      <c r="X18" s="256"/>
      <c r="Y18" s="257"/>
      <c r="Z18" s="258"/>
      <c r="AA18" s="257"/>
      <c r="AB18" s="258"/>
      <c r="AC18" s="257"/>
    </row>
    <row r="19" spans="1:29" ht="15">
      <c r="A19" s="250">
        <f>A17+1</f>
        <v>2</v>
      </c>
      <c r="B19" s="251"/>
      <c r="C19" s="855" t="s">
        <v>2136</v>
      </c>
      <c r="D19" s="526" t="s">
        <v>3043</v>
      </c>
      <c r="E19" s="251" t="s">
        <v>545</v>
      </c>
      <c r="F19" s="735">
        <f>N19+R19+P19+T19+V19+X19+Z19+AB19</f>
        <v>76</v>
      </c>
      <c r="G19" s="872">
        <v>37.020000000000003</v>
      </c>
      <c r="H19" s="261">
        <f>O19+S19+Q19+U19+W19+Y19+AA19+AC19</f>
        <v>2813.52</v>
      </c>
      <c r="I19" s="251" t="s">
        <v>545</v>
      </c>
      <c r="J19" s="872"/>
      <c r="K19" s="872"/>
      <c r="L19" s="872"/>
      <c r="M19" s="872"/>
      <c r="N19" s="256">
        <v>18</v>
      </c>
      <c r="O19" s="257">
        <f>INT($G19*N19*100+0.5)/100</f>
        <v>666.36</v>
      </c>
      <c r="P19" s="256">
        <v>7</v>
      </c>
      <c r="Q19" s="257">
        <f>INT($G19*P19*100+0.5)/100</f>
        <v>259.14</v>
      </c>
      <c r="R19" s="256">
        <v>24</v>
      </c>
      <c r="S19" s="257">
        <f>INT($G19*R19*100+0.5)/100</f>
        <v>888.48</v>
      </c>
      <c r="T19" s="258">
        <v>4</v>
      </c>
      <c r="U19" s="257">
        <f>INT($G19*T19*100+0.5)/100</f>
        <v>148.08000000000001</v>
      </c>
      <c r="V19" s="258">
        <v>0</v>
      </c>
      <c r="W19" s="257">
        <f>INT($G19*V19*100+0.5)/100</f>
        <v>0</v>
      </c>
      <c r="X19" s="256">
        <v>18</v>
      </c>
      <c r="Y19" s="257">
        <f>INT($G19*X19*100+0.5)/100</f>
        <v>666.36</v>
      </c>
      <c r="Z19" s="258">
        <v>5</v>
      </c>
      <c r="AA19" s="257">
        <f>INT($G19*Z19*100+0.5)/100</f>
        <v>185.1</v>
      </c>
      <c r="AB19" s="258">
        <v>0</v>
      </c>
      <c r="AC19" s="257">
        <f>INT($G19*AB19*100+0.5)/100</f>
        <v>0</v>
      </c>
    </row>
    <row r="20" spans="1:29" ht="15">
      <c r="A20" s="250"/>
      <c r="B20" s="251"/>
      <c r="C20" s="855"/>
      <c r="D20" s="526" t="s">
        <v>3044</v>
      </c>
      <c r="E20" s="251"/>
      <c r="F20" s="735"/>
      <c r="G20" s="872"/>
      <c r="H20" s="261"/>
      <c r="I20" s="251"/>
      <c r="J20" s="872"/>
      <c r="K20" s="872"/>
      <c r="L20" s="872"/>
      <c r="M20" s="872"/>
      <c r="N20" s="256"/>
      <c r="O20" s="257"/>
      <c r="P20" s="256"/>
      <c r="Q20" s="257"/>
      <c r="R20" s="256"/>
      <c r="S20" s="257"/>
      <c r="T20" s="258"/>
      <c r="U20" s="257"/>
      <c r="V20" s="258"/>
      <c r="W20" s="257"/>
      <c r="X20" s="256"/>
      <c r="Y20" s="257"/>
      <c r="Z20" s="258"/>
      <c r="AA20" s="257"/>
      <c r="AB20" s="258"/>
      <c r="AC20" s="257"/>
    </row>
    <row r="21" spans="1:29" ht="15">
      <c r="A21" s="250">
        <f>A19+1</f>
        <v>3</v>
      </c>
      <c r="B21" s="251"/>
      <c r="C21" s="855" t="s">
        <v>2137</v>
      </c>
      <c r="D21" s="526" t="s">
        <v>3047</v>
      </c>
      <c r="E21" s="251" t="s">
        <v>545</v>
      </c>
      <c r="F21" s="735">
        <f>N21+R21+P21+T21+V21+X21+Z21+AB21</f>
        <v>76</v>
      </c>
      <c r="G21" s="872">
        <v>34.21</v>
      </c>
      <c r="H21" s="261">
        <f>O21+S21+Q21+U21+W21+Y21+AA21+AC21</f>
        <v>2599.96</v>
      </c>
      <c r="I21" s="251" t="s">
        <v>545</v>
      </c>
      <c r="J21" s="872"/>
      <c r="K21" s="872"/>
      <c r="L21" s="872"/>
      <c r="M21" s="872"/>
      <c r="N21" s="256">
        <v>18</v>
      </c>
      <c r="O21" s="257">
        <f>INT($G21*N21*100+0.5)/100</f>
        <v>615.78</v>
      </c>
      <c r="P21" s="256">
        <v>7</v>
      </c>
      <c r="Q21" s="257">
        <f>INT($G21*P21*100+0.5)/100</f>
        <v>239.47</v>
      </c>
      <c r="R21" s="256">
        <v>24</v>
      </c>
      <c r="S21" s="257">
        <f>INT($G21*R21*100+0.5)/100</f>
        <v>821.04</v>
      </c>
      <c r="T21" s="258">
        <v>4</v>
      </c>
      <c r="U21" s="257">
        <f>INT($G21*T21*100+0.5)/100</f>
        <v>136.84</v>
      </c>
      <c r="V21" s="258">
        <v>0</v>
      </c>
      <c r="W21" s="257">
        <f>INT($G21*V21*100+0.5)/100</f>
        <v>0</v>
      </c>
      <c r="X21" s="256">
        <v>18</v>
      </c>
      <c r="Y21" s="257">
        <f>INT($G21*X21*100+0.5)/100</f>
        <v>615.78</v>
      </c>
      <c r="Z21" s="258">
        <v>5</v>
      </c>
      <c r="AA21" s="257">
        <f>INT($G21*Z21*100+0.5)/100</f>
        <v>171.05</v>
      </c>
      <c r="AB21" s="258">
        <v>0</v>
      </c>
      <c r="AC21" s="257">
        <f>INT($G21*AB21*100+0.5)/100</f>
        <v>0</v>
      </c>
    </row>
    <row r="22" spans="1:29" ht="15">
      <c r="A22" s="250"/>
      <c r="B22" s="251"/>
      <c r="C22" s="855"/>
      <c r="D22" s="526" t="s">
        <v>3048</v>
      </c>
      <c r="E22" s="251"/>
      <c r="F22" s="735"/>
      <c r="G22" s="872"/>
      <c r="H22" s="261"/>
      <c r="I22" s="251"/>
      <c r="J22" s="872"/>
      <c r="K22" s="872"/>
      <c r="L22" s="872"/>
      <c r="M22" s="872"/>
      <c r="N22" s="256"/>
      <c r="O22" s="257"/>
      <c r="P22" s="256"/>
      <c r="Q22" s="257"/>
      <c r="R22" s="256"/>
      <c r="S22" s="257"/>
      <c r="T22" s="258"/>
      <c r="U22" s="257"/>
      <c r="V22" s="258"/>
      <c r="W22" s="257"/>
      <c r="X22" s="256"/>
      <c r="Y22" s="257"/>
      <c r="Z22" s="258"/>
      <c r="AA22" s="257"/>
      <c r="AB22" s="258"/>
      <c r="AC22" s="257"/>
    </row>
    <row r="23" spans="1:29" ht="15">
      <c r="A23" s="250">
        <f>A21+1</f>
        <v>4</v>
      </c>
      <c r="B23" s="251"/>
      <c r="C23" s="855" t="s">
        <v>2138</v>
      </c>
      <c r="D23" s="526" t="s">
        <v>3050</v>
      </c>
      <c r="E23" s="251" t="s">
        <v>545</v>
      </c>
      <c r="F23" s="735">
        <f>N23+R23+P23+T23+V23+X23+Z23+AB23</f>
        <v>76</v>
      </c>
      <c r="G23" s="872">
        <v>30.37</v>
      </c>
      <c r="H23" s="261">
        <f>O23+S23+Q23+U23+W23+Y23+AA23+AC23</f>
        <v>2308.12</v>
      </c>
      <c r="I23" s="251" t="s">
        <v>545</v>
      </c>
      <c r="J23" s="872"/>
      <c r="K23" s="872"/>
      <c r="L23" s="872"/>
      <c r="M23" s="872"/>
      <c r="N23" s="256">
        <v>18</v>
      </c>
      <c r="O23" s="257">
        <f>INT($G23*N23*100+0.5)/100</f>
        <v>546.66</v>
      </c>
      <c r="P23" s="256">
        <v>7</v>
      </c>
      <c r="Q23" s="257">
        <f>INT($G23*P23*100+0.5)/100</f>
        <v>212.59</v>
      </c>
      <c r="R23" s="256">
        <v>24</v>
      </c>
      <c r="S23" s="257">
        <f>INT($G23*R23*100+0.5)/100</f>
        <v>728.88</v>
      </c>
      <c r="T23" s="258">
        <v>4</v>
      </c>
      <c r="U23" s="257">
        <f>INT($G23*T23*100+0.5)/100</f>
        <v>121.48</v>
      </c>
      <c r="V23" s="258">
        <v>0</v>
      </c>
      <c r="W23" s="257">
        <f>INT($G23*V23*100+0.5)/100</f>
        <v>0</v>
      </c>
      <c r="X23" s="256">
        <v>18</v>
      </c>
      <c r="Y23" s="257">
        <f>INT($G23*X23*100+0.5)/100</f>
        <v>546.66</v>
      </c>
      <c r="Z23" s="258">
        <v>5</v>
      </c>
      <c r="AA23" s="257">
        <f>INT($G23*Z23*100+0.5)/100</f>
        <v>151.85</v>
      </c>
      <c r="AB23" s="258">
        <v>0</v>
      </c>
      <c r="AC23" s="257">
        <f>INT($G23*AB23*100+0.5)/100</f>
        <v>0</v>
      </c>
    </row>
    <row r="24" spans="1:29" ht="15">
      <c r="A24" s="250"/>
      <c r="B24" s="251"/>
      <c r="C24" s="855"/>
      <c r="D24" s="526" t="s">
        <v>3049</v>
      </c>
      <c r="E24" s="251"/>
      <c r="F24" s="735"/>
      <c r="G24" s="872"/>
      <c r="H24" s="261"/>
      <c r="I24" s="251"/>
      <c r="J24" s="872"/>
      <c r="K24" s="872"/>
      <c r="L24" s="872"/>
      <c r="M24" s="872"/>
      <c r="N24" s="256"/>
      <c r="O24" s="257"/>
      <c r="P24" s="256"/>
      <c r="Q24" s="257"/>
      <c r="R24" s="256"/>
      <c r="S24" s="257"/>
      <c r="T24" s="258"/>
      <c r="U24" s="257"/>
      <c r="V24" s="258"/>
      <c r="W24" s="257"/>
      <c r="X24" s="256"/>
      <c r="Y24" s="257"/>
      <c r="Z24" s="258"/>
      <c r="AA24" s="257"/>
      <c r="AB24" s="258"/>
      <c r="AC24" s="257"/>
    </row>
    <row r="25" spans="1:29" ht="15">
      <c r="A25" s="250"/>
      <c r="B25" s="251"/>
      <c r="C25" s="855"/>
      <c r="D25" s="526"/>
      <c r="E25" s="251"/>
      <c r="F25" s="735"/>
      <c r="G25" s="872"/>
      <c r="H25" s="261"/>
      <c r="I25" s="251"/>
      <c r="J25" s="872"/>
      <c r="K25" s="872"/>
      <c r="L25" s="872"/>
      <c r="M25" s="872"/>
      <c r="N25" s="256"/>
      <c r="O25" s="257"/>
      <c r="P25" s="256"/>
      <c r="Q25" s="257"/>
      <c r="R25" s="256"/>
      <c r="S25" s="257"/>
      <c r="T25" s="258"/>
      <c r="U25" s="257"/>
      <c r="V25" s="258"/>
      <c r="W25" s="257"/>
      <c r="X25" s="256"/>
      <c r="Y25" s="257"/>
      <c r="Z25" s="258"/>
      <c r="AA25" s="257"/>
      <c r="AB25" s="258"/>
      <c r="AC25" s="257"/>
    </row>
    <row r="26" spans="1:29" ht="15">
      <c r="A26" s="250"/>
      <c r="B26" s="251"/>
      <c r="C26" s="856" t="s">
        <v>3051</v>
      </c>
      <c r="D26" s="238" t="s">
        <v>3052</v>
      </c>
      <c r="E26" s="251"/>
      <c r="F26" s="735"/>
      <c r="G26" s="872"/>
      <c r="H26" s="261"/>
      <c r="I26" s="251"/>
      <c r="J26" s="872"/>
      <c r="K26" s="872"/>
      <c r="L26" s="872"/>
      <c r="M26" s="872"/>
      <c r="N26" s="256"/>
      <c r="O26" s="257"/>
      <c r="P26" s="256"/>
      <c r="Q26" s="257"/>
      <c r="R26" s="256"/>
      <c r="S26" s="257"/>
      <c r="T26" s="258"/>
      <c r="U26" s="257"/>
      <c r="V26" s="258"/>
      <c r="W26" s="257"/>
      <c r="X26" s="256"/>
      <c r="Y26" s="257"/>
      <c r="Z26" s="258"/>
      <c r="AA26" s="257"/>
      <c r="AB26" s="258"/>
      <c r="AC26" s="257"/>
    </row>
    <row r="27" spans="1:29" ht="15">
      <c r="A27" s="250">
        <f>A23+1</f>
        <v>5</v>
      </c>
      <c r="B27" s="251"/>
      <c r="C27" s="855" t="s">
        <v>2226</v>
      </c>
      <c r="D27" s="526" t="s">
        <v>3053</v>
      </c>
      <c r="E27" s="251" t="s">
        <v>545</v>
      </c>
      <c r="F27" s="735">
        <f t="shared" ref="F27:F33" si="0">N27+R27+P27+T27+V27+X27+Z27+AB27</f>
        <v>42</v>
      </c>
      <c r="G27" s="872">
        <v>47.28</v>
      </c>
      <c r="H27" s="261">
        <f t="shared" ref="H27:H33" si="1">O27+S27+Q27+U27+W27+Y27+AA27+AC27</f>
        <v>1985.7600000000002</v>
      </c>
      <c r="I27" s="251" t="s">
        <v>545</v>
      </c>
      <c r="J27" s="872"/>
      <c r="K27" s="872"/>
      <c r="L27" s="872"/>
      <c r="M27" s="872"/>
      <c r="N27" s="256">
        <v>9</v>
      </c>
      <c r="O27" s="257">
        <f>INT($G27*N27*100+0.5)/100</f>
        <v>425.52</v>
      </c>
      <c r="P27" s="256">
        <v>5</v>
      </c>
      <c r="Q27" s="257">
        <f>INT($G27*P27*100+0.5)/100</f>
        <v>236.4</v>
      </c>
      <c r="R27" s="256">
        <v>12</v>
      </c>
      <c r="S27" s="257">
        <f>INT($G27*R27*100+0.5)/100</f>
        <v>567.36</v>
      </c>
      <c r="T27" s="258">
        <v>4</v>
      </c>
      <c r="U27" s="257">
        <f>INT($G27*T27*100+0.5)/100</f>
        <v>189.12</v>
      </c>
      <c r="V27" s="258">
        <v>0</v>
      </c>
      <c r="W27" s="257">
        <f>INT($G27*V27*100+0.5)/100</f>
        <v>0</v>
      </c>
      <c r="X27" s="256">
        <v>7</v>
      </c>
      <c r="Y27" s="257">
        <f>INT($G27*X27*100+0.5)/100</f>
        <v>330.96</v>
      </c>
      <c r="Z27" s="258">
        <v>5</v>
      </c>
      <c r="AA27" s="257">
        <f>INT($G27*Z27*100+0.5)/100</f>
        <v>236.4</v>
      </c>
      <c r="AB27" s="258">
        <v>0</v>
      </c>
      <c r="AC27" s="257">
        <f>INT($G27*AB27*100+0.5)/100</f>
        <v>0</v>
      </c>
    </row>
    <row r="28" spans="1:29" ht="15">
      <c r="A28" s="250"/>
      <c r="B28" s="251"/>
      <c r="C28" s="855"/>
      <c r="D28" s="526" t="s">
        <v>3054</v>
      </c>
      <c r="E28" s="251"/>
      <c r="F28" s="735"/>
      <c r="G28" s="872"/>
      <c r="H28" s="261"/>
      <c r="I28" s="251"/>
      <c r="J28" s="872"/>
      <c r="K28" s="872"/>
      <c r="L28" s="872"/>
      <c r="M28" s="872"/>
      <c r="N28" s="256"/>
      <c r="O28" s="257"/>
      <c r="P28" s="256"/>
      <c r="Q28" s="257"/>
      <c r="R28" s="256"/>
      <c r="S28" s="257"/>
      <c r="T28" s="258"/>
      <c r="U28" s="257"/>
      <c r="V28" s="258"/>
      <c r="W28" s="257"/>
      <c r="X28" s="256"/>
      <c r="Y28" s="257"/>
      <c r="Z28" s="258"/>
      <c r="AA28" s="257"/>
      <c r="AB28" s="258"/>
      <c r="AC28" s="257"/>
    </row>
    <row r="29" spans="1:29" ht="15">
      <c r="A29" s="250">
        <f>A27+1</f>
        <v>6</v>
      </c>
      <c r="B29" s="251"/>
      <c r="C29" s="855" t="s">
        <v>2227</v>
      </c>
      <c r="D29" s="526" t="s">
        <v>3055</v>
      </c>
      <c r="E29" s="251" t="s">
        <v>545</v>
      </c>
      <c r="F29" s="735">
        <f t="shared" si="0"/>
        <v>42</v>
      </c>
      <c r="G29" s="872">
        <v>51.31</v>
      </c>
      <c r="H29" s="261">
        <f t="shared" si="1"/>
        <v>2155.02</v>
      </c>
      <c r="I29" s="251" t="s">
        <v>545</v>
      </c>
      <c r="J29" s="872"/>
      <c r="K29" s="872"/>
      <c r="L29" s="872"/>
      <c r="M29" s="872"/>
      <c r="N29" s="256">
        <v>9</v>
      </c>
      <c r="O29" s="257">
        <f>INT($G29*N29*100+0.5)/100</f>
        <v>461.79</v>
      </c>
      <c r="P29" s="256">
        <v>5</v>
      </c>
      <c r="Q29" s="257">
        <f>INT($G29*P29*100+0.5)/100</f>
        <v>256.55</v>
      </c>
      <c r="R29" s="256">
        <v>12</v>
      </c>
      <c r="S29" s="257">
        <f>INT($G29*R29*100+0.5)/100</f>
        <v>615.72</v>
      </c>
      <c r="T29" s="258">
        <v>4</v>
      </c>
      <c r="U29" s="257">
        <f>INT($G29*T29*100+0.5)/100</f>
        <v>205.24</v>
      </c>
      <c r="V29" s="258">
        <v>0</v>
      </c>
      <c r="W29" s="257">
        <f>INT($G29*V29*100+0.5)/100</f>
        <v>0</v>
      </c>
      <c r="X29" s="256">
        <v>7</v>
      </c>
      <c r="Y29" s="257">
        <f>INT($G29*X29*100+0.5)/100</f>
        <v>359.17</v>
      </c>
      <c r="Z29" s="258">
        <v>5</v>
      </c>
      <c r="AA29" s="257">
        <f>INT($G29*Z29*100+0.5)/100</f>
        <v>256.55</v>
      </c>
      <c r="AB29" s="258">
        <v>0</v>
      </c>
      <c r="AC29" s="257">
        <f>INT($G29*AB29*100+0.5)/100</f>
        <v>0</v>
      </c>
    </row>
    <row r="30" spans="1:29" ht="15">
      <c r="A30" s="250"/>
      <c r="B30" s="251"/>
      <c r="C30" s="855"/>
      <c r="D30" s="526" t="s">
        <v>3058</v>
      </c>
      <c r="E30" s="251"/>
      <c r="F30" s="735"/>
      <c r="G30" s="872"/>
      <c r="H30" s="261"/>
      <c r="I30" s="251"/>
      <c r="J30" s="872"/>
      <c r="K30" s="872"/>
      <c r="L30" s="872"/>
      <c r="M30" s="872"/>
      <c r="N30" s="256"/>
      <c r="O30" s="257"/>
      <c r="P30" s="256"/>
      <c r="Q30" s="257"/>
      <c r="R30" s="256"/>
      <c r="S30" s="257"/>
      <c r="T30" s="258"/>
      <c r="U30" s="257"/>
      <c r="V30" s="258"/>
      <c r="W30" s="257"/>
      <c r="X30" s="256"/>
      <c r="Y30" s="257"/>
      <c r="Z30" s="258"/>
      <c r="AA30" s="257"/>
      <c r="AB30" s="258"/>
      <c r="AC30" s="257"/>
    </row>
    <row r="31" spans="1:29" ht="15">
      <c r="A31" s="250">
        <f>A29+1</f>
        <v>7</v>
      </c>
      <c r="B31" s="251"/>
      <c r="C31" s="855" t="s">
        <v>2228</v>
      </c>
      <c r="D31" s="526" t="s">
        <v>3057</v>
      </c>
      <c r="E31" s="251" t="s">
        <v>545</v>
      </c>
      <c r="F31" s="735">
        <f t="shared" si="0"/>
        <v>42</v>
      </c>
      <c r="G31" s="872">
        <v>54.16</v>
      </c>
      <c r="H31" s="261">
        <f t="shared" si="1"/>
        <v>2274.7199999999998</v>
      </c>
      <c r="I31" s="251" t="s">
        <v>545</v>
      </c>
      <c r="J31" s="872"/>
      <c r="K31" s="872"/>
      <c r="L31" s="872"/>
      <c r="M31" s="872"/>
      <c r="N31" s="256">
        <v>9</v>
      </c>
      <c r="O31" s="257">
        <f>INT($G31*N31*100+0.5)/100</f>
        <v>487.44</v>
      </c>
      <c r="P31" s="256">
        <v>5</v>
      </c>
      <c r="Q31" s="257">
        <f>INT($G31*P31*100+0.5)/100</f>
        <v>270.8</v>
      </c>
      <c r="R31" s="256">
        <v>12</v>
      </c>
      <c r="S31" s="257">
        <f>INT($G31*R31*100+0.5)/100</f>
        <v>649.91999999999996</v>
      </c>
      <c r="T31" s="258">
        <v>4</v>
      </c>
      <c r="U31" s="257">
        <f>INT($G31*T31*100+0.5)/100</f>
        <v>216.64</v>
      </c>
      <c r="V31" s="258">
        <v>0</v>
      </c>
      <c r="W31" s="257">
        <f>INT($G31*V31*100+0.5)/100</f>
        <v>0</v>
      </c>
      <c r="X31" s="256">
        <v>7</v>
      </c>
      <c r="Y31" s="257">
        <f>INT($G31*X31*100+0.5)/100</f>
        <v>379.12</v>
      </c>
      <c r="Z31" s="258">
        <v>5</v>
      </c>
      <c r="AA31" s="257">
        <f>INT($G31*Z31*100+0.5)/100</f>
        <v>270.8</v>
      </c>
      <c r="AB31" s="258">
        <v>0</v>
      </c>
      <c r="AC31" s="257">
        <f>INT($G31*AB31*100+0.5)/100</f>
        <v>0</v>
      </c>
    </row>
    <row r="32" spans="1:29" ht="15">
      <c r="A32" s="250"/>
      <c r="B32" s="251"/>
      <c r="C32" s="855"/>
      <c r="D32" s="526" t="s">
        <v>3056</v>
      </c>
      <c r="E32" s="251"/>
      <c r="F32" s="735"/>
      <c r="G32" s="872"/>
      <c r="H32" s="261"/>
      <c r="I32" s="251"/>
      <c r="J32" s="872"/>
      <c r="K32" s="872"/>
      <c r="L32" s="872"/>
      <c r="M32" s="872"/>
      <c r="N32" s="256"/>
      <c r="O32" s="257"/>
      <c r="P32" s="256"/>
      <c r="Q32" s="257"/>
      <c r="R32" s="256"/>
      <c r="S32" s="257"/>
      <c r="T32" s="258"/>
      <c r="U32" s="257"/>
      <c r="V32" s="258"/>
      <c r="W32" s="257"/>
      <c r="X32" s="256"/>
      <c r="Y32" s="257"/>
      <c r="Z32" s="258"/>
      <c r="AA32" s="257"/>
      <c r="AB32" s="258"/>
      <c r="AC32" s="257"/>
    </row>
    <row r="33" spans="1:29" ht="15">
      <c r="A33" s="250">
        <f>A31+1</f>
        <v>8</v>
      </c>
      <c r="B33" s="251"/>
      <c r="C33" s="855" t="s">
        <v>2229</v>
      </c>
      <c r="D33" s="526" t="s">
        <v>3059</v>
      </c>
      <c r="E33" s="251" t="s">
        <v>545</v>
      </c>
      <c r="F33" s="735">
        <f t="shared" si="0"/>
        <v>38</v>
      </c>
      <c r="G33" s="872">
        <v>61.99</v>
      </c>
      <c r="H33" s="261">
        <f t="shared" si="1"/>
        <v>2355.62</v>
      </c>
      <c r="I33" s="251" t="s">
        <v>545</v>
      </c>
      <c r="J33" s="872"/>
      <c r="K33" s="872"/>
      <c r="L33" s="872"/>
      <c r="M33" s="872"/>
      <c r="N33" s="258">
        <v>9</v>
      </c>
      <c r="O33" s="257">
        <f>INT($G33*N33*100+0.5)/100</f>
        <v>557.91</v>
      </c>
      <c r="P33" s="258">
        <v>5</v>
      </c>
      <c r="Q33" s="257">
        <f>INT($G33*P33*100+0.5)/100</f>
        <v>309.95</v>
      </c>
      <c r="R33" s="258">
        <v>12</v>
      </c>
      <c r="S33" s="257">
        <f>INT($G33*R33*100+0.5)/100</f>
        <v>743.88</v>
      </c>
      <c r="T33" s="258">
        <v>0</v>
      </c>
      <c r="U33" s="257">
        <f>INT($G33*T33*100+0.5)/100</f>
        <v>0</v>
      </c>
      <c r="V33" s="258">
        <v>0</v>
      </c>
      <c r="W33" s="257">
        <f>INT($G33*V33*100+0.5)/100</f>
        <v>0</v>
      </c>
      <c r="X33" s="258">
        <v>7</v>
      </c>
      <c r="Y33" s="257">
        <f>INT($G33*X33*100+0.5)/100</f>
        <v>433.93</v>
      </c>
      <c r="Z33" s="258">
        <v>5</v>
      </c>
      <c r="AA33" s="257">
        <f>INT($G33*Z33*100+0.5)/100</f>
        <v>309.95</v>
      </c>
      <c r="AB33" s="258">
        <v>0</v>
      </c>
      <c r="AC33" s="257">
        <f>INT($G33*AB33*100+0.5)/100</f>
        <v>0</v>
      </c>
    </row>
    <row r="34" spans="1:29" ht="25.5">
      <c r="A34" s="250"/>
      <c r="B34" s="251"/>
      <c r="C34" s="855"/>
      <c r="D34" s="526" t="s">
        <v>3060</v>
      </c>
      <c r="E34" s="251"/>
      <c r="F34" s="735"/>
      <c r="G34" s="872"/>
      <c r="H34" s="261"/>
      <c r="I34" s="251"/>
      <c r="J34" s="872"/>
      <c r="K34" s="872"/>
      <c r="L34" s="872"/>
      <c r="M34" s="872"/>
      <c r="N34" s="258"/>
      <c r="O34" s="257"/>
      <c r="P34" s="258"/>
      <c r="Q34" s="257"/>
      <c r="R34" s="258"/>
      <c r="S34" s="257"/>
      <c r="T34" s="258"/>
      <c r="U34" s="257"/>
      <c r="V34" s="258"/>
      <c r="W34" s="257"/>
      <c r="X34" s="258"/>
      <c r="Y34" s="257"/>
      <c r="Z34" s="258"/>
      <c r="AA34" s="257"/>
      <c r="AB34" s="258"/>
      <c r="AC34" s="257"/>
    </row>
    <row r="35" spans="1:29" ht="15">
      <c r="A35" s="250"/>
      <c r="B35" s="251"/>
      <c r="C35" s="855"/>
      <c r="D35" s="526"/>
      <c r="E35" s="251"/>
      <c r="F35" s="735"/>
      <c r="G35" s="872"/>
      <c r="H35" s="261"/>
      <c r="I35" s="251"/>
      <c r="J35" s="872"/>
      <c r="K35" s="872"/>
      <c r="L35" s="872"/>
      <c r="M35" s="872"/>
      <c r="N35" s="258"/>
      <c r="O35" s="257"/>
      <c r="P35" s="258"/>
      <c r="Q35" s="257"/>
      <c r="R35" s="258"/>
      <c r="S35" s="257"/>
      <c r="T35" s="258"/>
      <c r="U35" s="257"/>
      <c r="V35" s="258"/>
      <c r="W35" s="257"/>
      <c r="X35" s="258"/>
      <c r="Y35" s="257"/>
      <c r="Z35" s="258"/>
      <c r="AA35" s="257"/>
      <c r="AB35" s="258"/>
      <c r="AC35" s="257"/>
    </row>
    <row r="36" spans="1:29" ht="25.5">
      <c r="A36" s="250"/>
      <c r="B36" s="251"/>
      <c r="C36" s="856" t="s">
        <v>3061</v>
      </c>
      <c r="D36" s="829" t="s">
        <v>3062</v>
      </c>
      <c r="E36" s="251"/>
      <c r="F36" s="735"/>
      <c r="G36" s="872"/>
      <c r="H36" s="261"/>
      <c r="I36" s="251"/>
      <c r="J36" s="872"/>
      <c r="K36" s="872"/>
      <c r="L36" s="872"/>
      <c r="M36" s="872"/>
      <c r="N36" s="258"/>
      <c r="O36" s="257"/>
      <c r="P36" s="258"/>
      <c r="Q36" s="257"/>
      <c r="R36" s="258"/>
      <c r="S36" s="257"/>
      <c r="T36" s="258"/>
      <c r="U36" s="257"/>
      <c r="V36" s="258"/>
      <c r="W36" s="257"/>
      <c r="X36" s="258"/>
      <c r="Y36" s="257"/>
      <c r="Z36" s="258"/>
      <c r="AA36" s="257"/>
      <c r="AB36" s="258"/>
      <c r="AC36" s="257"/>
    </row>
    <row r="37" spans="1:29" ht="15">
      <c r="A37" s="250">
        <f>A33+1</f>
        <v>9</v>
      </c>
      <c r="B37" s="251"/>
      <c r="C37" s="855" t="s">
        <v>2232</v>
      </c>
      <c r="D37" s="526" t="s">
        <v>3063</v>
      </c>
      <c r="E37" s="251" t="s">
        <v>545</v>
      </c>
      <c r="F37" s="735">
        <f t="shared" ref="F37:F43" si="2">N37+R37+P37+T37+V37+X37+Z37+AB37</f>
        <v>18</v>
      </c>
      <c r="G37" s="872">
        <v>53.61</v>
      </c>
      <c r="H37" s="261">
        <f t="shared" ref="H37:H43" si="3">O37+S37+Q37+U37+W37+Y37+AA37+AC37</f>
        <v>964.98000000000013</v>
      </c>
      <c r="I37" s="251" t="s">
        <v>545</v>
      </c>
      <c r="J37" s="872"/>
      <c r="K37" s="872"/>
      <c r="L37" s="872"/>
      <c r="M37" s="872"/>
      <c r="N37" s="258">
        <v>3</v>
      </c>
      <c r="O37" s="257">
        <f>INT($G37*N37*100+0.5)/100</f>
        <v>160.83000000000001</v>
      </c>
      <c r="P37" s="258">
        <v>3</v>
      </c>
      <c r="Q37" s="257">
        <f>INT($G37*P37*100+0.5)/100</f>
        <v>160.83000000000001</v>
      </c>
      <c r="R37" s="258">
        <v>5</v>
      </c>
      <c r="S37" s="257">
        <f>INT($G37*R37*100+0.5)/100</f>
        <v>268.05</v>
      </c>
      <c r="T37" s="258">
        <v>4</v>
      </c>
      <c r="U37" s="257">
        <f>INT($G37*T37*100+0.5)/100</f>
        <v>214.44</v>
      </c>
      <c r="V37" s="258">
        <v>0</v>
      </c>
      <c r="W37" s="257">
        <f>INT($G37*V37*100+0.5)/100</f>
        <v>0</v>
      </c>
      <c r="X37" s="258">
        <v>3</v>
      </c>
      <c r="Y37" s="257">
        <f>INT($G37*X37*100+0.5)/100</f>
        <v>160.83000000000001</v>
      </c>
      <c r="Z37" s="258">
        <v>0</v>
      </c>
      <c r="AA37" s="257">
        <f>INT($G37*Z37*100+0.5)/100</f>
        <v>0</v>
      </c>
      <c r="AB37" s="258">
        <v>0</v>
      </c>
      <c r="AC37" s="257">
        <f>INT($G37*AB37*100+0.5)/100</f>
        <v>0</v>
      </c>
    </row>
    <row r="38" spans="1:29" ht="15">
      <c r="A38" s="250"/>
      <c r="B38" s="251"/>
      <c r="C38" s="855"/>
      <c r="D38" s="526" t="s">
        <v>3064</v>
      </c>
      <c r="E38" s="251"/>
      <c r="F38" s="735"/>
      <c r="G38" s="872"/>
      <c r="H38" s="261"/>
      <c r="I38" s="251"/>
      <c r="J38" s="872"/>
      <c r="K38" s="872"/>
      <c r="L38" s="872"/>
      <c r="M38" s="872"/>
      <c r="N38" s="258"/>
      <c r="O38" s="257"/>
      <c r="P38" s="258"/>
      <c r="Q38" s="257"/>
      <c r="R38" s="258"/>
      <c r="S38" s="257"/>
      <c r="T38" s="258"/>
      <c r="U38" s="257"/>
      <c r="V38" s="258"/>
      <c r="W38" s="257"/>
      <c r="X38" s="258"/>
      <c r="Y38" s="257"/>
      <c r="Z38" s="258"/>
      <c r="AA38" s="257"/>
      <c r="AB38" s="258"/>
      <c r="AC38" s="257"/>
    </row>
    <row r="39" spans="1:29" ht="25.5">
      <c r="A39" s="250">
        <f>A37+1</f>
        <v>10</v>
      </c>
      <c r="B39" s="251"/>
      <c r="C39" s="855" t="s">
        <v>2231</v>
      </c>
      <c r="D39" s="526" t="s">
        <v>3065</v>
      </c>
      <c r="E39" s="251" t="s">
        <v>545</v>
      </c>
      <c r="F39" s="735">
        <f t="shared" si="2"/>
        <v>14</v>
      </c>
      <c r="G39" s="872">
        <v>64.61</v>
      </c>
      <c r="H39" s="261">
        <f t="shared" si="3"/>
        <v>904.54000000000008</v>
      </c>
      <c r="I39" s="251" t="s">
        <v>545</v>
      </c>
      <c r="J39" s="872"/>
      <c r="K39" s="872"/>
      <c r="L39" s="872"/>
      <c r="M39" s="872"/>
      <c r="N39" s="258">
        <v>3</v>
      </c>
      <c r="O39" s="257">
        <f>INT($G39*N39*100+0.5)/100</f>
        <v>193.83</v>
      </c>
      <c r="P39" s="258">
        <v>3</v>
      </c>
      <c r="Q39" s="257">
        <f>INT($G39*P39*100+0.5)/100</f>
        <v>193.83</v>
      </c>
      <c r="R39" s="258">
        <v>5</v>
      </c>
      <c r="S39" s="257">
        <f>INT($G39*R39*100+0.5)/100</f>
        <v>323.05</v>
      </c>
      <c r="T39" s="258">
        <v>0</v>
      </c>
      <c r="U39" s="257">
        <f>INT($G39*T39*100+0.5)/100</f>
        <v>0</v>
      </c>
      <c r="V39" s="258">
        <v>0</v>
      </c>
      <c r="W39" s="257">
        <f>INT($G39*V39*100+0.5)/100</f>
        <v>0</v>
      </c>
      <c r="X39" s="258">
        <v>3</v>
      </c>
      <c r="Y39" s="257">
        <f>INT($G39*X39*100+0.5)/100</f>
        <v>193.83</v>
      </c>
      <c r="Z39" s="258">
        <v>0</v>
      </c>
      <c r="AA39" s="257">
        <f>INT($G39*Z39*100+0.5)/100</f>
        <v>0</v>
      </c>
      <c r="AB39" s="258">
        <v>0</v>
      </c>
      <c r="AC39" s="257">
        <f>INT($G39*AB39*100+0.5)/100</f>
        <v>0</v>
      </c>
    </row>
    <row r="40" spans="1:29" ht="25.5">
      <c r="A40" s="250"/>
      <c r="B40" s="251"/>
      <c r="C40" s="855"/>
      <c r="D40" s="526" t="s">
        <v>3066</v>
      </c>
      <c r="E40" s="251"/>
      <c r="F40" s="735"/>
      <c r="G40" s="872"/>
      <c r="H40" s="261"/>
      <c r="I40" s="251"/>
      <c r="J40" s="872"/>
      <c r="K40" s="872"/>
      <c r="L40" s="872"/>
      <c r="M40" s="872"/>
      <c r="N40" s="258"/>
      <c r="O40" s="257"/>
      <c r="P40" s="258"/>
      <c r="Q40" s="257"/>
      <c r="R40" s="258"/>
      <c r="S40" s="257"/>
      <c r="T40" s="258"/>
      <c r="U40" s="257"/>
      <c r="V40" s="258"/>
      <c r="W40" s="257"/>
      <c r="X40" s="258"/>
      <c r="Y40" s="257"/>
      <c r="Z40" s="258"/>
      <c r="AA40" s="257"/>
      <c r="AB40" s="258"/>
      <c r="AC40" s="257"/>
    </row>
    <row r="41" spans="1:29" ht="25.5">
      <c r="A41" s="250">
        <f>A39+1</f>
        <v>11</v>
      </c>
      <c r="B41" s="251"/>
      <c r="C41" s="855" t="s">
        <v>2233</v>
      </c>
      <c r="D41" s="526" t="s">
        <v>3067</v>
      </c>
      <c r="E41" s="251" t="s">
        <v>545</v>
      </c>
      <c r="F41" s="735">
        <f t="shared" si="2"/>
        <v>18</v>
      </c>
      <c r="G41" s="872">
        <v>70.48</v>
      </c>
      <c r="H41" s="261">
        <f t="shared" si="3"/>
        <v>1268.6400000000001</v>
      </c>
      <c r="I41" s="251" t="s">
        <v>545</v>
      </c>
      <c r="J41" s="872"/>
      <c r="K41" s="872"/>
      <c r="L41" s="872"/>
      <c r="M41" s="872"/>
      <c r="N41" s="258">
        <v>3</v>
      </c>
      <c r="O41" s="257">
        <f>INT($G41*N41*100+0.5)/100</f>
        <v>211.44</v>
      </c>
      <c r="P41" s="258">
        <v>3</v>
      </c>
      <c r="Q41" s="257">
        <f>INT($G41*P41*100+0.5)/100</f>
        <v>211.44</v>
      </c>
      <c r="R41" s="258">
        <v>5</v>
      </c>
      <c r="S41" s="257">
        <f>INT($G41*R41*100+0.5)/100</f>
        <v>352.4</v>
      </c>
      <c r="T41" s="258">
        <v>4</v>
      </c>
      <c r="U41" s="257">
        <f>INT($G41*T41*100+0.5)/100</f>
        <v>281.92</v>
      </c>
      <c r="V41" s="258">
        <v>0</v>
      </c>
      <c r="W41" s="257">
        <f>INT($G41*V41*100+0.5)/100</f>
        <v>0</v>
      </c>
      <c r="X41" s="258">
        <v>3</v>
      </c>
      <c r="Y41" s="257">
        <f>INT($G41*X41*100+0.5)/100</f>
        <v>211.44</v>
      </c>
      <c r="Z41" s="258">
        <v>0</v>
      </c>
      <c r="AA41" s="257">
        <f>INT($G41*Z41*100+0.5)/100</f>
        <v>0</v>
      </c>
      <c r="AB41" s="258">
        <v>0</v>
      </c>
      <c r="AC41" s="257">
        <f>INT($G41*AB41*100+0.5)/100</f>
        <v>0</v>
      </c>
    </row>
    <row r="42" spans="1:29" ht="25.5">
      <c r="A42" s="250"/>
      <c r="B42" s="251"/>
      <c r="C42" s="855"/>
      <c r="D42" s="526" t="s">
        <v>3068</v>
      </c>
      <c r="E42" s="251"/>
      <c r="F42" s="735"/>
      <c r="G42" s="872"/>
      <c r="H42" s="261"/>
      <c r="I42" s="251"/>
      <c r="J42" s="872"/>
      <c r="K42" s="872"/>
      <c r="L42" s="872"/>
      <c r="M42" s="872"/>
      <c r="N42" s="258"/>
      <c r="O42" s="257"/>
      <c r="P42" s="258"/>
      <c r="Q42" s="257"/>
      <c r="R42" s="258"/>
      <c r="S42" s="257"/>
      <c r="T42" s="258"/>
      <c r="U42" s="257"/>
      <c r="V42" s="258"/>
      <c r="W42" s="257"/>
      <c r="X42" s="258"/>
      <c r="Y42" s="257"/>
      <c r="Z42" s="258"/>
      <c r="AA42" s="257"/>
      <c r="AB42" s="258"/>
      <c r="AC42" s="257"/>
    </row>
    <row r="43" spans="1:29" ht="25.5">
      <c r="A43" s="250">
        <f>A41+1</f>
        <v>12</v>
      </c>
      <c r="B43" s="251"/>
      <c r="C43" s="855" t="s">
        <v>2214</v>
      </c>
      <c r="D43" s="526" t="s">
        <v>3069</v>
      </c>
      <c r="E43" s="251" t="s">
        <v>545</v>
      </c>
      <c r="F43" s="735">
        <f t="shared" si="2"/>
        <v>11</v>
      </c>
      <c r="G43" s="872">
        <v>91.07</v>
      </c>
      <c r="H43" s="261">
        <f t="shared" si="3"/>
        <v>1001.77</v>
      </c>
      <c r="I43" s="251" t="s">
        <v>545</v>
      </c>
      <c r="J43" s="872"/>
      <c r="K43" s="872"/>
      <c r="L43" s="872"/>
      <c r="M43" s="872"/>
      <c r="N43" s="258">
        <v>3</v>
      </c>
      <c r="O43" s="257">
        <f>INT($G43*N43*100+0.5)/100</f>
        <v>273.20999999999998</v>
      </c>
      <c r="P43" s="258">
        <v>3</v>
      </c>
      <c r="Q43" s="257">
        <f>INT($G43*P43*100+0.5)/100</f>
        <v>273.20999999999998</v>
      </c>
      <c r="R43" s="258">
        <v>5</v>
      </c>
      <c r="S43" s="257">
        <f>INT($G43*R43*100+0.5)/100</f>
        <v>455.35</v>
      </c>
      <c r="T43" s="258">
        <v>0</v>
      </c>
      <c r="U43" s="257">
        <f>INT($G43*T43*100+0.5)/100</f>
        <v>0</v>
      </c>
      <c r="V43" s="258">
        <v>0</v>
      </c>
      <c r="W43" s="257">
        <f>INT($G43*V43*100+0.5)/100</f>
        <v>0</v>
      </c>
      <c r="X43" s="258">
        <v>0</v>
      </c>
      <c r="Y43" s="257">
        <f>INT($G43*X43*100+0.5)/100</f>
        <v>0</v>
      </c>
      <c r="Z43" s="258">
        <v>0</v>
      </c>
      <c r="AA43" s="257">
        <f>INT($G43*Z43*100+0.5)/100</f>
        <v>0</v>
      </c>
      <c r="AB43" s="258">
        <v>0</v>
      </c>
      <c r="AC43" s="257">
        <f>INT($G43*AB43*100+0.5)/100</f>
        <v>0</v>
      </c>
    </row>
    <row r="44" spans="1:29" ht="25.5">
      <c r="A44" s="250"/>
      <c r="B44" s="251"/>
      <c r="C44" s="855"/>
      <c r="D44" s="526" t="s">
        <v>3070</v>
      </c>
      <c r="E44" s="251"/>
      <c r="F44" s="735"/>
      <c r="G44" s="872"/>
      <c r="H44" s="261"/>
      <c r="I44" s="251"/>
      <c r="J44" s="872"/>
      <c r="K44" s="872"/>
      <c r="L44" s="872"/>
      <c r="M44" s="872"/>
      <c r="N44" s="258"/>
      <c r="O44" s="257"/>
      <c r="P44" s="258"/>
      <c r="Q44" s="257"/>
      <c r="R44" s="258"/>
      <c r="S44" s="257"/>
      <c r="T44" s="258"/>
      <c r="U44" s="257"/>
      <c r="V44" s="258"/>
      <c r="W44" s="257"/>
      <c r="X44" s="258"/>
      <c r="Y44" s="257"/>
      <c r="Z44" s="258"/>
      <c r="AA44" s="257"/>
      <c r="AB44" s="258"/>
      <c r="AC44" s="257"/>
    </row>
    <row r="45" spans="1:29" ht="15">
      <c r="A45" s="250">
        <f>A43+1</f>
        <v>13</v>
      </c>
      <c r="B45" s="251"/>
      <c r="C45" s="532" t="s">
        <v>3322</v>
      </c>
      <c r="D45" s="526" t="s">
        <v>3320</v>
      </c>
      <c r="E45" s="251" t="s">
        <v>1907</v>
      </c>
      <c r="F45" s="733">
        <f>N45+R45+P45+T45+V45+X45+Z45+AB45</f>
        <v>6</v>
      </c>
      <c r="G45" s="243">
        <f>2200*1.1*1.13</f>
        <v>2734.6</v>
      </c>
      <c r="H45" s="243">
        <f>O45+S45+Q45+U45+W45+Y45+AA45+AC45</f>
        <v>16407.599999999999</v>
      </c>
      <c r="I45" s="237" t="s">
        <v>1907</v>
      </c>
      <c r="J45" s="243"/>
      <c r="K45" s="243"/>
      <c r="L45" s="243"/>
      <c r="M45" s="243"/>
      <c r="N45" s="258">
        <v>1</v>
      </c>
      <c r="O45" s="257">
        <f>INT($G45*N45*100+0.5)/100</f>
        <v>2734.6</v>
      </c>
      <c r="P45" s="258">
        <v>1</v>
      </c>
      <c r="Q45" s="257">
        <f>INT($G45*P45*100+0.5)/100</f>
        <v>2734.6</v>
      </c>
      <c r="R45" s="258">
        <v>0</v>
      </c>
      <c r="S45" s="257">
        <f>INT($G45*R45*100+0.5)/100</f>
        <v>0</v>
      </c>
      <c r="T45" s="258">
        <v>0</v>
      </c>
      <c r="U45" s="257">
        <f>INT($G45*T45*100+0.5)/100</f>
        <v>0</v>
      </c>
      <c r="V45" s="258">
        <v>0</v>
      </c>
      <c r="W45" s="245">
        <f>INT($G45*V45*100+0.5)/100</f>
        <v>0</v>
      </c>
      <c r="X45" s="258">
        <v>1</v>
      </c>
      <c r="Y45" s="257">
        <f>INT($G45*X45*100+0.5)/100</f>
        <v>2734.6</v>
      </c>
      <c r="Z45" s="258">
        <v>1</v>
      </c>
      <c r="AA45" s="245">
        <f>INT($G45*Z45*100+0.5)/100</f>
        <v>2734.6</v>
      </c>
      <c r="AB45" s="289">
        <v>2</v>
      </c>
      <c r="AC45" s="245">
        <f>INT($G45*AB45*100+0.5)/100</f>
        <v>5469.2</v>
      </c>
    </row>
    <row r="46" spans="1:29" ht="15">
      <c r="A46" s="250"/>
      <c r="B46" s="251"/>
      <c r="C46" s="860"/>
      <c r="D46" s="532" t="s">
        <v>3321</v>
      </c>
      <c r="E46" s="251"/>
      <c r="F46" s="735"/>
      <c r="G46" s="261"/>
      <c r="H46" s="261"/>
      <c r="I46" s="251"/>
      <c r="J46" s="261"/>
      <c r="K46" s="261"/>
      <c r="L46" s="261"/>
      <c r="M46" s="261"/>
      <c r="N46" s="258"/>
      <c r="O46" s="257"/>
      <c r="P46" s="258"/>
      <c r="Q46" s="257"/>
      <c r="R46" s="258"/>
      <c r="S46" s="257"/>
      <c r="T46" s="258"/>
      <c r="U46" s="257"/>
      <c r="V46" s="258"/>
      <c r="W46" s="245"/>
      <c r="X46" s="258"/>
      <c r="Y46" s="257"/>
      <c r="Z46" s="258"/>
      <c r="AA46" s="245"/>
      <c r="AB46" s="258"/>
      <c r="AC46" s="245"/>
    </row>
    <row r="47" spans="1:29" ht="15">
      <c r="A47" s="250"/>
      <c r="B47" s="251"/>
      <c r="C47" s="860"/>
      <c r="D47" s="292"/>
      <c r="E47" s="251"/>
      <c r="F47" s="735"/>
      <c r="G47" s="261"/>
      <c r="H47" s="261"/>
      <c r="I47" s="251"/>
      <c r="J47" s="261"/>
      <c r="K47" s="261"/>
      <c r="L47" s="261"/>
      <c r="M47" s="261"/>
      <c r="N47" s="258"/>
      <c r="O47" s="257"/>
      <c r="P47" s="258"/>
      <c r="Q47" s="257"/>
      <c r="R47" s="258"/>
      <c r="S47" s="257"/>
      <c r="T47" s="258"/>
      <c r="U47" s="257"/>
      <c r="V47" s="258"/>
      <c r="W47" s="257"/>
      <c r="X47" s="258"/>
      <c r="Y47" s="257"/>
      <c r="Z47" s="258"/>
      <c r="AA47" s="257"/>
      <c r="AB47" s="258"/>
      <c r="AC47" s="257"/>
    </row>
    <row r="48" spans="1:29" ht="25.5">
      <c r="A48" s="250">
        <f>A45+1</f>
        <v>14</v>
      </c>
      <c r="B48" s="251"/>
      <c r="C48" s="855" t="s">
        <v>2217</v>
      </c>
      <c r="D48" s="526" t="s">
        <v>3071</v>
      </c>
      <c r="E48" s="251" t="s">
        <v>545</v>
      </c>
      <c r="F48" s="735">
        <f>N48+R48+P48+T48+V48+X48+Z48+AB48</f>
        <v>7</v>
      </c>
      <c r="G48" s="872">
        <v>49.02</v>
      </c>
      <c r="H48" s="261">
        <f>O48+S48+Q48+U48+W48+Y48+AA48+AC48</f>
        <v>343.14</v>
      </c>
      <c r="I48" s="251" t="s">
        <v>545</v>
      </c>
      <c r="J48" s="872"/>
      <c r="K48" s="872"/>
      <c r="L48" s="872"/>
      <c r="M48" s="872"/>
      <c r="N48" s="258">
        <v>0</v>
      </c>
      <c r="O48" s="257">
        <f>INT($G48*N48*100+0.5)/100</f>
        <v>0</v>
      </c>
      <c r="P48" s="258">
        <v>0</v>
      </c>
      <c r="Q48" s="257">
        <f>INT($G48*P48*100+0.5)/100</f>
        <v>0</v>
      </c>
      <c r="R48" s="258">
        <v>0</v>
      </c>
      <c r="S48" s="257">
        <f>INT($G48*R48*100+0.5)/100</f>
        <v>0</v>
      </c>
      <c r="T48" s="258">
        <v>4</v>
      </c>
      <c r="U48" s="257">
        <f>INT($G48*T48*100+0.5)/100</f>
        <v>196.08</v>
      </c>
      <c r="V48" s="258">
        <v>0</v>
      </c>
      <c r="W48" s="257">
        <f>INT($G48*V48*100+0.5)/100</f>
        <v>0</v>
      </c>
      <c r="X48" s="258">
        <v>3</v>
      </c>
      <c r="Y48" s="257">
        <f>INT($G48*X48*100+0.5)/100</f>
        <v>147.06</v>
      </c>
      <c r="Z48" s="258">
        <v>0</v>
      </c>
      <c r="AA48" s="257">
        <f>INT($G48*Z48*100+0.5)/100</f>
        <v>0</v>
      </c>
      <c r="AB48" s="258">
        <v>0</v>
      </c>
      <c r="AC48" s="257">
        <f>INT($G48*AB48*100+0.5)/100</f>
        <v>0</v>
      </c>
    </row>
    <row r="49" spans="1:29" ht="25.5">
      <c r="A49" s="250"/>
      <c r="B49" s="251"/>
      <c r="C49" s="855"/>
      <c r="D49" s="526" t="s">
        <v>3072</v>
      </c>
      <c r="E49" s="251"/>
      <c r="F49" s="735"/>
      <c r="G49" s="872"/>
      <c r="H49" s="261"/>
      <c r="I49" s="251"/>
      <c r="J49" s="872"/>
      <c r="K49" s="872"/>
      <c r="L49" s="872"/>
      <c r="M49" s="872"/>
      <c r="N49" s="258"/>
      <c r="O49" s="257"/>
      <c r="P49" s="258"/>
      <c r="Q49" s="257"/>
      <c r="R49" s="258"/>
      <c r="S49" s="257"/>
      <c r="T49" s="258"/>
      <c r="U49" s="257"/>
      <c r="V49" s="258"/>
      <c r="W49" s="257"/>
      <c r="X49" s="258"/>
      <c r="Y49" s="257"/>
      <c r="Z49" s="258"/>
      <c r="AA49" s="257"/>
      <c r="AB49" s="258"/>
      <c r="AC49" s="257"/>
    </row>
    <row r="50" spans="1:29" ht="25.5">
      <c r="A50" s="250">
        <f>A48+1</f>
        <v>15</v>
      </c>
      <c r="B50" s="251"/>
      <c r="C50" s="855" t="s">
        <v>2220</v>
      </c>
      <c r="D50" s="526" t="s">
        <v>1443</v>
      </c>
      <c r="E50" s="251" t="s">
        <v>545</v>
      </c>
      <c r="F50" s="735">
        <f>N50+R50+P50+T50+V50+X50+Z50+AB50</f>
        <v>15</v>
      </c>
      <c r="G50" s="872">
        <v>55.55</v>
      </c>
      <c r="H50" s="261">
        <f>O50+S50+Q50+U50+W50+Y50+AA50+AC50</f>
        <v>833.25</v>
      </c>
      <c r="I50" s="251" t="s">
        <v>545</v>
      </c>
      <c r="J50" s="872"/>
      <c r="K50" s="872"/>
      <c r="L50" s="872"/>
      <c r="M50" s="872"/>
      <c r="N50" s="258">
        <v>3</v>
      </c>
      <c r="O50" s="257">
        <f>INT($G50*N50*100+0.5)/100</f>
        <v>166.65</v>
      </c>
      <c r="P50" s="258">
        <v>3</v>
      </c>
      <c r="Q50" s="257">
        <f>INT($G50*P50*100+0.5)/100</f>
        <v>166.65</v>
      </c>
      <c r="R50" s="258">
        <v>5</v>
      </c>
      <c r="S50" s="257">
        <f>INT($G50*R50*100+0.5)/100</f>
        <v>277.75</v>
      </c>
      <c r="T50" s="258">
        <v>4</v>
      </c>
      <c r="U50" s="257">
        <f>INT($G50*T50*100+0.5)/100</f>
        <v>222.2</v>
      </c>
      <c r="V50" s="258">
        <v>0</v>
      </c>
      <c r="W50" s="257">
        <f>INT($G50*V50*100+0.5)/100</f>
        <v>0</v>
      </c>
      <c r="X50" s="258">
        <v>0</v>
      </c>
      <c r="Y50" s="257">
        <f>INT($G50*X50*100+0.5)/100</f>
        <v>0</v>
      </c>
      <c r="Z50" s="258">
        <v>0</v>
      </c>
      <c r="AA50" s="257">
        <f>INT($G50*Z50*100+0.5)/100</f>
        <v>0</v>
      </c>
      <c r="AB50" s="258">
        <v>0</v>
      </c>
      <c r="AC50" s="257">
        <f>INT($G50*AB50*100+0.5)/100</f>
        <v>0</v>
      </c>
    </row>
    <row r="51" spans="1:29" ht="15">
      <c r="A51" s="250"/>
      <c r="B51" s="251"/>
      <c r="C51" s="855"/>
      <c r="D51" s="526"/>
      <c r="E51" s="251"/>
      <c r="F51" s="735"/>
      <c r="G51" s="872"/>
      <c r="H51" s="261"/>
      <c r="I51" s="251"/>
      <c r="J51" s="872"/>
      <c r="K51" s="872"/>
      <c r="L51" s="872"/>
      <c r="M51" s="872"/>
      <c r="N51" s="258"/>
      <c r="O51" s="257"/>
      <c r="P51" s="258"/>
      <c r="Q51" s="257"/>
      <c r="R51" s="258"/>
      <c r="S51" s="257"/>
      <c r="T51" s="258"/>
      <c r="U51" s="257"/>
      <c r="V51" s="258"/>
      <c r="W51" s="257"/>
      <c r="X51" s="258"/>
      <c r="Y51" s="257"/>
      <c r="Z51" s="258"/>
      <c r="AA51" s="257"/>
      <c r="AB51" s="258"/>
      <c r="AC51" s="257"/>
    </row>
    <row r="52" spans="1:29" ht="15">
      <c r="A52" s="250"/>
      <c r="B52" s="251"/>
      <c r="C52" s="856" t="s">
        <v>3073</v>
      </c>
      <c r="D52" s="526" t="s">
        <v>3074</v>
      </c>
      <c r="E52" s="251"/>
      <c r="F52" s="735"/>
      <c r="G52" s="872"/>
      <c r="H52" s="261"/>
      <c r="I52" s="251"/>
      <c r="J52" s="872"/>
      <c r="K52" s="872"/>
      <c r="L52" s="872"/>
      <c r="M52" s="872"/>
      <c r="N52" s="258"/>
      <c r="O52" s="257"/>
      <c r="P52" s="258"/>
      <c r="Q52" s="257"/>
      <c r="R52" s="258"/>
      <c r="S52" s="257"/>
      <c r="T52" s="258"/>
      <c r="U52" s="257"/>
      <c r="V52" s="258"/>
      <c r="W52" s="257"/>
      <c r="X52" s="258"/>
      <c r="Y52" s="257"/>
      <c r="Z52" s="258"/>
      <c r="AA52" s="257"/>
      <c r="AB52" s="258"/>
      <c r="AC52" s="257"/>
    </row>
    <row r="53" spans="1:29" ht="15">
      <c r="A53" s="250">
        <f>A50+1</f>
        <v>16</v>
      </c>
      <c r="B53" s="251"/>
      <c r="C53" s="855" t="s">
        <v>2221</v>
      </c>
      <c r="D53" s="526" t="s">
        <v>3075</v>
      </c>
      <c r="E53" s="251" t="s">
        <v>545</v>
      </c>
      <c r="F53" s="735">
        <f>N53+R53+P53+T53+V53+X53+Z53+AB53</f>
        <v>14</v>
      </c>
      <c r="G53" s="872">
        <v>34.22</v>
      </c>
      <c r="H53" s="261">
        <f>O53+S53+Q53+U53+W53+Y53+AA53+AC53</f>
        <v>479.07999999999993</v>
      </c>
      <c r="I53" s="251" t="s">
        <v>545</v>
      </c>
      <c r="J53" s="872"/>
      <c r="K53" s="872"/>
      <c r="L53" s="872"/>
      <c r="M53" s="872"/>
      <c r="N53" s="258">
        <v>3</v>
      </c>
      <c r="O53" s="257">
        <f>INT($G53*N53*100+0.5)/100</f>
        <v>102.66</v>
      </c>
      <c r="P53" s="258">
        <v>3</v>
      </c>
      <c r="Q53" s="257">
        <f>INT($G53*P53*100+0.5)/100</f>
        <v>102.66</v>
      </c>
      <c r="R53" s="258">
        <v>5</v>
      </c>
      <c r="S53" s="257">
        <f>INT($G53*R53*100+0.5)/100</f>
        <v>171.1</v>
      </c>
      <c r="T53" s="258">
        <v>0</v>
      </c>
      <c r="U53" s="257">
        <f>INT($G53*T53*100+0.5)/100</f>
        <v>0</v>
      </c>
      <c r="V53" s="258">
        <v>0</v>
      </c>
      <c r="W53" s="257">
        <f>INT($G53*V53*100+0.5)/100</f>
        <v>0</v>
      </c>
      <c r="X53" s="258">
        <v>3</v>
      </c>
      <c r="Y53" s="257">
        <f>INT($G53*X53*100+0.5)/100</f>
        <v>102.66</v>
      </c>
      <c r="Z53" s="258">
        <v>0</v>
      </c>
      <c r="AA53" s="257">
        <f>INT($G53*Z53*100+0.5)/100</f>
        <v>0</v>
      </c>
      <c r="AB53" s="258">
        <v>0</v>
      </c>
      <c r="AC53" s="257">
        <f>INT($G53*AB53*100+0.5)/100</f>
        <v>0</v>
      </c>
    </row>
    <row r="54" spans="1:29" ht="25.5">
      <c r="A54" s="250"/>
      <c r="B54" s="251"/>
      <c r="C54" s="855"/>
      <c r="D54" s="526" t="s">
        <v>3076</v>
      </c>
      <c r="E54" s="251"/>
      <c r="F54" s="735"/>
      <c r="G54" s="872"/>
      <c r="H54" s="261"/>
      <c r="I54" s="251"/>
      <c r="J54" s="872"/>
      <c r="K54" s="872"/>
      <c r="L54" s="872"/>
      <c r="M54" s="872"/>
      <c r="N54" s="258"/>
      <c r="O54" s="257"/>
      <c r="P54" s="258"/>
      <c r="Q54" s="257"/>
      <c r="R54" s="258"/>
      <c r="S54" s="257"/>
      <c r="T54" s="258"/>
      <c r="U54" s="257"/>
      <c r="V54" s="258"/>
      <c r="W54" s="257"/>
      <c r="X54" s="258"/>
      <c r="Y54" s="257"/>
      <c r="Z54" s="258"/>
      <c r="AA54" s="257"/>
      <c r="AB54" s="258"/>
      <c r="AC54" s="257"/>
    </row>
    <row r="55" spans="1:29" ht="15">
      <c r="A55" s="250">
        <f>A53+1</f>
        <v>17</v>
      </c>
      <c r="B55" s="251"/>
      <c r="C55" s="855" t="s">
        <v>2222</v>
      </c>
      <c r="D55" s="526" t="s">
        <v>3077</v>
      </c>
      <c r="E55" s="251" t="s">
        <v>545</v>
      </c>
      <c r="F55" s="735">
        <f>N55+R55+P55+T55+V55+X55+Z55+AB55</f>
        <v>18</v>
      </c>
      <c r="G55" s="872">
        <v>59.86</v>
      </c>
      <c r="H55" s="261">
        <f>O55+S55+Q55+U55+W55+Y55+AA55+AC55</f>
        <v>1077.48</v>
      </c>
      <c r="I55" s="251" t="s">
        <v>545</v>
      </c>
      <c r="J55" s="872"/>
      <c r="K55" s="872"/>
      <c r="L55" s="872"/>
      <c r="M55" s="872"/>
      <c r="N55" s="258">
        <v>3</v>
      </c>
      <c r="O55" s="257">
        <f>INT($G55*N55*100+0.5)/100</f>
        <v>179.58</v>
      </c>
      <c r="P55" s="258">
        <v>3</v>
      </c>
      <c r="Q55" s="257">
        <f>INT($G55*P55*100+0.5)/100</f>
        <v>179.58</v>
      </c>
      <c r="R55" s="258">
        <v>5</v>
      </c>
      <c r="S55" s="257">
        <f>INT($G55*R55*100+0.5)/100</f>
        <v>299.3</v>
      </c>
      <c r="T55" s="258">
        <v>4</v>
      </c>
      <c r="U55" s="257">
        <f>INT($G55*T55*100+0.5)/100</f>
        <v>239.44</v>
      </c>
      <c r="V55" s="258">
        <v>0</v>
      </c>
      <c r="W55" s="257">
        <f>INT($G55*V55*100+0.5)/100</f>
        <v>0</v>
      </c>
      <c r="X55" s="258">
        <v>3</v>
      </c>
      <c r="Y55" s="257">
        <f>INT($G55*X55*100+0.5)/100</f>
        <v>179.58</v>
      </c>
      <c r="Z55" s="258">
        <v>0</v>
      </c>
      <c r="AA55" s="257">
        <f>INT($G55*Z55*100+0.5)/100</f>
        <v>0</v>
      </c>
      <c r="AB55" s="258">
        <v>0</v>
      </c>
      <c r="AC55" s="257">
        <f>INT($G55*AB55*100+0.5)/100</f>
        <v>0</v>
      </c>
    </row>
    <row r="56" spans="1:29" ht="15">
      <c r="A56" s="250"/>
      <c r="B56" s="251"/>
      <c r="C56" s="855"/>
      <c r="D56" s="526" t="s">
        <v>3078</v>
      </c>
      <c r="E56" s="251"/>
      <c r="F56" s="735"/>
      <c r="G56" s="872"/>
      <c r="H56" s="261"/>
      <c r="I56" s="251"/>
      <c r="J56" s="872"/>
      <c r="K56" s="872"/>
      <c r="L56" s="872"/>
      <c r="M56" s="872"/>
      <c r="N56" s="258"/>
      <c r="O56" s="257"/>
      <c r="P56" s="258"/>
      <c r="Q56" s="257"/>
      <c r="R56" s="258"/>
      <c r="S56" s="257"/>
      <c r="T56" s="258"/>
      <c r="U56" s="257"/>
      <c r="V56" s="258"/>
      <c r="W56" s="257"/>
      <c r="X56" s="258"/>
      <c r="Y56" s="257"/>
      <c r="Z56" s="258"/>
      <c r="AA56" s="257"/>
      <c r="AB56" s="258"/>
      <c r="AC56" s="257"/>
    </row>
    <row r="57" spans="1:29" ht="15">
      <c r="A57" s="250">
        <f>A55+1</f>
        <v>18</v>
      </c>
      <c r="B57" s="251"/>
      <c r="C57" s="855" t="s">
        <v>2224</v>
      </c>
      <c r="D57" s="526" t="s">
        <v>3080</v>
      </c>
      <c r="E57" s="251" t="s">
        <v>545</v>
      </c>
      <c r="F57" s="735">
        <f>N57+R57+P57+T57+V57+X57+Z57+AB57</f>
        <v>16</v>
      </c>
      <c r="G57" s="872">
        <v>60.83</v>
      </c>
      <c r="H57" s="261">
        <f>O57+S57+Q57+U57+W57+Y57+AA57+AC57</f>
        <v>973.28</v>
      </c>
      <c r="I57" s="251" t="s">
        <v>545</v>
      </c>
      <c r="J57" s="872"/>
      <c r="K57" s="872"/>
      <c r="L57" s="872"/>
      <c r="M57" s="872"/>
      <c r="N57" s="258">
        <v>5</v>
      </c>
      <c r="O57" s="257">
        <f>INT($G57*N57*100+0.5)/100</f>
        <v>304.14999999999998</v>
      </c>
      <c r="P57" s="258">
        <v>3</v>
      </c>
      <c r="Q57" s="257">
        <f>INT($G57*P57*100+0.5)/100</f>
        <v>182.49</v>
      </c>
      <c r="R57" s="258">
        <v>5</v>
      </c>
      <c r="S57" s="257">
        <f>INT($G57*R57*100+0.5)/100</f>
        <v>304.14999999999998</v>
      </c>
      <c r="T57" s="258">
        <v>0</v>
      </c>
      <c r="U57" s="257">
        <f>INT($G57*T57*100+0.5)/100</f>
        <v>0</v>
      </c>
      <c r="V57" s="258">
        <v>0</v>
      </c>
      <c r="W57" s="257">
        <f>INT($G57*V57*100+0.5)/100</f>
        <v>0</v>
      </c>
      <c r="X57" s="258">
        <v>3</v>
      </c>
      <c r="Y57" s="257">
        <f>INT($G57*X57*100+0.5)/100</f>
        <v>182.49</v>
      </c>
      <c r="Z57" s="258">
        <v>0</v>
      </c>
      <c r="AA57" s="257">
        <f>INT($G57*Z57*100+0.5)/100</f>
        <v>0</v>
      </c>
      <c r="AB57" s="258">
        <v>0</v>
      </c>
      <c r="AC57" s="257">
        <f>INT($G57*AB57*100+0.5)/100</f>
        <v>0</v>
      </c>
    </row>
    <row r="58" spans="1:29" ht="15">
      <c r="A58" s="250"/>
      <c r="B58" s="251"/>
      <c r="C58" s="855"/>
      <c r="D58" s="526" t="s">
        <v>3079</v>
      </c>
      <c r="E58" s="251"/>
      <c r="F58" s="735"/>
      <c r="G58" s="872"/>
      <c r="H58" s="261"/>
      <c r="I58" s="251"/>
      <c r="J58" s="872"/>
      <c r="K58" s="872"/>
      <c r="L58" s="872"/>
      <c r="M58" s="872"/>
      <c r="N58" s="258"/>
      <c r="O58" s="257"/>
      <c r="P58" s="258"/>
      <c r="Q58" s="257"/>
      <c r="R58" s="258"/>
      <c r="S58" s="257"/>
      <c r="T58" s="258"/>
      <c r="U58" s="257"/>
      <c r="V58" s="258"/>
      <c r="W58" s="257"/>
      <c r="X58" s="258"/>
      <c r="Y58" s="257"/>
      <c r="Z58" s="258"/>
      <c r="AA58" s="257"/>
      <c r="AB58" s="258"/>
      <c r="AC58" s="257"/>
    </row>
    <row r="59" spans="1:29" ht="15">
      <c r="A59" s="250"/>
      <c r="B59" s="251"/>
      <c r="C59" s="855"/>
      <c r="D59" s="526"/>
      <c r="E59" s="251"/>
      <c r="F59" s="735"/>
      <c r="G59" s="872"/>
      <c r="H59" s="261"/>
      <c r="I59" s="251"/>
      <c r="J59" s="872"/>
      <c r="K59" s="872"/>
      <c r="L59" s="872"/>
      <c r="M59" s="872"/>
      <c r="N59" s="258"/>
      <c r="O59" s="257"/>
      <c r="P59" s="258"/>
      <c r="Q59" s="257"/>
      <c r="R59" s="258"/>
      <c r="S59" s="257"/>
      <c r="T59" s="258"/>
      <c r="U59" s="257"/>
      <c r="V59" s="258"/>
      <c r="W59" s="257"/>
      <c r="X59" s="258"/>
      <c r="Y59" s="257"/>
      <c r="Z59" s="258"/>
      <c r="AA59" s="257"/>
      <c r="AB59" s="258"/>
      <c r="AC59" s="257"/>
    </row>
    <row r="60" spans="1:29" ht="15">
      <c r="A60" s="250"/>
      <c r="B60" s="251"/>
      <c r="C60" s="856" t="s">
        <v>3085</v>
      </c>
      <c r="D60" s="829" t="s">
        <v>3086</v>
      </c>
      <c r="E60" s="251"/>
      <c r="F60" s="735"/>
      <c r="G60" s="872"/>
      <c r="H60" s="261"/>
      <c r="I60" s="251"/>
      <c r="J60" s="872"/>
      <c r="K60" s="872"/>
      <c r="L60" s="872"/>
      <c r="M60" s="872"/>
      <c r="N60" s="258"/>
      <c r="O60" s="257"/>
      <c r="P60" s="258"/>
      <c r="Q60" s="257"/>
      <c r="R60" s="258"/>
      <c r="S60" s="257"/>
      <c r="T60" s="258"/>
      <c r="U60" s="257"/>
      <c r="V60" s="258"/>
      <c r="W60" s="257"/>
      <c r="X60" s="258"/>
      <c r="Y60" s="257"/>
      <c r="Z60" s="258"/>
      <c r="AA60" s="257"/>
      <c r="AB60" s="258"/>
      <c r="AC60" s="257"/>
    </row>
    <row r="61" spans="1:29" ht="15">
      <c r="A61" s="250">
        <f>A57+1</f>
        <v>19</v>
      </c>
      <c r="B61" s="251"/>
      <c r="C61" s="855" t="s">
        <v>2234</v>
      </c>
      <c r="D61" s="526" t="s">
        <v>3081</v>
      </c>
      <c r="E61" s="251" t="s">
        <v>545</v>
      </c>
      <c r="F61" s="735">
        <f>N61+R61+P61+T61+V61+X61+Z61+AB61</f>
        <v>14</v>
      </c>
      <c r="G61" s="872">
        <v>4.25</v>
      </c>
      <c r="H61" s="261">
        <f>O61+S61+Q61+U61+W61+Y61+AA61+AC61</f>
        <v>59.5</v>
      </c>
      <c r="I61" s="251" t="s">
        <v>545</v>
      </c>
      <c r="J61" s="872"/>
      <c r="K61" s="872"/>
      <c r="L61" s="872"/>
      <c r="M61" s="872"/>
      <c r="N61" s="258">
        <v>3</v>
      </c>
      <c r="O61" s="257">
        <f>INT($G61*N61*100+0.5)/100</f>
        <v>12.75</v>
      </c>
      <c r="P61" s="258">
        <v>3</v>
      </c>
      <c r="Q61" s="257">
        <f>INT($G61*P61*100+0.5)/100</f>
        <v>12.75</v>
      </c>
      <c r="R61" s="258">
        <v>5</v>
      </c>
      <c r="S61" s="257">
        <f>INT($G61*R61*100+0.5)/100</f>
        <v>21.25</v>
      </c>
      <c r="T61" s="258">
        <v>0</v>
      </c>
      <c r="U61" s="257">
        <f>INT($G61*T61*100+0.5)/100</f>
        <v>0</v>
      </c>
      <c r="V61" s="258">
        <v>0</v>
      </c>
      <c r="W61" s="257">
        <f>INT($G61*V61*100+0.5)/100</f>
        <v>0</v>
      </c>
      <c r="X61" s="258">
        <v>3</v>
      </c>
      <c r="Y61" s="257">
        <f>INT($G61*X61*100+0.5)/100</f>
        <v>12.75</v>
      </c>
      <c r="Z61" s="258">
        <v>0</v>
      </c>
      <c r="AA61" s="257">
        <f>INT($G61*Z61*100+0.5)/100</f>
        <v>0</v>
      </c>
      <c r="AB61" s="258">
        <v>0</v>
      </c>
      <c r="AC61" s="257">
        <f>INT($G61*AB61*100+0.5)/100</f>
        <v>0</v>
      </c>
    </row>
    <row r="62" spans="1:29" ht="25.5">
      <c r="A62" s="250"/>
      <c r="B62" s="251"/>
      <c r="C62" s="855"/>
      <c r="D62" s="526" t="s">
        <v>3082</v>
      </c>
      <c r="E62" s="251"/>
      <c r="F62" s="735"/>
      <c r="G62" s="872"/>
      <c r="H62" s="261"/>
      <c r="I62" s="251"/>
      <c r="J62" s="872"/>
      <c r="K62" s="872"/>
      <c r="L62" s="872"/>
      <c r="M62" s="872"/>
      <c r="N62" s="258"/>
      <c r="O62" s="257"/>
      <c r="P62" s="258"/>
      <c r="Q62" s="257"/>
      <c r="R62" s="258"/>
      <c r="S62" s="257"/>
      <c r="T62" s="258"/>
      <c r="U62" s="257"/>
      <c r="V62" s="258"/>
      <c r="W62" s="257"/>
      <c r="X62" s="258"/>
      <c r="Y62" s="257"/>
      <c r="Z62" s="258"/>
      <c r="AA62" s="257"/>
      <c r="AB62" s="258"/>
      <c r="AC62" s="257"/>
    </row>
    <row r="63" spans="1:29" ht="15">
      <c r="A63" s="250">
        <f>A61+1</f>
        <v>20</v>
      </c>
      <c r="B63" s="251"/>
      <c r="C63" s="855" t="s">
        <v>2235</v>
      </c>
      <c r="D63" s="526" t="s">
        <v>3083</v>
      </c>
      <c r="E63" s="251" t="s">
        <v>545</v>
      </c>
      <c r="F63" s="735">
        <f>N63+R63+P63+T63+V63+X63+Z63+AB63</f>
        <v>14</v>
      </c>
      <c r="G63" s="872">
        <v>5.82</v>
      </c>
      <c r="H63" s="261">
        <f>O63+S63+Q63+U63+W63+Y63+AA63+AC63</f>
        <v>81.480000000000018</v>
      </c>
      <c r="I63" s="251" t="s">
        <v>545</v>
      </c>
      <c r="J63" s="872"/>
      <c r="K63" s="872"/>
      <c r="L63" s="872"/>
      <c r="M63" s="872"/>
      <c r="N63" s="258">
        <v>3</v>
      </c>
      <c r="O63" s="257">
        <f>INT($G63*N63*100+0.5)/100</f>
        <v>17.46</v>
      </c>
      <c r="P63" s="258">
        <v>3</v>
      </c>
      <c r="Q63" s="257">
        <f>INT($G63*P63*100+0.5)/100</f>
        <v>17.46</v>
      </c>
      <c r="R63" s="258">
        <v>5</v>
      </c>
      <c r="S63" s="257">
        <f>INT($G63*R63*100+0.5)/100</f>
        <v>29.1</v>
      </c>
      <c r="T63" s="258">
        <v>0</v>
      </c>
      <c r="U63" s="257">
        <f>INT($G63*T63*100+0.5)/100</f>
        <v>0</v>
      </c>
      <c r="V63" s="258">
        <v>0</v>
      </c>
      <c r="W63" s="257">
        <f>INT($G63*V63*100+0.5)/100</f>
        <v>0</v>
      </c>
      <c r="X63" s="258">
        <v>3</v>
      </c>
      <c r="Y63" s="257">
        <f>INT($G63*X63*100+0.5)/100</f>
        <v>17.46</v>
      </c>
      <c r="Z63" s="258">
        <v>0</v>
      </c>
      <c r="AA63" s="257">
        <f>INT($G63*Z63*100+0.5)/100</f>
        <v>0</v>
      </c>
      <c r="AB63" s="258">
        <v>0</v>
      </c>
      <c r="AC63" s="257">
        <f>INT($G63*AB63*100+0.5)/100</f>
        <v>0</v>
      </c>
    </row>
    <row r="64" spans="1:29" ht="25.5">
      <c r="A64" s="250"/>
      <c r="B64" s="251"/>
      <c r="C64" s="855"/>
      <c r="D64" s="526" t="s">
        <v>3084</v>
      </c>
      <c r="E64" s="251"/>
      <c r="F64" s="735"/>
      <c r="G64" s="872"/>
      <c r="H64" s="261"/>
      <c r="I64" s="251"/>
      <c r="J64" s="872"/>
      <c r="K64" s="872"/>
      <c r="L64" s="872"/>
      <c r="M64" s="872"/>
      <c r="N64" s="258"/>
      <c r="O64" s="257"/>
      <c r="P64" s="258"/>
      <c r="Q64" s="257"/>
      <c r="R64" s="258"/>
      <c r="S64" s="257"/>
      <c r="T64" s="258"/>
      <c r="U64" s="257"/>
      <c r="V64" s="258"/>
      <c r="W64" s="257"/>
      <c r="X64" s="258"/>
      <c r="Y64" s="257"/>
      <c r="Z64" s="258"/>
      <c r="AA64" s="257"/>
      <c r="AB64" s="258"/>
      <c r="AC64" s="257"/>
    </row>
    <row r="65" spans="1:29" ht="15">
      <c r="A65" s="250"/>
      <c r="B65" s="251"/>
      <c r="C65" s="855"/>
      <c r="D65" s="526"/>
      <c r="E65" s="251"/>
      <c r="F65" s="735"/>
      <c r="G65" s="872"/>
      <c r="H65" s="261"/>
      <c r="I65" s="251"/>
      <c r="J65" s="872"/>
      <c r="K65" s="872"/>
      <c r="L65" s="872"/>
      <c r="M65" s="872"/>
      <c r="N65" s="258"/>
      <c r="O65" s="257"/>
      <c r="P65" s="258"/>
      <c r="Q65" s="257"/>
      <c r="R65" s="258"/>
      <c r="S65" s="257"/>
      <c r="T65" s="258"/>
      <c r="U65" s="257"/>
      <c r="V65" s="258"/>
      <c r="W65" s="257"/>
      <c r="X65" s="258"/>
      <c r="Y65" s="257"/>
      <c r="Z65" s="258"/>
      <c r="AA65" s="257"/>
      <c r="AB65" s="258"/>
      <c r="AC65" s="257"/>
    </row>
    <row r="66" spans="1:29" ht="25.5">
      <c r="A66" s="250"/>
      <c r="B66" s="251"/>
      <c r="C66" s="856" t="s">
        <v>3088</v>
      </c>
      <c r="D66" s="829" t="s">
        <v>3089</v>
      </c>
      <c r="E66" s="251"/>
      <c r="F66" s="735"/>
      <c r="G66" s="872"/>
      <c r="H66" s="261"/>
      <c r="I66" s="251"/>
      <c r="J66" s="872"/>
      <c r="K66" s="872"/>
      <c r="L66" s="872"/>
      <c r="M66" s="872"/>
      <c r="N66" s="258"/>
      <c r="O66" s="257"/>
      <c r="P66" s="258"/>
      <c r="Q66" s="257"/>
      <c r="R66" s="258"/>
      <c r="S66" s="257"/>
      <c r="T66" s="258"/>
      <c r="U66" s="257"/>
      <c r="V66" s="258"/>
      <c r="W66" s="257"/>
      <c r="X66" s="258"/>
      <c r="Y66" s="257"/>
      <c r="Z66" s="258"/>
      <c r="AA66" s="257"/>
      <c r="AB66" s="258"/>
      <c r="AC66" s="257"/>
    </row>
    <row r="67" spans="1:29" ht="25.5">
      <c r="A67" s="250">
        <f>A63+1</f>
        <v>21</v>
      </c>
      <c r="B67" s="251"/>
      <c r="C67" s="855" t="s">
        <v>2237</v>
      </c>
      <c r="D67" s="526" t="s">
        <v>3091</v>
      </c>
      <c r="E67" s="251" t="s">
        <v>545</v>
      </c>
      <c r="F67" s="735">
        <f t="shared" ref="F67:F75" si="4">N67+R67+P67+T67+V67+X67+Z67+AB67</f>
        <v>31</v>
      </c>
      <c r="G67" s="872">
        <v>14.04</v>
      </c>
      <c r="H67" s="261">
        <f t="shared" ref="H67:H75" si="5">O67+S67+Q67+U67+W67+Y67+AA67+AC67</f>
        <v>435.24</v>
      </c>
      <c r="I67" s="251" t="s">
        <v>545</v>
      </c>
      <c r="J67" s="872"/>
      <c r="K67" s="872"/>
      <c r="L67" s="872"/>
      <c r="M67" s="872"/>
      <c r="N67" s="258">
        <v>7</v>
      </c>
      <c r="O67" s="257">
        <f>INT($G67*N67*100+0.5)/100</f>
        <v>98.28</v>
      </c>
      <c r="P67" s="258">
        <v>5</v>
      </c>
      <c r="Q67" s="257">
        <f>INT($G67*P67*100+0.5)/100</f>
        <v>70.2</v>
      </c>
      <c r="R67" s="258">
        <v>8</v>
      </c>
      <c r="S67" s="257">
        <f>INT($G67*R67*100+0.5)/100</f>
        <v>112.32</v>
      </c>
      <c r="T67" s="258">
        <v>6</v>
      </c>
      <c r="U67" s="257">
        <f>INT($G67*T67*100+0.5)/100</f>
        <v>84.24</v>
      </c>
      <c r="V67" s="258">
        <v>0</v>
      </c>
      <c r="W67" s="257">
        <f>INT($G67*V67*100+0.5)/100</f>
        <v>0</v>
      </c>
      <c r="X67" s="258">
        <v>5</v>
      </c>
      <c r="Y67" s="257">
        <f>INT($G67*X67*100+0.5)/100</f>
        <v>70.2</v>
      </c>
      <c r="Z67" s="258">
        <v>0</v>
      </c>
      <c r="AA67" s="257">
        <f>INT($G67*Z67*100+0.5)/100</f>
        <v>0</v>
      </c>
      <c r="AB67" s="258">
        <v>0</v>
      </c>
      <c r="AC67" s="257">
        <f>INT($G67*AB67*100+0.5)/100</f>
        <v>0</v>
      </c>
    </row>
    <row r="68" spans="1:29" ht="25.5">
      <c r="A68" s="250"/>
      <c r="B68" s="251"/>
      <c r="C68" s="855"/>
      <c r="D68" s="526" t="s">
        <v>3092</v>
      </c>
      <c r="E68" s="251"/>
      <c r="F68" s="735"/>
      <c r="G68" s="872"/>
      <c r="H68" s="261"/>
      <c r="I68" s="251"/>
      <c r="J68" s="872"/>
      <c r="K68" s="872"/>
      <c r="L68" s="872"/>
      <c r="M68" s="872"/>
      <c r="N68" s="258"/>
      <c r="O68" s="257"/>
      <c r="P68" s="258"/>
      <c r="Q68" s="257"/>
      <c r="R68" s="258"/>
      <c r="S68" s="257"/>
      <c r="T68" s="258"/>
      <c r="U68" s="257"/>
      <c r="V68" s="258"/>
      <c r="W68" s="257"/>
      <c r="X68" s="258"/>
      <c r="Y68" s="257"/>
      <c r="Z68" s="258"/>
      <c r="AA68" s="257"/>
      <c r="AB68" s="258"/>
      <c r="AC68" s="257"/>
    </row>
    <row r="69" spans="1:29" ht="25.5">
      <c r="A69" s="250">
        <f>A67+1</f>
        <v>22</v>
      </c>
      <c r="B69" s="251"/>
      <c r="C69" s="855" t="s">
        <v>2238</v>
      </c>
      <c r="D69" s="526" t="s">
        <v>3093</v>
      </c>
      <c r="E69" s="251" t="s">
        <v>545</v>
      </c>
      <c r="F69" s="735">
        <f t="shared" si="4"/>
        <v>28</v>
      </c>
      <c r="G69" s="872">
        <v>17.41</v>
      </c>
      <c r="H69" s="261">
        <f t="shared" si="5"/>
        <v>487.48</v>
      </c>
      <c r="I69" s="251" t="s">
        <v>545</v>
      </c>
      <c r="J69" s="872"/>
      <c r="K69" s="872"/>
      <c r="L69" s="872"/>
      <c r="M69" s="872"/>
      <c r="N69" s="258">
        <v>7</v>
      </c>
      <c r="O69" s="257">
        <f>INT($G69*N69*100+0.5)/100</f>
        <v>121.87</v>
      </c>
      <c r="P69" s="258">
        <v>5</v>
      </c>
      <c r="Q69" s="257">
        <f>INT($G69*P69*100+0.5)/100</f>
        <v>87.05</v>
      </c>
      <c r="R69" s="258">
        <v>8</v>
      </c>
      <c r="S69" s="257">
        <f>INT($G69*R69*100+0.5)/100</f>
        <v>139.28</v>
      </c>
      <c r="T69" s="258">
        <v>3</v>
      </c>
      <c r="U69" s="257">
        <f>INT($G69*T69*100+0.5)/100</f>
        <v>52.23</v>
      </c>
      <c r="V69" s="258">
        <v>0</v>
      </c>
      <c r="W69" s="257">
        <f>INT($G69*V69*100+0.5)/100</f>
        <v>0</v>
      </c>
      <c r="X69" s="258">
        <v>5</v>
      </c>
      <c r="Y69" s="257">
        <f>INT($G69*X69*100+0.5)/100</f>
        <v>87.05</v>
      </c>
      <c r="Z69" s="258">
        <v>0</v>
      </c>
      <c r="AA69" s="257">
        <f>INT($G69*Z69*100+0.5)/100</f>
        <v>0</v>
      </c>
      <c r="AB69" s="258">
        <v>0</v>
      </c>
      <c r="AC69" s="257">
        <f>INT($G69*AB69*100+0.5)/100</f>
        <v>0</v>
      </c>
    </row>
    <row r="70" spans="1:29" ht="25.5">
      <c r="A70" s="250"/>
      <c r="B70" s="251"/>
      <c r="C70" s="855"/>
      <c r="D70" s="526" t="s">
        <v>3094</v>
      </c>
      <c r="E70" s="251"/>
      <c r="F70" s="735"/>
      <c r="G70" s="872"/>
      <c r="H70" s="261"/>
      <c r="I70" s="251"/>
      <c r="J70" s="872"/>
      <c r="K70" s="872"/>
      <c r="L70" s="872"/>
      <c r="M70" s="872"/>
      <c r="N70" s="258"/>
      <c r="O70" s="257"/>
      <c r="P70" s="258"/>
      <c r="Q70" s="257"/>
      <c r="R70" s="258"/>
      <c r="S70" s="257"/>
      <c r="T70" s="258"/>
      <c r="U70" s="257"/>
      <c r="V70" s="258"/>
      <c r="W70" s="257"/>
      <c r="X70" s="258"/>
      <c r="Y70" s="257"/>
      <c r="Z70" s="258"/>
      <c r="AA70" s="257"/>
      <c r="AB70" s="258"/>
      <c r="AC70" s="257"/>
    </row>
    <row r="71" spans="1:29" ht="15">
      <c r="A71" s="250">
        <f>A69+1</f>
        <v>23</v>
      </c>
      <c r="B71" s="251"/>
      <c r="C71" s="855" t="s">
        <v>2239</v>
      </c>
      <c r="D71" s="526" t="s">
        <v>3095</v>
      </c>
      <c r="E71" s="251" t="s">
        <v>545</v>
      </c>
      <c r="F71" s="735">
        <f t="shared" si="4"/>
        <v>25</v>
      </c>
      <c r="G71" s="872">
        <v>7.87</v>
      </c>
      <c r="H71" s="261">
        <f t="shared" si="5"/>
        <v>196.75</v>
      </c>
      <c r="I71" s="251" t="s">
        <v>545</v>
      </c>
      <c r="J71" s="872"/>
      <c r="K71" s="872"/>
      <c r="L71" s="872"/>
      <c r="M71" s="872"/>
      <c r="N71" s="258">
        <v>7</v>
      </c>
      <c r="O71" s="257">
        <f>INT($G71*N71*100+0.5)/100</f>
        <v>55.09</v>
      </c>
      <c r="P71" s="258">
        <v>5</v>
      </c>
      <c r="Q71" s="257">
        <f>INT($G71*P71*100+0.5)/100</f>
        <v>39.35</v>
      </c>
      <c r="R71" s="258">
        <v>8</v>
      </c>
      <c r="S71" s="257">
        <f>INT($G71*R71*100+0.5)/100</f>
        <v>62.96</v>
      </c>
      <c r="T71" s="258">
        <v>0</v>
      </c>
      <c r="U71" s="257">
        <f>INT($G71*T71*100+0.5)/100</f>
        <v>0</v>
      </c>
      <c r="V71" s="258">
        <v>0</v>
      </c>
      <c r="W71" s="257">
        <f>INT($G71*V71*100+0.5)/100</f>
        <v>0</v>
      </c>
      <c r="X71" s="258">
        <v>5</v>
      </c>
      <c r="Y71" s="257">
        <f>INT($G71*X71*100+0.5)/100</f>
        <v>39.35</v>
      </c>
      <c r="Z71" s="258">
        <v>0</v>
      </c>
      <c r="AA71" s="257">
        <f>INT($G71*Z71*100+0.5)/100</f>
        <v>0</v>
      </c>
      <c r="AB71" s="258">
        <v>0</v>
      </c>
      <c r="AC71" s="257">
        <f>INT($G71*AB71*100+0.5)/100</f>
        <v>0</v>
      </c>
    </row>
    <row r="72" spans="1:29" ht="15">
      <c r="A72" s="250"/>
      <c r="B72" s="251"/>
      <c r="C72" s="855"/>
      <c r="D72" s="526" t="s">
        <v>3087</v>
      </c>
      <c r="E72" s="251"/>
      <c r="F72" s="735"/>
      <c r="G72" s="872"/>
      <c r="H72" s="261"/>
      <c r="I72" s="251"/>
      <c r="J72" s="872"/>
      <c r="K72" s="872"/>
      <c r="L72" s="872"/>
      <c r="M72" s="872"/>
      <c r="N72" s="258"/>
      <c r="O72" s="257"/>
      <c r="P72" s="258"/>
      <c r="Q72" s="257"/>
      <c r="R72" s="258"/>
      <c r="S72" s="257"/>
      <c r="T72" s="258"/>
      <c r="U72" s="257"/>
      <c r="V72" s="258"/>
      <c r="W72" s="257"/>
      <c r="X72" s="258"/>
      <c r="Y72" s="257"/>
      <c r="Z72" s="258"/>
      <c r="AA72" s="257"/>
      <c r="AB72" s="258"/>
      <c r="AC72" s="257"/>
    </row>
    <row r="73" spans="1:29" ht="15">
      <c r="A73" s="250">
        <f>A71+1</f>
        <v>24</v>
      </c>
      <c r="B73" s="251"/>
      <c r="C73" s="855" t="s">
        <v>2240</v>
      </c>
      <c r="D73" s="526" t="s">
        <v>3096</v>
      </c>
      <c r="E73" s="251" t="s">
        <v>545</v>
      </c>
      <c r="F73" s="735">
        <f t="shared" si="4"/>
        <v>21</v>
      </c>
      <c r="G73" s="872">
        <v>10.83</v>
      </c>
      <c r="H73" s="261">
        <f t="shared" si="5"/>
        <v>227.43</v>
      </c>
      <c r="I73" s="251" t="s">
        <v>545</v>
      </c>
      <c r="J73" s="872"/>
      <c r="K73" s="872"/>
      <c r="L73" s="872"/>
      <c r="M73" s="872"/>
      <c r="N73" s="258">
        <v>5</v>
      </c>
      <c r="O73" s="257">
        <f>INT($G73*N73*100+0.5)/100</f>
        <v>54.15</v>
      </c>
      <c r="P73" s="258">
        <v>0</v>
      </c>
      <c r="Q73" s="257">
        <f>INT($G73*P73*100+0.5)/100</f>
        <v>0</v>
      </c>
      <c r="R73" s="258">
        <v>8</v>
      </c>
      <c r="S73" s="257">
        <f>INT($G73*R73*100+0.5)/100</f>
        <v>86.64</v>
      </c>
      <c r="T73" s="258">
        <v>3</v>
      </c>
      <c r="U73" s="257">
        <f>INT($G73*T73*100+0.5)/100</f>
        <v>32.49</v>
      </c>
      <c r="V73" s="258">
        <v>0</v>
      </c>
      <c r="W73" s="257">
        <f>INT($G73*V73*100+0.5)/100</f>
        <v>0</v>
      </c>
      <c r="X73" s="258">
        <v>5</v>
      </c>
      <c r="Y73" s="257">
        <f>INT($G73*X73*100+0.5)/100</f>
        <v>54.15</v>
      </c>
      <c r="Z73" s="258">
        <v>0</v>
      </c>
      <c r="AA73" s="257">
        <f>INT($G73*Z73*100+0.5)/100</f>
        <v>0</v>
      </c>
      <c r="AB73" s="258">
        <v>0</v>
      </c>
      <c r="AC73" s="257">
        <f>INT($G73*AB73*100+0.5)/100</f>
        <v>0</v>
      </c>
    </row>
    <row r="74" spans="1:29" ht="15">
      <c r="A74" s="250"/>
      <c r="B74" s="251"/>
      <c r="C74" s="855"/>
      <c r="D74" s="526" t="s">
        <v>3090</v>
      </c>
      <c r="E74" s="251"/>
      <c r="F74" s="735"/>
      <c r="G74" s="872"/>
      <c r="H74" s="261"/>
      <c r="I74" s="251"/>
      <c r="J74" s="872"/>
      <c r="K74" s="872"/>
      <c r="L74" s="872"/>
      <c r="M74" s="872"/>
      <c r="N74" s="258"/>
      <c r="O74" s="257"/>
      <c r="P74" s="258"/>
      <c r="Q74" s="257"/>
      <c r="R74" s="258"/>
      <c r="S74" s="257"/>
      <c r="T74" s="258"/>
      <c r="U74" s="257"/>
      <c r="V74" s="258"/>
      <c r="W74" s="257"/>
      <c r="X74" s="258"/>
      <c r="Y74" s="257"/>
      <c r="Z74" s="258"/>
      <c r="AA74" s="257"/>
      <c r="AB74" s="258"/>
      <c r="AC74" s="257"/>
    </row>
    <row r="75" spans="1:29" ht="15">
      <c r="A75" s="250">
        <f>A73+1</f>
        <v>25</v>
      </c>
      <c r="B75" s="251"/>
      <c r="C75" s="855" t="s">
        <v>2241</v>
      </c>
      <c r="D75" s="526" t="s">
        <v>3098</v>
      </c>
      <c r="E75" s="251" t="s">
        <v>545</v>
      </c>
      <c r="F75" s="735">
        <f t="shared" si="4"/>
        <v>23</v>
      </c>
      <c r="G75" s="872">
        <v>24.53</v>
      </c>
      <c r="H75" s="261">
        <f t="shared" si="5"/>
        <v>564.18999999999994</v>
      </c>
      <c r="I75" s="251" t="s">
        <v>545</v>
      </c>
      <c r="J75" s="872"/>
      <c r="K75" s="872"/>
      <c r="L75" s="872"/>
      <c r="M75" s="872"/>
      <c r="N75" s="258">
        <v>5</v>
      </c>
      <c r="O75" s="257">
        <f>INT($G75*N75*100+0.5)/100</f>
        <v>122.65</v>
      </c>
      <c r="P75" s="258">
        <v>5</v>
      </c>
      <c r="Q75" s="257">
        <f>INT($G75*P75*100+0.5)/100</f>
        <v>122.65</v>
      </c>
      <c r="R75" s="258">
        <v>8</v>
      </c>
      <c r="S75" s="257">
        <f>INT($G75*R75*100+0.5)/100</f>
        <v>196.24</v>
      </c>
      <c r="T75" s="258">
        <v>0</v>
      </c>
      <c r="U75" s="257">
        <f>INT($G75*T75*100+0.5)/100</f>
        <v>0</v>
      </c>
      <c r="V75" s="258">
        <v>0</v>
      </c>
      <c r="W75" s="257">
        <f>INT($G75*V75*100+0.5)/100</f>
        <v>0</v>
      </c>
      <c r="X75" s="258">
        <v>5</v>
      </c>
      <c r="Y75" s="257">
        <f>INT($G75*X75*100+0.5)/100</f>
        <v>122.65</v>
      </c>
      <c r="Z75" s="258">
        <v>0</v>
      </c>
      <c r="AA75" s="257">
        <f>INT($G75*Z75*100+0.5)/100</f>
        <v>0</v>
      </c>
      <c r="AB75" s="258">
        <v>0</v>
      </c>
      <c r="AC75" s="257">
        <f>INT($G75*AB75*100+0.5)/100</f>
        <v>0</v>
      </c>
    </row>
    <row r="76" spans="1:29" ht="15">
      <c r="A76" s="250"/>
      <c r="B76" s="251"/>
      <c r="C76" s="855"/>
      <c r="D76" s="526" t="s">
        <v>3097</v>
      </c>
      <c r="E76" s="251"/>
      <c r="F76" s="735"/>
      <c r="G76" s="872"/>
      <c r="H76" s="261"/>
      <c r="I76" s="251"/>
      <c r="J76" s="872"/>
      <c r="K76" s="872"/>
      <c r="L76" s="872"/>
      <c r="M76" s="872"/>
      <c r="N76" s="258"/>
      <c r="O76" s="257"/>
      <c r="P76" s="258"/>
      <c r="Q76" s="257"/>
      <c r="R76" s="258"/>
      <c r="S76" s="257"/>
      <c r="T76" s="258"/>
      <c r="U76" s="257"/>
      <c r="V76" s="258"/>
      <c r="W76" s="257"/>
      <c r="X76" s="258"/>
      <c r="Y76" s="257"/>
      <c r="Z76" s="258"/>
      <c r="AA76" s="257"/>
      <c r="AB76" s="258"/>
      <c r="AC76" s="257"/>
    </row>
    <row r="77" spans="1:29" ht="15">
      <c r="A77" s="250"/>
      <c r="B77" s="251"/>
      <c r="C77" s="855"/>
      <c r="D77" s="526"/>
      <c r="E77" s="251"/>
      <c r="F77" s="735"/>
      <c r="G77" s="872"/>
      <c r="H77" s="261"/>
      <c r="I77" s="251"/>
      <c r="J77" s="872"/>
      <c r="K77" s="872"/>
      <c r="L77" s="872"/>
      <c r="M77" s="872"/>
      <c r="N77" s="258"/>
      <c r="O77" s="257"/>
      <c r="P77" s="258"/>
      <c r="Q77" s="257"/>
      <c r="R77" s="258"/>
      <c r="S77" s="257"/>
      <c r="T77" s="258"/>
      <c r="U77" s="257"/>
      <c r="V77" s="258"/>
      <c r="W77" s="257"/>
      <c r="X77" s="258"/>
      <c r="Y77" s="257"/>
      <c r="Z77" s="258"/>
      <c r="AA77" s="257"/>
      <c r="AB77" s="258"/>
      <c r="AC77" s="257"/>
    </row>
    <row r="78" spans="1:29" ht="25.5">
      <c r="A78" s="250"/>
      <c r="B78" s="251"/>
      <c r="C78" s="856" t="s">
        <v>3099</v>
      </c>
      <c r="D78" s="526" t="s">
        <v>3100</v>
      </c>
      <c r="E78" s="251"/>
      <c r="F78" s="735"/>
      <c r="G78" s="872"/>
      <c r="H78" s="261"/>
      <c r="I78" s="251"/>
      <c r="J78" s="872"/>
      <c r="K78" s="872"/>
      <c r="L78" s="872"/>
      <c r="M78" s="872"/>
      <c r="N78" s="258"/>
      <c r="O78" s="257"/>
      <c r="P78" s="258"/>
      <c r="Q78" s="257"/>
      <c r="R78" s="258"/>
      <c r="S78" s="257"/>
      <c r="T78" s="258"/>
      <c r="U78" s="257"/>
      <c r="V78" s="258"/>
      <c r="W78" s="257"/>
      <c r="X78" s="258"/>
      <c r="Y78" s="257"/>
      <c r="Z78" s="258"/>
      <c r="AA78" s="257"/>
      <c r="AB78" s="258"/>
      <c r="AC78" s="257"/>
    </row>
    <row r="79" spans="1:29" ht="25.5">
      <c r="A79" s="250">
        <f>A75+1</f>
        <v>26</v>
      </c>
      <c r="B79" s="251"/>
      <c r="C79" s="855" t="s">
        <v>2242</v>
      </c>
      <c r="D79" s="526" t="s">
        <v>3101</v>
      </c>
      <c r="E79" s="251" t="s">
        <v>545</v>
      </c>
      <c r="F79" s="735">
        <f>N79+R79+P79+T79+V79+X79+Z79+AB79</f>
        <v>23</v>
      </c>
      <c r="G79" s="872">
        <v>2.5499999999999998</v>
      </c>
      <c r="H79" s="261">
        <f>O79+S79+Q79+U79+W79+Y79+AA79+AC79</f>
        <v>58.65</v>
      </c>
      <c r="I79" s="251" t="s">
        <v>545</v>
      </c>
      <c r="J79" s="872"/>
      <c r="K79" s="872"/>
      <c r="L79" s="872"/>
      <c r="M79" s="872"/>
      <c r="N79" s="258">
        <v>5</v>
      </c>
      <c r="O79" s="257">
        <f>INT($G79*N79*100+0.5)/100</f>
        <v>12.75</v>
      </c>
      <c r="P79" s="258">
        <v>5</v>
      </c>
      <c r="Q79" s="257">
        <f>INT($G79*P79*100+0.5)/100</f>
        <v>12.75</v>
      </c>
      <c r="R79" s="258">
        <v>8</v>
      </c>
      <c r="S79" s="257">
        <f>INT($G79*R79*100+0.5)/100</f>
        <v>20.399999999999999</v>
      </c>
      <c r="T79" s="258">
        <v>0</v>
      </c>
      <c r="U79" s="257">
        <f>INT($G79*T79*100+0.5)/100</f>
        <v>0</v>
      </c>
      <c r="V79" s="258">
        <v>0</v>
      </c>
      <c r="W79" s="257">
        <f>INT($G79*V79*100+0.5)/100</f>
        <v>0</v>
      </c>
      <c r="X79" s="258">
        <v>5</v>
      </c>
      <c r="Y79" s="257">
        <f>INT($G79*X79*100+0.5)/100</f>
        <v>12.75</v>
      </c>
      <c r="Z79" s="258">
        <v>0</v>
      </c>
      <c r="AA79" s="257">
        <f>INT($G79*Z79*100+0.5)/100</f>
        <v>0</v>
      </c>
      <c r="AB79" s="258">
        <v>0</v>
      </c>
      <c r="AC79" s="257">
        <f>INT($G79*AB79*100+0.5)/100</f>
        <v>0</v>
      </c>
    </row>
    <row r="80" spans="1:29" ht="38.25">
      <c r="A80" s="250"/>
      <c r="B80" s="251"/>
      <c r="C80" s="855"/>
      <c r="D80" s="526" t="s">
        <v>3102</v>
      </c>
      <c r="E80" s="251"/>
      <c r="F80" s="735"/>
      <c r="G80" s="872"/>
      <c r="H80" s="261"/>
      <c r="I80" s="251"/>
      <c r="J80" s="872"/>
      <c r="K80" s="872"/>
      <c r="L80" s="872"/>
      <c r="M80" s="872"/>
      <c r="N80" s="258"/>
      <c r="O80" s="257"/>
      <c r="P80" s="258"/>
      <c r="Q80" s="257"/>
      <c r="R80" s="258"/>
      <c r="S80" s="257"/>
      <c r="T80" s="258"/>
      <c r="U80" s="257"/>
      <c r="V80" s="258"/>
      <c r="W80" s="257"/>
      <c r="X80" s="258"/>
      <c r="Y80" s="257"/>
      <c r="Z80" s="258"/>
      <c r="AA80" s="257"/>
      <c r="AB80" s="258"/>
      <c r="AC80" s="257"/>
    </row>
    <row r="81" spans="1:29" ht="25.5">
      <c r="A81" s="250">
        <f>A79+1</f>
        <v>27</v>
      </c>
      <c r="B81" s="251"/>
      <c r="C81" s="855" t="s">
        <v>2243</v>
      </c>
      <c r="D81" s="526" t="s">
        <v>3103</v>
      </c>
      <c r="E81" s="251" t="s">
        <v>545</v>
      </c>
      <c r="F81" s="735">
        <f>N81+R81+P81+T81+V81+X81+Z81+AB81</f>
        <v>23</v>
      </c>
      <c r="G81" s="872">
        <v>59.51</v>
      </c>
      <c r="H81" s="261">
        <f>O81+S81+Q81+U81+W81+Y81+AA81+AC81</f>
        <v>1368.73</v>
      </c>
      <c r="I81" s="251" t="s">
        <v>545</v>
      </c>
      <c r="J81" s="872"/>
      <c r="K81" s="872"/>
      <c r="L81" s="872"/>
      <c r="M81" s="872"/>
      <c r="N81" s="258">
        <v>5</v>
      </c>
      <c r="O81" s="257">
        <f>INT($G81*N81*100+0.5)/100</f>
        <v>297.55</v>
      </c>
      <c r="P81" s="258">
        <v>5</v>
      </c>
      <c r="Q81" s="257">
        <f>INT($G81*P81*100+0.5)/100</f>
        <v>297.55</v>
      </c>
      <c r="R81" s="258">
        <v>8</v>
      </c>
      <c r="S81" s="257">
        <f>INT($G81*R81*100+0.5)/100</f>
        <v>476.08</v>
      </c>
      <c r="T81" s="258">
        <v>0</v>
      </c>
      <c r="U81" s="257">
        <f>INT($G81*T81*100+0.5)/100</f>
        <v>0</v>
      </c>
      <c r="V81" s="258">
        <v>0</v>
      </c>
      <c r="W81" s="257">
        <f>INT($G81*V81*100+0.5)/100</f>
        <v>0</v>
      </c>
      <c r="X81" s="258">
        <v>5</v>
      </c>
      <c r="Y81" s="257">
        <f>INT($G81*X81*100+0.5)/100</f>
        <v>297.55</v>
      </c>
      <c r="Z81" s="258">
        <v>0</v>
      </c>
      <c r="AA81" s="257">
        <f>INT($G81*Z81*100+0.5)/100</f>
        <v>0</v>
      </c>
      <c r="AB81" s="258">
        <v>0</v>
      </c>
      <c r="AC81" s="257">
        <f>INT($G81*AB81*100+0.5)/100</f>
        <v>0</v>
      </c>
    </row>
    <row r="82" spans="1:29" ht="25.5">
      <c r="A82" s="250"/>
      <c r="B82" s="251"/>
      <c r="C82" s="855"/>
      <c r="D82" s="526" t="s">
        <v>3104</v>
      </c>
      <c r="E82" s="251"/>
      <c r="F82" s="735"/>
      <c r="G82" s="872"/>
      <c r="H82" s="261"/>
      <c r="I82" s="251"/>
      <c r="J82" s="872"/>
      <c r="K82" s="872"/>
      <c r="L82" s="872"/>
      <c r="M82" s="872"/>
      <c r="N82" s="258"/>
      <c r="O82" s="257"/>
      <c r="P82" s="258"/>
      <c r="Q82" s="257"/>
      <c r="R82" s="258"/>
      <c r="S82" s="257"/>
      <c r="T82" s="258"/>
      <c r="U82" s="257"/>
      <c r="V82" s="258"/>
      <c r="W82" s="257"/>
      <c r="X82" s="258"/>
      <c r="Y82" s="257"/>
      <c r="Z82" s="258"/>
      <c r="AA82" s="257"/>
      <c r="AB82" s="258"/>
      <c r="AC82" s="257"/>
    </row>
    <row r="83" spans="1:29" ht="15">
      <c r="A83" s="250"/>
      <c r="B83" s="251"/>
      <c r="C83" s="855"/>
      <c r="D83" s="526"/>
      <c r="E83" s="251"/>
      <c r="F83" s="735"/>
      <c r="G83" s="872"/>
      <c r="H83" s="261"/>
      <c r="I83" s="251"/>
      <c r="J83" s="872"/>
      <c r="K83" s="872"/>
      <c r="L83" s="872"/>
      <c r="M83" s="872"/>
      <c r="N83" s="258"/>
      <c r="O83" s="257"/>
      <c r="P83" s="258"/>
      <c r="Q83" s="257"/>
      <c r="R83" s="258"/>
      <c r="S83" s="257"/>
      <c r="T83" s="258"/>
      <c r="U83" s="257"/>
      <c r="V83" s="258"/>
      <c r="W83" s="257"/>
      <c r="X83" s="258"/>
      <c r="Y83" s="257"/>
      <c r="Z83" s="258"/>
      <c r="AA83" s="257"/>
      <c r="AB83" s="258"/>
      <c r="AC83" s="257"/>
    </row>
    <row r="84" spans="1:29" ht="15">
      <c r="A84" s="250"/>
      <c r="B84" s="251"/>
      <c r="C84" s="856" t="s">
        <v>3105</v>
      </c>
      <c r="D84" s="526" t="s">
        <v>3106</v>
      </c>
      <c r="E84" s="251"/>
      <c r="F84" s="735"/>
      <c r="G84" s="872"/>
      <c r="H84" s="261"/>
      <c r="I84" s="251"/>
      <c r="J84" s="872"/>
      <c r="K84" s="872"/>
      <c r="L84" s="872"/>
      <c r="M84" s="872"/>
      <c r="N84" s="258"/>
      <c r="O84" s="257"/>
      <c r="P84" s="258"/>
      <c r="Q84" s="257"/>
      <c r="R84" s="258"/>
      <c r="S84" s="257"/>
      <c r="T84" s="258"/>
      <c r="U84" s="257"/>
      <c r="V84" s="258"/>
      <c r="W84" s="257"/>
      <c r="X84" s="258"/>
      <c r="Y84" s="257"/>
      <c r="Z84" s="258"/>
      <c r="AA84" s="257"/>
      <c r="AB84" s="258"/>
      <c r="AC84" s="257"/>
    </row>
    <row r="85" spans="1:29" ht="15">
      <c r="A85" s="250">
        <f>A81+1</f>
        <v>28</v>
      </c>
      <c r="B85" s="251"/>
      <c r="C85" s="855" t="s">
        <v>2246</v>
      </c>
      <c r="D85" s="526" t="s">
        <v>3107</v>
      </c>
      <c r="E85" s="251" t="s">
        <v>545</v>
      </c>
      <c r="F85" s="735">
        <f>N85+R85+P85+T85+V85+X85+Z85+AB85</f>
        <v>26</v>
      </c>
      <c r="G85" s="872">
        <v>2.09</v>
      </c>
      <c r="H85" s="261">
        <f>O85+S85+Q85+U85+W85+Y85+AA85+AC85</f>
        <v>54.34</v>
      </c>
      <c r="I85" s="251" t="s">
        <v>545</v>
      </c>
      <c r="J85" s="872"/>
      <c r="K85" s="872"/>
      <c r="L85" s="872"/>
      <c r="M85" s="872"/>
      <c r="N85" s="258">
        <v>5</v>
      </c>
      <c r="O85" s="257">
        <f>INT($G85*N85*100+0.5)/100</f>
        <v>10.45</v>
      </c>
      <c r="P85" s="258">
        <v>5</v>
      </c>
      <c r="Q85" s="257">
        <f>INT($G85*P85*100+0.5)/100</f>
        <v>10.45</v>
      </c>
      <c r="R85" s="258">
        <v>8</v>
      </c>
      <c r="S85" s="257">
        <f>INT($G85*R85*100+0.5)/100</f>
        <v>16.72</v>
      </c>
      <c r="T85" s="258">
        <v>3</v>
      </c>
      <c r="U85" s="257">
        <f>INT($G85*T85*100+0.5)/100</f>
        <v>6.27</v>
      </c>
      <c r="V85" s="258">
        <v>0</v>
      </c>
      <c r="W85" s="257">
        <f>INT($G85*V85*100+0.5)/100</f>
        <v>0</v>
      </c>
      <c r="X85" s="258">
        <v>5</v>
      </c>
      <c r="Y85" s="257">
        <f>INT($G85*X85*100+0.5)/100</f>
        <v>10.45</v>
      </c>
      <c r="Z85" s="258">
        <v>0</v>
      </c>
      <c r="AA85" s="257">
        <f>INT($G85*Z85*100+0.5)/100</f>
        <v>0</v>
      </c>
      <c r="AB85" s="258">
        <v>0</v>
      </c>
      <c r="AC85" s="257">
        <f>INT($G85*AB85*100+0.5)/100</f>
        <v>0</v>
      </c>
    </row>
    <row r="86" spans="1:29" ht="15">
      <c r="A86" s="250"/>
      <c r="B86" s="251"/>
      <c r="C86" s="855"/>
      <c r="D86" s="526" t="s">
        <v>3108</v>
      </c>
      <c r="E86" s="251"/>
      <c r="F86" s="735"/>
      <c r="G86" s="872"/>
      <c r="H86" s="261"/>
      <c r="I86" s="251"/>
      <c r="J86" s="872"/>
      <c r="K86" s="872"/>
      <c r="L86" s="872"/>
      <c r="M86" s="872"/>
      <c r="N86" s="258"/>
      <c r="O86" s="257"/>
      <c r="P86" s="258"/>
      <c r="Q86" s="257"/>
      <c r="R86" s="258"/>
      <c r="S86" s="257"/>
      <c r="T86" s="258"/>
      <c r="U86" s="257"/>
      <c r="V86" s="258"/>
      <c r="W86" s="257"/>
      <c r="X86" s="258"/>
      <c r="Y86" s="257"/>
      <c r="Z86" s="258"/>
      <c r="AA86" s="257"/>
      <c r="AB86" s="258"/>
      <c r="AC86" s="257"/>
    </row>
    <row r="87" spans="1:29" ht="15">
      <c r="A87" s="250">
        <f>A85+1</f>
        <v>29</v>
      </c>
      <c r="B87" s="251"/>
      <c r="C87" s="855" t="s">
        <v>2247</v>
      </c>
      <c r="D87" s="526" t="s">
        <v>3109</v>
      </c>
      <c r="E87" s="251" t="s">
        <v>545</v>
      </c>
      <c r="F87" s="735">
        <f>N87+R87+P87+T87+V87+X87+Z87+AB87</f>
        <v>23</v>
      </c>
      <c r="G87" s="872">
        <v>14.21</v>
      </c>
      <c r="H87" s="261">
        <f>O87+S87+Q87+U87+W87+Y87+AA87+AC87</f>
        <v>326.83000000000004</v>
      </c>
      <c r="I87" s="251" t="s">
        <v>545</v>
      </c>
      <c r="J87" s="872"/>
      <c r="K87" s="872"/>
      <c r="L87" s="872"/>
      <c r="M87" s="872"/>
      <c r="N87" s="258">
        <v>5</v>
      </c>
      <c r="O87" s="257">
        <f>INT($G87*N87*100+0.5)/100</f>
        <v>71.05</v>
      </c>
      <c r="P87" s="258">
        <v>5</v>
      </c>
      <c r="Q87" s="257">
        <f>INT($G87*P87*100+0.5)/100</f>
        <v>71.05</v>
      </c>
      <c r="R87" s="258">
        <v>8</v>
      </c>
      <c r="S87" s="257">
        <f>INT($G87*R87*100+0.5)/100</f>
        <v>113.68</v>
      </c>
      <c r="T87" s="258">
        <v>0</v>
      </c>
      <c r="U87" s="257">
        <f>INT($G87*T87*100+0.5)/100</f>
        <v>0</v>
      </c>
      <c r="V87" s="258">
        <v>0</v>
      </c>
      <c r="W87" s="257">
        <f>INT($G87*V87*100+0.5)/100</f>
        <v>0</v>
      </c>
      <c r="X87" s="258">
        <v>5</v>
      </c>
      <c r="Y87" s="257">
        <f>INT($G87*X87*100+0.5)/100</f>
        <v>71.05</v>
      </c>
      <c r="Z87" s="258">
        <v>0</v>
      </c>
      <c r="AA87" s="257">
        <f>INT($G87*Z87*100+0.5)/100</f>
        <v>0</v>
      </c>
      <c r="AB87" s="258">
        <v>0</v>
      </c>
      <c r="AC87" s="257">
        <f>INT($G87*AB87*100+0.5)/100</f>
        <v>0</v>
      </c>
    </row>
    <row r="88" spans="1:29" ht="15">
      <c r="A88" s="250"/>
      <c r="B88" s="251"/>
      <c r="C88" s="855"/>
      <c r="D88" s="526" t="s">
        <v>3110</v>
      </c>
      <c r="E88" s="251"/>
      <c r="F88" s="735"/>
      <c r="G88" s="872"/>
      <c r="H88" s="261"/>
      <c r="I88" s="251"/>
      <c r="J88" s="872"/>
      <c r="K88" s="872"/>
      <c r="L88" s="872"/>
      <c r="M88" s="872"/>
      <c r="N88" s="258"/>
      <c r="O88" s="257"/>
      <c r="P88" s="258"/>
      <c r="Q88" s="257"/>
      <c r="R88" s="258"/>
      <c r="S88" s="257"/>
      <c r="T88" s="258"/>
      <c r="U88" s="257"/>
      <c r="V88" s="258"/>
      <c r="W88" s="257"/>
      <c r="X88" s="258"/>
      <c r="Y88" s="257"/>
      <c r="Z88" s="258"/>
      <c r="AA88" s="257"/>
      <c r="AB88" s="258"/>
      <c r="AC88" s="257"/>
    </row>
    <row r="89" spans="1:29" ht="15">
      <c r="A89" s="250"/>
      <c r="B89" s="251"/>
      <c r="C89" s="855"/>
      <c r="D89" s="526"/>
      <c r="E89" s="251"/>
      <c r="F89" s="735"/>
      <c r="G89" s="872"/>
      <c r="H89" s="261"/>
      <c r="I89" s="251"/>
      <c r="J89" s="872"/>
      <c r="K89" s="872"/>
      <c r="L89" s="872"/>
      <c r="M89" s="872"/>
      <c r="N89" s="258"/>
      <c r="O89" s="257"/>
      <c r="P89" s="258"/>
      <c r="Q89" s="257"/>
      <c r="R89" s="258"/>
      <c r="S89" s="257"/>
      <c r="T89" s="258"/>
      <c r="U89" s="257"/>
      <c r="V89" s="258"/>
      <c r="W89" s="257"/>
      <c r="X89" s="258"/>
      <c r="Y89" s="257"/>
      <c r="Z89" s="258"/>
      <c r="AA89" s="257"/>
      <c r="AB89" s="258"/>
      <c r="AC89" s="257"/>
    </row>
    <row r="90" spans="1:29" ht="25.5">
      <c r="A90" s="250"/>
      <c r="B90" s="251"/>
      <c r="C90" s="856" t="s">
        <v>3111</v>
      </c>
      <c r="D90" s="526" t="s">
        <v>3112</v>
      </c>
      <c r="E90" s="251"/>
      <c r="F90" s="735"/>
      <c r="G90" s="872"/>
      <c r="H90" s="261"/>
      <c r="I90" s="251"/>
      <c r="J90" s="872"/>
      <c r="K90" s="872"/>
      <c r="L90" s="872"/>
      <c r="M90" s="872"/>
      <c r="N90" s="258"/>
      <c r="O90" s="257"/>
      <c r="P90" s="258"/>
      <c r="Q90" s="257"/>
      <c r="R90" s="258"/>
      <c r="S90" s="257"/>
      <c r="T90" s="258"/>
      <c r="U90" s="257"/>
      <c r="V90" s="258"/>
      <c r="W90" s="257"/>
      <c r="X90" s="258"/>
      <c r="Y90" s="257"/>
      <c r="Z90" s="258"/>
      <c r="AA90" s="257"/>
      <c r="AB90" s="258"/>
      <c r="AC90" s="257"/>
    </row>
    <row r="91" spans="1:29" ht="15">
      <c r="A91" s="250">
        <f>A87+1</f>
        <v>30</v>
      </c>
      <c r="B91" s="251"/>
      <c r="C91" s="855" t="s">
        <v>2248</v>
      </c>
      <c r="D91" s="526" t="s">
        <v>3113</v>
      </c>
      <c r="E91" s="251" t="s">
        <v>1907</v>
      </c>
      <c r="F91" s="735">
        <f>N91+R91+P91+T91+V91+X91+Z91+AB91</f>
        <v>16</v>
      </c>
      <c r="G91" s="872">
        <v>43.54</v>
      </c>
      <c r="H91" s="261">
        <f>O91+S91+Q91+U91+W91+Y91+AA91+AC91</f>
        <v>696.64</v>
      </c>
      <c r="I91" s="251" t="s">
        <v>1907</v>
      </c>
      <c r="J91" s="872"/>
      <c r="K91" s="872"/>
      <c r="L91" s="872"/>
      <c r="M91" s="872"/>
      <c r="N91" s="258">
        <v>3</v>
      </c>
      <c r="O91" s="257">
        <f>INT($G91*N91*100+0.5)/100</f>
        <v>130.62</v>
      </c>
      <c r="P91" s="258">
        <v>3</v>
      </c>
      <c r="Q91" s="257">
        <f>INT($G91*P91*100+0.5)/100</f>
        <v>130.62</v>
      </c>
      <c r="R91" s="258">
        <v>5</v>
      </c>
      <c r="S91" s="257">
        <f>INT($G91*R91*100+0.5)/100</f>
        <v>217.7</v>
      </c>
      <c r="T91" s="258">
        <v>0</v>
      </c>
      <c r="U91" s="257">
        <f>INT($G91*T91*100+0.5)/100</f>
        <v>0</v>
      </c>
      <c r="V91" s="258">
        <v>0</v>
      </c>
      <c r="W91" s="257">
        <f>INT($G91*V91*100+0.5)/100</f>
        <v>0</v>
      </c>
      <c r="X91" s="258">
        <v>5</v>
      </c>
      <c r="Y91" s="257">
        <f>INT($G91*X91*100+0.5)/100</f>
        <v>217.7</v>
      </c>
      <c r="Z91" s="258">
        <v>0</v>
      </c>
      <c r="AA91" s="257">
        <f>INT($G91*Z91*100+0.5)/100</f>
        <v>0</v>
      </c>
      <c r="AB91" s="258">
        <v>0</v>
      </c>
      <c r="AC91" s="257">
        <f>INT($G91*AB91*100+0.5)/100</f>
        <v>0</v>
      </c>
    </row>
    <row r="92" spans="1:29" ht="15">
      <c r="A92" s="250"/>
      <c r="B92" s="251"/>
      <c r="C92" s="855"/>
      <c r="D92" s="526" t="s">
        <v>3114</v>
      </c>
      <c r="E92" s="251"/>
      <c r="F92" s="735"/>
      <c r="G92" s="872"/>
      <c r="H92" s="261"/>
      <c r="I92" s="251"/>
      <c r="J92" s="872"/>
      <c r="K92" s="872"/>
      <c r="L92" s="872"/>
      <c r="M92" s="872"/>
      <c r="N92" s="258"/>
      <c r="O92" s="257"/>
      <c r="P92" s="258"/>
      <c r="Q92" s="257"/>
      <c r="R92" s="258"/>
      <c r="S92" s="257"/>
      <c r="T92" s="258"/>
      <c r="U92" s="257"/>
      <c r="V92" s="258"/>
      <c r="W92" s="257"/>
      <c r="X92" s="258"/>
      <c r="Y92" s="257"/>
      <c r="Z92" s="258"/>
      <c r="AA92" s="257"/>
      <c r="AB92" s="258"/>
      <c r="AC92" s="257"/>
    </row>
    <row r="93" spans="1:29" ht="15">
      <c r="A93" s="250"/>
      <c r="B93" s="251"/>
      <c r="C93" s="855"/>
      <c r="D93" s="526"/>
      <c r="E93" s="251"/>
      <c r="F93" s="735"/>
      <c r="G93" s="872"/>
      <c r="H93" s="261"/>
      <c r="I93" s="251"/>
      <c r="J93" s="872"/>
      <c r="K93" s="872"/>
      <c r="L93" s="872"/>
      <c r="M93" s="872"/>
      <c r="N93" s="258"/>
      <c r="O93" s="257"/>
      <c r="P93" s="258"/>
      <c r="Q93" s="257"/>
      <c r="R93" s="258"/>
      <c r="S93" s="257"/>
      <c r="T93" s="258"/>
      <c r="U93" s="257"/>
      <c r="V93" s="258"/>
      <c r="W93" s="257"/>
      <c r="X93" s="258"/>
      <c r="Y93" s="257"/>
      <c r="Z93" s="258"/>
      <c r="AA93" s="257"/>
      <c r="AB93" s="258"/>
      <c r="AC93" s="257"/>
    </row>
    <row r="94" spans="1:29" ht="25.5">
      <c r="A94" s="250"/>
      <c r="B94" s="251"/>
      <c r="C94" s="856" t="s">
        <v>3115</v>
      </c>
      <c r="D94" s="787" t="s">
        <v>3116</v>
      </c>
      <c r="E94" s="251"/>
      <c r="F94" s="735"/>
      <c r="G94" s="872"/>
      <c r="H94" s="261"/>
      <c r="I94" s="251"/>
      <c r="J94" s="872"/>
      <c r="K94" s="872"/>
      <c r="L94" s="872"/>
      <c r="M94" s="872"/>
      <c r="N94" s="258"/>
      <c r="O94" s="257"/>
      <c r="P94" s="258"/>
      <c r="Q94" s="257"/>
      <c r="R94" s="258"/>
      <c r="S94" s="257"/>
      <c r="T94" s="258"/>
      <c r="U94" s="257"/>
      <c r="V94" s="258"/>
      <c r="W94" s="257"/>
      <c r="X94" s="258"/>
      <c r="Y94" s="257"/>
      <c r="Z94" s="258"/>
      <c r="AA94" s="257"/>
      <c r="AB94" s="258"/>
      <c r="AC94" s="257"/>
    </row>
    <row r="95" spans="1:29" ht="15">
      <c r="A95" s="250">
        <f>A91+1</f>
        <v>31</v>
      </c>
      <c r="B95" s="251"/>
      <c r="C95" s="855" t="s">
        <v>556</v>
      </c>
      <c r="D95" s="526" t="s">
        <v>3117</v>
      </c>
      <c r="E95" s="251" t="s">
        <v>545</v>
      </c>
      <c r="F95" s="735">
        <f t="shared" ref="F95:F103" si="6">N95+R95+P95+T95+V95+X95+Z95+AB95</f>
        <v>14</v>
      </c>
      <c r="G95" s="872">
        <v>4.4400000000000004</v>
      </c>
      <c r="H95" s="261">
        <f t="shared" ref="H95:H103" si="7">O95+S95+Q95+U95+W95+Y95+AA95+AC95</f>
        <v>62.16</v>
      </c>
      <c r="I95" s="251" t="s">
        <v>545</v>
      </c>
      <c r="J95" s="872"/>
      <c r="K95" s="872"/>
      <c r="L95" s="872"/>
      <c r="M95" s="872"/>
      <c r="N95" s="258">
        <v>3</v>
      </c>
      <c r="O95" s="257">
        <f>INT($G95*N95*100+0.5)/100</f>
        <v>13.32</v>
      </c>
      <c r="P95" s="258">
        <v>3</v>
      </c>
      <c r="Q95" s="257">
        <f>INT($G95*P95*100+0.5)/100</f>
        <v>13.32</v>
      </c>
      <c r="R95" s="258">
        <v>5</v>
      </c>
      <c r="S95" s="257">
        <f>INT($G95*R95*100+0.5)/100</f>
        <v>22.2</v>
      </c>
      <c r="T95" s="258">
        <v>0</v>
      </c>
      <c r="U95" s="257">
        <f>INT($G95*T95*100+0.5)/100</f>
        <v>0</v>
      </c>
      <c r="V95" s="258">
        <v>0</v>
      </c>
      <c r="W95" s="257">
        <f>INT($G95*V95*100+0.5)/100</f>
        <v>0</v>
      </c>
      <c r="X95" s="258">
        <v>3</v>
      </c>
      <c r="Y95" s="257">
        <f>INT($G95*X95*100+0.5)/100</f>
        <v>13.32</v>
      </c>
      <c r="Z95" s="258">
        <v>0</v>
      </c>
      <c r="AA95" s="257">
        <f>INT($G95*Z95*100+0.5)/100</f>
        <v>0</v>
      </c>
      <c r="AB95" s="258">
        <v>0</v>
      </c>
      <c r="AC95" s="257">
        <f>INT($G95*AB95*100+0.5)/100</f>
        <v>0</v>
      </c>
    </row>
    <row r="96" spans="1:29" ht="15">
      <c r="A96" s="250"/>
      <c r="B96" s="251"/>
      <c r="C96" s="855"/>
      <c r="D96" s="526" t="s">
        <v>3118</v>
      </c>
      <c r="E96" s="251"/>
      <c r="F96" s="735"/>
      <c r="G96" s="872"/>
      <c r="H96" s="261"/>
      <c r="I96" s="251"/>
      <c r="J96" s="872"/>
      <c r="K96" s="872"/>
      <c r="L96" s="872"/>
      <c r="M96" s="872"/>
      <c r="N96" s="258"/>
      <c r="O96" s="257"/>
      <c r="P96" s="258"/>
      <c r="Q96" s="257"/>
      <c r="R96" s="258"/>
      <c r="S96" s="257"/>
      <c r="T96" s="258"/>
      <c r="U96" s="257"/>
      <c r="V96" s="258"/>
      <c r="W96" s="257"/>
      <c r="X96" s="258"/>
      <c r="Y96" s="257"/>
      <c r="Z96" s="258"/>
      <c r="AA96" s="257"/>
      <c r="AB96" s="258"/>
      <c r="AC96" s="257"/>
    </row>
    <row r="97" spans="1:29" ht="15">
      <c r="A97" s="250">
        <f>A95+1</f>
        <v>32</v>
      </c>
      <c r="B97" s="251"/>
      <c r="C97" s="855" t="s">
        <v>558</v>
      </c>
      <c r="D97" s="526" t="s">
        <v>3119</v>
      </c>
      <c r="E97" s="251" t="s">
        <v>545</v>
      </c>
      <c r="F97" s="735">
        <f t="shared" si="6"/>
        <v>11</v>
      </c>
      <c r="G97" s="872">
        <v>2.42</v>
      </c>
      <c r="H97" s="261">
        <f t="shared" si="7"/>
        <v>26.619999999999997</v>
      </c>
      <c r="I97" s="251" t="s">
        <v>545</v>
      </c>
      <c r="J97" s="872"/>
      <c r="K97" s="872"/>
      <c r="L97" s="872"/>
      <c r="M97" s="872"/>
      <c r="N97" s="258">
        <v>3</v>
      </c>
      <c r="O97" s="257">
        <f>INT($G97*N97*100+0.5)/100</f>
        <v>7.26</v>
      </c>
      <c r="P97" s="258">
        <v>3</v>
      </c>
      <c r="Q97" s="257">
        <f>INT($G97*P97*100+0.5)/100</f>
        <v>7.26</v>
      </c>
      <c r="R97" s="258">
        <v>5</v>
      </c>
      <c r="S97" s="257">
        <f>INT($G97*R97*100+0.5)/100</f>
        <v>12.1</v>
      </c>
      <c r="T97" s="258">
        <v>0</v>
      </c>
      <c r="U97" s="257">
        <f>INT($G97*T97*100+0.5)/100</f>
        <v>0</v>
      </c>
      <c r="V97" s="258">
        <v>0</v>
      </c>
      <c r="W97" s="257">
        <f>INT($G97*V97*100+0.5)/100</f>
        <v>0</v>
      </c>
      <c r="X97" s="258">
        <v>0</v>
      </c>
      <c r="Y97" s="257">
        <f>INT($G97*X97*100+0.5)/100</f>
        <v>0</v>
      </c>
      <c r="Z97" s="258">
        <v>0</v>
      </c>
      <c r="AA97" s="257">
        <f>INT($G97*Z97*100+0.5)/100</f>
        <v>0</v>
      </c>
      <c r="AB97" s="258">
        <v>0</v>
      </c>
      <c r="AC97" s="257">
        <f>INT($G97*AB97*100+0.5)/100</f>
        <v>0</v>
      </c>
    </row>
    <row r="98" spans="1:29" ht="15">
      <c r="A98" s="250"/>
      <c r="B98" s="251"/>
      <c r="C98" s="855"/>
      <c r="D98" s="526" t="s">
        <v>3120</v>
      </c>
      <c r="E98" s="251"/>
      <c r="F98" s="735"/>
      <c r="G98" s="872"/>
      <c r="H98" s="261"/>
      <c r="I98" s="251"/>
      <c r="J98" s="872"/>
      <c r="K98" s="872"/>
      <c r="L98" s="872"/>
      <c r="M98" s="872"/>
      <c r="N98" s="258"/>
      <c r="O98" s="257"/>
      <c r="P98" s="258"/>
      <c r="Q98" s="257"/>
      <c r="R98" s="258"/>
      <c r="S98" s="257"/>
      <c r="T98" s="258"/>
      <c r="U98" s="257"/>
      <c r="V98" s="258"/>
      <c r="W98" s="257"/>
      <c r="X98" s="258"/>
      <c r="Y98" s="257"/>
      <c r="Z98" s="258"/>
      <c r="AA98" s="257"/>
      <c r="AB98" s="258"/>
      <c r="AC98" s="257"/>
    </row>
    <row r="99" spans="1:29" ht="25.5">
      <c r="A99" s="250">
        <f>A97+1</f>
        <v>33</v>
      </c>
      <c r="B99" s="251"/>
      <c r="C99" s="855" t="s">
        <v>2249</v>
      </c>
      <c r="D99" s="526" t="s">
        <v>3121</v>
      </c>
      <c r="E99" s="251" t="s">
        <v>545</v>
      </c>
      <c r="F99" s="735">
        <f t="shared" si="6"/>
        <v>14</v>
      </c>
      <c r="G99" s="872">
        <v>6.49</v>
      </c>
      <c r="H99" s="261">
        <f t="shared" si="7"/>
        <v>90.86</v>
      </c>
      <c r="I99" s="251" t="s">
        <v>545</v>
      </c>
      <c r="J99" s="872"/>
      <c r="K99" s="872"/>
      <c r="L99" s="872"/>
      <c r="M99" s="872"/>
      <c r="N99" s="258">
        <v>3</v>
      </c>
      <c r="O99" s="257">
        <f>INT($G99*N99*100+0.5)/100</f>
        <v>19.47</v>
      </c>
      <c r="P99" s="258">
        <v>3</v>
      </c>
      <c r="Q99" s="257">
        <f>INT($G99*P99*100+0.5)/100</f>
        <v>19.47</v>
      </c>
      <c r="R99" s="258">
        <v>5</v>
      </c>
      <c r="S99" s="257">
        <f>INT($G99*R99*100+0.5)/100</f>
        <v>32.450000000000003</v>
      </c>
      <c r="T99" s="258">
        <v>0</v>
      </c>
      <c r="U99" s="257">
        <f>INT($G99*T99*100+0.5)/100</f>
        <v>0</v>
      </c>
      <c r="V99" s="258">
        <v>0</v>
      </c>
      <c r="W99" s="257">
        <f>INT($G99*V99*100+0.5)/100</f>
        <v>0</v>
      </c>
      <c r="X99" s="258">
        <v>3</v>
      </c>
      <c r="Y99" s="257">
        <f>INT($G99*X99*100+0.5)/100</f>
        <v>19.47</v>
      </c>
      <c r="Z99" s="258">
        <v>0</v>
      </c>
      <c r="AA99" s="257">
        <f>INT($G99*Z99*100+0.5)/100</f>
        <v>0</v>
      </c>
      <c r="AB99" s="258">
        <v>0</v>
      </c>
      <c r="AC99" s="257">
        <f>INT($G99*AB99*100+0.5)/100</f>
        <v>0</v>
      </c>
    </row>
    <row r="100" spans="1:29" ht="25.5">
      <c r="A100" s="250"/>
      <c r="B100" s="251"/>
      <c r="C100" s="855"/>
      <c r="D100" s="526" t="s">
        <v>3122</v>
      </c>
      <c r="E100" s="251"/>
      <c r="F100" s="735"/>
      <c r="G100" s="872"/>
      <c r="H100" s="261"/>
      <c r="I100" s="251"/>
      <c r="J100" s="872"/>
      <c r="K100" s="872"/>
      <c r="L100" s="872"/>
      <c r="M100" s="872"/>
      <c r="N100" s="258"/>
      <c r="O100" s="257"/>
      <c r="P100" s="258"/>
      <c r="Q100" s="257"/>
      <c r="R100" s="258"/>
      <c r="S100" s="257"/>
      <c r="T100" s="258"/>
      <c r="U100" s="257"/>
      <c r="V100" s="258"/>
      <c r="W100" s="257"/>
      <c r="X100" s="258"/>
      <c r="Y100" s="257"/>
      <c r="Z100" s="258"/>
      <c r="AA100" s="257"/>
      <c r="AB100" s="258"/>
      <c r="AC100" s="257"/>
    </row>
    <row r="101" spans="1:29" ht="25.5">
      <c r="A101" s="250">
        <f>A99+1</f>
        <v>34</v>
      </c>
      <c r="B101" s="251"/>
      <c r="C101" s="855" t="s">
        <v>2250</v>
      </c>
      <c r="D101" s="526" t="s">
        <v>3123</v>
      </c>
      <c r="E101" s="251" t="s">
        <v>545</v>
      </c>
      <c r="F101" s="735">
        <f t="shared" si="6"/>
        <v>14</v>
      </c>
      <c r="G101" s="872">
        <v>1.83</v>
      </c>
      <c r="H101" s="261">
        <f t="shared" si="7"/>
        <v>25.620000000000005</v>
      </c>
      <c r="I101" s="251" t="s">
        <v>545</v>
      </c>
      <c r="J101" s="872"/>
      <c r="K101" s="872"/>
      <c r="L101" s="872"/>
      <c r="M101" s="872"/>
      <c r="N101" s="258">
        <v>3</v>
      </c>
      <c r="O101" s="257">
        <f>INT($G101*N101*100+0.5)/100</f>
        <v>5.49</v>
      </c>
      <c r="P101" s="258">
        <v>3</v>
      </c>
      <c r="Q101" s="257">
        <f>INT($G101*P101*100+0.5)/100</f>
        <v>5.49</v>
      </c>
      <c r="R101" s="258">
        <v>5</v>
      </c>
      <c r="S101" s="257">
        <f>INT($G101*R101*100+0.5)/100</f>
        <v>9.15</v>
      </c>
      <c r="T101" s="258">
        <v>3</v>
      </c>
      <c r="U101" s="257">
        <f>INT($G101*T101*100+0.5)/100</f>
        <v>5.49</v>
      </c>
      <c r="V101" s="258">
        <v>0</v>
      </c>
      <c r="W101" s="257">
        <f>INT($G101*V101*100+0.5)/100</f>
        <v>0</v>
      </c>
      <c r="X101" s="258">
        <v>0</v>
      </c>
      <c r="Y101" s="257">
        <f>INT($G101*X101*100+0.5)/100</f>
        <v>0</v>
      </c>
      <c r="Z101" s="258">
        <v>0</v>
      </c>
      <c r="AA101" s="257">
        <f>INT($G101*Z101*100+0.5)/100</f>
        <v>0</v>
      </c>
      <c r="AB101" s="258">
        <v>0</v>
      </c>
      <c r="AC101" s="257">
        <f>INT($G101*AB101*100+0.5)/100</f>
        <v>0</v>
      </c>
    </row>
    <row r="102" spans="1:29" ht="25.5">
      <c r="A102" s="250"/>
      <c r="B102" s="251"/>
      <c r="C102" s="855"/>
      <c r="D102" s="526" t="s">
        <v>3124</v>
      </c>
      <c r="E102" s="251"/>
      <c r="F102" s="735"/>
      <c r="G102" s="872"/>
      <c r="H102" s="261"/>
      <c r="I102" s="251"/>
      <c r="J102" s="872"/>
      <c r="K102" s="872"/>
      <c r="L102" s="872"/>
      <c r="M102" s="872"/>
      <c r="N102" s="258"/>
      <c r="O102" s="257"/>
      <c r="P102" s="258"/>
      <c r="Q102" s="257"/>
      <c r="R102" s="258"/>
      <c r="S102" s="257"/>
      <c r="T102" s="258"/>
      <c r="U102" s="257"/>
      <c r="V102" s="258"/>
      <c r="W102" s="257"/>
      <c r="X102" s="258"/>
      <c r="Y102" s="257"/>
      <c r="Z102" s="258"/>
      <c r="AA102" s="257"/>
      <c r="AB102" s="258"/>
      <c r="AC102" s="257"/>
    </row>
    <row r="103" spans="1:29" ht="25.5">
      <c r="A103" s="250">
        <f>A101+1</f>
        <v>35</v>
      </c>
      <c r="B103" s="251"/>
      <c r="C103" s="855" t="s">
        <v>2252</v>
      </c>
      <c r="D103" s="526" t="s">
        <v>3125</v>
      </c>
      <c r="E103" s="251" t="s">
        <v>545</v>
      </c>
      <c r="F103" s="735">
        <f t="shared" si="6"/>
        <v>14</v>
      </c>
      <c r="G103" s="872">
        <v>4.28</v>
      </c>
      <c r="H103" s="261">
        <f t="shared" si="7"/>
        <v>59.92</v>
      </c>
      <c r="I103" s="251" t="s">
        <v>545</v>
      </c>
      <c r="J103" s="872"/>
      <c r="K103" s="872"/>
      <c r="L103" s="872"/>
      <c r="M103" s="872"/>
      <c r="N103" s="258">
        <v>3</v>
      </c>
      <c r="O103" s="257">
        <f>INT($G103*N103*100+0.5)/100</f>
        <v>12.84</v>
      </c>
      <c r="P103" s="258">
        <v>3</v>
      </c>
      <c r="Q103" s="257">
        <f>INT($G103*P103*100+0.5)/100</f>
        <v>12.84</v>
      </c>
      <c r="R103" s="258">
        <v>5</v>
      </c>
      <c r="S103" s="257">
        <f>INT($G103*R103*100+0.5)/100</f>
        <v>21.4</v>
      </c>
      <c r="T103" s="258">
        <v>3</v>
      </c>
      <c r="U103" s="257">
        <f>INT($G103*T103*100+0.5)/100</f>
        <v>12.84</v>
      </c>
      <c r="V103" s="258">
        <v>0</v>
      </c>
      <c r="W103" s="257">
        <f>INT($G103*V103*100+0.5)/100</f>
        <v>0</v>
      </c>
      <c r="X103" s="258">
        <v>0</v>
      </c>
      <c r="Y103" s="257">
        <f>INT($G103*X103*100+0.5)/100</f>
        <v>0</v>
      </c>
      <c r="Z103" s="258">
        <v>0</v>
      </c>
      <c r="AA103" s="257">
        <f>INT($G103*Z103*100+0.5)/100</f>
        <v>0</v>
      </c>
      <c r="AB103" s="258">
        <v>0</v>
      </c>
      <c r="AC103" s="257">
        <f>INT($G103*AB103*100+0.5)/100</f>
        <v>0</v>
      </c>
    </row>
    <row r="104" spans="1:29" ht="25.5">
      <c r="A104" s="250"/>
      <c r="B104" s="251"/>
      <c r="C104" s="855"/>
      <c r="D104" s="526" t="s">
        <v>3126</v>
      </c>
      <c r="E104" s="251"/>
      <c r="F104" s="735"/>
      <c r="G104" s="872"/>
      <c r="H104" s="261"/>
      <c r="I104" s="251"/>
      <c r="J104" s="872"/>
      <c r="K104" s="872"/>
      <c r="L104" s="872"/>
      <c r="M104" s="872"/>
      <c r="N104" s="256"/>
      <c r="O104" s="260"/>
      <c r="P104" s="256"/>
      <c r="Q104" s="260"/>
      <c r="R104" s="256"/>
      <c r="S104" s="260"/>
      <c r="T104" s="256"/>
      <c r="U104" s="260"/>
      <c r="V104" s="256"/>
      <c r="W104" s="260"/>
      <c r="X104" s="256"/>
      <c r="Y104" s="260"/>
      <c r="Z104" s="256"/>
      <c r="AA104" s="260"/>
      <c r="AB104" s="256"/>
      <c r="AC104" s="260"/>
    </row>
    <row r="105" spans="1:29" ht="15">
      <c r="A105" s="250"/>
      <c r="B105" s="251"/>
      <c r="C105" s="855"/>
      <c r="D105" s="526"/>
      <c r="E105" s="251"/>
      <c r="F105" s="735"/>
      <c r="G105" s="872"/>
      <c r="H105" s="261"/>
      <c r="I105" s="251"/>
      <c r="J105" s="872"/>
      <c r="K105" s="872"/>
      <c r="L105" s="872"/>
      <c r="M105" s="872"/>
      <c r="N105" s="256"/>
      <c r="O105" s="260"/>
      <c r="P105" s="256"/>
      <c r="Q105" s="260"/>
      <c r="R105" s="256"/>
      <c r="S105" s="260"/>
      <c r="T105" s="256"/>
      <c r="U105" s="260"/>
      <c r="V105" s="256"/>
      <c r="W105" s="260"/>
      <c r="X105" s="256"/>
      <c r="Y105" s="260"/>
      <c r="Z105" s="256"/>
      <c r="AA105" s="260"/>
      <c r="AB105" s="256"/>
      <c r="AC105" s="260"/>
    </row>
    <row r="106" spans="1:29" ht="15">
      <c r="A106" s="250"/>
      <c r="B106" s="251"/>
      <c r="C106" s="856" t="s">
        <v>3127</v>
      </c>
      <c r="D106" s="526" t="s">
        <v>3128</v>
      </c>
      <c r="E106" s="251"/>
      <c r="F106" s="735"/>
      <c r="G106" s="872"/>
      <c r="H106" s="261"/>
      <c r="I106" s="251"/>
      <c r="J106" s="872"/>
      <c r="K106" s="872"/>
      <c r="L106" s="872"/>
      <c r="M106" s="872"/>
      <c r="N106" s="256"/>
      <c r="O106" s="260"/>
      <c r="P106" s="256"/>
      <c r="Q106" s="260"/>
      <c r="R106" s="256"/>
      <c r="S106" s="260"/>
      <c r="T106" s="256"/>
      <c r="U106" s="260"/>
      <c r="V106" s="256"/>
      <c r="W106" s="260"/>
      <c r="X106" s="256"/>
      <c r="Y106" s="260"/>
      <c r="Z106" s="256"/>
      <c r="AA106" s="260"/>
      <c r="AB106" s="256"/>
      <c r="AC106" s="260"/>
    </row>
    <row r="107" spans="1:29" ht="15">
      <c r="A107" s="250">
        <f>A103+1</f>
        <v>36</v>
      </c>
      <c r="B107" s="251"/>
      <c r="C107" s="855" t="s">
        <v>2253</v>
      </c>
      <c r="D107" s="183" t="s">
        <v>3129</v>
      </c>
      <c r="E107" s="251" t="s">
        <v>2461</v>
      </c>
      <c r="F107" s="735">
        <f>N107+R107+P107+T107+V107+X107+Z107+AB107</f>
        <v>31</v>
      </c>
      <c r="G107" s="872">
        <v>22.63</v>
      </c>
      <c r="H107" s="261">
        <f>O107+S107+Q107+U107+W107+Y107+AA107+AC107</f>
        <v>701.53</v>
      </c>
      <c r="I107" s="251" t="s">
        <v>2461</v>
      </c>
      <c r="J107" s="872"/>
      <c r="K107" s="872"/>
      <c r="L107" s="872"/>
      <c r="M107" s="872"/>
      <c r="N107" s="258">
        <v>6</v>
      </c>
      <c r="O107" s="257">
        <f>INT($G107*N107*100+0.5)/100</f>
        <v>135.78</v>
      </c>
      <c r="P107" s="258">
        <v>6</v>
      </c>
      <c r="Q107" s="257">
        <f>INT($G107*P107*100+0.5)/100</f>
        <v>135.78</v>
      </c>
      <c r="R107" s="258">
        <v>10</v>
      </c>
      <c r="S107" s="257">
        <f>INT($G107*R107*100+0.5)/100</f>
        <v>226.3</v>
      </c>
      <c r="T107" s="258">
        <v>6</v>
      </c>
      <c r="U107" s="257">
        <f>INT($G107*T107*100+0.5)/100</f>
        <v>135.78</v>
      </c>
      <c r="V107" s="258">
        <v>0</v>
      </c>
      <c r="W107" s="257">
        <f>INT($G107*V107*100+0.5)/100</f>
        <v>0</v>
      </c>
      <c r="X107" s="258">
        <v>3</v>
      </c>
      <c r="Y107" s="257">
        <f>INT($G107*X107*100+0.5)/100</f>
        <v>67.89</v>
      </c>
      <c r="Z107" s="258">
        <v>0</v>
      </c>
      <c r="AA107" s="257">
        <f>INT($G107*Z107*100+0.5)/100</f>
        <v>0</v>
      </c>
      <c r="AB107" s="258">
        <v>0</v>
      </c>
      <c r="AC107" s="257">
        <f>INT($G107*AB107*100+0.5)/100</f>
        <v>0</v>
      </c>
    </row>
    <row r="108" spans="1:29" ht="15">
      <c r="A108" s="250"/>
      <c r="B108" s="251"/>
      <c r="C108" s="855"/>
      <c r="D108" s="526" t="s">
        <v>3130</v>
      </c>
      <c r="E108" s="251"/>
      <c r="F108" s="735"/>
      <c r="G108" s="872"/>
      <c r="H108" s="261"/>
      <c r="I108" s="251"/>
      <c r="J108" s="872"/>
      <c r="K108" s="872"/>
      <c r="L108" s="872"/>
      <c r="M108" s="872"/>
      <c r="N108" s="258"/>
      <c r="O108" s="257"/>
      <c r="P108" s="258"/>
      <c r="Q108" s="257"/>
      <c r="R108" s="258"/>
      <c r="S108" s="257"/>
      <c r="T108" s="258"/>
      <c r="U108" s="257"/>
      <c r="V108" s="258"/>
      <c r="W108" s="257"/>
      <c r="X108" s="258"/>
      <c r="Y108" s="257"/>
      <c r="Z108" s="258"/>
      <c r="AA108" s="257"/>
      <c r="AB108" s="258"/>
      <c r="AC108" s="257"/>
    </row>
    <row r="109" spans="1:29" ht="15">
      <c r="A109" s="250">
        <f>A107+1</f>
        <v>37</v>
      </c>
      <c r="B109" s="251"/>
      <c r="C109" s="855" t="s">
        <v>2254</v>
      </c>
      <c r="D109" s="526" t="s">
        <v>3131</v>
      </c>
      <c r="E109" s="251" t="s">
        <v>2461</v>
      </c>
      <c r="F109" s="735">
        <f>N109+R109+P109+T109+V109+X109+Z109+AB109</f>
        <v>25</v>
      </c>
      <c r="G109" s="872">
        <v>22.07</v>
      </c>
      <c r="H109" s="261">
        <f>O109+S109+Q109+U109+W109+Y109+AA109+AC109</f>
        <v>551.75</v>
      </c>
      <c r="I109" s="251" t="s">
        <v>2461</v>
      </c>
      <c r="J109" s="872"/>
      <c r="K109" s="872"/>
      <c r="L109" s="872"/>
      <c r="M109" s="872"/>
      <c r="N109" s="258">
        <v>6</v>
      </c>
      <c r="O109" s="257">
        <f>INT($G109*N109*100+0.5)/100</f>
        <v>132.41999999999999</v>
      </c>
      <c r="P109" s="258">
        <v>6</v>
      </c>
      <c r="Q109" s="257">
        <f>INT($G109*P109*100+0.5)/100</f>
        <v>132.41999999999999</v>
      </c>
      <c r="R109" s="258">
        <v>10</v>
      </c>
      <c r="S109" s="257">
        <f>INT($G109*R109*100+0.5)/100</f>
        <v>220.7</v>
      </c>
      <c r="T109" s="258">
        <v>0</v>
      </c>
      <c r="U109" s="257">
        <f>INT($G109*T109*100+0.5)/100</f>
        <v>0</v>
      </c>
      <c r="V109" s="258">
        <v>0</v>
      </c>
      <c r="W109" s="257">
        <f>INT($G109*V109*100+0.5)/100</f>
        <v>0</v>
      </c>
      <c r="X109" s="258">
        <v>3</v>
      </c>
      <c r="Y109" s="257">
        <f>INT($G109*X109*100+0.5)/100</f>
        <v>66.209999999999994</v>
      </c>
      <c r="Z109" s="258">
        <v>0</v>
      </c>
      <c r="AA109" s="257">
        <f>INT($G109*Z109*100+0.5)/100</f>
        <v>0</v>
      </c>
      <c r="AB109" s="258">
        <v>0</v>
      </c>
      <c r="AC109" s="257">
        <f>INT($G109*AB109*100+0.5)/100</f>
        <v>0</v>
      </c>
    </row>
    <row r="110" spans="1:29" ht="15">
      <c r="A110" s="250"/>
      <c r="B110" s="251"/>
      <c r="C110" s="855"/>
      <c r="D110" s="526" t="s">
        <v>566</v>
      </c>
      <c r="E110" s="251"/>
      <c r="F110" s="735"/>
      <c r="G110" s="872"/>
      <c r="H110" s="261"/>
      <c r="I110" s="251"/>
      <c r="J110" s="872"/>
      <c r="K110" s="872"/>
      <c r="L110" s="872"/>
      <c r="M110" s="872"/>
      <c r="N110" s="258"/>
      <c r="O110" s="257"/>
      <c r="P110" s="258"/>
      <c r="Q110" s="257"/>
      <c r="R110" s="258"/>
      <c r="S110" s="257"/>
      <c r="T110" s="258"/>
      <c r="U110" s="257"/>
      <c r="V110" s="258"/>
      <c r="W110" s="257"/>
      <c r="X110" s="258"/>
      <c r="Y110" s="257"/>
      <c r="Z110" s="258"/>
      <c r="AA110" s="257"/>
      <c r="AB110" s="258"/>
      <c r="AC110" s="257"/>
    </row>
    <row r="111" spans="1:29" ht="15">
      <c r="A111" s="250">
        <f>A109+1</f>
        <v>38</v>
      </c>
      <c r="B111" s="251"/>
      <c r="C111" s="855" t="s">
        <v>2255</v>
      </c>
      <c r="D111" s="526" t="s">
        <v>3132</v>
      </c>
      <c r="E111" s="251" t="s">
        <v>2461</v>
      </c>
      <c r="F111" s="735">
        <f>N111+R111+P111+T111+V111+X111+Z111+AB111</f>
        <v>31</v>
      </c>
      <c r="G111" s="872">
        <v>23.32</v>
      </c>
      <c r="H111" s="261">
        <f>O111+S111+Q111+U111+W111+Y111+AA111+AC111</f>
        <v>722.92</v>
      </c>
      <c r="I111" s="251" t="s">
        <v>2461</v>
      </c>
      <c r="J111" s="872"/>
      <c r="K111" s="872"/>
      <c r="L111" s="872"/>
      <c r="M111" s="872"/>
      <c r="N111" s="258">
        <v>6</v>
      </c>
      <c r="O111" s="257">
        <f>INT($G111*N111*100+0.5)/100</f>
        <v>139.91999999999999</v>
      </c>
      <c r="P111" s="258">
        <v>6</v>
      </c>
      <c r="Q111" s="257">
        <f>INT($G111*P111*100+0.5)/100</f>
        <v>139.91999999999999</v>
      </c>
      <c r="R111" s="258">
        <v>10</v>
      </c>
      <c r="S111" s="257">
        <f>INT($G111*R111*100+0.5)/100</f>
        <v>233.2</v>
      </c>
      <c r="T111" s="258">
        <v>6</v>
      </c>
      <c r="U111" s="257">
        <f>INT($G111*T111*100+0.5)/100</f>
        <v>139.91999999999999</v>
      </c>
      <c r="V111" s="258">
        <v>0</v>
      </c>
      <c r="W111" s="257">
        <f>INT($G111*V111*100+0.5)/100</f>
        <v>0</v>
      </c>
      <c r="X111" s="258">
        <v>3</v>
      </c>
      <c r="Y111" s="257">
        <f>INT($G111*X111*100+0.5)/100</f>
        <v>69.959999999999994</v>
      </c>
      <c r="Z111" s="258">
        <v>0</v>
      </c>
      <c r="AA111" s="257">
        <f>INT($G111*Z111*100+0.5)/100</f>
        <v>0</v>
      </c>
      <c r="AB111" s="258">
        <v>0</v>
      </c>
      <c r="AC111" s="257">
        <f>INT($G111*AB111*100+0.5)/100</f>
        <v>0</v>
      </c>
    </row>
    <row r="112" spans="1:29" ht="15">
      <c r="A112" s="250"/>
      <c r="B112" s="251"/>
      <c r="C112" s="855"/>
      <c r="D112" s="526" t="s">
        <v>2256</v>
      </c>
      <c r="E112" s="251"/>
      <c r="F112" s="735"/>
      <c r="G112" s="872"/>
      <c r="H112" s="261"/>
      <c r="I112" s="251"/>
      <c r="J112" s="872"/>
      <c r="K112" s="872"/>
      <c r="L112" s="872"/>
      <c r="M112" s="872"/>
      <c r="N112" s="256"/>
      <c r="O112" s="260"/>
      <c r="P112" s="256"/>
      <c r="Q112" s="260"/>
      <c r="R112" s="256"/>
      <c r="S112" s="260"/>
      <c r="T112" s="256"/>
      <c r="U112" s="260"/>
      <c r="V112" s="256"/>
      <c r="W112" s="260"/>
      <c r="X112" s="256"/>
      <c r="Y112" s="260"/>
      <c r="Z112" s="256"/>
      <c r="AA112" s="260"/>
      <c r="AB112" s="256"/>
      <c r="AC112" s="260"/>
    </row>
    <row r="113" spans="1:29" ht="15">
      <c r="A113" s="250">
        <f>A111+1</f>
        <v>39</v>
      </c>
      <c r="B113" s="251"/>
      <c r="C113" s="855" t="s">
        <v>2257</v>
      </c>
      <c r="D113" s="526" t="s">
        <v>3133</v>
      </c>
      <c r="E113" s="251" t="s">
        <v>1439</v>
      </c>
      <c r="F113" s="735">
        <f>N113+R113+P113+T113+V113+X113+Z113+AB113</f>
        <v>2500</v>
      </c>
      <c r="G113" s="872">
        <v>0.12</v>
      </c>
      <c r="H113" s="261">
        <f>O113+S113+Q113+U113+W113+Y113+AA113+AC113</f>
        <v>300</v>
      </c>
      <c r="I113" s="251" t="s">
        <v>1439</v>
      </c>
      <c r="J113" s="872"/>
      <c r="K113" s="872"/>
      <c r="L113" s="872"/>
      <c r="M113" s="872"/>
      <c r="N113" s="258">
        <v>600</v>
      </c>
      <c r="O113" s="257">
        <f>INT($G113*N113*100+0.5)/100</f>
        <v>72</v>
      </c>
      <c r="P113" s="258">
        <v>600</v>
      </c>
      <c r="Q113" s="257">
        <f>INT($G113*P113*100+0.5)/100</f>
        <v>72</v>
      </c>
      <c r="R113" s="258">
        <v>1000</v>
      </c>
      <c r="S113" s="257">
        <f>INT($G113*R113*100+0.5)/100</f>
        <v>120</v>
      </c>
      <c r="T113" s="258">
        <v>0</v>
      </c>
      <c r="U113" s="257">
        <f>INT($G113*T113*100+0.5)/100</f>
        <v>0</v>
      </c>
      <c r="V113" s="258">
        <v>0</v>
      </c>
      <c r="W113" s="257">
        <f>INT($G113*V113*100+0.5)/100</f>
        <v>0</v>
      </c>
      <c r="X113" s="258">
        <v>300</v>
      </c>
      <c r="Y113" s="257">
        <f>INT($G113*X113*100+0.5)/100</f>
        <v>36</v>
      </c>
      <c r="Z113" s="258">
        <v>0</v>
      </c>
      <c r="AA113" s="257">
        <f>INT($G113*Z113*100+0.5)/100</f>
        <v>0</v>
      </c>
      <c r="AB113" s="258">
        <v>0</v>
      </c>
      <c r="AC113" s="257">
        <f>INT($G113*AB113*100+0.5)/100</f>
        <v>0</v>
      </c>
    </row>
    <row r="114" spans="1:29" ht="15">
      <c r="A114" s="250"/>
      <c r="B114" s="251"/>
      <c r="C114" s="855"/>
      <c r="D114" s="526" t="s">
        <v>567</v>
      </c>
      <c r="E114" s="251"/>
      <c r="F114" s="735"/>
      <c r="G114" s="872"/>
      <c r="H114" s="261"/>
      <c r="I114" s="251"/>
      <c r="J114" s="872"/>
      <c r="K114" s="872"/>
      <c r="L114" s="872"/>
      <c r="M114" s="872"/>
      <c r="N114" s="258"/>
      <c r="O114" s="257"/>
      <c r="P114" s="258"/>
      <c r="Q114" s="257"/>
      <c r="R114" s="258"/>
      <c r="S114" s="257"/>
      <c r="T114" s="258"/>
      <c r="U114" s="257"/>
      <c r="V114" s="258"/>
      <c r="W114" s="257"/>
      <c r="X114" s="258"/>
      <c r="Y114" s="257"/>
      <c r="Z114" s="258"/>
      <c r="AA114" s="257"/>
      <c r="AB114" s="258"/>
      <c r="AC114" s="257"/>
    </row>
    <row r="115" spans="1:29" ht="15">
      <c r="A115" s="250">
        <f>A113+1</f>
        <v>40</v>
      </c>
      <c r="B115" s="251"/>
      <c r="C115" s="855" t="s">
        <v>2258</v>
      </c>
      <c r="D115" s="526" t="s">
        <v>3134</v>
      </c>
      <c r="E115" s="251" t="s">
        <v>1439</v>
      </c>
      <c r="F115" s="735">
        <f>N115+R115+P115+T115+V115+X115+Z115+AB115</f>
        <v>1000</v>
      </c>
      <c r="G115" s="872">
        <v>0.2</v>
      </c>
      <c r="H115" s="261">
        <f>O115+S115+Q115+U115+W115+Y115+AA115+AC115</f>
        <v>200</v>
      </c>
      <c r="I115" s="251" t="s">
        <v>1439</v>
      </c>
      <c r="J115" s="872"/>
      <c r="K115" s="872"/>
      <c r="L115" s="872"/>
      <c r="M115" s="872"/>
      <c r="N115" s="258">
        <v>0</v>
      </c>
      <c r="O115" s="257">
        <f>INT($G115*N115*100+0.5)/100</f>
        <v>0</v>
      </c>
      <c r="P115" s="258">
        <v>1000</v>
      </c>
      <c r="Q115" s="257">
        <f>INT($G115*P115*100+0.5)/100</f>
        <v>200</v>
      </c>
      <c r="R115" s="258">
        <v>0</v>
      </c>
      <c r="S115" s="257">
        <f>INT($G115*R115*100+0.5)/100</f>
        <v>0</v>
      </c>
      <c r="T115" s="258">
        <v>0</v>
      </c>
      <c r="U115" s="257">
        <f>INT($G115*T115*100+0.5)/100</f>
        <v>0</v>
      </c>
      <c r="V115" s="258">
        <v>0</v>
      </c>
      <c r="W115" s="257">
        <f>INT($G115*V115*100+0.5)/100</f>
        <v>0</v>
      </c>
      <c r="X115" s="258">
        <v>0</v>
      </c>
      <c r="Y115" s="257">
        <f>INT($G115*X115*100+0.5)/100</f>
        <v>0</v>
      </c>
      <c r="Z115" s="258">
        <v>0</v>
      </c>
      <c r="AA115" s="257">
        <f>INT($G115*Z115*100+0.5)/100</f>
        <v>0</v>
      </c>
      <c r="AB115" s="258">
        <v>0</v>
      </c>
      <c r="AC115" s="257">
        <f>INT($G115*AB115*100+0.5)/100</f>
        <v>0</v>
      </c>
    </row>
    <row r="116" spans="1:29" ht="15">
      <c r="A116" s="250"/>
      <c r="B116" s="251"/>
      <c r="C116" s="855"/>
      <c r="D116" s="526" t="s">
        <v>3135</v>
      </c>
      <c r="E116" s="251"/>
      <c r="F116" s="735"/>
      <c r="G116" s="872"/>
      <c r="H116" s="261"/>
      <c r="I116" s="251"/>
      <c r="J116" s="872"/>
      <c r="K116" s="872"/>
      <c r="L116" s="872"/>
      <c r="M116" s="872"/>
      <c r="N116" s="258"/>
      <c r="O116" s="257"/>
      <c r="P116" s="258"/>
      <c r="Q116" s="257"/>
      <c r="R116" s="258"/>
      <c r="S116" s="257"/>
      <c r="T116" s="258"/>
      <c r="U116" s="257"/>
      <c r="V116" s="258"/>
      <c r="W116" s="257"/>
      <c r="X116" s="258"/>
      <c r="Y116" s="257"/>
      <c r="Z116" s="258"/>
      <c r="AA116" s="257"/>
      <c r="AB116" s="258"/>
      <c r="AC116" s="257"/>
    </row>
    <row r="117" spans="1:29" ht="15">
      <c r="A117" s="250">
        <f>A115+1</f>
        <v>41</v>
      </c>
      <c r="B117" s="251"/>
      <c r="C117" s="855" t="s">
        <v>569</v>
      </c>
      <c r="D117" s="526" t="s">
        <v>3136</v>
      </c>
      <c r="E117" s="251" t="s">
        <v>2878</v>
      </c>
      <c r="F117" s="735">
        <f>N117+R117+P117+T117+V117+X117+Z117+AB117</f>
        <v>1100</v>
      </c>
      <c r="G117" s="872">
        <v>0.31</v>
      </c>
      <c r="H117" s="261">
        <f>O117+S117+Q117+U117+W117+Y117+AA117+AC117</f>
        <v>341</v>
      </c>
      <c r="I117" s="251" t="s">
        <v>2878</v>
      </c>
      <c r="J117" s="872"/>
      <c r="K117" s="872"/>
      <c r="L117" s="872"/>
      <c r="M117" s="872"/>
      <c r="N117" s="258">
        <v>300</v>
      </c>
      <c r="O117" s="257">
        <f>INT($G117*N117*100+0.5)/100</f>
        <v>93</v>
      </c>
      <c r="P117" s="258">
        <v>300</v>
      </c>
      <c r="Q117" s="257">
        <f>INT($G117*P117*100+0.5)/100</f>
        <v>93</v>
      </c>
      <c r="R117" s="258">
        <v>500</v>
      </c>
      <c r="S117" s="257">
        <f>INT($G117*R117*100+0.5)/100</f>
        <v>155</v>
      </c>
      <c r="T117" s="258">
        <v>0</v>
      </c>
      <c r="U117" s="257">
        <f>INT($G117*T117*100+0.5)/100</f>
        <v>0</v>
      </c>
      <c r="V117" s="258">
        <v>0</v>
      </c>
      <c r="W117" s="257">
        <f>INT($G117*V117*100+0.5)/100</f>
        <v>0</v>
      </c>
      <c r="X117" s="258">
        <v>0</v>
      </c>
      <c r="Y117" s="257">
        <f>INT($G117*X117*100+0.5)/100</f>
        <v>0</v>
      </c>
      <c r="Z117" s="258">
        <v>0</v>
      </c>
      <c r="AA117" s="257">
        <f>INT($G117*Z117*100+0.5)/100</f>
        <v>0</v>
      </c>
      <c r="AB117" s="258">
        <v>0</v>
      </c>
      <c r="AC117" s="257">
        <f>INT($G117*AB117*100+0.5)/100</f>
        <v>0</v>
      </c>
    </row>
    <row r="118" spans="1:29" ht="15">
      <c r="A118" s="250"/>
      <c r="B118" s="251"/>
      <c r="C118" s="855"/>
      <c r="D118" s="526" t="s">
        <v>1315</v>
      </c>
      <c r="E118" s="251"/>
      <c r="F118" s="735"/>
      <c r="G118" s="872"/>
      <c r="H118" s="261"/>
      <c r="I118" s="251"/>
      <c r="J118" s="872"/>
      <c r="K118" s="872"/>
      <c r="L118" s="872"/>
      <c r="M118" s="872"/>
      <c r="N118" s="256"/>
      <c r="O118" s="260"/>
      <c r="P118" s="256"/>
      <c r="Q118" s="260"/>
      <c r="R118" s="256"/>
      <c r="S118" s="260"/>
      <c r="T118" s="256"/>
      <c r="U118" s="260"/>
      <c r="V118" s="256"/>
      <c r="W118" s="260"/>
      <c r="X118" s="256"/>
      <c r="Y118" s="260"/>
      <c r="Z118" s="256"/>
      <c r="AA118" s="260"/>
      <c r="AB118" s="256"/>
      <c r="AC118" s="260"/>
    </row>
    <row r="119" spans="1:29" ht="25.5">
      <c r="A119" s="250">
        <f>A117+1</f>
        <v>42</v>
      </c>
      <c r="B119" s="251"/>
      <c r="C119" s="855" t="s">
        <v>2259</v>
      </c>
      <c r="D119" s="526" t="s">
        <v>3137</v>
      </c>
      <c r="E119" s="251" t="s">
        <v>2461</v>
      </c>
      <c r="F119" s="735">
        <f>N119+R119+P119+T119+V119+X119+Z119+AB119</f>
        <v>16</v>
      </c>
      <c r="G119" s="872">
        <v>83.05</v>
      </c>
      <c r="H119" s="261">
        <f>O119+S119+Q119+U119+W119+Y119+AA119+AC119</f>
        <v>1328.8000000000002</v>
      </c>
      <c r="I119" s="251" t="s">
        <v>2461</v>
      </c>
      <c r="J119" s="872"/>
      <c r="K119" s="872"/>
      <c r="L119" s="872"/>
      <c r="M119" s="872"/>
      <c r="N119" s="258">
        <v>5</v>
      </c>
      <c r="O119" s="257">
        <f>INT($G119*N119*100+0.5)/100</f>
        <v>415.25</v>
      </c>
      <c r="P119" s="258">
        <v>3</v>
      </c>
      <c r="Q119" s="257">
        <f>INT($G119*P119*100+0.5)/100</f>
        <v>249.15</v>
      </c>
      <c r="R119" s="258">
        <v>5</v>
      </c>
      <c r="S119" s="257">
        <f>INT($G119*R119*100+0.5)/100</f>
        <v>415.25</v>
      </c>
      <c r="T119" s="258">
        <v>0</v>
      </c>
      <c r="U119" s="257">
        <f>INT($G119*T119*100+0.5)/100</f>
        <v>0</v>
      </c>
      <c r="V119" s="258">
        <v>0</v>
      </c>
      <c r="W119" s="257">
        <f>INT($G119*V119*100+0.5)/100</f>
        <v>0</v>
      </c>
      <c r="X119" s="258">
        <v>3</v>
      </c>
      <c r="Y119" s="257">
        <f>INT($G119*X119*100+0.5)/100</f>
        <v>249.15</v>
      </c>
      <c r="Z119" s="258">
        <v>0</v>
      </c>
      <c r="AA119" s="257">
        <f>INT($G119*Z119*100+0.5)/100</f>
        <v>0</v>
      </c>
      <c r="AB119" s="258">
        <v>0</v>
      </c>
      <c r="AC119" s="257">
        <f>INT($G119*AB119*100+0.5)/100</f>
        <v>0</v>
      </c>
    </row>
    <row r="120" spans="1:29" ht="25.5">
      <c r="A120" s="250"/>
      <c r="B120" s="251"/>
      <c r="C120" s="855"/>
      <c r="D120" s="526" t="s">
        <v>3138</v>
      </c>
      <c r="E120" s="251"/>
      <c r="F120" s="735"/>
      <c r="G120" s="872"/>
      <c r="H120" s="261"/>
      <c r="I120" s="251"/>
      <c r="J120" s="872"/>
      <c r="K120" s="872"/>
      <c r="L120" s="872"/>
      <c r="M120" s="872"/>
      <c r="N120" s="256"/>
      <c r="O120" s="260"/>
      <c r="P120" s="256"/>
      <c r="Q120" s="260"/>
      <c r="R120" s="256"/>
      <c r="S120" s="260"/>
      <c r="T120" s="256"/>
      <c r="U120" s="260"/>
      <c r="V120" s="256"/>
      <c r="W120" s="260"/>
      <c r="X120" s="256"/>
      <c r="Y120" s="260"/>
      <c r="Z120" s="256"/>
      <c r="AA120" s="260"/>
      <c r="AB120" s="256"/>
      <c r="AC120" s="260"/>
    </row>
    <row r="121" spans="1:29" ht="15">
      <c r="A121" s="250">
        <f>A119+1</f>
        <v>43</v>
      </c>
      <c r="B121" s="251"/>
      <c r="C121" s="855" t="s">
        <v>571</v>
      </c>
      <c r="D121" s="526" t="s">
        <v>3139</v>
      </c>
      <c r="E121" s="251" t="s">
        <v>2461</v>
      </c>
      <c r="F121" s="735">
        <f>N121+R121+P121+T121+V121+X121+Z121+AB121</f>
        <v>24</v>
      </c>
      <c r="G121" s="872">
        <v>94.93</v>
      </c>
      <c r="H121" s="261">
        <f>O121+S121+Q121+U121+W121+Y121+AA121+AC121</f>
        <v>2278.3200000000002</v>
      </c>
      <c r="I121" s="251" t="s">
        <v>2461</v>
      </c>
      <c r="J121" s="872"/>
      <c r="K121" s="872"/>
      <c r="L121" s="872"/>
      <c r="M121" s="872"/>
      <c r="N121" s="258">
        <v>8</v>
      </c>
      <c r="O121" s="257">
        <f>INT($G121*N121*100+0.5)/100</f>
        <v>759.44</v>
      </c>
      <c r="P121" s="258">
        <v>3</v>
      </c>
      <c r="Q121" s="257">
        <f>INT($G121*P121*100+0.5)/100</f>
        <v>284.79000000000002</v>
      </c>
      <c r="R121" s="258">
        <v>8</v>
      </c>
      <c r="S121" s="257">
        <f>INT($G121*R121*100+0.5)/100</f>
        <v>759.44</v>
      </c>
      <c r="T121" s="258">
        <v>0</v>
      </c>
      <c r="U121" s="257">
        <f>INT($G121*T121*100+0.5)/100</f>
        <v>0</v>
      </c>
      <c r="V121" s="258">
        <v>0</v>
      </c>
      <c r="W121" s="257">
        <f>INT($G121*V121*100+0.5)/100</f>
        <v>0</v>
      </c>
      <c r="X121" s="258">
        <v>5</v>
      </c>
      <c r="Y121" s="257">
        <f>INT($G121*X121*100+0.5)/100</f>
        <v>474.65</v>
      </c>
      <c r="Z121" s="258">
        <v>0</v>
      </c>
      <c r="AA121" s="257">
        <f>INT($G121*Z121*100+0.5)/100</f>
        <v>0</v>
      </c>
      <c r="AB121" s="258">
        <v>0</v>
      </c>
      <c r="AC121" s="257">
        <f>INT($G121*AB121*100+0.5)/100</f>
        <v>0</v>
      </c>
    </row>
    <row r="122" spans="1:29" ht="15">
      <c r="A122" s="250"/>
      <c r="B122" s="251"/>
      <c r="C122" s="855"/>
      <c r="D122" s="526" t="s">
        <v>3140</v>
      </c>
      <c r="E122" s="251"/>
      <c r="F122" s="735"/>
      <c r="G122" s="872"/>
      <c r="H122" s="261"/>
      <c r="I122" s="251"/>
      <c r="J122" s="872"/>
      <c r="K122" s="872"/>
      <c r="L122" s="872"/>
      <c r="M122" s="872"/>
      <c r="N122" s="256"/>
      <c r="O122" s="260"/>
      <c r="P122" s="256"/>
      <c r="Q122" s="260"/>
      <c r="R122" s="256"/>
      <c r="S122" s="260"/>
      <c r="T122" s="256"/>
      <c r="U122" s="260"/>
      <c r="V122" s="256"/>
      <c r="W122" s="260"/>
      <c r="X122" s="256"/>
      <c r="Y122" s="260"/>
      <c r="Z122" s="256"/>
      <c r="AA122" s="260"/>
      <c r="AB122" s="256"/>
      <c r="AC122" s="260"/>
    </row>
    <row r="123" spans="1:29" ht="15">
      <c r="A123" s="250">
        <f>A121+1</f>
        <v>44</v>
      </c>
      <c r="B123" s="251"/>
      <c r="C123" s="855" t="s">
        <v>2260</v>
      </c>
      <c r="D123" s="526" t="s">
        <v>3142</v>
      </c>
      <c r="E123" s="251" t="s">
        <v>1439</v>
      </c>
      <c r="F123" s="735">
        <f>N123+R123+P123+T123+V123+X123+Z123+AB123</f>
        <v>2600</v>
      </c>
      <c r="G123" s="872">
        <v>0.93</v>
      </c>
      <c r="H123" s="261">
        <f>O123+S123+Q123+U123+W123+Y123+AA123+AC123</f>
        <v>2418</v>
      </c>
      <c r="I123" s="251" t="s">
        <v>1439</v>
      </c>
      <c r="J123" s="872"/>
      <c r="K123" s="872"/>
      <c r="L123" s="872"/>
      <c r="M123" s="872"/>
      <c r="N123" s="258">
        <v>1000</v>
      </c>
      <c r="O123" s="257">
        <f>INT($G123*N123*100+0.5)/100</f>
        <v>930</v>
      </c>
      <c r="P123" s="258">
        <v>600</v>
      </c>
      <c r="Q123" s="257">
        <f>INT($G123*P123*100+0.5)/100</f>
        <v>558</v>
      </c>
      <c r="R123" s="258">
        <v>1000</v>
      </c>
      <c r="S123" s="257">
        <f>INT($G123*R123*100+0.5)/100</f>
        <v>930</v>
      </c>
      <c r="T123" s="258">
        <v>0</v>
      </c>
      <c r="U123" s="257">
        <f>INT($G123*T123*100+0.5)/100</f>
        <v>0</v>
      </c>
      <c r="V123" s="258">
        <v>0</v>
      </c>
      <c r="W123" s="257">
        <f>INT($G123*V123*100+0.5)/100</f>
        <v>0</v>
      </c>
      <c r="X123" s="258">
        <v>0</v>
      </c>
      <c r="Y123" s="257">
        <f>INT($G123*X123*100+0.5)/100</f>
        <v>0</v>
      </c>
      <c r="Z123" s="258">
        <v>0</v>
      </c>
      <c r="AA123" s="257">
        <f>INT($G123*Z123*100+0.5)/100</f>
        <v>0</v>
      </c>
      <c r="AB123" s="258">
        <v>0</v>
      </c>
      <c r="AC123" s="257">
        <f>INT($G123*AB123*100+0.5)/100</f>
        <v>0</v>
      </c>
    </row>
    <row r="124" spans="1:29" ht="15">
      <c r="A124" s="250"/>
      <c r="B124" s="251"/>
      <c r="C124" s="855"/>
      <c r="D124" s="526" t="s">
        <v>3141</v>
      </c>
      <c r="E124" s="251"/>
      <c r="F124" s="735"/>
      <c r="G124" s="872"/>
      <c r="H124" s="261"/>
      <c r="I124" s="251"/>
      <c r="J124" s="872"/>
      <c r="K124" s="872"/>
      <c r="L124" s="872"/>
      <c r="M124" s="872"/>
      <c r="N124" s="256"/>
      <c r="O124" s="260"/>
      <c r="P124" s="256"/>
      <c r="Q124" s="260"/>
      <c r="R124" s="256"/>
      <c r="S124" s="260"/>
      <c r="T124" s="256"/>
      <c r="U124" s="260"/>
      <c r="V124" s="256"/>
      <c r="W124" s="260"/>
      <c r="X124" s="256"/>
      <c r="Y124" s="260"/>
      <c r="Z124" s="256"/>
      <c r="AA124" s="260"/>
      <c r="AB124" s="256"/>
      <c r="AC124" s="260"/>
    </row>
    <row r="125" spans="1:29" ht="15">
      <c r="A125" s="250">
        <f>A123+1</f>
        <v>45</v>
      </c>
      <c r="B125" s="251"/>
      <c r="C125" s="855" t="s">
        <v>2261</v>
      </c>
      <c r="D125" s="526" t="s">
        <v>3143</v>
      </c>
      <c r="E125" s="251" t="s">
        <v>2461</v>
      </c>
      <c r="F125" s="735">
        <f>N125+R125+P125+T125+V125+X125+Z125+AB125</f>
        <v>3</v>
      </c>
      <c r="G125" s="872">
        <v>430.4</v>
      </c>
      <c r="H125" s="261">
        <f>O125+S125+Q125+U125+W125+Y125+AA125+AC125</f>
        <v>1291.1999999999998</v>
      </c>
      <c r="I125" s="251" t="s">
        <v>2461</v>
      </c>
      <c r="J125" s="872"/>
      <c r="K125" s="872"/>
      <c r="L125" s="872"/>
      <c r="M125" s="872"/>
      <c r="N125" s="258">
        <v>1</v>
      </c>
      <c r="O125" s="257">
        <f>INT($G125*N125*100+0.5)/100</f>
        <v>430.4</v>
      </c>
      <c r="P125" s="258">
        <v>1</v>
      </c>
      <c r="Q125" s="257">
        <f>INT($G125*P125*100+0.5)/100</f>
        <v>430.4</v>
      </c>
      <c r="R125" s="258">
        <v>1</v>
      </c>
      <c r="S125" s="257">
        <f>INT($G125*R125*100+0.5)/100</f>
        <v>430.4</v>
      </c>
      <c r="T125" s="258">
        <v>0</v>
      </c>
      <c r="U125" s="257">
        <f>INT($G125*T125*100+0.5)/100</f>
        <v>0</v>
      </c>
      <c r="V125" s="258">
        <v>0</v>
      </c>
      <c r="W125" s="257">
        <f>INT($G125*V125*100+0.5)/100</f>
        <v>0</v>
      </c>
      <c r="X125" s="258">
        <v>0</v>
      </c>
      <c r="Y125" s="257">
        <f>INT($G125*X125*100+0.5)/100</f>
        <v>0</v>
      </c>
      <c r="Z125" s="258">
        <v>0</v>
      </c>
      <c r="AA125" s="257">
        <f>INT($G125*Z125*100+0.5)/100</f>
        <v>0</v>
      </c>
      <c r="AB125" s="258">
        <v>0</v>
      </c>
      <c r="AC125" s="257">
        <f>INT($G125*AB125*100+0.5)/100</f>
        <v>0</v>
      </c>
    </row>
    <row r="126" spans="1:29" ht="15">
      <c r="A126" s="250"/>
      <c r="B126" s="251"/>
      <c r="C126" s="855"/>
      <c r="D126" s="526" t="s">
        <v>572</v>
      </c>
      <c r="E126" s="251"/>
      <c r="F126" s="735"/>
      <c r="G126" s="872"/>
      <c r="H126" s="261"/>
      <c r="I126" s="251"/>
      <c r="J126" s="872"/>
      <c r="K126" s="872"/>
      <c r="L126" s="872"/>
      <c r="M126" s="872"/>
      <c r="N126" s="256"/>
      <c r="O126" s="260"/>
      <c r="P126" s="256"/>
      <c r="Q126" s="260"/>
      <c r="R126" s="256"/>
      <c r="S126" s="260"/>
      <c r="T126" s="256"/>
      <c r="U126" s="260"/>
      <c r="V126" s="256"/>
      <c r="W126" s="260"/>
      <c r="X126" s="256"/>
      <c r="Y126" s="260"/>
      <c r="Z126" s="256"/>
      <c r="AA126" s="260"/>
      <c r="AB126" s="256"/>
      <c r="AC126" s="260"/>
    </row>
    <row r="127" spans="1:29" ht="15">
      <c r="A127" s="250">
        <f>A125+1</f>
        <v>46</v>
      </c>
      <c r="B127" s="251"/>
      <c r="C127" s="855" t="s">
        <v>2262</v>
      </c>
      <c r="D127" s="526" t="s">
        <v>3144</v>
      </c>
      <c r="E127" s="251" t="s">
        <v>2461</v>
      </c>
      <c r="F127" s="735">
        <f>N127+R127+P127+T127+V127+X127+Z127+AB127</f>
        <v>3</v>
      </c>
      <c r="G127" s="872">
        <v>293.3</v>
      </c>
      <c r="H127" s="261">
        <f>O127+S127+Q127+U127+W127+Y127+AA127+AC127</f>
        <v>879.90000000000009</v>
      </c>
      <c r="I127" s="251" t="s">
        <v>2461</v>
      </c>
      <c r="J127" s="872"/>
      <c r="K127" s="872"/>
      <c r="L127" s="872"/>
      <c r="M127" s="872"/>
      <c r="N127" s="258">
        <v>1</v>
      </c>
      <c r="O127" s="257">
        <f>INT($G127*N127*100+0.5)/100</f>
        <v>293.3</v>
      </c>
      <c r="P127" s="258">
        <v>1</v>
      </c>
      <c r="Q127" s="257">
        <f>INT($G127*P127*100+0.5)/100</f>
        <v>293.3</v>
      </c>
      <c r="R127" s="258">
        <v>1</v>
      </c>
      <c r="S127" s="257">
        <f>INT($G127*R127*100+0.5)/100</f>
        <v>293.3</v>
      </c>
      <c r="T127" s="258">
        <v>0</v>
      </c>
      <c r="U127" s="257">
        <f>INT($G127*T127*100+0.5)/100</f>
        <v>0</v>
      </c>
      <c r="V127" s="258">
        <v>0</v>
      </c>
      <c r="W127" s="257">
        <f>INT($G127*V127*100+0.5)/100</f>
        <v>0</v>
      </c>
      <c r="X127" s="258">
        <v>0</v>
      </c>
      <c r="Y127" s="257">
        <f>INT($G127*X127*100+0.5)/100</f>
        <v>0</v>
      </c>
      <c r="Z127" s="258">
        <v>0</v>
      </c>
      <c r="AA127" s="257">
        <f>INT($G127*Z127*100+0.5)/100</f>
        <v>0</v>
      </c>
      <c r="AB127" s="258">
        <v>0</v>
      </c>
      <c r="AC127" s="257">
        <f>INT($G127*AB127*100+0.5)/100</f>
        <v>0</v>
      </c>
    </row>
    <row r="128" spans="1:29" ht="15">
      <c r="A128" s="250"/>
      <c r="B128" s="251"/>
      <c r="C128" s="855"/>
      <c r="D128" s="526" t="s">
        <v>573</v>
      </c>
      <c r="E128" s="251"/>
      <c r="F128" s="735"/>
      <c r="G128" s="872"/>
      <c r="H128" s="261"/>
      <c r="I128" s="251"/>
      <c r="J128" s="872"/>
      <c r="K128" s="872"/>
      <c r="L128" s="872"/>
      <c r="M128" s="872"/>
      <c r="N128" s="258"/>
      <c r="O128" s="257"/>
      <c r="P128" s="258"/>
      <c r="Q128" s="257"/>
      <c r="R128" s="258"/>
      <c r="S128" s="257"/>
      <c r="T128" s="258"/>
      <c r="U128" s="257"/>
      <c r="V128" s="258"/>
      <c r="W128" s="257"/>
      <c r="X128" s="258"/>
      <c r="Y128" s="257"/>
      <c r="Z128" s="258"/>
      <c r="AA128" s="257"/>
      <c r="AB128" s="258"/>
      <c r="AC128" s="257"/>
    </row>
    <row r="129" spans="1:29" ht="15">
      <c r="A129" s="250">
        <f>A127+1</f>
        <v>47</v>
      </c>
      <c r="B129" s="251"/>
      <c r="C129" s="855" t="s">
        <v>2263</v>
      </c>
      <c r="D129" s="526" t="s">
        <v>3145</v>
      </c>
      <c r="E129" s="251" t="s">
        <v>2461</v>
      </c>
      <c r="F129" s="735">
        <f>N129+R129+P129+T129+V129+X129+Z129+AB129</f>
        <v>3</v>
      </c>
      <c r="G129" s="872">
        <v>327.64999999999998</v>
      </c>
      <c r="H129" s="261">
        <f>O129+S129+Q129+U129+W129+Y129+AA129+AC129</f>
        <v>982.94999999999993</v>
      </c>
      <c r="I129" s="251" t="s">
        <v>2461</v>
      </c>
      <c r="J129" s="872"/>
      <c r="K129" s="872"/>
      <c r="L129" s="872"/>
      <c r="M129" s="872"/>
      <c r="N129" s="258">
        <v>1</v>
      </c>
      <c r="O129" s="257">
        <f>INT($G129*N129*100+0.5)/100</f>
        <v>327.64999999999998</v>
      </c>
      <c r="P129" s="258">
        <v>1</v>
      </c>
      <c r="Q129" s="257">
        <f>INT($G129*P129*100+0.5)/100</f>
        <v>327.64999999999998</v>
      </c>
      <c r="R129" s="258">
        <v>1</v>
      </c>
      <c r="S129" s="257">
        <f>INT($G129*R129*100+0.5)/100</f>
        <v>327.64999999999998</v>
      </c>
      <c r="T129" s="258">
        <v>0</v>
      </c>
      <c r="U129" s="257">
        <f>INT($G129*T129*100+0.5)/100</f>
        <v>0</v>
      </c>
      <c r="V129" s="258">
        <v>0</v>
      </c>
      <c r="W129" s="257">
        <f>INT($G129*V129*100+0.5)/100</f>
        <v>0</v>
      </c>
      <c r="X129" s="258">
        <v>0</v>
      </c>
      <c r="Y129" s="257">
        <f>INT($G129*X129*100+0.5)/100</f>
        <v>0</v>
      </c>
      <c r="Z129" s="258">
        <v>0</v>
      </c>
      <c r="AA129" s="257">
        <f>INT($G129*Z129*100+0.5)/100</f>
        <v>0</v>
      </c>
      <c r="AB129" s="258">
        <v>0</v>
      </c>
      <c r="AC129" s="257">
        <f>INT($G129*AB129*100+0.5)/100</f>
        <v>0</v>
      </c>
    </row>
    <row r="130" spans="1:29" ht="15">
      <c r="A130" s="250"/>
      <c r="B130" s="251"/>
      <c r="C130" s="855"/>
      <c r="D130" s="526" t="s">
        <v>2264</v>
      </c>
      <c r="E130" s="251"/>
      <c r="F130" s="735"/>
      <c r="G130" s="872"/>
      <c r="H130" s="261"/>
      <c r="I130" s="251"/>
      <c r="J130" s="872"/>
      <c r="K130" s="872"/>
      <c r="L130" s="872"/>
      <c r="M130" s="872"/>
      <c r="N130" s="256"/>
      <c r="O130" s="260"/>
      <c r="P130" s="256"/>
      <c r="Q130" s="260"/>
      <c r="R130" s="256"/>
      <c r="S130" s="260"/>
      <c r="T130" s="256"/>
      <c r="U130" s="260"/>
      <c r="V130" s="256"/>
      <c r="W130" s="260"/>
      <c r="X130" s="256"/>
      <c r="Y130" s="260"/>
      <c r="Z130" s="256"/>
      <c r="AA130" s="260"/>
      <c r="AB130" s="256"/>
      <c r="AC130" s="260"/>
    </row>
    <row r="131" spans="1:29" ht="25.5">
      <c r="A131" s="250">
        <f>A129+1</f>
        <v>48</v>
      </c>
      <c r="B131" s="251"/>
      <c r="C131" s="855" t="s">
        <v>2279</v>
      </c>
      <c r="D131" s="526" t="s">
        <v>3147</v>
      </c>
      <c r="E131" s="251" t="s">
        <v>2475</v>
      </c>
      <c r="F131" s="735">
        <f t="shared" ref="F131:F139" si="8">N131+R131+P131+T131+V131+X131+Z131+AB131</f>
        <v>6</v>
      </c>
      <c r="G131" s="872">
        <v>36.96</v>
      </c>
      <c r="H131" s="261">
        <f t="shared" ref="H131:H139" si="9">O131+S131+Q131+U131+W131+Y131+AA131+AC131</f>
        <v>221.76</v>
      </c>
      <c r="I131" s="251" t="s">
        <v>2475</v>
      </c>
      <c r="J131" s="872"/>
      <c r="K131" s="872"/>
      <c r="L131" s="872"/>
      <c r="M131" s="872"/>
      <c r="N131" s="258">
        <v>6</v>
      </c>
      <c r="O131" s="257">
        <f>INT($G131*N131*100+0.5)/100</f>
        <v>221.76</v>
      </c>
      <c r="P131" s="258">
        <v>0</v>
      </c>
      <c r="Q131" s="257">
        <f>INT($G131*P131*100+0.5)/100</f>
        <v>0</v>
      </c>
      <c r="R131" s="258">
        <v>0</v>
      </c>
      <c r="S131" s="257">
        <f>INT($G131*R131*100+0.5)/100</f>
        <v>0</v>
      </c>
      <c r="T131" s="258">
        <v>0</v>
      </c>
      <c r="U131" s="257">
        <f>INT($G131*T131*100+0.5)/100</f>
        <v>0</v>
      </c>
      <c r="V131" s="258">
        <v>0</v>
      </c>
      <c r="W131" s="257">
        <f>INT($G131*V131*100+0.5)/100</f>
        <v>0</v>
      </c>
      <c r="X131" s="258">
        <v>0</v>
      </c>
      <c r="Y131" s="257">
        <f>INT($G131*X131*100+0.5)/100</f>
        <v>0</v>
      </c>
      <c r="Z131" s="258">
        <v>0</v>
      </c>
      <c r="AA131" s="257">
        <f>INT($G131*Z131*100+0.5)/100</f>
        <v>0</v>
      </c>
      <c r="AB131" s="258">
        <v>0</v>
      </c>
      <c r="AC131" s="257">
        <f>INT($G131*AB131*100+0.5)/100</f>
        <v>0</v>
      </c>
    </row>
    <row r="132" spans="1:29" ht="25.5">
      <c r="A132" s="250"/>
      <c r="B132" s="251"/>
      <c r="C132" s="855"/>
      <c r="D132" s="526" t="s">
        <v>3146</v>
      </c>
      <c r="E132" s="251"/>
      <c r="F132" s="735"/>
      <c r="G132" s="872"/>
      <c r="H132" s="261"/>
      <c r="I132" s="251"/>
      <c r="J132" s="872"/>
      <c r="K132" s="872"/>
      <c r="L132" s="872"/>
      <c r="M132" s="872"/>
      <c r="N132" s="258"/>
      <c r="O132" s="257"/>
      <c r="P132" s="258"/>
      <c r="Q132" s="257"/>
      <c r="R132" s="258"/>
      <c r="S132" s="257"/>
      <c r="T132" s="258"/>
      <c r="U132" s="257"/>
      <c r="V132" s="258"/>
      <c r="W132" s="257"/>
      <c r="X132" s="258"/>
      <c r="Y132" s="257"/>
      <c r="Z132" s="258"/>
      <c r="AA132" s="257"/>
      <c r="AB132" s="258"/>
      <c r="AC132" s="257"/>
    </row>
    <row r="133" spans="1:29" ht="25.5">
      <c r="A133" s="250">
        <f>A131+1</f>
        <v>49</v>
      </c>
      <c r="B133" s="251"/>
      <c r="C133" s="855" t="s">
        <v>2280</v>
      </c>
      <c r="D133" s="526" t="s">
        <v>3148</v>
      </c>
      <c r="E133" s="251" t="s">
        <v>2475</v>
      </c>
      <c r="F133" s="735">
        <f t="shared" si="8"/>
        <v>6</v>
      </c>
      <c r="G133" s="872">
        <v>43.64</v>
      </c>
      <c r="H133" s="261">
        <f t="shared" si="9"/>
        <v>261.83999999999997</v>
      </c>
      <c r="I133" s="251" t="s">
        <v>2475</v>
      </c>
      <c r="J133" s="872"/>
      <c r="K133" s="872"/>
      <c r="L133" s="872"/>
      <c r="M133" s="872"/>
      <c r="N133" s="258">
        <v>6</v>
      </c>
      <c r="O133" s="257">
        <f>INT($G133*N133*100+0.5)/100</f>
        <v>261.83999999999997</v>
      </c>
      <c r="P133" s="258">
        <v>0</v>
      </c>
      <c r="Q133" s="257">
        <f>INT($G133*P133*100+0.5)/100</f>
        <v>0</v>
      </c>
      <c r="R133" s="258">
        <v>0</v>
      </c>
      <c r="S133" s="257">
        <f>INT($G133*R133*100+0.5)/100</f>
        <v>0</v>
      </c>
      <c r="T133" s="258">
        <v>0</v>
      </c>
      <c r="U133" s="257">
        <f>INT($G133*T133*100+0.5)/100</f>
        <v>0</v>
      </c>
      <c r="V133" s="258">
        <v>0</v>
      </c>
      <c r="W133" s="257">
        <f>INT($G133*V133*100+0.5)/100</f>
        <v>0</v>
      </c>
      <c r="X133" s="258">
        <v>0</v>
      </c>
      <c r="Y133" s="257">
        <f>INT($G133*X133*100+0.5)/100</f>
        <v>0</v>
      </c>
      <c r="Z133" s="258">
        <v>0</v>
      </c>
      <c r="AA133" s="257">
        <f>INT($G133*Z133*100+0.5)/100</f>
        <v>0</v>
      </c>
      <c r="AB133" s="258">
        <v>0</v>
      </c>
      <c r="AC133" s="257">
        <f>INT($G133*AB133*100+0.5)/100</f>
        <v>0</v>
      </c>
    </row>
    <row r="134" spans="1:29" ht="25.5">
      <c r="A134" s="250"/>
      <c r="B134" s="251"/>
      <c r="C134" s="855"/>
      <c r="D134" s="526" t="s">
        <v>3149</v>
      </c>
      <c r="E134" s="251"/>
      <c r="F134" s="735"/>
      <c r="G134" s="872"/>
      <c r="H134" s="261"/>
      <c r="I134" s="251"/>
      <c r="J134" s="872"/>
      <c r="K134" s="872"/>
      <c r="L134" s="872"/>
      <c r="M134" s="872"/>
      <c r="N134" s="258"/>
      <c r="O134" s="257"/>
      <c r="P134" s="258"/>
      <c r="Q134" s="257"/>
      <c r="R134" s="258"/>
      <c r="S134" s="257"/>
      <c r="T134" s="258"/>
      <c r="U134" s="257"/>
      <c r="V134" s="258"/>
      <c r="W134" s="257"/>
      <c r="X134" s="258"/>
      <c r="Y134" s="257"/>
      <c r="Z134" s="258"/>
      <c r="AA134" s="257"/>
      <c r="AB134" s="258"/>
      <c r="AC134" s="257"/>
    </row>
    <row r="135" spans="1:29" ht="25.5">
      <c r="A135" s="250">
        <f>A133+1</f>
        <v>50</v>
      </c>
      <c r="B135" s="251"/>
      <c r="C135" s="855" t="s">
        <v>2281</v>
      </c>
      <c r="D135" s="526" t="s">
        <v>3150</v>
      </c>
      <c r="E135" s="251" t="s">
        <v>2475</v>
      </c>
      <c r="F135" s="735">
        <f t="shared" si="8"/>
        <v>6</v>
      </c>
      <c r="G135" s="872">
        <v>52.73</v>
      </c>
      <c r="H135" s="261">
        <f t="shared" si="9"/>
        <v>316.38</v>
      </c>
      <c r="I135" s="251" t="s">
        <v>2475</v>
      </c>
      <c r="J135" s="872"/>
      <c r="K135" s="872"/>
      <c r="L135" s="872"/>
      <c r="M135" s="872"/>
      <c r="N135" s="258">
        <v>6</v>
      </c>
      <c r="O135" s="257">
        <f>INT($G135*N135*100+0.5)/100</f>
        <v>316.38</v>
      </c>
      <c r="P135" s="258">
        <v>0</v>
      </c>
      <c r="Q135" s="257">
        <f>INT($G135*P135*100+0.5)/100</f>
        <v>0</v>
      </c>
      <c r="R135" s="258">
        <v>0</v>
      </c>
      <c r="S135" s="257">
        <f>INT($G135*R135*100+0.5)/100</f>
        <v>0</v>
      </c>
      <c r="T135" s="258">
        <v>0</v>
      </c>
      <c r="U135" s="257">
        <f>INT($G135*T135*100+0.5)/100</f>
        <v>0</v>
      </c>
      <c r="V135" s="258">
        <v>0</v>
      </c>
      <c r="W135" s="257">
        <f>INT($G135*V135*100+0.5)/100</f>
        <v>0</v>
      </c>
      <c r="X135" s="258">
        <v>0</v>
      </c>
      <c r="Y135" s="257">
        <f>INT($G135*X135*100+0.5)/100</f>
        <v>0</v>
      </c>
      <c r="Z135" s="258">
        <v>0</v>
      </c>
      <c r="AA135" s="257">
        <f>INT($G135*Z135*100+0.5)/100</f>
        <v>0</v>
      </c>
      <c r="AB135" s="258">
        <v>0</v>
      </c>
      <c r="AC135" s="257">
        <f>INT($G135*AB135*100+0.5)/100</f>
        <v>0</v>
      </c>
    </row>
    <row r="136" spans="1:29" ht="25.5">
      <c r="A136" s="250"/>
      <c r="B136" s="251"/>
      <c r="C136" s="855"/>
      <c r="D136" s="526" t="s">
        <v>3151</v>
      </c>
      <c r="E136" s="251"/>
      <c r="F136" s="735"/>
      <c r="G136" s="872"/>
      <c r="H136" s="261"/>
      <c r="I136" s="251"/>
      <c r="J136" s="872"/>
      <c r="K136" s="872"/>
      <c r="L136" s="872"/>
      <c r="M136" s="872"/>
      <c r="N136" s="258"/>
      <c r="O136" s="257"/>
      <c r="P136" s="258"/>
      <c r="Q136" s="257"/>
      <c r="R136" s="258"/>
      <c r="S136" s="257"/>
      <c r="T136" s="258"/>
      <c r="U136" s="257"/>
      <c r="V136" s="258"/>
      <c r="W136" s="257"/>
      <c r="X136" s="258"/>
      <c r="Y136" s="257"/>
      <c r="Z136" s="258"/>
      <c r="AA136" s="257"/>
      <c r="AB136" s="258"/>
      <c r="AC136" s="257"/>
    </row>
    <row r="137" spans="1:29" ht="25.5">
      <c r="A137" s="250">
        <f>A135+1</f>
        <v>51</v>
      </c>
      <c r="B137" s="251"/>
      <c r="C137" s="855" t="s">
        <v>2282</v>
      </c>
      <c r="D137" s="526" t="s">
        <v>3152</v>
      </c>
      <c r="E137" s="251" t="s">
        <v>2475</v>
      </c>
      <c r="F137" s="735">
        <f t="shared" si="8"/>
        <v>6</v>
      </c>
      <c r="G137" s="872">
        <v>58.75</v>
      </c>
      <c r="H137" s="261">
        <f t="shared" si="9"/>
        <v>352.5</v>
      </c>
      <c r="I137" s="251" t="s">
        <v>2475</v>
      </c>
      <c r="J137" s="872"/>
      <c r="K137" s="872"/>
      <c r="L137" s="872"/>
      <c r="M137" s="872"/>
      <c r="N137" s="258">
        <v>6</v>
      </c>
      <c r="O137" s="257">
        <f>INT($G137*N137*100+0.5)/100</f>
        <v>352.5</v>
      </c>
      <c r="P137" s="258">
        <v>0</v>
      </c>
      <c r="Q137" s="257">
        <f>INT($G137*P137*100+0.5)/100</f>
        <v>0</v>
      </c>
      <c r="R137" s="258">
        <v>0</v>
      </c>
      <c r="S137" s="257">
        <f>INT($G137*R137*100+0.5)/100</f>
        <v>0</v>
      </c>
      <c r="T137" s="258">
        <v>0</v>
      </c>
      <c r="U137" s="257">
        <f>INT($G137*T137*100+0.5)/100</f>
        <v>0</v>
      </c>
      <c r="V137" s="258">
        <v>0</v>
      </c>
      <c r="W137" s="257">
        <f>INT($G137*V137*100+0.5)/100</f>
        <v>0</v>
      </c>
      <c r="X137" s="258">
        <v>0</v>
      </c>
      <c r="Y137" s="257">
        <f>INT($G137*X137*100+0.5)/100</f>
        <v>0</v>
      </c>
      <c r="Z137" s="258">
        <v>0</v>
      </c>
      <c r="AA137" s="257">
        <f>INT($G137*Z137*100+0.5)/100</f>
        <v>0</v>
      </c>
      <c r="AB137" s="258">
        <v>0</v>
      </c>
      <c r="AC137" s="257">
        <f>INT($G137*AB137*100+0.5)/100</f>
        <v>0</v>
      </c>
    </row>
    <row r="138" spans="1:29" ht="25.5">
      <c r="A138" s="250"/>
      <c r="B138" s="251"/>
      <c r="C138" s="855"/>
      <c r="D138" s="526" t="s">
        <v>3153</v>
      </c>
      <c r="E138" s="251"/>
      <c r="F138" s="735"/>
      <c r="G138" s="872"/>
      <c r="H138" s="261"/>
      <c r="I138" s="251"/>
      <c r="J138" s="872"/>
      <c r="K138" s="872"/>
      <c r="L138" s="872"/>
      <c r="M138" s="872"/>
      <c r="N138" s="258"/>
      <c r="O138" s="257"/>
      <c r="P138" s="258"/>
      <c r="Q138" s="257"/>
      <c r="R138" s="258"/>
      <c r="S138" s="257"/>
      <c r="T138" s="258"/>
      <c r="U138" s="257"/>
      <c r="V138" s="258"/>
      <c r="W138" s="257"/>
      <c r="X138" s="258"/>
      <c r="Y138" s="257"/>
      <c r="Z138" s="258"/>
      <c r="AA138" s="257"/>
      <c r="AB138" s="258"/>
      <c r="AC138" s="257"/>
    </row>
    <row r="139" spans="1:29" ht="25.5">
      <c r="A139" s="250">
        <f>A137+1</f>
        <v>52</v>
      </c>
      <c r="B139" s="251"/>
      <c r="C139" s="855" t="s">
        <v>2283</v>
      </c>
      <c r="D139" s="526" t="s">
        <v>3154</v>
      </c>
      <c r="E139" s="251" t="s">
        <v>2475</v>
      </c>
      <c r="F139" s="735">
        <f t="shared" si="8"/>
        <v>6</v>
      </c>
      <c r="G139" s="872">
        <v>85.84</v>
      </c>
      <c r="H139" s="261">
        <f t="shared" si="9"/>
        <v>515.04</v>
      </c>
      <c r="I139" s="251" t="s">
        <v>2475</v>
      </c>
      <c r="J139" s="872"/>
      <c r="K139" s="872"/>
      <c r="L139" s="872"/>
      <c r="M139" s="872"/>
      <c r="N139" s="258">
        <v>6</v>
      </c>
      <c r="O139" s="257">
        <f>INT($G139*N139*100+0.5)/100</f>
        <v>515.04</v>
      </c>
      <c r="P139" s="258">
        <v>0</v>
      </c>
      <c r="Q139" s="257">
        <f>INT($G139*P139*100+0.5)/100</f>
        <v>0</v>
      </c>
      <c r="R139" s="258">
        <v>0</v>
      </c>
      <c r="S139" s="257">
        <f>INT($G139*R139*100+0.5)/100</f>
        <v>0</v>
      </c>
      <c r="T139" s="258">
        <v>0</v>
      </c>
      <c r="U139" s="257">
        <f>INT($G139*T139*100+0.5)/100</f>
        <v>0</v>
      </c>
      <c r="V139" s="258">
        <v>0</v>
      </c>
      <c r="W139" s="257">
        <f>INT($G139*V139*100+0.5)/100</f>
        <v>0</v>
      </c>
      <c r="X139" s="258">
        <v>0</v>
      </c>
      <c r="Y139" s="257">
        <f>INT($G139*X139*100+0.5)/100</f>
        <v>0</v>
      </c>
      <c r="Z139" s="258">
        <v>0</v>
      </c>
      <c r="AA139" s="257">
        <f>INT($G139*Z139*100+0.5)/100</f>
        <v>0</v>
      </c>
      <c r="AB139" s="258">
        <v>0</v>
      </c>
      <c r="AC139" s="257">
        <f>INT($G139*AB139*100+0.5)/100</f>
        <v>0</v>
      </c>
    </row>
    <row r="140" spans="1:29" ht="25.5">
      <c r="A140" s="250"/>
      <c r="B140" s="251"/>
      <c r="C140" s="855"/>
      <c r="D140" s="526" t="s">
        <v>3155</v>
      </c>
      <c r="E140" s="251"/>
      <c r="F140" s="735"/>
      <c r="G140" s="872"/>
      <c r="H140" s="261"/>
      <c r="I140" s="251"/>
      <c r="J140" s="872"/>
      <c r="K140" s="872"/>
      <c r="L140" s="872"/>
      <c r="M140" s="872"/>
      <c r="N140" s="256"/>
      <c r="O140" s="260"/>
      <c r="P140" s="256"/>
      <c r="Q140" s="260"/>
      <c r="R140" s="256"/>
      <c r="S140" s="260"/>
      <c r="T140" s="256"/>
      <c r="U140" s="260"/>
      <c r="V140" s="256"/>
      <c r="W140" s="260"/>
      <c r="X140" s="256"/>
      <c r="Y140" s="260"/>
      <c r="Z140" s="256"/>
      <c r="AA140" s="260"/>
      <c r="AB140" s="256"/>
      <c r="AC140" s="260"/>
    </row>
    <row r="141" spans="1:29" ht="15">
      <c r="A141" s="250">
        <f>A139+1</f>
        <v>53</v>
      </c>
      <c r="B141" s="251"/>
      <c r="C141" s="855" t="s">
        <v>2285</v>
      </c>
      <c r="D141" s="526" t="s">
        <v>3156</v>
      </c>
      <c r="E141" s="251" t="s">
        <v>1620</v>
      </c>
      <c r="F141" s="735">
        <f t="shared" ref="F141:F147" si="10">N141+R141+P141+T141+V141+X141+Z141+AB141</f>
        <v>230</v>
      </c>
      <c r="G141" s="872">
        <v>0.28999999999999998</v>
      </c>
      <c r="H141" s="261">
        <f t="shared" ref="H141:H147" si="11">O141+S141+Q141+U141+W141+Y141+AA141+AC141</f>
        <v>66.7</v>
      </c>
      <c r="I141" s="251" t="s">
        <v>1620</v>
      </c>
      <c r="J141" s="872"/>
      <c r="K141" s="872"/>
      <c r="L141" s="872"/>
      <c r="M141" s="872"/>
      <c r="N141" s="258">
        <v>230</v>
      </c>
      <c r="O141" s="257">
        <f>INT($G141*N141*100+0.5)/100</f>
        <v>66.7</v>
      </c>
      <c r="P141" s="258">
        <v>0</v>
      </c>
      <c r="Q141" s="257">
        <f>INT($G141*P141*100+0.5)/100</f>
        <v>0</v>
      </c>
      <c r="R141" s="258">
        <v>0</v>
      </c>
      <c r="S141" s="257">
        <f>INT($G141*R141*100+0.5)/100</f>
        <v>0</v>
      </c>
      <c r="T141" s="258">
        <v>0</v>
      </c>
      <c r="U141" s="257">
        <f>INT($G141*T141*100+0.5)/100</f>
        <v>0</v>
      </c>
      <c r="V141" s="258">
        <v>0</v>
      </c>
      <c r="W141" s="257">
        <f>INT($G141*V141*100+0.5)/100</f>
        <v>0</v>
      </c>
      <c r="X141" s="258">
        <v>0</v>
      </c>
      <c r="Y141" s="257">
        <f>INT($G141*X141*100+0.5)/100</f>
        <v>0</v>
      </c>
      <c r="Z141" s="258">
        <v>0</v>
      </c>
      <c r="AA141" s="257">
        <f>INT($G141*Z141*100+0.5)/100</f>
        <v>0</v>
      </c>
      <c r="AB141" s="258">
        <v>0</v>
      </c>
      <c r="AC141" s="257">
        <f>INT($G141*AB141*100+0.5)/100</f>
        <v>0</v>
      </c>
    </row>
    <row r="142" spans="1:29" ht="25.5">
      <c r="A142" s="250"/>
      <c r="B142" s="251"/>
      <c r="C142" s="855"/>
      <c r="D142" s="526" t="s">
        <v>2436</v>
      </c>
      <c r="E142" s="251"/>
      <c r="F142" s="735"/>
      <c r="G142" s="872"/>
      <c r="H142" s="261"/>
      <c r="I142" s="251"/>
      <c r="J142" s="872"/>
      <c r="K142" s="872"/>
      <c r="L142" s="872"/>
      <c r="M142" s="872"/>
      <c r="N142" s="258"/>
      <c r="O142" s="257"/>
      <c r="P142" s="258"/>
      <c r="Q142" s="257"/>
      <c r="R142" s="258"/>
      <c r="S142" s="257"/>
      <c r="T142" s="258"/>
      <c r="U142" s="257"/>
      <c r="V142" s="258"/>
      <c r="W142" s="257"/>
      <c r="X142" s="258"/>
      <c r="Y142" s="257"/>
      <c r="Z142" s="258"/>
      <c r="AA142" s="257"/>
      <c r="AB142" s="258"/>
      <c r="AC142" s="257"/>
    </row>
    <row r="143" spans="1:29" ht="15">
      <c r="A143" s="250">
        <f>A141+1</f>
        <v>54</v>
      </c>
      <c r="B143" s="251"/>
      <c r="C143" s="855" t="s">
        <v>2286</v>
      </c>
      <c r="D143" s="526" t="s">
        <v>3157</v>
      </c>
      <c r="E143" s="251" t="s">
        <v>1620</v>
      </c>
      <c r="F143" s="735">
        <f t="shared" si="10"/>
        <v>340</v>
      </c>
      <c r="G143" s="872">
        <v>0.59</v>
      </c>
      <c r="H143" s="261">
        <f t="shared" si="11"/>
        <v>200.6</v>
      </c>
      <c r="I143" s="251" t="s">
        <v>1620</v>
      </c>
      <c r="J143" s="872"/>
      <c r="K143" s="872"/>
      <c r="L143" s="872"/>
      <c r="M143" s="872"/>
      <c r="N143" s="258">
        <v>340</v>
      </c>
      <c r="O143" s="257">
        <f>INT($G143*N143*100+0.5)/100</f>
        <v>200.6</v>
      </c>
      <c r="P143" s="258">
        <v>0</v>
      </c>
      <c r="Q143" s="257">
        <f>INT($G143*P143*100+0.5)/100</f>
        <v>0</v>
      </c>
      <c r="R143" s="258">
        <v>0</v>
      </c>
      <c r="S143" s="257">
        <f>INT($G143*R143*100+0.5)/100</f>
        <v>0</v>
      </c>
      <c r="T143" s="258">
        <v>0</v>
      </c>
      <c r="U143" s="257">
        <f>INT($G143*T143*100+0.5)/100</f>
        <v>0</v>
      </c>
      <c r="V143" s="258">
        <v>0</v>
      </c>
      <c r="W143" s="257">
        <f>INT($G143*V143*100+0.5)/100</f>
        <v>0</v>
      </c>
      <c r="X143" s="258">
        <v>0</v>
      </c>
      <c r="Y143" s="257">
        <f>INT($G143*X143*100+0.5)/100</f>
        <v>0</v>
      </c>
      <c r="Z143" s="258">
        <v>0</v>
      </c>
      <c r="AA143" s="257">
        <f>INT($G143*Z143*100+0.5)/100</f>
        <v>0</v>
      </c>
      <c r="AB143" s="258">
        <v>0</v>
      </c>
      <c r="AC143" s="257">
        <f>INT($G143*AB143*100+0.5)/100</f>
        <v>0</v>
      </c>
    </row>
    <row r="144" spans="1:29" ht="25.5">
      <c r="A144" s="250"/>
      <c r="B144" s="251"/>
      <c r="C144" s="855"/>
      <c r="D144" s="526" t="s">
        <v>2437</v>
      </c>
      <c r="E144" s="251"/>
      <c r="F144" s="735"/>
      <c r="G144" s="872"/>
      <c r="H144" s="261"/>
      <c r="I144" s="251"/>
      <c r="J144" s="872"/>
      <c r="K144" s="872"/>
      <c r="L144" s="872"/>
      <c r="M144" s="872"/>
      <c r="N144" s="258"/>
      <c r="O144" s="257"/>
      <c r="P144" s="258"/>
      <c r="Q144" s="257"/>
      <c r="R144" s="258"/>
      <c r="S144" s="257"/>
      <c r="T144" s="258"/>
      <c r="U144" s="257"/>
      <c r="V144" s="258"/>
      <c r="W144" s="257"/>
      <c r="X144" s="258"/>
      <c r="Y144" s="257"/>
      <c r="Z144" s="258"/>
      <c r="AA144" s="257"/>
      <c r="AB144" s="258"/>
      <c r="AC144" s="257"/>
    </row>
    <row r="145" spans="1:29" ht="15">
      <c r="A145" s="250">
        <f>A143+1</f>
        <v>55</v>
      </c>
      <c r="B145" s="251"/>
      <c r="C145" s="855" t="s">
        <v>2287</v>
      </c>
      <c r="D145" s="526" t="s">
        <v>3158</v>
      </c>
      <c r="E145" s="251" t="s">
        <v>1620</v>
      </c>
      <c r="F145" s="735">
        <f t="shared" si="10"/>
        <v>340</v>
      </c>
      <c r="G145" s="872">
        <v>0.92</v>
      </c>
      <c r="H145" s="261">
        <f t="shared" si="11"/>
        <v>312.8</v>
      </c>
      <c r="I145" s="251" t="s">
        <v>1620</v>
      </c>
      <c r="J145" s="872"/>
      <c r="K145" s="872"/>
      <c r="L145" s="872"/>
      <c r="M145" s="872"/>
      <c r="N145" s="258">
        <v>340</v>
      </c>
      <c r="O145" s="257">
        <f>INT($G145*N145*100+0.5)/100</f>
        <v>312.8</v>
      </c>
      <c r="P145" s="258">
        <v>0</v>
      </c>
      <c r="Q145" s="257">
        <f>INT($G145*P145*100+0.5)/100</f>
        <v>0</v>
      </c>
      <c r="R145" s="258">
        <v>0</v>
      </c>
      <c r="S145" s="257">
        <f>INT($G145*R145*100+0.5)/100</f>
        <v>0</v>
      </c>
      <c r="T145" s="258">
        <v>0</v>
      </c>
      <c r="U145" s="257">
        <f>INT($G145*T145*100+0.5)/100</f>
        <v>0</v>
      </c>
      <c r="V145" s="258">
        <v>0</v>
      </c>
      <c r="W145" s="257">
        <f>INT($G145*V145*100+0.5)/100</f>
        <v>0</v>
      </c>
      <c r="X145" s="258">
        <v>0</v>
      </c>
      <c r="Y145" s="257">
        <f>INT($G145*X145*100+0.5)/100</f>
        <v>0</v>
      </c>
      <c r="Z145" s="258">
        <v>0</v>
      </c>
      <c r="AA145" s="257">
        <f>INT($G145*Z145*100+0.5)/100</f>
        <v>0</v>
      </c>
      <c r="AB145" s="258">
        <v>0</v>
      </c>
      <c r="AC145" s="257">
        <f>INT($G145*AB145*100+0.5)/100</f>
        <v>0</v>
      </c>
    </row>
    <row r="146" spans="1:29" ht="25.5">
      <c r="A146" s="250"/>
      <c r="B146" s="251"/>
      <c r="C146" s="855"/>
      <c r="D146" s="526" t="s">
        <v>2288</v>
      </c>
      <c r="E146" s="251"/>
      <c r="F146" s="735"/>
      <c r="G146" s="872"/>
      <c r="H146" s="261"/>
      <c r="I146" s="251"/>
      <c r="J146" s="872"/>
      <c r="K146" s="872"/>
      <c r="L146" s="872"/>
      <c r="M146" s="872"/>
      <c r="N146" s="258"/>
      <c r="O146" s="257"/>
      <c r="P146" s="258"/>
      <c r="Q146" s="257"/>
      <c r="R146" s="258"/>
      <c r="S146" s="257"/>
      <c r="T146" s="258"/>
      <c r="U146" s="257"/>
      <c r="V146" s="258"/>
      <c r="W146" s="257"/>
      <c r="X146" s="258"/>
      <c r="Y146" s="257"/>
      <c r="Z146" s="258"/>
      <c r="AA146" s="257"/>
      <c r="AB146" s="258"/>
      <c r="AC146" s="257"/>
    </row>
    <row r="147" spans="1:29" ht="15">
      <c r="A147" s="250">
        <f>A145+1</f>
        <v>56</v>
      </c>
      <c r="B147" s="251"/>
      <c r="C147" s="855" t="s">
        <v>2289</v>
      </c>
      <c r="D147" s="526" t="s">
        <v>3159</v>
      </c>
      <c r="E147" s="251" t="s">
        <v>1620</v>
      </c>
      <c r="F147" s="735">
        <f t="shared" si="10"/>
        <v>300</v>
      </c>
      <c r="G147" s="872">
        <v>1.92</v>
      </c>
      <c r="H147" s="261">
        <f t="shared" si="11"/>
        <v>576</v>
      </c>
      <c r="I147" s="251" t="s">
        <v>1620</v>
      </c>
      <c r="J147" s="872"/>
      <c r="K147" s="872"/>
      <c r="L147" s="872"/>
      <c r="M147" s="872"/>
      <c r="N147" s="258">
        <v>300</v>
      </c>
      <c r="O147" s="257">
        <f>INT($G147*N147*100+0.5)/100</f>
        <v>576</v>
      </c>
      <c r="P147" s="258">
        <v>0</v>
      </c>
      <c r="Q147" s="257">
        <f>INT($G147*P147*100+0.5)/100</f>
        <v>0</v>
      </c>
      <c r="R147" s="258">
        <v>0</v>
      </c>
      <c r="S147" s="257">
        <f>INT($G147*R147*100+0.5)/100</f>
        <v>0</v>
      </c>
      <c r="T147" s="258">
        <v>0</v>
      </c>
      <c r="U147" s="257">
        <f>INT($G147*T147*100+0.5)/100</f>
        <v>0</v>
      </c>
      <c r="V147" s="258">
        <v>0</v>
      </c>
      <c r="W147" s="257">
        <f>INT($G147*V147*100+0.5)/100</f>
        <v>0</v>
      </c>
      <c r="X147" s="258">
        <v>0</v>
      </c>
      <c r="Y147" s="257">
        <f>INT($G147*X147*100+0.5)/100</f>
        <v>0</v>
      </c>
      <c r="Z147" s="258">
        <v>0</v>
      </c>
      <c r="AA147" s="257">
        <f>INT($G147*Z147*100+0.5)/100</f>
        <v>0</v>
      </c>
      <c r="AB147" s="258">
        <v>0</v>
      </c>
      <c r="AC147" s="257">
        <f>INT($G147*AB147*100+0.5)/100</f>
        <v>0</v>
      </c>
    </row>
    <row r="148" spans="1:29" ht="15">
      <c r="A148" s="250"/>
      <c r="B148" s="251"/>
      <c r="C148" s="855"/>
      <c r="D148" s="526" t="s">
        <v>3160</v>
      </c>
      <c r="E148" s="251"/>
      <c r="F148" s="735"/>
      <c r="G148" s="872"/>
      <c r="H148" s="261"/>
      <c r="I148" s="251"/>
      <c r="J148" s="872"/>
      <c r="K148" s="872"/>
      <c r="L148" s="872"/>
      <c r="M148" s="872"/>
      <c r="N148" s="256"/>
      <c r="O148" s="260"/>
      <c r="P148" s="256"/>
      <c r="Q148" s="260"/>
      <c r="R148" s="256"/>
      <c r="S148" s="260"/>
      <c r="T148" s="256"/>
      <c r="U148" s="260"/>
      <c r="V148" s="256"/>
      <c r="W148" s="260"/>
      <c r="X148" s="256"/>
      <c r="Y148" s="260"/>
      <c r="Z148" s="256"/>
      <c r="AA148" s="260"/>
      <c r="AB148" s="256"/>
      <c r="AC148" s="260"/>
    </row>
    <row r="149" spans="1:29" ht="25.5">
      <c r="A149" s="250">
        <f>A147+1</f>
        <v>57</v>
      </c>
      <c r="B149" s="251"/>
      <c r="C149" s="855" t="s">
        <v>2290</v>
      </c>
      <c r="D149" s="526" t="s">
        <v>3161</v>
      </c>
      <c r="E149" s="251" t="s">
        <v>1439</v>
      </c>
      <c r="F149" s="735">
        <f>N149+R149+P149+T149+V149+X149+Z149+AB149</f>
        <v>60</v>
      </c>
      <c r="G149" s="872">
        <v>3.07</v>
      </c>
      <c r="H149" s="261">
        <f>O149+S149+Q149+U149+W149+Y149+AA149+AC149</f>
        <v>184.2</v>
      </c>
      <c r="I149" s="251" t="s">
        <v>1439</v>
      </c>
      <c r="J149" s="872"/>
      <c r="K149" s="872"/>
      <c r="L149" s="872"/>
      <c r="M149" s="872"/>
      <c r="N149" s="258">
        <v>60</v>
      </c>
      <c r="O149" s="257">
        <f>INT($G149*N149*100+0.5)/100</f>
        <v>184.2</v>
      </c>
      <c r="P149" s="258">
        <v>0</v>
      </c>
      <c r="Q149" s="257">
        <f>INT($G149*P149*100+0.5)/100</f>
        <v>0</v>
      </c>
      <c r="R149" s="258">
        <v>0</v>
      </c>
      <c r="S149" s="257">
        <f>INT($G149*R149*100+0.5)/100</f>
        <v>0</v>
      </c>
      <c r="T149" s="258">
        <v>0</v>
      </c>
      <c r="U149" s="257">
        <f>INT($G149*T149*100+0.5)/100</f>
        <v>0</v>
      </c>
      <c r="V149" s="258">
        <v>0</v>
      </c>
      <c r="W149" s="257">
        <f>INT($G149*V149*100+0.5)/100</f>
        <v>0</v>
      </c>
      <c r="X149" s="258">
        <v>0</v>
      </c>
      <c r="Y149" s="257">
        <f>INT($G149*X149*100+0.5)/100</f>
        <v>0</v>
      </c>
      <c r="Z149" s="258">
        <v>0</v>
      </c>
      <c r="AA149" s="257">
        <f>INT($G149*Z149*100+0.5)/100</f>
        <v>0</v>
      </c>
      <c r="AB149" s="258">
        <v>0</v>
      </c>
      <c r="AC149" s="257">
        <f>INT($G149*AB149*100+0.5)/100</f>
        <v>0</v>
      </c>
    </row>
    <row r="150" spans="1:29" ht="25.5">
      <c r="A150" s="250"/>
      <c r="B150" s="251"/>
      <c r="C150" s="855"/>
      <c r="D150" s="526" t="s">
        <v>3162</v>
      </c>
      <c r="E150" s="251"/>
      <c r="F150" s="735"/>
      <c r="G150" s="872"/>
      <c r="H150" s="261"/>
      <c r="I150" s="251"/>
      <c r="J150" s="872"/>
      <c r="K150" s="872"/>
      <c r="L150" s="872"/>
      <c r="M150" s="872"/>
      <c r="N150" s="258"/>
      <c r="O150" s="257"/>
      <c r="P150" s="258"/>
      <c r="Q150" s="257"/>
      <c r="R150" s="258"/>
      <c r="S150" s="257"/>
      <c r="T150" s="258"/>
      <c r="U150" s="257"/>
      <c r="V150" s="258"/>
      <c r="W150" s="257"/>
      <c r="X150" s="258"/>
      <c r="Y150" s="257"/>
      <c r="Z150" s="258"/>
      <c r="AA150" s="257"/>
      <c r="AB150" s="258"/>
      <c r="AC150" s="257"/>
    </row>
    <row r="151" spans="1:29" ht="25.5">
      <c r="A151" s="250">
        <f>A149+1</f>
        <v>58</v>
      </c>
      <c r="B151" s="251"/>
      <c r="C151" s="855" t="s">
        <v>2291</v>
      </c>
      <c r="D151" s="526" t="s">
        <v>3163</v>
      </c>
      <c r="E151" s="251" t="s">
        <v>1439</v>
      </c>
      <c r="F151" s="735">
        <f>N151+R151+P151+T151+V151+X151+Z151+AB151</f>
        <v>140</v>
      </c>
      <c r="G151" s="872">
        <v>2.1</v>
      </c>
      <c r="H151" s="261">
        <f>O151+S151+Q151+U151+W151+Y151+AA151+AC151</f>
        <v>294</v>
      </c>
      <c r="I151" s="251" t="s">
        <v>1439</v>
      </c>
      <c r="J151" s="872"/>
      <c r="K151" s="872"/>
      <c r="L151" s="872"/>
      <c r="M151" s="872"/>
      <c r="N151" s="258">
        <v>140</v>
      </c>
      <c r="O151" s="257">
        <f>INT($G151*N151*100+0.5)/100</f>
        <v>294</v>
      </c>
      <c r="P151" s="258">
        <v>0</v>
      </c>
      <c r="Q151" s="257">
        <f>INT($G151*P151*100+0.5)/100</f>
        <v>0</v>
      </c>
      <c r="R151" s="258">
        <v>0</v>
      </c>
      <c r="S151" s="257">
        <f>INT($G151*R151*100+0.5)/100</f>
        <v>0</v>
      </c>
      <c r="T151" s="258">
        <v>0</v>
      </c>
      <c r="U151" s="257">
        <f>INT($G151*T151*100+0.5)/100</f>
        <v>0</v>
      </c>
      <c r="V151" s="258">
        <v>0</v>
      </c>
      <c r="W151" s="257">
        <f>INT($G151*V151*100+0.5)/100</f>
        <v>0</v>
      </c>
      <c r="X151" s="258">
        <v>0</v>
      </c>
      <c r="Y151" s="257">
        <f>INT($G151*X151*100+0.5)/100</f>
        <v>0</v>
      </c>
      <c r="Z151" s="258">
        <v>0</v>
      </c>
      <c r="AA151" s="257">
        <f>INT($G151*Z151*100+0.5)/100</f>
        <v>0</v>
      </c>
      <c r="AB151" s="258">
        <v>0</v>
      </c>
      <c r="AC151" s="257">
        <f>INT($G151*AB151*100+0.5)/100</f>
        <v>0</v>
      </c>
    </row>
    <row r="152" spans="1:29" ht="15">
      <c r="A152" s="250"/>
      <c r="B152" s="251"/>
      <c r="C152" s="855"/>
      <c r="D152" s="526" t="s">
        <v>3164</v>
      </c>
      <c r="E152" s="251"/>
      <c r="F152" s="735"/>
      <c r="G152" s="872"/>
      <c r="H152" s="261"/>
      <c r="I152" s="251"/>
      <c r="J152" s="872"/>
      <c r="K152" s="872"/>
      <c r="L152" s="872"/>
      <c r="M152" s="872"/>
      <c r="N152" s="256"/>
      <c r="O152" s="260"/>
      <c r="P152" s="256"/>
      <c r="Q152" s="260"/>
      <c r="R152" s="256"/>
      <c r="S152" s="260"/>
      <c r="T152" s="256"/>
      <c r="U152" s="260"/>
      <c r="V152" s="256"/>
      <c r="W152" s="260"/>
      <c r="X152" s="256"/>
      <c r="Y152" s="260"/>
      <c r="Z152" s="256"/>
      <c r="AA152" s="260"/>
      <c r="AB152" s="256"/>
      <c r="AC152" s="260"/>
    </row>
    <row r="153" spans="1:29" ht="15">
      <c r="A153" s="250">
        <f>A151+1</f>
        <v>59</v>
      </c>
      <c r="B153" s="251"/>
      <c r="C153" s="855" t="s">
        <v>2292</v>
      </c>
      <c r="D153" s="526" t="s">
        <v>3166</v>
      </c>
      <c r="E153" s="251" t="s">
        <v>1898</v>
      </c>
      <c r="F153" s="735">
        <f>N153+R153+P153+T153+V153+X153+Z153+AB153</f>
        <v>170</v>
      </c>
      <c r="G153" s="872">
        <v>2.2799999999999998</v>
      </c>
      <c r="H153" s="261">
        <f>O153+S153+Q153+U153+W153+Y153+AA153+AC153</f>
        <v>387.6</v>
      </c>
      <c r="I153" s="251" t="s">
        <v>1898</v>
      </c>
      <c r="J153" s="872"/>
      <c r="K153" s="872"/>
      <c r="L153" s="872"/>
      <c r="M153" s="872"/>
      <c r="N153" s="258">
        <v>30</v>
      </c>
      <c r="O153" s="257">
        <f>INT($G153*N153*100+0.5)/100</f>
        <v>68.400000000000006</v>
      </c>
      <c r="P153" s="258">
        <v>30</v>
      </c>
      <c r="Q153" s="257">
        <f>INT($G153*P153*100+0.5)/100</f>
        <v>68.400000000000006</v>
      </c>
      <c r="R153" s="258">
        <v>50</v>
      </c>
      <c r="S153" s="257">
        <f>INT($G153*R153*100+0.5)/100</f>
        <v>114</v>
      </c>
      <c r="T153" s="258">
        <v>0</v>
      </c>
      <c r="U153" s="257">
        <f>INT($G153*T153*100+0.5)/100</f>
        <v>0</v>
      </c>
      <c r="V153" s="258">
        <v>0</v>
      </c>
      <c r="W153" s="257">
        <f>INT($G153*V153*100+0.5)/100</f>
        <v>0</v>
      </c>
      <c r="X153" s="258">
        <v>60</v>
      </c>
      <c r="Y153" s="257">
        <f>INT($G153*X153*100+0.5)/100</f>
        <v>136.80000000000001</v>
      </c>
      <c r="Z153" s="258">
        <v>0</v>
      </c>
      <c r="AA153" s="257">
        <f>INT($G153*Z153*100+0.5)/100</f>
        <v>0</v>
      </c>
      <c r="AB153" s="258">
        <v>0</v>
      </c>
      <c r="AC153" s="257">
        <f>INT($G153*AB153*100+0.5)/100</f>
        <v>0</v>
      </c>
    </row>
    <row r="154" spans="1:29" ht="15">
      <c r="A154" s="250"/>
      <c r="B154" s="251"/>
      <c r="C154" s="855"/>
      <c r="D154" s="526" t="s">
        <v>3165</v>
      </c>
      <c r="E154" s="251"/>
      <c r="F154" s="735"/>
      <c r="G154" s="872"/>
      <c r="H154" s="261"/>
      <c r="I154" s="251"/>
      <c r="J154" s="872"/>
      <c r="K154" s="872"/>
      <c r="L154" s="872"/>
      <c r="M154" s="872"/>
      <c r="N154" s="256"/>
      <c r="O154" s="260"/>
      <c r="P154" s="256"/>
      <c r="Q154" s="260"/>
      <c r="R154" s="256"/>
      <c r="S154" s="260"/>
      <c r="T154" s="256"/>
      <c r="U154" s="260"/>
      <c r="V154" s="256"/>
      <c r="W154" s="260"/>
      <c r="X154" s="256"/>
      <c r="Y154" s="260"/>
      <c r="Z154" s="256"/>
      <c r="AA154" s="260"/>
      <c r="AB154" s="256"/>
      <c r="AC154" s="260"/>
    </row>
    <row r="155" spans="1:29" ht="25.5">
      <c r="A155" s="250">
        <f>A153+1</f>
        <v>60</v>
      </c>
      <c r="B155" s="251"/>
      <c r="C155" s="855" t="s">
        <v>2293</v>
      </c>
      <c r="D155" s="526" t="s">
        <v>3167</v>
      </c>
      <c r="E155" s="251" t="s">
        <v>1439</v>
      </c>
      <c r="F155" s="735">
        <f>N155+R155+P155+T155+V155+X155+Z155+AB155</f>
        <v>22</v>
      </c>
      <c r="G155" s="872">
        <v>16.37</v>
      </c>
      <c r="H155" s="261">
        <f>O155+S155+Q155+U155+W155+Y155+AA155+AC155</f>
        <v>360.14</v>
      </c>
      <c r="I155" s="251" t="s">
        <v>1439</v>
      </c>
      <c r="J155" s="872"/>
      <c r="K155" s="872"/>
      <c r="L155" s="872"/>
      <c r="M155" s="872"/>
      <c r="N155" s="258">
        <v>6</v>
      </c>
      <c r="O155" s="257">
        <f>INT($G155*N155*100+0.5)/100</f>
        <v>98.22</v>
      </c>
      <c r="P155" s="258">
        <v>6</v>
      </c>
      <c r="Q155" s="257">
        <f>INT($G155*P155*100+0.5)/100</f>
        <v>98.22</v>
      </c>
      <c r="R155" s="258">
        <v>10</v>
      </c>
      <c r="S155" s="257">
        <f>INT($G155*R155*100+0.5)/100</f>
        <v>163.69999999999999</v>
      </c>
      <c r="T155" s="258">
        <v>0</v>
      </c>
      <c r="U155" s="257">
        <f>INT($G155*T155*100+0.5)/100</f>
        <v>0</v>
      </c>
      <c r="V155" s="258">
        <v>0</v>
      </c>
      <c r="W155" s="257">
        <f>INT($G155*V155*100+0.5)/100</f>
        <v>0</v>
      </c>
      <c r="X155" s="258">
        <v>0</v>
      </c>
      <c r="Y155" s="257">
        <f>INT($G155*X155*100+0.5)/100</f>
        <v>0</v>
      </c>
      <c r="Z155" s="258">
        <v>0</v>
      </c>
      <c r="AA155" s="257">
        <f>INT($G155*Z155*100+0.5)/100</f>
        <v>0</v>
      </c>
      <c r="AB155" s="258">
        <v>0</v>
      </c>
      <c r="AC155" s="257">
        <f>INT($G155*AB155*100+0.5)/100</f>
        <v>0</v>
      </c>
    </row>
    <row r="156" spans="1:29" ht="15">
      <c r="A156" s="250"/>
      <c r="B156" s="251"/>
      <c r="C156" s="855"/>
      <c r="D156" s="526" t="s">
        <v>1318</v>
      </c>
      <c r="E156" s="251"/>
      <c r="F156" s="735"/>
      <c r="G156" s="872"/>
      <c r="H156" s="261"/>
      <c r="I156" s="251"/>
      <c r="J156" s="872"/>
      <c r="K156" s="872"/>
      <c r="L156" s="872"/>
      <c r="M156" s="872"/>
      <c r="N156" s="258"/>
      <c r="O156" s="257"/>
      <c r="P156" s="258"/>
      <c r="Q156" s="257"/>
      <c r="R156" s="258"/>
      <c r="S156" s="257"/>
      <c r="T156" s="258"/>
      <c r="U156" s="257"/>
      <c r="V156" s="258"/>
      <c r="W156" s="257"/>
      <c r="X156" s="258"/>
      <c r="Y156" s="257"/>
      <c r="Z156" s="258"/>
      <c r="AA156" s="257"/>
      <c r="AB156" s="258"/>
      <c r="AC156" s="257"/>
    </row>
    <row r="157" spans="1:29" ht="25.5">
      <c r="A157" s="250">
        <f>A155+1</f>
        <v>61</v>
      </c>
      <c r="B157" s="251"/>
      <c r="C157" s="855" t="s">
        <v>2294</v>
      </c>
      <c r="D157" s="526" t="s">
        <v>3168</v>
      </c>
      <c r="E157" s="251" t="s">
        <v>1439</v>
      </c>
      <c r="F157" s="735">
        <f>N157+R157+P157+T157+V157+X157+Z157+AB157</f>
        <v>26</v>
      </c>
      <c r="G157" s="872">
        <v>14.05</v>
      </c>
      <c r="H157" s="261">
        <f>O157+S157+Q157+U157+W157+Y157+AA157+AC157</f>
        <v>365.3</v>
      </c>
      <c r="I157" s="251" t="s">
        <v>1439</v>
      </c>
      <c r="J157" s="872"/>
      <c r="K157" s="872"/>
      <c r="L157" s="872"/>
      <c r="M157" s="872"/>
      <c r="N157" s="258">
        <v>10</v>
      </c>
      <c r="O157" s="257">
        <f>INT($G157*N157*100+0.5)/100</f>
        <v>140.5</v>
      </c>
      <c r="P157" s="258">
        <v>6</v>
      </c>
      <c r="Q157" s="257">
        <f>INT($G157*P157*100+0.5)/100</f>
        <v>84.3</v>
      </c>
      <c r="R157" s="258">
        <v>10</v>
      </c>
      <c r="S157" s="257">
        <f>INT($G157*R157*100+0.5)/100</f>
        <v>140.5</v>
      </c>
      <c r="T157" s="258">
        <v>0</v>
      </c>
      <c r="U157" s="257">
        <f>INT($G157*T157*100+0.5)/100</f>
        <v>0</v>
      </c>
      <c r="V157" s="258">
        <v>0</v>
      </c>
      <c r="W157" s="257">
        <f>INT($G157*V157*100+0.5)/100</f>
        <v>0</v>
      </c>
      <c r="X157" s="258">
        <v>0</v>
      </c>
      <c r="Y157" s="257">
        <f>INT($G157*X157*100+0.5)/100</f>
        <v>0</v>
      </c>
      <c r="Z157" s="258">
        <v>0</v>
      </c>
      <c r="AA157" s="257">
        <f>INT($G157*Z157*100+0.5)/100</f>
        <v>0</v>
      </c>
      <c r="AB157" s="258">
        <v>0</v>
      </c>
      <c r="AC157" s="257">
        <f>INT($G157*AB157*100+0.5)/100</f>
        <v>0</v>
      </c>
    </row>
    <row r="158" spans="1:29" ht="25.5">
      <c r="A158" s="250"/>
      <c r="B158" s="251"/>
      <c r="C158" s="855"/>
      <c r="D158" s="526" t="s">
        <v>1319</v>
      </c>
      <c r="E158" s="251"/>
      <c r="F158" s="735"/>
      <c r="G158" s="872"/>
      <c r="H158" s="261"/>
      <c r="I158" s="251"/>
      <c r="J158" s="872"/>
      <c r="K158" s="872"/>
      <c r="L158" s="872"/>
      <c r="M158" s="872"/>
      <c r="N158" s="258"/>
      <c r="O158" s="257"/>
      <c r="P158" s="258"/>
      <c r="Q158" s="257"/>
      <c r="R158" s="258"/>
      <c r="S158" s="257"/>
      <c r="T158" s="258"/>
      <c r="U158" s="257"/>
      <c r="V158" s="258"/>
      <c r="W158" s="257"/>
      <c r="X158" s="258"/>
      <c r="Y158" s="257"/>
      <c r="Z158" s="258"/>
      <c r="AA158" s="257"/>
      <c r="AB158" s="258"/>
      <c r="AC158" s="257"/>
    </row>
    <row r="159" spans="1:29" ht="25.5">
      <c r="A159" s="250">
        <f>A157+1</f>
        <v>62</v>
      </c>
      <c r="B159" s="251"/>
      <c r="C159" s="855" t="s">
        <v>2295</v>
      </c>
      <c r="D159" s="526" t="s">
        <v>3169</v>
      </c>
      <c r="E159" s="251" t="s">
        <v>1439</v>
      </c>
      <c r="F159" s="735">
        <f>N159+R159+P159+T159+V159+X159+Z159+AB159</f>
        <v>26</v>
      </c>
      <c r="G159" s="872">
        <v>17.47</v>
      </c>
      <c r="H159" s="261">
        <f>O159+S159+Q159+U159+W159+Y159+AA159+AC159</f>
        <v>454.21999999999997</v>
      </c>
      <c r="I159" s="251" t="s">
        <v>1439</v>
      </c>
      <c r="J159" s="872"/>
      <c r="K159" s="872"/>
      <c r="L159" s="872"/>
      <c r="M159" s="872"/>
      <c r="N159" s="258">
        <v>10</v>
      </c>
      <c r="O159" s="257">
        <f>INT($G159*N159*100+0.5)/100</f>
        <v>174.7</v>
      </c>
      <c r="P159" s="258">
        <v>6</v>
      </c>
      <c r="Q159" s="257">
        <f>INT($G159*P159*100+0.5)/100</f>
        <v>104.82</v>
      </c>
      <c r="R159" s="258">
        <v>10</v>
      </c>
      <c r="S159" s="257">
        <f>INT($G159*R159*100+0.5)/100</f>
        <v>174.7</v>
      </c>
      <c r="T159" s="258">
        <v>0</v>
      </c>
      <c r="U159" s="257">
        <f>INT($G159*T159*100+0.5)/100</f>
        <v>0</v>
      </c>
      <c r="V159" s="258">
        <v>0</v>
      </c>
      <c r="W159" s="257">
        <f>INT($G159*V159*100+0.5)/100</f>
        <v>0</v>
      </c>
      <c r="X159" s="258">
        <v>0</v>
      </c>
      <c r="Y159" s="257">
        <f>INT($G159*X159*100+0.5)/100</f>
        <v>0</v>
      </c>
      <c r="Z159" s="258">
        <v>0</v>
      </c>
      <c r="AA159" s="257">
        <f>INT($G159*Z159*100+0.5)/100</f>
        <v>0</v>
      </c>
      <c r="AB159" s="258">
        <v>0</v>
      </c>
      <c r="AC159" s="257">
        <f>INT($G159*AB159*100+0.5)/100</f>
        <v>0</v>
      </c>
    </row>
    <row r="160" spans="1:29" ht="25.5">
      <c r="A160" s="250"/>
      <c r="B160" s="251"/>
      <c r="C160" s="855"/>
      <c r="D160" s="526" t="s">
        <v>1320</v>
      </c>
      <c r="E160" s="251"/>
      <c r="F160" s="735"/>
      <c r="G160" s="872"/>
      <c r="H160" s="261"/>
      <c r="I160" s="251"/>
      <c r="J160" s="872"/>
      <c r="K160" s="872"/>
      <c r="L160" s="872"/>
      <c r="M160" s="872"/>
      <c r="N160" s="256"/>
      <c r="O160" s="260"/>
      <c r="P160" s="256"/>
      <c r="Q160" s="260"/>
      <c r="R160" s="256"/>
      <c r="S160" s="260"/>
      <c r="T160" s="256"/>
      <c r="U160" s="260"/>
      <c r="V160" s="256"/>
      <c r="W160" s="260"/>
      <c r="X160" s="256"/>
      <c r="Y160" s="260"/>
      <c r="Z160" s="256"/>
      <c r="AA160" s="260"/>
      <c r="AB160" s="256"/>
      <c r="AC160" s="260"/>
    </row>
    <row r="161" spans="1:29" ht="15">
      <c r="A161" s="250">
        <f>A159+1</f>
        <v>63</v>
      </c>
      <c r="B161" s="251"/>
      <c r="C161" s="855" t="s">
        <v>2442</v>
      </c>
      <c r="D161" s="526" t="s">
        <v>3170</v>
      </c>
      <c r="E161" s="251" t="s">
        <v>583</v>
      </c>
      <c r="F161" s="735">
        <f>N161+R161+P161+T161+V161+X161+Z161+AB161</f>
        <v>32</v>
      </c>
      <c r="G161" s="872">
        <v>1.55</v>
      </c>
      <c r="H161" s="261">
        <f>O161+S161+Q161+U161+W161+Y161+AA161+AC161</f>
        <v>49.599999999999994</v>
      </c>
      <c r="I161" s="251" t="s">
        <v>583</v>
      </c>
      <c r="J161" s="872"/>
      <c r="K161" s="872"/>
      <c r="L161" s="872"/>
      <c r="M161" s="872"/>
      <c r="N161" s="258">
        <v>10</v>
      </c>
      <c r="O161" s="257">
        <f>INT($G161*N161*100+0.5)/100</f>
        <v>15.5</v>
      </c>
      <c r="P161" s="258">
        <v>6</v>
      </c>
      <c r="Q161" s="257">
        <f>INT($G161*P161*100+0.5)/100</f>
        <v>9.3000000000000007</v>
      </c>
      <c r="R161" s="258">
        <v>10</v>
      </c>
      <c r="S161" s="257">
        <f>INT($G161*R161*100+0.5)/100</f>
        <v>15.5</v>
      </c>
      <c r="T161" s="258">
        <v>0</v>
      </c>
      <c r="U161" s="257">
        <f>INT($G161*T161*100+0.5)/100</f>
        <v>0</v>
      </c>
      <c r="V161" s="258">
        <v>0</v>
      </c>
      <c r="W161" s="257">
        <f>INT($G161*V161*100+0.5)/100</f>
        <v>0</v>
      </c>
      <c r="X161" s="258">
        <v>6</v>
      </c>
      <c r="Y161" s="257">
        <f>INT($G161*X161*100+0.5)/100</f>
        <v>9.3000000000000007</v>
      </c>
      <c r="Z161" s="258">
        <v>0</v>
      </c>
      <c r="AA161" s="257">
        <f>INT($G161*Z161*100+0.5)/100</f>
        <v>0</v>
      </c>
      <c r="AB161" s="258">
        <v>0</v>
      </c>
      <c r="AC161" s="257">
        <f>INT($G161*AB161*100+0.5)/100</f>
        <v>0</v>
      </c>
    </row>
    <row r="162" spans="1:29" ht="15">
      <c r="A162" s="250"/>
      <c r="B162" s="251"/>
      <c r="C162" s="646"/>
      <c r="D162" s="526" t="s">
        <v>2443</v>
      </c>
      <c r="E162" s="251"/>
      <c r="F162" s="735"/>
      <c r="G162" s="872"/>
      <c r="H162" s="261"/>
      <c r="I162" s="251"/>
      <c r="J162" s="872"/>
      <c r="K162" s="872"/>
      <c r="L162" s="872"/>
      <c r="M162" s="872"/>
      <c r="N162" s="256"/>
      <c r="O162" s="260"/>
      <c r="P162" s="256"/>
      <c r="Q162" s="260"/>
      <c r="R162" s="256"/>
      <c r="S162" s="260"/>
      <c r="T162" s="256"/>
      <c r="U162" s="260"/>
      <c r="V162" s="256"/>
      <c r="W162" s="260"/>
      <c r="X162" s="256"/>
      <c r="Y162" s="260"/>
      <c r="Z162" s="256"/>
      <c r="AA162" s="260"/>
      <c r="AB162" s="256"/>
      <c r="AC162" s="260"/>
    </row>
    <row r="163" spans="1:29" ht="15">
      <c r="A163" s="250"/>
      <c r="B163" s="251"/>
      <c r="C163" s="526"/>
      <c r="D163" s="526"/>
      <c r="E163" s="251"/>
      <c r="F163" s="735"/>
      <c r="G163" s="872"/>
      <c r="H163" s="261"/>
      <c r="I163" s="251"/>
      <c r="J163" s="872"/>
      <c r="K163" s="872"/>
      <c r="L163" s="872"/>
      <c r="M163" s="872"/>
      <c r="N163" s="256"/>
      <c r="O163" s="260"/>
      <c r="P163" s="256"/>
      <c r="Q163" s="260"/>
      <c r="R163" s="256"/>
      <c r="S163" s="260"/>
      <c r="T163" s="256"/>
      <c r="U163" s="260"/>
      <c r="V163" s="256"/>
      <c r="W163" s="260"/>
      <c r="X163" s="256"/>
      <c r="Y163" s="260"/>
      <c r="Z163" s="256"/>
      <c r="AA163" s="260"/>
      <c r="AB163" s="256"/>
      <c r="AC163" s="260"/>
    </row>
    <row r="164" spans="1:29" ht="30">
      <c r="A164" s="264"/>
      <c r="B164" s="265"/>
      <c r="C164" s="858" t="s">
        <v>2031</v>
      </c>
      <c r="D164" s="267" t="s">
        <v>3171</v>
      </c>
      <c r="E164" s="265"/>
      <c r="F164" s="736"/>
      <c r="G164" s="839"/>
      <c r="H164" s="271">
        <f>O164+S164+Q164+U164+W164+Y164+AA164+AC164</f>
        <v>65471.529999999992</v>
      </c>
      <c r="I164" s="265"/>
      <c r="J164" s="839"/>
      <c r="K164" s="839"/>
      <c r="L164" s="839"/>
      <c r="M164" s="839"/>
      <c r="N164" s="271"/>
      <c r="O164" s="271">
        <f>SUM(O17:O163)</f>
        <v>17387.340000000004</v>
      </c>
      <c r="P164" s="271"/>
      <c r="Q164" s="271">
        <f>SUM(Q17:Q163)</f>
        <v>10477.069999999996</v>
      </c>
      <c r="R164" s="271"/>
      <c r="S164" s="271">
        <f>SUM(S17:S163)</f>
        <v>14719.180000000002</v>
      </c>
      <c r="T164" s="271"/>
      <c r="U164" s="271">
        <f>SUM(U17:U163)</f>
        <v>2797.98</v>
      </c>
      <c r="V164" s="271"/>
      <c r="W164" s="271">
        <f>SUM(W17:W163)</f>
        <v>0</v>
      </c>
      <c r="X164" s="271"/>
      <c r="Y164" s="271">
        <f>SUM(Y17:Y163)</f>
        <v>10107.909999999994</v>
      </c>
      <c r="Z164" s="271"/>
      <c r="AA164" s="271">
        <f>SUM(AA17:AA163)</f>
        <v>4512.8500000000004</v>
      </c>
      <c r="AB164" s="271"/>
      <c r="AC164" s="271">
        <f>SUM(AC17:AC163)</f>
        <v>5469.2</v>
      </c>
    </row>
    <row r="165" spans="1:29" ht="15">
      <c r="A165" s="250"/>
      <c r="B165" s="251"/>
      <c r="C165" s="855"/>
      <c r="D165" s="526"/>
      <c r="E165" s="251"/>
      <c r="F165" s="735"/>
      <c r="G165" s="570">
        <f>SUM(O165:AC165)</f>
        <v>0.38527011238642805</v>
      </c>
      <c r="H165" s="737"/>
      <c r="I165" s="251"/>
      <c r="J165" s="570"/>
      <c r="K165" s="570"/>
      <c r="L165" s="570"/>
      <c r="M165" s="570"/>
      <c r="N165" s="256"/>
      <c r="O165" s="494">
        <f>O164/$O$1878</f>
        <v>0.10231657081942393</v>
      </c>
      <c r="P165" s="256"/>
      <c r="Q165" s="494">
        <f>Q164/$O$1878</f>
        <v>6.165278154306876E-2</v>
      </c>
      <c r="R165" s="256"/>
      <c r="S165" s="494">
        <f>S164/$O$1878</f>
        <v>8.6615665356164204E-2</v>
      </c>
      <c r="T165" s="256"/>
      <c r="U165" s="494">
        <f>U164/$O$1878</f>
        <v>1.646483699181886E-2</v>
      </c>
      <c r="V165" s="256"/>
      <c r="W165" s="494">
        <f>W164/$O$1878</f>
        <v>0</v>
      </c>
      <c r="X165" s="256"/>
      <c r="Y165" s="494">
        <f>Y164/$O$1878</f>
        <v>5.9480443204731864E-2</v>
      </c>
      <c r="Z165" s="256"/>
      <c r="AA165" s="494">
        <f>AA164/$O$1878</f>
        <v>2.6556065310877754E-2</v>
      </c>
      <c r="AB165" s="256"/>
      <c r="AC165" s="494">
        <f>AC164/$O$1878</f>
        <v>3.2183749160342709E-2</v>
      </c>
    </row>
    <row r="166" spans="1:29" ht="25.5">
      <c r="A166" s="250"/>
      <c r="B166" s="251"/>
      <c r="C166" s="859" t="s">
        <v>1446</v>
      </c>
      <c r="D166" s="746" t="s">
        <v>3172</v>
      </c>
      <c r="E166" s="251"/>
      <c r="F166" s="735"/>
      <c r="G166" s="261"/>
      <c r="H166" s="261"/>
      <c r="I166" s="237"/>
      <c r="J166" s="261"/>
      <c r="K166" s="261"/>
      <c r="L166" s="261"/>
      <c r="M166" s="261"/>
      <c r="N166" s="256"/>
      <c r="O166" s="260"/>
      <c r="P166" s="256"/>
      <c r="Q166" s="260"/>
      <c r="R166" s="256"/>
      <c r="S166" s="260"/>
      <c r="T166" s="260"/>
      <c r="U166" s="260"/>
      <c r="V166" s="256"/>
      <c r="W166" s="260"/>
      <c r="X166" s="256"/>
      <c r="Y166" s="260"/>
      <c r="Z166" s="256"/>
      <c r="AA166" s="260"/>
      <c r="AB166" s="256"/>
      <c r="AC166" s="260"/>
    </row>
    <row r="167" spans="1:29" s="247" customFormat="1" ht="15">
      <c r="A167" s="284">
        <f>A161+1</f>
        <v>64</v>
      </c>
      <c r="B167" s="237"/>
      <c r="C167" s="526" t="s">
        <v>3235</v>
      </c>
      <c r="D167" s="532" t="s">
        <v>3372</v>
      </c>
      <c r="E167" s="237" t="s">
        <v>2657</v>
      </c>
      <c r="F167" s="733">
        <f>N167+R167+P167+T167+V167+X167+Z167+AB167</f>
        <v>1</v>
      </c>
      <c r="G167" s="261">
        <v>6000</v>
      </c>
      <c r="H167" s="243">
        <f>O167+S167+Q167+U167+W167+Y167+AA167+AC167</f>
        <v>6000</v>
      </c>
      <c r="I167" s="237" t="s">
        <v>2657</v>
      </c>
      <c r="J167" s="261"/>
      <c r="K167" s="261"/>
      <c r="L167" s="261"/>
      <c r="M167" s="261"/>
      <c r="N167" s="289">
        <v>0.2</v>
      </c>
      <c r="O167" s="245">
        <f>INT($G167*N167*100+0.5)/100</f>
        <v>1200</v>
      </c>
      <c r="P167" s="289">
        <v>0.2</v>
      </c>
      <c r="Q167" s="245">
        <f>INT($G167*P167*100+0.5)/100</f>
        <v>1200</v>
      </c>
      <c r="R167" s="289">
        <v>0.3</v>
      </c>
      <c r="S167" s="245">
        <f>INT($G167*R167*100+0.5)/100</f>
        <v>1800</v>
      </c>
      <c r="T167" s="245">
        <v>0</v>
      </c>
      <c r="U167" s="245">
        <f>INT($G167*T167*100+0.5)/100</f>
        <v>0</v>
      </c>
      <c r="V167" s="289">
        <v>0</v>
      </c>
      <c r="W167" s="245">
        <f>INT($G167*V167*100+0.5)/100</f>
        <v>0</v>
      </c>
      <c r="X167" s="289">
        <v>0.1</v>
      </c>
      <c r="Y167" s="245">
        <f>INT($G167*X167*100+0.5)/100</f>
        <v>600</v>
      </c>
      <c r="Z167" s="289">
        <v>0</v>
      </c>
      <c r="AA167" s="245">
        <f>INT($G167*Z167*100+0.5)/100</f>
        <v>0</v>
      </c>
      <c r="AB167" s="289">
        <v>0.2</v>
      </c>
      <c r="AC167" s="245">
        <f>INT($G167*AB167*100+0.5)/100</f>
        <v>1200</v>
      </c>
    </row>
    <row r="168" spans="1:29" s="247" customFormat="1" ht="15">
      <c r="A168" s="284"/>
      <c r="B168" s="237"/>
      <c r="C168" s="653"/>
      <c r="D168" s="532" t="s">
        <v>3373</v>
      </c>
      <c r="E168" s="237"/>
      <c r="F168" s="733"/>
      <c r="G168" s="243"/>
      <c r="H168" s="243"/>
      <c r="I168" s="237"/>
      <c r="J168" s="243"/>
      <c r="K168" s="243"/>
      <c r="L168" s="243"/>
      <c r="M168" s="243"/>
      <c r="N168" s="289"/>
      <c r="O168" s="245"/>
      <c r="P168" s="289"/>
      <c r="Q168" s="245"/>
      <c r="R168" s="289"/>
      <c r="S168" s="245"/>
      <c r="T168" s="245"/>
      <c r="U168" s="245"/>
      <c r="V168" s="289"/>
      <c r="W168" s="245"/>
      <c r="X168" s="289"/>
      <c r="Y168" s="245"/>
      <c r="Z168" s="289"/>
      <c r="AA168" s="245"/>
      <c r="AB168" s="289"/>
      <c r="AC168" s="245"/>
    </row>
    <row r="169" spans="1:29" ht="15">
      <c r="A169" s="250"/>
      <c r="B169" s="251"/>
      <c r="C169" s="648"/>
      <c r="D169" s="532"/>
      <c r="E169" s="251"/>
      <c r="F169" s="733"/>
      <c r="G169" s="261"/>
      <c r="H169" s="261"/>
      <c r="I169" s="251"/>
      <c r="J169" s="261"/>
      <c r="K169" s="261"/>
      <c r="L169" s="261"/>
      <c r="M169" s="261"/>
      <c r="N169" s="258"/>
      <c r="O169" s="257"/>
      <c r="P169" s="258"/>
      <c r="Q169" s="257"/>
      <c r="R169" s="258"/>
      <c r="S169" s="257"/>
      <c r="T169" s="257"/>
      <c r="U169" s="257"/>
      <c r="V169" s="258"/>
      <c r="W169" s="257"/>
      <c r="X169" s="258"/>
      <c r="Y169" s="257"/>
      <c r="Z169" s="258"/>
      <c r="AA169" s="257"/>
      <c r="AB169" s="258"/>
      <c r="AC169" s="257"/>
    </row>
    <row r="170" spans="1:29" s="247" customFormat="1" ht="15">
      <c r="A170" s="284">
        <f>A167+1</f>
        <v>65</v>
      </c>
      <c r="B170" s="237"/>
      <c r="C170" s="526" t="s">
        <v>3236</v>
      </c>
      <c r="D170" s="532" t="s">
        <v>2527</v>
      </c>
      <c r="E170" s="237" t="s">
        <v>2878</v>
      </c>
      <c r="F170" s="733">
        <f>N170+R170+P170+T170+V170+X170+Z170+AB170</f>
        <v>40</v>
      </c>
      <c r="G170" s="261">
        <f>37.02*1+(369.4*(3*30*3*0.025)/1000+0.52*(1.5*2+3*3)*10)/10+49.1*1/10</f>
        <v>48.419345000000007</v>
      </c>
      <c r="H170" s="243">
        <f>O170+S170+Q170+U170+W170+Y170+AA170+AC170</f>
        <v>1936.77</v>
      </c>
      <c r="I170" s="237" t="s">
        <v>2878</v>
      </c>
      <c r="J170" s="261"/>
      <c r="K170" s="261"/>
      <c r="L170" s="261"/>
      <c r="M170" s="261"/>
      <c r="N170" s="289">
        <v>0</v>
      </c>
      <c r="O170" s="245">
        <f>INT($G170*N170*100+0.5)/100</f>
        <v>0</v>
      </c>
      <c r="P170" s="289">
        <v>0</v>
      </c>
      <c r="Q170" s="245">
        <f>INT($G170*P170*100+0.5)/100</f>
        <v>0</v>
      </c>
      <c r="R170" s="289">
        <v>0</v>
      </c>
      <c r="S170" s="245">
        <f>INT($G170*R170*100+0.5)/100</f>
        <v>0</v>
      </c>
      <c r="T170" s="245"/>
      <c r="U170" s="245"/>
      <c r="V170" s="289">
        <v>0</v>
      </c>
      <c r="W170" s="245">
        <f>INT($G170*V170*100+0.5)/100</f>
        <v>0</v>
      </c>
      <c r="X170" s="289">
        <f>INT(395/20*2+0.5)</f>
        <v>40</v>
      </c>
      <c r="Y170" s="245">
        <f>INT($G170*X170*100+0.5)/100</f>
        <v>1936.77</v>
      </c>
      <c r="Z170" s="289">
        <v>0</v>
      </c>
      <c r="AA170" s="245">
        <f>INT($G170*Z170*100+0.5)/100</f>
        <v>0</v>
      </c>
      <c r="AB170" s="289">
        <v>0</v>
      </c>
      <c r="AC170" s="245">
        <f>INT($G170*AB170*100+0.5)/100</f>
        <v>0</v>
      </c>
    </row>
    <row r="171" spans="1:29" s="247" customFormat="1" ht="15">
      <c r="A171" s="284"/>
      <c r="B171" s="237"/>
      <c r="C171" s="653"/>
      <c r="D171" s="532" t="s">
        <v>2070</v>
      </c>
      <c r="E171" s="237"/>
      <c r="F171" s="733"/>
      <c r="G171" s="243"/>
      <c r="H171" s="243"/>
      <c r="I171" s="237"/>
      <c r="J171" s="243"/>
      <c r="K171" s="243"/>
      <c r="L171" s="243"/>
      <c r="M171" s="243"/>
      <c r="N171" s="289"/>
      <c r="O171" s="245"/>
      <c r="P171" s="289"/>
      <c r="Q171" s="245"/>
      <c r="R171" s="289"/>
      <c r="S171" s="245"/>
      <c r="T171" s="245"/>
      <c r="U171" s="245"/>
      <c r="V171" s="289"/>
      <c r="W171" s="245"/>
      <c r="X171" s="289"/>
      <c r="Y171" s="245"/>
      <c r="Z171" s="289"/>
      <c r="AA171" s="245"/>
      <c r="AB171" s="289"/>
      <c r="AC171" s="245"/>
    </row>
    <row r="172" spans="1:29" ht="15">
      <c r="A172" s="250"/>
      <c r="B172" s="251"/>
      <c r="C172" s="648"/>
      <c r="D172" s="292"/>
      <c r="E172" s="251"/>
      <c r="F172" s="733"/>
      <c r="G172" s="261"/>
      <c r="H172" s="261"/>
      <c r="I172" s="251"/>
      <c r="J172" s="261"/>
      <c r="K172" s="261"/>
      <c r="L172" s="261"/>
      <c r="M172" s="261"/>
      <c r="N172" s="258"/>
      <c r="O172" s="257"/>
      <c r="P172" s="258"/>
      <c r="Q172" s="257"/>
      <c r="R172" s="258"/>
      <c r="S172" s="257"/>
      <c r="T172" s="257"/>
      <c r="U172" s="257"/>
      <c r="V172" s="258"/>
      <c r="W172" s="257"/>
      <c r="X172" s="258"/>
      <c r="Y172" s="257"/>
      <c r="Z172" s="258"/>
      <c r="AA172" s="257"/>
      <c r="AB172" s="258"/>
      <c r="AC172" s="257"/>
    </row>
    <row r="173" spans="1:29" s="247" customFormat="1" ht="15">
      <c r="A173" s="284">
        <f>A170+1</f>
        <v>66</v>
      </c>
      <c r="B173" s="237"/>
      <c r="C173" s="526" t="s">
        <v>3237</v>
      </c>
      <c r="D173" s="532" t="s">
        <v>2528</v>
      </c>
      <c r="E173" s="237" t="s">
        <v>2878</v>
      </c>
      <c r="F173" s="733">
        <f>N173+R173+P173+T173+V173+X173+Z173+AB173</f>
        <v>90</v>
      </c>
      <c r="G173" s="261">
        <f>37.02*1+(369.4*(3*30*3*0.025)/1000+0.52*(1.5*2+3*3)*10)/10+49.1*1/10</f>
        <v>48.419345000000007</v>
      </c>
      <c r="H173" s="243">
        <f>O173+S173+Q173+U173+W173+Y173+AA173+AC173</f>
        <v>4357.74</v>
      </c>
      <c r="I173" s="237" t="s">
        <v>2878</v>
      </c>
      <c r="J173" s="261"/>
      <c r="K173" s="261"/>
      <c r="L173" s="261"/>
      <c r="M173" s="261"/>
      <c r="N173" s="289">
        <v>0</v>
      </c>
      <c r="O173" s="245">
        <f>INT($G173*N173*100+0.5)/100</f>
        <v>0</v>
      </c>
      <c r="P173" s="289">
        <v>0</v>
      </c>
      <c r="Q173" s="245">
        <f>INT($G173*P173*100+0.5)/100</f>
        <v>0</v>
      </c>
      <c r="R173" s="289">
        <v>0</v>
      </c>
      <c r="S173" s="245">
        <f>INT($G173*R173*100+0.5)/100</f>
        <v>0</v>
      </c>
      <c r="T173" s="245"/>
      <c r="U173" s="245"/>
      <c r="V173" s="289">
        <v>0</v>
      </c>
      <c r="W173" s="245">
        <f>INT($G173*V173*100+0.5)/100</f>
        <v>0</v>
      </c>
      <c r="X173" s="289">
        <f>INT(158*0.57+0.5)</f>
        <v>90</v>
      </c>
      <c r="Y173" s="245">
        <f>INT($G173*X173*100+0.5)/100</f>
        <v>4357.74</v>
      </c>
      <c r="Z173" s="289">
        <v>0</v>
      </c>
      <c r="AA173" s="245">
        <f>INT($G173*Z173*100+0.5)/100</f>
        <v>0</v>
      </c>
      <c r="AB173" s="289">
        <v>0</v>
      </c>
      <c r="AC173" s="245">
        <f>INT($G173*AB173*100+0.5)/100</f>
        <v>0</v>
      </c>
    </row>
    <row r="174" spans="1:29" s="247" customFormat="1" ht="15">
      <c r="A174" s="284"/>
      <c r="B174" s="237"/>
      <c r="C174" s="653"/>
      <c r="D174" s="532" t="s">
        <v>2071</v>
      </c>
      <c r="E174" s="237"/>
      <c r="F174" s="733"/>
      <c r="G174" s="243"/>
      <c r="H174" s="243"/>
      <c r="I174" s="237"/>
      <c r="J174" s="243"/>
      <c r="K174" s="243"/>
      <c r="L174" s="243"/>
      <c r="M174" s="243"/>
      <c r="N174" s="289"/>
      <c r="O174" s="245"/>
      <c r="P174" s="289"/>
      <c r="Q174" s="245"/>
      <c r="R174" s="289"/>
      <c r="S174" s="245"/>
      <c r="T174" s="245"/>
      <c r="U174" s="245"/>
      <c r="V174" s="289"/>
      <c r="W174" s="245"/>
      <c r="X174" s="289"/>
      <c r="Y174" s="245"/>
      <c r="Z174" s="289"/>
      <c r="AA174" s="245"/>
      <c r="AB174" s="289"/>
      <c r="AC174" s="245"/>
    </row>
    <row r="175" spans="1:29" ht="15">
      <c r="A175" s="250"/>
      <c r="B175" s="251"/>
      <c r="C175" s="868"/>
      <c r="D175" s="453"/>
      <c r="E175" s="251"/>
      <c r="F175" s="735"/>
      <c r="G175" s="261"/>
      <c r="H175" s="261"/>
      <c r="I175" s="370"/>
      <c r="J175" s="261"/>
      <c r="K175" s="261"/>
      <c r="L175" s="261"/>
      <c r="M175" s="261"/>
      <c r="N175" s="256"/>
      <c r="O175" s="260"/>
      <c r="P175" s="256"/>
      <c r="Q175" s="260"/>
      <c r="R175" s="256"/>
      <c r="S175" s="260"/>
      <c r="T175" s="260"/>
      <c r="U175" s="260"/>
      <c r="V175" s="256"/>
      <c r="W175" s="260"/>
      <c r="X175" s="256"/>
      <c r="Y175" s="260"/>
      <c r="Z175" s="256"/>
      <c r="AA175" s="260"/>
      <c r="AB175" s="256"/>
      <c r="AC175" s="260"/>
    </row>
    <row r="176" spans="1:29" s="303" customFormat="1" ht="30">
      <c r="A176" s="298"/>
      <c r="B176" s="299"/>
      <c r="C176" s="885" t="s">
        <v>1446</v>
      </c>
      <c r="D176" s="333" t="s">
        <v>3172</v>
      </c>
      <c r="E176" s="299"/>
      <c r="F176" s="782"/>
      <c r="G176" s="271"/>
      <c r="H176" s="271">
        <f>O176+S176+Q176+U176+W176+Y176+AA176+AC176</f>
        <v>12294.51</v>
      </c>
      <c r="I176" s="299"/>
      <c r="J176" s="271"/>
      <c r="K176" s="271"/>
      <c r="L176" s="271"/>
      <c r="M176" s="271"/>
      <c r="N176" s="273"/>
      <c r="O176" s="273">
        <f>SUM(O167:O175)</f>
        <v>1200</v>
      </c>
      <c r="P176" s="273"/>
      <c r="Q176" s="273">
        <f>SUM(Q167:Q175)</f>
        <v>1200</v>
      </c>
      <c r="R176" s="273"/>
      <c r="S176" s="273">
        <f>SUM(S167:S175)</f>
        <v>1800</v>
      </c>
      <c r="T176" s="273"/>
      <c r="U176" s="273">
        <f>SUM(U167:U175)</f>
        <v>0</v>
      </c>
      <c r="V176" s="273"/>
      <c r="W176" s="273">
        <f>SUM(W167:W175)</f>
        <v>0</v>
      </c>
      <c r="X176" s="273"/>
      <c r="Y176" s="273">
        <f>SUM(Y167:Y175)</f>
        <v>6894.51</v>
      </c>
      <c r="Z176" s="273"/>
      <c r="AA176" s="273">
        <f>SUM(AA167:AA175)</f>
        <v>0</v>
      </c>
      <c r="AB176" s="273"/>
      <c r="AC176" s="273">
        <f>SUM(AC167:AC175)</f>
        <v>1200</v>
      </c>
    </row>
    <row r="177" spans="1:29" ht="15">
      <c r="A177" s="284"/>
      <c r="B177" s="237"/>
      <c r="C177" s="285"/>
      <c r="D177" s="292"/>
      <c r="E177" s="251"/>
      <c r="F177" s="733"/>
      <c r="G177" s="570">
        <f>SUM(O177:AC177)</f>
        <v>7.234758756112869E-2</v>
      </c>
      <c r="H177" s="260"/>
      <c r="I177" s="251"/>
      <c r="J177" s="570"/>
      <c r="K177" s="570"/>
      <c r="L177" s="570"/>
      <c r="M177" s="570"/>
      <c r="N177" s="256"/>
      <c r="O177" s="494">
        <f>O176/$O$1878</f>
        <v>7.0614530447618033E-3</v>
      </c>
      <c r="P177" s="256"/>
      <c r="Q177" s="494">
        <f>Q176/$O$1878</f>
        <v>7.0614530447618033E-3</v>
      </c>
      <c r="R177" s="256"/>
      <c r="S177" s="494">
        <f>S176/$O$1878</f>
        <v>1.0592179567142705E-2</v>
      </c>
      <c r="T177" s="256"/>
      <c r="U177" s="494">
        <f>U176/$O$1878</f>
        <v>0</v>
      </c>
      <c r="V177" s="256"/>
      <c r="W177" s="494">
        <f>W176/$O$1878</f>
        <v>0</v>
      </c>
      <c r="X177" s="256"/>
      <c r="Y177" s="494">
        <f>Y176/$O$1878</f>
        <v>4.057104885970058E-2</v>
      </c>
      <c r="Z177" s="256"/>
      <c r="AA177" s="494">
        <f>AA176/$O$1878</f>
        <v>0</v>
      </c>
      <c r="AB177" s="256"/>
      <c r="AC177" s="494">
        <f>AC176/$O$1878</f>
        <v>7.0614530447618033E-3</v>
      </c>
    </row>
    <row r="178" spans="1:29" ht="25.5">
      <c r="A178" s="284"/>
      <c r="B178" s="237"/>
      <c r="C178" s="857">
        <v>53</v>
      </c>
      <c r="D178" s="747" t="s">
        <v>1447</v>
      </c>
      <c r="E178" s="251"/>
      <c r="F178" s="733"/>
      <c r="G178" s="261"/>
      <c r="H178" s="260"/>
      <c r="I178" s="251"/>
      <c r="J178" s="261"/>
      <c r="K178" s="261"/>
      <c r="L178" s="261"/>
      <c r="M178" s="261"/>
      <c r="N178" s="260"/>
      <c r="O178" s="260"/>
      <c r="P178" s="260"/>
      <c r="Q178" s="257"/>
      <c r="R178" s="260"/>
      <c r="S178" s="260"/>
      <c r="T178" s="260"/>
      <c r="U178" s="260"/>
      <c r="V178" s="260"/>
      <c r="W178" s="257"/>
      <c r="X178" s="260"/>
      <c r="Y178" s="257"/>
      <c r="Z178" s="260"/>
      <c r="AA178" s="257"/>
      <c r="AB178" s="260"/>
      <c r="AC178" s="257"/>
    </row>
    <row r="179" spans="1:29" ht="15.6" hidden="1" customHeight="1">
      <c r="A179" s="750" t="s">
        <v>2510</v>
      </c>
      <c r="B179" s="251"/>
      <c r="C179" s="855" t="s">
        <v>1790</v>
      </c>
      <c r="D179" s="526" t="s">
        <v>1625</v>
      </c>
      <c r="E179" s="251" t="s">
        <v>1607</v>
      </c>
      <c r="F179" s="735">
        <f>N179+R179+P179+V179+X179+Z179+AB179</f>
        <v>0</v>
      </c>
      <c r="G179" s="261">
        <v>2.8</v>
      </c>
      <c r="H179" s="261">
        <f>O179+S179+Q179+W179+Y179+AA179+AC179</f>
        <v>0</v>
      </c>
      <c r="I179" s="251" t="s">
        <v>1607</v>
      </c>
      <c r="J179" s="261"/>
      <c r="K179" s="261"/>
      <c r="L179" s="261"/>
      <c r="M179" s="261"/>
      <c r="N179" s="258">
        <v>0</v>
      </c>
      <c r="O179" s="257">
        <f>INT($G179*N179*100+0.5)/100</f>
        <v>0</v>
      </c>
      <c r="P179" s="258">
        <v>0</v>
      </c>
      <c r="Q179" s="257">
        <f>INT($G179*P179*100+0.5)/100</f>
        <v>0</v>
      </c>
      <c r="R179" s="258">
        <v>0</v>
      </c>
      <c r="S179" s="257">
        <f>INT($G179*R179*100+0.5)/100</f>
        <v>0</v>
      </c>
      <c r="T179" s="257"/>
      <c r="U179" s="257"/>
      <c r="V179" s="258">
        <v>0</v>
      </c>
      <c r="W179" s="257">
        <f>INT($G179*V179*100+0.5)/100</f>
        <v>0</v>
      </c>
      <c r="X179" s="258">
        <v>0</v>
      </c>
      <c r="Y179" s="257">
        <f>INT($G179*X179*100+0.5)/100</f>
        <v>0</v>
      </c>
      <c r="Z179" s="258">
        <v>0</v>
      </c>
      <c r="AA179" s="257">
        <f>INT($G179*Z179*100+0.5)/100</f>
        <v>0</v>
      </c>
      <c r="AB179" s="258">
        <v>0</v>
      </c>
      <c r="AC179" s="257">
        <f>INT($G179*AB179*100+0.5)/100</f>
        <v>0</v>
      </c>
    </row>
    <row r="180" spans="1:29" ht="15.6" hidden="1" customHeight="1">
      <c r="A180" s="250"/>
      <c r="B180" s="251"/>
      <c r="C180" s="860"/>
      <c r="D180" s="526" t="s">
        <v>1624</v>
      </c>
      <c r="E180" s="251"/>
      <c r="F180" s="735"/>
      <c r="G180" s="261"/>
      <c r="H180" s="261"/>
      <c r="I180" s="251"/>
      <c r="J180" s="261"/>
      <c r="K180" s="261"/>
      <c r="L180" s="261"/>
      <c r="M180" s="261"/>
      <c r="N180" s="258"/>
      <c r="O180" s="257"/>
      <c r="P180" s="258"/>
      <c r="Q180" s="257"/>
      <c r="R180" s="258"/>
      <c r="S180" s="257"/>
      <c r="T180" s="257"/>
      <c r="U180" s="257"/>
      <c r="V180" s="258"/>
      <c r="W180" s="257"/>
      <c r="X180" s="258"/>
      <c r="Y180" s="257"/>
      <c r="Z180" s="258"/>
      <c r="AA180" s="257"/>
      <c r="AB180" s="258"/>
      <c r="AC180" s="257"/>
    </row>
    <row r="181" spans="1:29" ht="15.6" hidden="1" customHeight="1">
      <c r="A181" s="250"/>
      <c r="B181" s="251"/>
      <c r="C181" s="860"/>
      <c r="D181" s="292"/>
      <c r="E181" s="251"/>
      <c r="F181" s="735"/>
      <c r="G181" s="261"/>
      <c r="H181" s="261"/>
      <c r="I181" s="251"/>
      <c r="J181" s="261"/>
      <c r="K181" s="261"/>
      <c r="L181" s="261"/>
      <c r="M181" s="261"/>
      <c r="N181" s="258"/>
      <c r="O181" s="257"/>
      <c r="P181" s="258"/>
      <c r="Q181" s="257"/>
      <c r="R181" s="258"/>
      <c r="S181" s="257"/>
      <c r="T181" s="257"/>
      <c r="U181" s="257"/>
      <c r="V181" s="258"/>
      <c r="W181" s="257"/>
      <c r="X181" s="258"/>
      <c r="Y181" s="257"/>
      <c r="Z181" s="258"/>
      <c r="AA181" s="257"/>
      <c r="AB181" s="258"/>
      <c r="AC181" s="257"/>
    </row>
    <row r="182" spans="1:29" ht="15.6" hidden="1" customHeight="1">
      <c r="A182" s="250" t="e">
        <f>A179+1</f>
        <v>#VALUE!</v>
      </c>
      <c r="B182" s="251"/>
      <c r="C182" s="855" t="s">
        <v>1563</v>
      </c>
      <c r="D182" s="526" t="s">
        <v>1627</v>
      </c>
      <c r="E182" s="251" t="s">
        <v>1606</v>
      </c>
      <c r="F182" s="735">
        <f>N182+R182+P182+V182+X182+Z182+AB182</f>
        <v>0</v>
      </c>
      <c r="G182" s="261">
        <v>52.01</v>
      </c>
      <c r="H182" s="261">
        <f>O182+S182+Q182+W182+Y182+AA182+AC182</f>
        <v>0</v>
      </c>
      <c r="I182" s="251" t="s">
        <v>1606</v>
      </c>
      <c r="J182" s="261"/>
      <c r="K182" s="261"/>
      <c r="L182" s="261"/>
      <c r="M182" s="261"/>
      <c r="N182" s="258">
        <v>0</v>
      </c>
      <c r="O182" s="257">
        <f>INT($G182*N182*100+0.5)/100</f>
        <v>0</v>
      </c>
      <c r="P182" s="258">
        <v>0</v>
      </c>
      <c r="Q182" s="257">
        <f>INT($G182*P182*100+0.5)/100</f>
        <v>0</v>
      </c>
      <c r="R182" s="258">
        <v>0</v>
      </c>
      <c r="S182" s="257">
        <f>INT($G182*R182*100+0.5)/100</f>
        <v>0</v>
      </c>
      <c r="T182" s="257"/>
      <c r="U182" s="257"/>
      <c r="V182" s="258">
        <v>0</v>
      </c>
      <c r="W182" s="257">
        <f>INT($G182*V182*100+0.5)/100</f>
        <v>0</v>
      </c>
      <c r="X182" s="258">
        <v>0</v>
      </c>
      <c r="Y182" s="257">
        <f>INT($G182*X182*100+0.5)/100</f>
        <v>0</v>
      </c>
      <c r="Z182" s="258">
        <v>0</v>
      </c>
      <c r="AA182" s="257">
        <f>INT($G182*Z182*100+0.5)/100</f>
        <v>0</v>
      </c>
      <c r="AB182" s="258">
        <v>0</v>
      </c>
      <c r="AC182" s="257">
        <f>INT($G182*AB182*100+0.5)/100</f>
        <v>0</v>
      </c>
    </row>
    <row r="183" spans="1:29" ht="15.6" hidden="1" customHeight="1">
      <c r="A183" s="250"/>
      <c r="B183" s="251"/>
      <c r="C183" s="861"/>
      <c r="D183" s="526" t="s">
        <v>1626</v>
      </c>
      <c r="E183" s="251"/>
      <c r="F183" s="735"/>
      <c r="G183" s="261"/>
      <c r="H183" s="261"/>
      <c r="I183" s="251"/>
      <c r="J183" s="261"/>
      <c r="K183" s="261"/>
      <c r="L183" s="261"/>
      <c r="M183" s="261"/>
      <c r="N183" s="258"/>
      <c r="O183" s="257"/>
      <c r="P183" s="258"/>
      <c r="Q183" s="257"/>
      <c r="R183" s="258"/>
      <c r="S183" s="257"/>
      <c r="T183" s="257"/>
      <c r="U183" s="257"/>
      <c r="V183" s="258"/>
      <c r="W183" s="257"/>
      <c r="X183" s="258"/>
      <c r="Y183" s="257"/>
      <c r="Z183" s="258"/>
      <c r="AA183" s="257"/>
      <c r="AB183" s="258"/>
      <c r="AC183" s="257"/>
    </row>
    <row r="184" spans="1:29" ht="15.6" hidden="1" customHeight="1">
      <c r="A184" s="250"/>
      <c r="B184" s="251"/>
      <c r="C184" s="861"/>
      <c r="D184" s="292"/>
      <c r="E184" s="251"/>
      <c r="F184" s="735"/>
      <c r="G184" s="261"/>
      <c r="H184" s="261"/>
      <c r="I184" s="251"/>
      <c r="J184" s="261"/>
      <c r="K184" s="261"/>
      <c r="L184" s="261"/>
      <c r="M184" s="261"/>
      <c r="N184" s="258"/>
      <c r="O184" s="257"/>
      <c r="P184" s="258"/>
      <c r="Q184" s="257"/>
      <c r="R184" s="258"/>
      <c r="S184" s="257"/>
      <c r="T184" s="257"/>
      <c r="U184" s="257"/>
      <c r="V184" s="258"/>
      <c r="W184" s="257"/>
      <c r="X184" s="258"/>
      <c r="Y184" s="257"/>
      <c r="Z184" s="258"/>
      <c r="AA184" s="257"/>
      <c r="AB184" s="258"/>
      <c r="AC184" s="257"/>
    </row>
    <row r="185" spans="1:29" ht="15.6" hidden="1" customHeight="1">
      <c r="A185" s="250" t="e">
        <f>A182+1</f>
        <v>#VALUE!</v>
      </c>
      <c r="B185" s="251"/>
      <c r="C185" s="855" t="s">
        <v>1564</v>
      </c>
      <c r="D185" s="526" t="s">
        <v>1631</v>
      </c>
      <c r="E185" s="251" t="s">
        <v>1606</v>
      </c>
      <c r="F185" s="735">
        <f>N185+R185+P185+V185+X185+Z185+AB185</f>
        <v>0</v>
      </c>
      <c r="G185" s="261">
        <v>79.75</v>
      </c>
      <c r="H185" s="261">
        <f>O185+S185+Q185+W185+Y185+AA185+AC185</f>
        <v>0</v>
      </c>
      <c r="I185" s="251" t="s">
        <v>1606</v>
      </c>
      <c r="J185" s="261"/>
      <c r="K185" s="261"/>
      <c r="L185" s="261"/>
      <c r="M185" s="261"/>
      <c r="N185" s="258">
        <v>0</v>
      </c>
      <c r="O185" s="257">
        <f>INT($G185*N185*100+0.5)/100</f>
        <v>0</v>
      </c>
      <c r="P185" s="258">
        <v>0</v>
      </c>
      <c r="Q185" s="257">
        <f>INT($G185*P185*100+0.5)/100</f>
        <v>0</v>
      </c>
      <c r="R185" s="258">
        <v>0</v>
      </c>
      <c r="S185" s="257">
        <f>INT($G185*R185*100+0.5)/100</f>
        <v>0</v>
      </c>
      <c r="T185" s="257"/>
      <c r="U185" s="257"/>
      <c r="V185" s="258">
        <v>0</v>
      </c>
      <c r="W185" s="257">
        <f>INT($G185*V185*100+0.5)/100</f>
        <v>0</v>
      </c>
      <c r="X185" s="258">
        <v>0</v>
      </c>
      <c r="Y185" s="257">
        <f>INT($G185*X185*100+0.5)/100</f>
        <v>0</v>
      </c>
      <c r="Z185" s="258">
        <v>0</v>
      </c>
      <c r="AA185" s="257">
        <f>INT($G185*Z185*100+0.5)/100</f>
        <v>0</v>
      </c>
      <c r="AB185" s="258">
        <v>0</v>
      </c>
      <c r="AC185" s="257">
        <f>INT($G185*AB185*100+0.5)/100</f>
        <v>0</v>
      </c>
    </row>
    <row r="186" spans="1:29" ht="15.6" hidden="1" customHeight="1">
      <c r="A186" s="250"/>
      <c r="B186" s="251"/>
      <c r="C186" s="861"/>
      <c r="D186" s="526" t="s">
        <v>1628</v>
      </c>
      <c r="E186" s="251"/>
      <c r="F186" s="735"/>
      <c r="G186" s="261"/>
      <c r="H186" s="261"/>
      <c r="I186" s="251"/>
      <c r="J186" s="261"/>
      <c r="K186" s="261"/>
      <c r="L186" s="261"/>
      <c r="M186" s="261"/>
      <c r="N186" s="258"/>
      <c r="O186" s="257"/>
      <c r="P186" s="258"/>
      <c r="Q186" s="257"/>
      <c r="R186" s="258"/>
      <c r="S186" s="257"/>
      <c r="T186" s="257"/>
      <c r="U186" s="257"/>
      <c r="V186" s="258"/>
      <c r="W186" s="257"/>
      <c r="X186" s="258"/>
      <c r="Y186" s="257"/>
      <c r="Z186" s="258"/>
      <c r="AA186" s="257"/>
      <c r="AB186" s="258"/>
      <c r="AC186" s="257"/>
    </row>
    <row r="187" spans="1:29" ht="15.6" hidden="1" customHeight="1">
      <c r="A187" s="250"/>
      <c r="B187" s="251"/>
      <c r="C187" s="861"/>
      <c r="D187" s="292"/>
      <c r="E187" s="251"/>
      <c r="F187" s="735"/>
      <c r="G187" s="261"/>
      <c r="H187" s="261"/>
      <c r="I187" s="251"/>
      <c r="J187" s="261"/>
      <c r="K187" s="261"/>
      <c r="L187" s="261"/>
      <c r="M187" s="261"/>
      <c r="N187" s="258"/>
      <c r="O187" s="257"/>
      <c r="P187" s="258"/>
      <c r="Q187" s="257"/>
      <c r="R187" s="258"/>
      <c r="S187" s="257"/>
      <c r="T187" s="257"/>
      <c r="U187" s="257"/>
      <c r="V187" s="258"/>
      <c r="W187" s="257"/>
      <c r="X187" s="258"/>
      <c r="Y187" s="257"/>
      <c r="Z187" s="258"/>
      <c r="AA187" s="257"/>
      <c r="AB187" s="258"/>
      <c r="AC187" s="257"/>
    </row>
    <row r="188" spans="1:29" ht="15.6" hidden="1" customHeight="1">
      <c r="A188" s="250" t="e">
        <f>A185+1</f>
        <v>#VALUE!</v>
      </c>
      <c r="B188" s="251"/>
      <c r="C188" s="855" t="s">
        <v>1565</v>
      </c>
      <c r="D188" s="526" t="s">
        <v>1632</v>
      </c>
      <c r="E188" s="251" t="s">
        <v>1606</v>
      </c>
      <c r="F188" s="735">
        <f>N188+R188+P188+V188+X188+Z188+AB188</f>
        <v>0</v>
      </c>
      <c r="G188" s="261">
        <v>102.22</v>
      </c>
      <c r="H188" s="261">
        <f>O188+S188+Q188+W188+Y188+AA188+AC188</f>
        <v>0</v>
      </c>
      <c r="I188" s="251" t="s">
        <v>1606</v>
      </c>
      <c r="J188" s="261"/>
      <c r="K188" s="261"/>
      <c r="L188" s="261"/>
      <c r="M188" s="261"/>
      <c r="N188" s="258">
        <v>0</v>
      </c>
      <c r="O188" s="257">
        <f>INT($G188*N188*100+0.5)/100</f>
        <v>0</v>
      </c>
      <c r="P188" s="258">
        <v>0</v>
      </c>
      <c r="Q188" s="257">
        <f>INT($G188*P188*100+0.5)/100</f>
        <v>0</v>
      </c>
      <c r="R188" s="258">
        <v>0</v>
      </c>
      <c r="S188" s="257">
        <f>INT($G188*R188*100+0.5)/100</f>
        <v>0</v>
      </c>
      <c r="T188" s="257"/>
      <c r="U188" s="257"/>
      <c r="V188" s="258">
        <v>0</v>
      </c>
      <c r="W188" s="257">
        <f>INT($G188*V188*100+0.5)/100</f>
        <v>0</v>
      </c>
      <c r="X188" s="258">
        <v>0</v>
      </c>
      <c r="Y188" s="257">
        <f>INT($G188*X188*100+0.5)/100</f>
        <v>0</v>
      </c>
      <c r="Z188" s="258">
        <v>0</v>
      </c>
      <c r="AA188" s="257">
        <f>INT($G188*Z188*100+0.5)/100</f>
        <v>0</v>
      </c>
      <c r="AB188" s="258">
        <v>0</v>
      </c>
      <c r="AC188" s="257">
        <f>INT($G188*AB188*100+0.5)/100</f>
        <v>0</v>
      </c>
    </row>
    <row r="189" spans="1:29" ht="15.6" hidden="1" customHeight="1">
      <c r="A189" s="250"/>
      <c r="B189" s="251"/>
      <c r="C189" s="861"/>
      <c r="D189" s="526" t="s">
        <v>1629</v>
      </c>
      <c r="E189" s="251"/>
      <c r="F189" s="735"/>
      <c r="G189" s="261"/>
      <c r="H189" s="261"/>
      <c r="I189" s="251"/>
      <c r="J189" s="261"/>
      <c r="K189" s="261"/>
      <c r="L189" s="261"/>
      <c r="M189" s="261"/>
      <c r="N189" s="258"/>
      <c r="O189" s="257"/>
      <c r="P189" s="258"/>
      <c r="Q189" s="257"/>
      <c r="R189" s="258"/>
      <c r="S189" s="257"/>
      <c r="T189" s="257"/>
      <c r="U189" s="257"/>
      <c r="V189" s="258"/>
      <c r="W189" s="257"/>
      <c r="X189" s="258"/>
      <c r="Y189" s="257"/>
      <c r="Z189" s="258"/>
      <c r="AA189" s="257"/>
      <c r="AB189" s="258"/>
      <c r="AC189" s="257"/>
    </row>
    <row r="190" spans="1:29" ht="15.6" hidden="1" customHeight="1">
      <c r="A190" s="250"/>
      <c r="B190" s="251"/>
      <c r="C190" s="861"/>
      <c r="D190" s="292"/>
      <c r="E190" s="251"/>
      <c r="F190" s="735"/>
      <c r="G190" s="261"/>
      <c r="H190" s="261"/>
      <c r="I190" s="251"/>
      <c r="J190" s="261"/>
      <c r="K190" s="261"/>
      <c r="L190" s="261"/>
      <c r="M190" s="261"/>
      <c r="N190" s="258"/>
      <c r="O190" s="257"/>
      <c r="P190" s="258"/>
      <c r="Q190" s="257"/>
      <c r="R190" s="258"/>
      <c r="S190" s="257"/>
      <c r="T190" s="257"/>
      <c r="U190" s="257"/>
      <c r="V190" s="258"/>
      <c r="W190" s="257"/>
      <c r="X190" s="258"/>
      <c r="Y190" s="257"/>
      <c r="Z190" s="258"/>
      <c r="AA190" s="257"/>
      <c r="AB190" s="258"/>
      <c r="AC190" s="257"/>
    </row>
    <row r="191" spans="1:29" ht="15.6" hidden="1" customHeight="1">
      <c r="A191" s="250" t="e">
        <f>A188+1</f>
        <v>#VALUE!</v>
      </c>
      <c r="B191" s="251"/>
      <c r="C191" s="855" t="s">
        <v>1566</v>
      </c>
      <c r="D191" s="526" t="s">
        <v>1633</v>
      </c>
      <c r="E191" s="251" t="s">
        <v>1606</v>
      </c>
      <c r="F191" s="735">
        <f>N191+R191+P191+V191+X191+Z191+AB191</f>
        <v>0</v>
      </c>
      <c r="G191" s="261">
        <v>144.78</v>
      </c>
      <c r="H191" s="261">
        <f>O191+S191+Q191+W191+Y191+AA191+AC191</f>
        <v>0</v>
      </c>
      <c r="I191" s="251" t="s">
        <v>1606</v>
      </c>
      <c r="J191" s="261"/>
      <c r="K191" s="261"/>
      <c r="L191" s="261"/>
      <c r="M191" s="261"/>
      <c r="N191" s="258">
        <v>0</v>
      </c>
      <c r="O191" s="257">
        <f>INT($G191*N191*100+0.5)/100</f>
        <v>0</v>
      </c>
      <c r="P191" s="258">
        <v>0</v>
      </c>
      <c r="Q191" s="257">
        <f>INT($G191*P191*100+0.5)/100</f>
        <v>0</v>
      </c>
      <c r="R191" s="258">
        <v>0</v>
      </c>
      <c r="S191" s="257">
        <f>INT($G191*R191*100+0.5)/100</f>
        <v>0</v>
      </c>
      <c r="T191" s="257"/>
      <c r="U191" s="257"/>
      <c r="V191" s="258">
        <v>0</v>
      </c>
      <c r="W191" s="257">
        <f>INT($G191*V191*100+0.5)/100</f>
        <v>0</v>
      </c>
      <c r="X191" s="258">
        <v>0</v>
      </c>
      <c r="Y191" s="257">
        <f>INT($G191*X191*100+0.5)/100</f>
        <v>0</v>
      </c>
      <c r="Z191" s="258">
        <v>0</v>
      </c>
      <c r="AA191" s="257">
        <f>INT($G191*Z191*100+0.5)/100</f>
        <v>0</v>
      </c>
      <c r="AB191" s="258">
        <v>0</v>
      </c>
      <c r="AC191" s="257">
        <f>INT($G191*AB191*100+0.5)/100</f>
        <v>0</v>
      </c>
    </row>
    <row r="192" spans="1:29" ht="15.6" hidden="1" customHeight="1">
      <c r="A192" s="250"/>
      <c r="B192" s="251"/>
      <c r="C192" s="860"/>
      <c r="D192" s="526" t="s">
        <v>1630</v>
      </c>
      <c r="E192" s="251"/>
      <c r="F192" s="735"/>
      <c r="G192" s="261"/>
      <c r="H192" s="261"/>
      <c r="I192" s="251"/>
      <c r="J192" s="261"/>
      <c r="K192" s="261"/>
      <c r="L192" s="261"/>
      <c r="M192" s="261"/>
      <c r="N192" s="258"/>
      <c r="O192" s="257"/>
      <c r="P192" s="258"/>
      <c r="Q192" s="257"/>
      <c r="R192" s="258"/>
      <c r="S192" s="257"/>
      <c r="T192" s="257"/>
      <c r="U192" s="257"/>
      <c r="V192" s="258"/>
      <c r="W192" s="257"/>
      <c r="X192" s="258"/>
      <c r="Y192" s="257"/>
      <c r="Z192" s="258"/>
      <c r="AA192" s="257"/>
      <c r="AB192" s="258"/>
      <c r="AC192" s="257"/>
    </row>
    <row r="193" spans="1:29" ht="15.6" hidden="1" customHeight="1">
      <c r="A193" s="250"/>
      <c r="B193" s="251"/>
      <c r="C193" s="860"/>
      <c r="D193" s="292"/>
      <c r="E193" s="251"/>
      <c r="F193" s="735"/>
      <c r="G193" s="261"/>
      <c r="H193" s="261"/>
      <c r="I193" s="251"/>
      <c r="J193" s="261"/>
      <c r="K193" s="261"/>
      <c r="L193" s="261"/>
      <c r="M193" s="261"/>
      <c r="N193" s="258"/>
      <c r="O193" s="257"/>
      <c r="P193" s="258"/>
      <c r="Q193" s="257"/>
      <c r="R193" s="258"/>
      <c r="S193" s="257"/>
      <c r="T193" s="257"/>
      <c r="U193" s="257"/>
      <c r="V193" s="258"/>
      <c r="W193" s="257"/>
      <c r="X193" s="258"/>
      <c r="Y193" s="257"/>
      <c r="Z193" s="258"/>
      <c r="AA193" s="257"/>
      <c r="AB193" s="258"/>
      <c r="AC193" s="257"/>
    </row>
    <row r="194" spans="1:29" ht="15.6" hidden="1" customHeight="1">
      <c r="A194" s="250" t="e">
        <f>A191+1</f>
        <v>#VALUE!</v>
      </c>
      <c r="B194" s="251"/>
      <c r="C194" s="855" t="s">
        <v>1567</v>
      </c>
      <c r="D194" s="526" t="s">
        <v>1635</v>
      </c>
      <c r="E194" s="251" t="s">
        <v>1606</v>
      </c>
      <c r="F194" s="735">
        <f>N194+R194+P194+V194+X194+Z194+AB194</f>
        <v>0</v>
      </c>
      <c r="G194" s="261">
        <v>165.36</v>
      </c>
      <c r="H194" s="261">
        <f>O194+S194+Q194+W194+Y194+AA194+AC194</f>
        <v>0</v>
      </c>
      <c r="I194" s="251" t="s">
        <v>1606</v>
      </c>
      <c r="J194" s="261"/>
      <c r="K194" s="261"/>
      <c r="L194" s="261"/>
      <c r="M194" s="261"/>
      <c r="N194" s="258">
        <v>0</v>
      </c>
      <c r="O194" s="257">
        <f>INT($G194*N194*100+0.5)/100</f>
        <v>0</v>
      </c>
      <c r="P194" s="258">
        <v>0</v>
      </c>
      <c r="Q194" s="257">
        <f>INT($G194*P194*100+0.5)/100</f>
        <v>0</v>
      </c>
      <c r="R194" s="258">
        <v>0</v>
      </c>
      <c r="S194" s="257">
        <f>INT($G194*R194*100+0.5)/100</f>
        <v>0</v>
      </c>
      <c r="T194" s="257"/>
      <c r="U194" s="257"/>
      <c r="V194" s="258">
        <v>0</v>
      </c>
      <c r="W194" s="257">
        <f>INT($G194*V194*100+0.5)/100</f>
        <v>0</v>
      </c>
      <c r="X194" s="258">
        <v>0</v>
      </c>
      <c r="Y194" s="257">
        <f>INT($G194*X194*100+0.5)/100</f>
        <v>0</v>
      </c>
      <c r="Z194" s="258">
        <v>0</v>
      </c>
      <c r="AA194" s="257">
        <f>INT($G194*Z194*100+0.5)/100</f>
        <v>0</v>
      </c>
      <c r="AB194" s="258">
        <v>0</v>
      </c>
      <c r="AC194" s="257">
        <f>INT($G194*AB194*100+0.5)/100</f>
        <v>0</v>
      </c>
    </row>
    <row r="195" spans="1:29" ht="15.6" hidden="1" customHeight="1">
      <c r="A195" s="250"/>
      <c r="B195" s="251"/>
      <c r="C195" s="860"/>
      <c r="D195" s="526" t="s">
        <v>1634</v>
      </c>
      <c r="E195" s="251"/>
      <c r="F195" s="735"/>
      <c r="G195" s="261"/>
      <c r="H195" s="261"/>
      <c r="I195" s="251"/>
      <c r="J195" s="261"/>
      <c r="K195" s="261"/>
      <c r="L195" s="261"/>
      <c r="M195" s="261"/>
      <c r="N195" s="258"/>
      <c r="O195" s="257"/>
      <c r="P195" s="258"/>
      <c r="Q195" s="257"/>
      <c r="R195" s="258"/>
      <c r="S195" s="257"/>
      <c r="T195" s="257"/>
      <c r="U195" s="257"/>
      <c r="V195" s="258"/>
      <c r="W195" s="257"/>
      <c r="X195" s="258"/>
      <c r="Y195" s="257"/>
      <c r="Z195" s="258"/>
      <c r="AA195" s="257"/>
      <c r="AB195" s="258"/>
      <c r="AC195" s="257"/>
    </row>
    <row r="196" spans="1:29" ht="15.6" hidden="1" customHeight="1">
      <c r="A196" s="250"/>
      <c r="B196" s="251"/>
      <c r="C196" s="860"/>
      <c r="D196" s="292"/>
      <c r="E196" s="251"/>
      <c r="F196" s="735"/>
      <c r="G196" s="261"/>
      <c r="H196" s="261"/>
      <c r="I196" s="251"/>
      <c r="J196" s="261"/>
      <c r="K196" s="261"/>
      <c r="L196" s="261"/>
      <c r="M196" s="261"/>
      <c r="N196" s="258"/>
      <c r="O196" s="257"/>
      <c r="P196" s="258"/>
      <c r="Q196" s="257"/>
      <c r="R196" s="258"/>
      <c r="S196" s="257"/>
      <c r="T196" s="257"/>
      <c r="U196" s="257"/>
      <c r="V196" s="258"/>
      <c r="W196" s="257"/>
      <c r="X196" s="258"/>
      <c r="Y196" s="257"/>
      <c r="Z196" s="258"/>
      <c r="AA196" s="257"/>
      <c r="AB196" s="258"/>
      <c r="AC196" s="257"/>
    </row>
    <row r="197" spans="1:29" ht="15">
      <c r="A197" s="250">
        <f>A173+1</f>
        <v>67</v>
      </c>
      <c r="B197" s="251"/>
      <c r="C197" s="855" t="s">
        <v>2296</v>
      </c>
      <c r="D197" s="526" t="s">
        <v>1636</v>
      </c>
      <c r="E197" s="251" t="s">
        <v>1898</v>
      </c>
      <c r="F197" s="735"/>
      <c r="G197" s="261"/>
      <c r="H197" s="261"/>
      <c r="I197" s="251" t="s">
        <v>1898</v>
      </c>
      <c r="J197" s="261"/>
      <c r="K197" s="261"/>
      <c r="L197" s="261"/>
      <c r="M197" s="261"/>
      <c r="N197" s="288"/>
      <c r="O197" s="242"/>
      <c r="P197" s="288"/>
      <c r="Q197" s="245"/>
      <c r="R197" s="288"/>
      <c r="S197" s="242"/>
      <c r="T197" s="242"/>
      <c r="U197" s="242"/>
      <c r="V197" s="288"/>
      <c r="W197" s="245"/>
      <c r="X197" s="288"/>
      <c r="Y197" s="245"/>
      <c r="Z197" s="288"/>
      <c r="AA197" s="245"/>
      <c r="AB197" s="288"/>
      <c r="AC197" s="245"/>
    </row>
    <row r="198" spans="1:29" ht="25.5">
      <c r="A198" s="250"/>
      <c r="B198" s="251"/>
      <c r="C198" s="860"/>
      <c r="D198" s="526" t="s">
        <v>2449</v>
      </c>
      <c r="E198" s="251"/>
      <c r="F198" s="735"/>
      <c r="G198" s="261"/>
      <c r="H198" s="261"/>
      <c r="I198" s="251"/>
      <c r="J198" s="261"/>
      <c r="K198" s="261"/>
      <c r="L198" s="261"/>
      <c r="M198" s="261"/>
      <c r="N198" s="289"/>
      <c r="O198" s="242"/>
      <c r="P198" s="289"/>
      <c r="Q198" s="245"/>
      <c r="R198" s="289"/>
      <c r="S198" s="245"/>
      <c r="T198" s="245"/>
      <c r="U198" s="245"/>
      <c r="V198" s="289"/>
      <c r="W198" s="245"/>
      <c r="X198" s="289"/>
      <c r="Y198" s="245"/>
      <c r="Z198" s="289"/>
      <c r="AA198" s="245"/>
      <c r="AB198" s="289"/>
      <c r="AC198" s="245"/>
    </row>
    <row r="199" spans="1:29" ht="15">
      <c r="A199" s="250"/>
      <c r="B199" s="251"/>
      <c r="C199" s="860"/>
      <c r="D199" s="292" t="s">
        <v>2446</v>
      </c>
      <c r="E199" s="251"/>
      <c r="F199" s="735">
        <f>N199+R199+P199+T199+V199+X199+Z199+AB199</f>
        <v>635</v>
      </c>
      <c r="G199" s="872">
        <v>2.79</v>
      </c>
      <c r="H199" s="261">
        <f>O199+S199+Q199+U199+W199+Y199+AA199+AC199</f>
        <v>1771.6499999999999</v>
      </c>
      <c r="I199" s="251"/>
      <c r="J199" s="872"/>
      <c r="K199" s="872"/>
      <c r="L199" s="872"/>
      <c r="M199" s="872"/>
      <c r="N199" s="289">
        <f>3*1.5*2+14*3.5*2+9*3.5*2</f>
        <v>170</v>
      </c>
      <c r="O199" s="260">
        <f>INT($G199*N199*100+0.5)/100</f>
        <v>474.3</v>
      </c>
      <c r="P199" s="258">
        <v>0</v>
      </c>
      <c r="Q199" s="257">
        <f>INT($G199*P199*100+0.5)/100</f>
        <v>0</v>
      </c>
      <c r="R199" s="258">
        <f>(3.5+73)*2+(3.5+27+4+2+2)*2+(3.5+54)*2+(3.5+26+20)*2+(1.5*2+1.5*2)</f>
        <v>450</v>
      </c>
      <c r="S199" s="257">
        <f>INT($G199*R199*100+0.5)/100</f>
        <v>1255.5</v>
      </c>
      <c r="T199" s="257">
        <v>15</v>
      </c>
      <c r="U199" s="257">
        <f>INT($G199*T199*100+0.5)/100</f>
        <v>41.85</v>
      </c>
      <c r="V199" s="258">
        <v>0</v>
      </c>
      <c r="W199" s="257">
        <f>INT($G199*V199*100+0.5)/100</f>
        <v>0</v>
      </c>
      <c r="X199" s="258">
        <v>0</v>
      </c>
      <c r="Y199" s="257">
        <f>INT($G199*X199*100+0.5)/100</f>
        <v>0</v>
      </c>
      <c r="Z199" s="258">
        <v>0</v>
      </c>
      <c r="AA199" s="257">
        <f>INT($G199*Z199*100+0.5)/100</f>
        <v>0</v>
      </c>
      <c r="AB199" s="258">
        <v>0</v>
      </c>
      <c r="AC199" s="257">
        <f>INT($G199*AB199*100+0.5)/100</f>
        <v>0</v>
      </c>
    </row>
    <row r="200" spans="1:29" ht="15">
      <c r="A200" s="250"/>
      <c r="B200" s="251"/>
      <c r="C200" s="860"/>
      <c r="D200" s="526"/>
      <c r="E200" s="251"/>
      <c r="F200" s="735"/>
      <c r="G200" s="872"/>
      <c r="H200" s="261"/>
      <c r="I200" s="251"/>
      <c r="J200" s="872"/>
      <c r="K200" s="872"/>
      <c r="L200" s="872"/>
      <c r="M200" s="872"/>
      <c r="N200" s="258"/>
      <c r="O200" s="257"/>
      <c r="P200" s="258"/>
      <c r="Q200" s="257"/>
      <c r="R200" s="258"/>
      <c r="S200" s="257"/>
      <c r="T200" s="257"/>
      <c r="U200" s="257"/>
      <c r="V200" s="258"/>
      <c r="W200" s="257"/>
      <c r="X200" s="258"/>
      <c r="Y200" s="257"/>
      <c r="Z200" s="258"/>
      <c r="AA200" s="257"/>
      <c r="AB200" s="258"/>
      <c r="AC200" s="257"/>
    </row>
    <row r="201" spans="1:29" ht="15">
      <c r="A201" s="250">
        <f>A197+1</f>
        <v>68</v>
      </c>
      <c r="B201" s="251"/>
      <c r="C201" s="855" t="s">
        <v>2315</v>
      </c>
      <c r="D201" s="532" t="s">
        <v>2447</v>
      </c>
      <c r="E201" s="251" t="s">
        <v>1898</v>
      </c>
      <c r="F201" s="735"/>
      <c r="G201" s="872"/>
      <c r="H201" s="261"/>
      <c r="I201" s="251" t="s">
        <v>1898</v>
      </c>
      <c r="J201" s="872"/>
      <c r="K201" s="872"/>
      <c r="L201" s="872"/>
      <c r="M201" s="872"/>
      <c r="N201" s="288"/>
      <c r="O201" s="242"/>
      <c r="P201" s="288"/>
      <c r="Q201" s="245"/>
      <c r="R201" s="288"/>
      <c r="S201" s="242"/>
      <c r="T201" s="242"/>
      <c r="U201" s="242"/>
      <c r="V201" s="288"/>
      <c r="W201" s="245"/>
      <c r="X201" s="288"/>
      <c r="Y201" s="245"/>
      <c r="Z201" s="288"/>
      <c r="AA201" s="245"/>
      <c r="AB201" s="288"/>
      <c r="AC201" s="245"/>
    </row>
    <row r="202" spans="1:29" ht="25.5">
      <c r="A202" s="250"/>
      <c r="B202" s="251"/>
      <c r="C202" s="860"/>
      <c r="D202" s="532" t="s">
        <v>2448</v>
      </c>
      <c r="E202" s="251"/>
      <c r="F202" s="735"/>
      <c r="G202" s="872"/>
      <c r="H202" s="261"/>
      <c r="I202" s="251"/>
      <c r="J202" s="872"/>
      <c r="K202" s="872"/>
      <c r="L202" s="872"/>
      <c r="M202" s="872"/>
      <c r="N202" s="289"/>
      <c r="O202" s="242"/>
      <c r="P202" s="289"/>
      <c r="Q202" s="245"/>
      <c r="R202" s="289"/>
      <c r="S202" s="245"/>
      <c r="T202" s="245"/>
      <c r="U202" s="245"/>
      <c r="V202" s="289"/>
      <c r="W202" s="245"/>
      <c r="X202" s="289"/>
      <c r="Y202" s="245"/>
      <c r="Z202" s="289"/>
      <c r="AA202" s="245"/>
      <c r="AB202" s="289"/>
      <c r="AC202" s="245"/>
    </row>
    <row r="203" spans="1:29" ht="15">
      <c r="A203" s="250"/>
      <c r="B203" s="251"/>
      <c r="C203" s="860"/>
      <c r="D203" s="830" t="s">
        <v>2498</v>
      </c>
      <c r="E203" s="251"/>
      <c r="F203" s="735"/>
      <c r="G203" s="872"/>
      <c r="H203" s="261"/>
      <c r="I203" s="251"/>
      <c r="J203" s="872"/>
      <c r="K203" s="872"/>
      <c r="L203" s="872"/>
      <c r="M203" s="872"/>
      <c r="N203" s="245">
        <f>0.7*2+90*1/3</f>
        <v>31.4</v>
      </c>
      <c r="O203" s="242"/>
      <c r="P203" s="245">
        <f>0.8*2+90*1/3</f>
        <v>31.6</v>
      </c>
      <c r="Q203" s="245"/>
      <c r="R203" s="245">
        <f>1.2*2+90*1/3</f>
        <v>32.4</v>
      </c>
      <c r="S203" s="245"/>
      <c r="T203" s="245"/>
      <c r="U203" s="245"/>
      <c r="V203" s="245"/>
      <c r="W203" s="245"/>
      <c r="X203" s="289"/>
      <c r="Y203" s="245"/>
      <c r="Z203" s="289"/>
      <c r="AA203" s="245"/>
      <c r="AB203" s="289"/>
      <c r="AC203" s="245"/>
    </row>
    <row r="204" spans="1:29" ht="15">
      <c r="A204" s="250"/>
      <c r="B204" s="251"/>
      <c r="C204" s="860"/>
      <c r="D204" s="830" t="s">
        <v>2511</v>
      </c>
      <c r="E204" s="251"/>
      <c r="F204" s="735"/>
      <c r="G204" s="872"/>
      <c r="H204" s="261"/>
      <c r="I204" s="251"/>
      <c r="J204" s="872"/>
      <c r="K204" s="872"/>
      <c r="L204" s="872"/>
      <c r="M204" s="872"/>
      <c r="N204" s="245">
        <f>(6.5+132.5+10+6.5+14*3)*2*1/3</f>
        <v>131.66666666666666</v>
      </c>
      <c r="O204" s="242"/>
      <c r="P204" s="245">
        <f>(6.5+132.5+10+6.5+14*3)*2*1/3</f>
        <v>131.66666666666666</v>
      </c>
      <c r="Q204" s="245"/>
      <c r="R204" s="245">
        <f>(6.5+132.5+10+6.5+14*3)*2*1/3</f>
        <v>131.66666666666666</v>
      </c>
      <c r="S204" s="245"/>
      <c r="T204" s="245"/>
      <c r="U204" s="245"/>
      <c r="V204" s="245"/>
      <c r="W204" s="245"/>
      <c r="X204" s="289"/>
      <c r="Y204" s="245"/>
      <c r="Z204" s="289"/>
      <c r="AA204" s="245"/>
      <c r="AB204" s="289"/>
      <c r="AC204" s="245"/>
    </row>
    <row r="205" spans="1:29" ht="15">
      <c r="A205" s="250"/>
      <c r="B205" s="251"/>
      <c r="C205" s="860"/>
      <c r="D205" s="830" t="s">
        <v>2512</v>
      </c>
      <c r="E205" s="251"/>
      <c r="F205" s="735"/>
      <c r="G205" s="872"/>
      <c r="H205" s="261"/>
      <c r="I205" s="251"/>
      <c r="J205" s="872"/>
      <c r="K205" s="872"/>
      <c r="L205" s="872"/>
      <c r="M205" s="872"/>
      <c r="N205" s="245">
        <f>(6.5+101.5+136.5+23+10+10+6.5+9*3)*2*1/3</f>
        <v>214</v>
      </c>
      <c r="O205" s="242"/>
      <c r="P205" s="245">
        <f>(6.5+101.5+136.5+23+10+10+6.5+9*3)*2*1/3</f>
        <v>214</v>
      </c>
      <c r="Q205" s="245"/>
      <c r="R205" s="245">
        <f>(6.5+101.5+136.5+23+10+10+6.5+9*3)*2*1/3</f>
        <v>214</v>
      </c>
      <c r="S205" s="245"/>
      <c r="T205" s="245"/>
      <c r="U205" s="245"/>
      <c r="V205" s="245"/>
      <c r="W205" s="245"/>
      <c r="X205" s="289"/>
      <c r="Y205" s="245"/>
      <c r="Z205" s="289"/>
      <c r="AA205" s="245"/>
      <c r="AB205" s="289"/>
      <c r="AC205" s="245"/>
    </row>
    <row r="206" spans="1:29" ht="15">
      <c r="A206" s="250"/>
      <c r="B206" s="251"/>
      <c r="C206" s="860"/>
      <c r="D206" s="831" t="s">
        <v>2451</v>
      </c>
      <c r="E206" s="251"/>
      <c r="F206" s="735"/>
      <c r="G206" s="872"/>
      <c r="H206" s="261"/>
      <c r="I206" s="251"/>
      <c r="J206" s="872"/>
      <c r="K206" s="872"/>
      <c r="L206" s="872"/>
      <c r="M206" s="872"/>
      <c r="N206" s="245"/>
      <c r="O206" s="242"/>
      <c r="P206" s="245"/>
      <c r="Q206" s="245"/>
      <c r="R206" s="245">
        <v>0</v>
      </c>
      <c r="S206" s="245"/>
      <c r="T206" s="245"/>
      <c r="U206" s="245"/>
      <c r="V206" s="245"/>
      <c r="W206" s="245"/>
      <c r="X206" s="289"/>
      <c r="Y206" s="245"/>
      <c r="Z206" s="289"/>
      <c r="AA206" s="245"/>
      <c r="AB206" s="289"/>
      <c r="AC206" s="245"/>
    </row>
    <row r="207" spans="1:29" ht="15">
      <c r="A207" s="250"/>
      <c r="B207" s="251"/>
      <c r="C207" s="860"/>
      <c r="D207" s="831" t="s">
        <v>927</v>
      </c>
      <c r="E207" s="251"/>
      <c r="F207" s="735"/>
      <c r="G207" s="872"/>
      <c r="H207" s="261"/>
      <c r="I207" s="251"/>
      <c r="J207" s="872"/>
      <c r="K207" s="872"/>
      <c r="L207" s="872"/>
      <c r="M207" s="872"/>
      <c r="N207" s="245"/>
      <c r="O207" s="242"/>
      <c r="P207" s="245"/>
      <c r="Q207" s="245"/>
      <c r="R207" s="245">
        <v>0</v>
      </c>
      <c r="S207" s="245"/>
      <c r="T207" s="245"/>
      <c r="U207" s="245"/>
      <c r="V207" s="245"/>
      <c r="W207" s="245"/>
      <c r="X207" s="289"/>
      <c r="Y207" s="245"/>
      <c r="Z207" s="289"/>
      <c r="AA207" s="245"/>
      <c r="AB207" s="289"/>
      <c r="AC207" s="245"/>
    </row>
    <row r="208" spans="1:29" ht="15">
      <c r="A208" s="250"/>
      <c r="B208" s="251"/>
      <c r="C208" s="860"/>
      <c r="D208" s="833" t="s">
        <v>1899</v>
      </c>
      <c r="E208" s="251"/>
      <c r="F208" s="735"/>
      <c r="G208" s="872"/>
      <c r="H208" s="261"/>
      <c r="I208" s="251"/>
      <c r="J208" s="872"/>
      <c r="K208" s="872"/>
      <c r="L208" s="872"/>
      <c r="M208" s="872"/>
      <c r="N208" s="296">
        <v>23</v>
      </c>
      <c r="O208" s="242"/>
      <c r="P208" s="296">
        <v>22.73</v>
      </c>
      <c r="Q208" s="245"/>
      <c r="R208" s="296">
        <v>21.93</v>
      </c>
      <c r="S208" s="245"/>
      <c r="T208" s="245"/>
      <c r="U208" s="245"/>
      <c r="V208" s="245"/>
      <c r="W208" s="245"/>
      <c r="X208" s="289"/>
      <c r="Y208" s="245"/>
      <c r="Z208" s="289"/>
      <c r="AA208" s="245"/>
      <c r="AB208" s="289"/>
      <c r="AC208" s="245"/>
    </row>
    <row r="209" spans="1:29" ht="15">
      <c r="A209" s="250"/>
      <c r="B209" s="251"/>
      <c r="C209" s="860"/>
      <c r="D209" s="835" t="s">
        <v>1900</v>
      </c>
      <c r="E209" s="251"/>
      <c r="F209" s="735">
        <f>N209+R209+P209+T209+V209+X209+Z209+AB209</f>
        <v>1259.9933333333333</v>
      </c>
      <c r="G209" s="872">
        <v>3.7</v>
      </c>
      <c r="H209" s="261">
        <f>O209+S209+Q209+U209+W209+Y209+AA209+AC209</f>
        <v>4661.9799999999996</v>
      </c>
      <c r="I209" s="251"/>
      <c r="J209" s="872"/>
      <c r="K209" s="872"/>
      <c r="L209" s="872"/>
      <c r="M209" s="872"/>
      <c r="N209" s="258">
        <f>INT(SUM(N203:N208)+0.5)</f>
        <v>400</v>
      </c>
      <c r="O209" s="260">
        <f>INT($G209*N209*100+0.5)/100</f>
        <v>1480</v>
      </c>
      <c r="P209" s="258">
        <f>SUM(P203:P208)</f>
        <v>399.99666666666667</v>
      </c>
      <c r="Q209" s="257">
        <f>INT($G209*P209*100+0.5)/100</f>
        <v>1479.99</v>
      </c>
      <c r="R209" s="258">
        <f>SUM(R203:R208)</f>
        <v>399.99666666666667</v>
      </c>
      <c r="S209" s="257">
        <f>INT($G209*R209*100+0.5)/100</f>
        <v>1479.99</v>
      </c>
      <c r="T209" s="257">
        <f>2*30</f>
        <v>60</v>
      </c>
      <c r="U209" s="257">
        <f>INT($G209*T209*100+0.5)/100</f>
        <v>222</v>
      </c>
      <c r="V209" s="258">
        <v>0</v>
      </c>
      <c r="W209" s="257">
        <f>INT($G209*V209*100+0.5)/100</f>
        <v>0</v>
      </c>
      <c r="X209" s="258">
        <v>0</v>
      </c>
      <c r="Y209" s="257">
        <f>INT($G209*X209*100+0.5)/100</f>
        <v>0</v>
      </c>
      <c r="Z209" s="258">
        <v>0</v>
      </c>
      <c r="AA209" s="257">
        <f>INT($G209*Z209*100+0.5)/100</f>
        <v>0</v>
      </c>
      <c r="AB209" s="258">
        <v>0</v>
      </c>
      <c r="AC209" s="257">
        <f>INT($G209*AB209*100+0.5)/100</f>
        <v>0</v>
      </c>
    </row>
    <row r="210" spans="1:29" ht="15">
      <c r="A210" s="250"/>
      <c r="B210" s="251"/>
      <c r="C210" s="860"/>
      <c r="D210" s="292"/>
      <c r="E210" s="251"/>
      <c r="F210" s="735"/>
      <c r="G210" s="261"/>
      <c r="H210" s="261"/>
      <c r="I210" s="251"/>
      <c r="J210" s="261"/>
      <c r="K210" s="261"/>
      <c r="L210" s="261"/>
      <c r="M210" s="261"/>
      <c r="N210" s="258"/>
      <c r="O210" s="257"/>
      <c r="P210" s="258"/>
      <c r="Q210" s="257"/>
      <c r="R210" s="258"/>
      <c r="S210" s="257"/>
      <c r="T210" s="257"/>
      <c r="U210" s="257"/>
      <c r="V210" s="258"/>
      <c r="W210" s="257"/>
      <c r="X210" s="258"/>
      <c r="Y210" s="257"/>
      <c r="Z210" s="258"/>
      <c r="AA210" s="257"/>
      <c r="AB210" s="258"/>
      <c r="AC210" s="257"/>
    </row>
    <row r="211" spans="1:29" ht="15">
      <c r="A211" s="250">
        <f>A201+1</f>
        <v>69</v>
      </c>
      <c r="B211" s="251"/>
      <c r="C211" s="532" t="s">
        <v>2452</v>
      </c>
      <c r="D211" s="526" t="s">
        <v>2526</v>
      </c>
      <c r="E211" s="251" t="s">
        <v>2475</v>
      </c>
      <c r="F211" s="735">
        <f>N211+R211+P211+T211+V211+X211+Z211+AB211</f>
        <v>260</v>
      </c>
      <c r="G211" s="261">
        <f>37.02*1/25+49.1*1/25</f>
        <v>3.4447999999999999</v>
      </c>
      <c r="H211" s="261">
        <f>O211+S211+Q211+U211+W211+Y211+AA211+AC211</f>
        <v>895.65000000000009</v>
      </c>
      <c r="I211" s="251" t="s">
        <v>2475</v>
      </c>
      <c r="J211" s="261"/>
      <c r="K211" s="261"/>
      <c r="L211" s="261"/>
      <c r="M211" s="261"/>
      <c r="N211" s="258">
        <v>200</v>
      </c>
      <c r="O211" s="257">
        <f>INT($G211*N211*100+0.5)/100</f>
        <v>688.96</v>
      </c>
      <c r="P211" s="258">
        <v>60</v>
      </c>
      <c r="Q211" s="257">
        <f>INT($G211*P211*100+0.5)/100</f>
        <v>206.69</v>
      </c>
      <c r="R211" s="258">
        <v>0</v>
      </c>
      <c r="S211" s="257">
        <f>INT($G211*R211*100+0.5)/100</f>
        <v>0</v>
      </c>
      <c r="T211" s="257"/>
      <c r="U211" s="257"/>
      <c r="V211" s="258">
        <v>0</v>
      </c>
      <c r="W211" s="257">
        <f>INT($G211*V211*100+0.5)/100</f>
        <v>0</v>
      </c>
      <c r="X211" s="258">
        <v>0</v>
      </c>
      <c r="Y211" s="257">
        <f>INT($G211*X211*100+0.5)/100</f>
        <v>0</v>
      </c>
      <c r="Z211" s="258">
        <v>0</v>
      </c>
      <c r="AA211" s="257">
        <f>INT($G211*Z211*100+0.5)/100</f>
        <v>0</v>
      </c>
      <c r="AB211" s="258">
        <v>0</v>
      </c>
      <c r="AC211" s="257">
        <f>INT($G211*AB211*100+0.5)/100</f>
        <v>0</v>
      </c>
    </row>
    <row r="212" spans="1:29" ht="15">
      <c r="A212" s="250"/>
      <c r="B212" s="251"/>
      <c r="C212" s="648"/>
      <c r="D212" s="526" t="s">
        <v>2453</v>
      </c>
      <c r="E212" s="251"/>
      <c r="F212" s="735"/>
      <c r="G212" s="261"/>
      <c r="H212" s="261"/>
      <c r="I212" s="251"/>
      <c r="J212" s="261"/>
      <c r="K212" s="261"/>
      <c r="L212" s="261"/>
      <c r="M212" s="261"/>
      <c r="N212" s="258"/>
      <c r="O212" s="257"/>
      <c r="P212" s="258"/>
      <c r="Q212" s="257"/>
      <c r="R212" s="258"/>
      <c r="S212" s="257"/>
      <c r="T212" s="257"/>
      <c r="U212" s="257"/>
      <c r="V212" s="258"/>
      <c r="W212" s="257"/>
      <c r="X212" s="258"/>
      <c r="Y212" s="257"/>
      <c r="Z212" s="258"/>
      <c r="AA212" s="257"/>
      <c r="AB212" s="258"/>
      <c r="AC212" s="257"/>
    </row>
    <row r="213" spans="1:29" ht="15">
      <c r="A213" s="250"/>
      <c r="B213" s="251"/>
      <c r="C213" s="648"/>
      <c r="D213" s="292"/>
      <c r="E213" s="251"/>
      <c r="F213" s="735"/>
      <c r="G213" s="261"/>
      <c r="H213" s="261"/>
      <c r="I213" s="251"/>
      <c r="J213" s="261"/>
      <c r="K213" s="261"/>
      <c r="L213" s="261"/>
      <c r="M213" s="261"/>
      <c r="N213" s="258"/>
      <c r="O213" s="257"/>
      <c r="P213" s="258"/>
      <c r="Q213" s="257"/>
      <c r="R213" s="258"/>
      <c r="S213" s="257"/>
      <c r="T213" s="257"/>
      <c r="U213" s="257"/>
      <c r="V213" s="258"/>
      <c r="W213" s="257"/>
      <c r="X213" s="258"/>
      <c r="Y213" s="257"/>
      <c r="Z213" s="258"/>
      <c r="AA213" s="257"/>
      <c r="AB213" s="258"/>
      <c r="AC213" s="257"/>
    </row>
    <row r="214" spans="1:29" ht="25.5">
      <c r="A214" s="250">
        <f>A211+1</f>
        <v>70</v>
      </c>
      <c r="B214" s="251"/>
      <c r="C214" s="855" t="s">
        <v>2454</v>
      </c>
      <c r="D214" s="526" t="s">
        <v>28</v>
      </c>
      <c r="E214" s="251" t="s">
        <v>1901</v>
      </c>
      <c r="F214" s="735">
        <f>N214+R214+P214+T214+V214+X214+Z214+AB214</f>
        <v>28</v>
      </c>
      <c r="G214" s="872">
        <v>16.75</v>
      </c>
      <c r="H214" s="261">
        <f>O214+S214+Q214+U214+W214+Y214+AA214+AC214</f>
        <v>469</v>
      </c>
      <c r="I214" s="251" t="s">
        <v>1901</v>
      </c>
      <c r="J214" s="872"/>
      <c r="K214" s="872"/>
      <c r="L214" s="872"/>
      <c r="M214" s="872"/>
      <c r="N214" s="258">
        <v>0</v>
      </c>
      <c r="O214" s="257">
        <f>INT($G214*N214*100+0.5)/100</f>
        <v>0</v>
      </c>
      <c r="P214" s="258">
        <v>0</v>
      </c>
      <c r="Q214" s="257">
        <f>INT($G214*P214*100+0.5)/100</f>
        <v>0</v>
      </c>
      <c r="R214" s="258">
        <v>0</v>
      </c>
      <c r="S214" s="257">
        <f>INT($G214*R214*100+0.5)/100</f>
        <v>0</v>
      </c>
      <c r="T214" s="257"/>
      <c r="U214" s="257"/>
      <c r="V214" s="258">
        <v>0</v>
      </c>
      <c r="W214" s="257">
        <f>INT($G214*V214*100+0.5)/100</f>
        <v>0</v>
      </c>
      <c r="X214" s="258">
        <f>22+6</f>
        <v>28</v>
      </c>
      <c r="Y214" s="257">
        <f>INT($G214*X214*100+0.5)/100</f>
        <v>469</v>
      </c>
      <c r="Z214" s="258">
        <v>0</v>
      </c>
      <c r="AA214" s="257">
        <f>INT($G214*Z214*100+0.5)/100</f>
        <v>0</v>
      </c>
      <c r="AB214" s="258">
        <v>0</v>
      </c>
      <c r="AC214" s="257">
        <f>INT($G214*AB214*100+0.5)/100</f>
        <v>0</v>
      </c>
    </row>
    <row r="215" spans="1:29" ht="25.5">
      <c r="A215" s="250"/>
      <c r="B215" s="251"/>
      <c r="C215" s="860"/>
      <c r="D215" s="526" t="s">
        <v>1525</v>
      </c>
      <c r="E215" s="251"/>
      <c r="F215" s="735"/>
      <c r="G215" s="872"/>
      <c r="H215" s="261"/>
      <c r="I215" s="251"/>
      <c r="J215" s="872"/>
      <c r="K215" s="872"/>
      <c r="L215" s="872"/>
      <c r="M215" s="872"/>
      <c r="N215" s="258"/>
      <c r="O215" s="257"/>
      <c r="P215" s="258"/>
      <c r="Q215" s="257"/>
      <c r="R215" s="258"/>
      <c r="S215" s="257"/>
      <c r="T215" s="257"/>
      <c r="U215" s="257"/>
      <c r="V215" s="258"/>
      <c r="W215" s="257"/>
      <c r="X215" s="258"/>
      <c r="Y215" s="257"/>
      <c r="Z215" s="258"/>
      <c r="AA215" s="257"/>
      <c r="AB215" s="258"/>
      <c r="AC215" s="257"/>
    </row>
    <row r="216" spans="1:29" ht="15">
      <c r="A216" s="250"/>
      <c r="B216" s="251"/>
      <c r="C216" s="860"/>
      <c r="D216" s="526"/>
      <c r="E216" s="251"/>
      <c r="F216" s="735"/>
      <c r="G216" s="872"/>
      <c r="H216" s="261"/>
      <c r="I216" s="251"/>
      <c r="J216" s="872"/>
      <c r="K216" s="872"/>
      <c r="L216" s="872"/>
      <c r="M216" s="872"/>
      <c r="N216" s="258"/>
      <c r="O216" s="257"/>
      <c r="P216" s="258"/>
      <c r="Q216" s="257"/>
      <c r="R216" s="258"/>
      <c r="S216" s="257"/>
      <c r="T216" s="257"/>
      <c r="U216" s="257"/>
      <c r="V216" s="258"/>
      <c r="W216" s="257"/>
      <c r="X216" s="258"/>
      <c r="Y216" s="257"/>
      <c r="Z216" s="258"/>
      <c r="AA216" s="257"/>
      <c r="AB216" s="258"/>
      <c r="AC216" s="257"/>
    </row>
    <row r="217" spans="1:29" ht="15">
      <c r="A217" s="250">
        <f>A214+1</f>
        <v>71</v>
      </c>
      <c r="B217" s="251"/>
      <c r="C217" s="855" t="s">
        <v>2317</v>
      </c>
      <c r="D217" s="526" t="s">
        <v>24</v>
      </c>
      <c r="E217" s="251" t="s">
        <v>2475</v>
      </c>
      <c r="F217" s="735">
        <f>N217+R217+P217+T217+V217+X217+Z217+AB217</f>
        <v>105</v>
      </c>
      <c r="G217" s="872">
        <v>13.02</v>
      </c>
      <c r="H217" s="261">
        <f>O217+S217+Q217+U217+W217+Y217+AA217+AC217</f>
        <v>1367.1</v>
      </c>
      <c r="I217" s="251" t="s">
        <v>2475</v>
      </c>
      <c r="J217" s="872"/>
      <c r="K217" s="872"/>
      <c r="L217" s="872"/>
      <c r="M217" s="872"/>
      <c r="N217" s="258">
        <v>25</v>
      </c>
      <c r="O217" s="257">
        <f>INT($G217*N217*100+0.5)/100</f>
        <v>325.5</v>
      </c>
      <c r="P217" s="258">
        <v>0</v>
      </c>
      <c r="Q217" s="257">
        <f>INT($G217*P217*100+0.5)/100</f>
        <v>0</v>
      </c>
      <c r="R217" s="258">
        <v>20</v>
      </c>
      <c r="S217" s="257">
        <f>INT($G217*R217*100+0.5)/100</f>
        <v>260.39999999999998</v>
      </c>
      <c r="T217" s="257"/>
      <c r="U217" s="257"/>
      <c r="V217" s="258">
        <v>0</v>
      </c>
      <c r="W217" s="257">
        <f>INT($G217*V217*100+0.5)/100</f>
        <v>0</v>
      </c>
      <c r="X217" s="258">
        <v>60</v>
      </c>
      <c r="Y217" s="257">
        <f>INT($G217*X217*100+0.5)/100</f>
        <v>781.2</v>
      </c>
      <c r="Z217" s="258">
        <v>0</v>
      </c>
      <c r="AA217" s="257">
        <f>INT($G217*Z217*100+0.5)/100</f>
        <v>0</v>
      </c>
      <c r="AB217" s="258">
        <v>0</v>
      </c>
      <c r="AC217" s="257">
        <f>INT($G217*AB217*100+0.5)/100</f>
        <v>0</v>
      </c>
    </row>
    <row r="218" spans="1:29" ht="15">
      <c r="A218" s="250"/>
      <c r="B218" s="251"/>
      <c r="C218" s="860"/>
      <c r="D218" s="526" t="s">
        <v>25</v>
      </c>
      <c r="E218" s="251"/>
      <c r="F218" s="735"/>
      <c r="G218" s="872"/>
      <c r="H218" s="261"/>
      <c r="I218" s="251"/>
      <c r="J218" s="872"/>
      <c r="K218" s="872"/>
      <c r="L218" s="872"/>
      <c r="M218" s="872"/>
      <c r="N218" s="258"/>
      <c r="O218" s="257"/>
      <c r="P218" s="258"/>
      <c r="Q218" s="257"/>
      <c r="R218" s="258"/>
      <c r="S218" s="257"/>
      <c r="T218" s="257"/>
      <c r="U218" s="257"/>
      <c r="V218" s="258"/>
      <c r="W218" s="257"/>
      <c r="X218" s="258"/>
      <c r="Y218" s="257"/>
      <c r="Z218" s="258"/>
      <c r="AA218" s="257"/>
      <c r="AB218" s="258"/>
      <c r="AC218" s="257"/>
    </row>
    <row r="219" spans="1:29" ht="15">
      <c r="A219" s="250"/>
      <c r="B219" s="251"/>
      <c r="C219" s="860"/>
      <c r="D219" s="292"/>
      <c r="E219" s="251"/>
      <c r="F219" s="735"/>
      <c r="G219" s="872"/>
      <c r="H219" s="261"/>
      <c r="I219" s="251"/>
      <c r="J219" s="872"/>
      <c r="K219" s="872"/>
      <c r="L219" s="872"/>
      <c r="M219" s="872"/>
      <c r="N219" s="258"/>
      <c r="O219" s="257"/>
      <c r="P219" s="258"/>
      <c r="Q219" s="257"/>
      <c r="R219" s="258"/>
      <c r="S219" s="257"/>
      <c r="T219" s="257"/>
      <c r="U219" s="257"/>
      <c r="V219" s="258"/>
      <c r="W219" s="257"/>
      <c r="X219" s="258"/>
      <c r="Y219" s="257"/>
      <c r="Z219" s="258"/>
      <c r="AA219" s="257"/>
      <c r="AB219" s="258"/>
      <c r="AC219" s="257"/>
    </row>
    <row r="220" spans="1:29" ht="15.6" hidden="1" customHeight="1">
      <c r="A220" s="750" t="s">
        <v>2510</v>
      </c>
      <c r="B220" s="251"/>
      <c r="C220" s="855" t="s">
        <v>2318</v>
      </c>
      <c r="D220" s="526" t="s">
        <v>1</v>
      </c>
      <c r="E220" s="251" t="s">
        <v>2475</v>
      </c>
      <c r="F220" s="735">
        <f>N220+R220+P220+V220+X220+Z220+AB220</f>
        <v>0</v>
      </c>
      <c r="G220" s="872">
        <v>13.4</v>
      </c>
      <c r="H220" s="261">
        <f>O220+S220+Q220+W220+Y220+AA220+AC220</f>
        <v>0</v>
      </c>
      <c r="I220" s="251" t="s">
        <v>2475</v>
      </c>
      <c r="J220" s="872"/>
      <c r="K220" s="872"/>
      <c r="L220" s="872"/>
      <c r="M220" s="872"/>
      <c r="N220" s="258">
        <v>0</v>
      </c>
      <c r="O220" s="257">
        <f>INT($G220*N220*100+0.5)/100</f>
        <v>0</v>
      </c>
      <c r="P220" s="258">
        <v>0</v>
      </c>
      <c r="Q220" s="257">
        <f>INT($G220*P220*100+0.5)/100</f>
        <v>0</v>
      </c>
      <c r="R220" s="258">
        <v>0</v>
      </c>
      <c r="S220" s="257">
        <f>INT($G220*R220*100+0.5)/100</f>
        <v>0</v>
      </c>
      <c r="T220" s="257"/>
      <c r="U220" s="257"/>
      <c r="V220" s="258">
        <v>0</v>
      </c>
      <c r="W220" s="257">
        <f>INT($G220*V220*100+0.5)/100</f>
        <v>0</v>
      </c>
      <c r="X220" s="258">
        <v>0</v>
      </c>
      <c r="Y220" s="257">
        <f>INT($G220*X220*100+0.5)/100</f>
        <v>0</v>
      </c>
      <c r="Z220" s="258">
        <v>0</v>
      </c>
      <c r="AA220" s="257">
        <f>INT($G220*Z220*100+0.5)/100</f>
        <v>0</v>
      </c>
      <c r="AB220" s="258">
        <v>0</v>
      </c>
      <c r="AC220" s="257">
        <f>INT($G220*AB220*100+0.5)/100</f>
        <v>0</v>
      </c>
    </row>
    <row r="221" spans="1:29" ht="15.6" hidden="1" customHeight="1">
      <c r="A221" s="250"/>
      <c r="B221" s="251"/>
      <c r="C221" s="860"/>
      <c r="D221" s="526" t="s">
        <v>2</v>
      </c>
      <c r="E221" s="251"/>
      <c r="F221" s="735"/>
      <c r="G221" s="872"/>
      <c r="H221" s="261"/>
      <c r="I221" s="251"/>
      <c r="J221" s="872"/>
      <c r="K221" s="872"/>
      <c r="L221" s="872"/>
      <c r="M221" s="872"/>
      <c r="N221" s="258"/>
      <c r="O221" s="257"/>
      <c r="P221" s="258"/>
      <c r="Q221" s="257"/>
      <c r="R221" s="258"/>
      <c r="S221" s="257"/>
      <c r="T221" s="257"/>
      <c r="U221" s="257"/>
      <c r="V221" s="258"/>
      <c r="W221" s="257"/>
      <c r="X221" s="258"/>
      <c r="Y221" s="257"/>
      <c r="Z221" s="258"/>
      <c r="AA221" s="257"/>
      <c r="AB221" s="258"/>
      <c r="AC221" s="257"/>
    </row>
    <row r="222" spans="1:29" ht="15.6" hidden="1" customHeight="1">
      <c r="A222" s="250"/>
      <c r="B222" s="251"/>
      <c r="C222" s="860"/>
      <c r="D222" s="292"/>
      <c r="E222" s="251"/>
      <c r="F222" s="735"/>
      <c r="G222" s="872"/>
      <c r="H222" s="261"/>
      <c r="I222" s="251"/>
      <c r="J222" s="872"/>
      <c r="K222" s="872"/>
      <c r="L222" s="872"/>
      <c r="M222" s="872"/>
      <c r="N222" s="258"/>
      <c r="O222" s="257"/>
      <c r="P222" s="258"/>
      <c r="Q222" s="257"/>
      <c r="R222" s="258"/>
      <c r="S222" s="257"/>
      <c r="T222" s="257"/>
      <c r="U222" s="257"/>
      <c r="V222" s="258"/>
      <c r="W222" s="257"/>
      <c r="X222" s="258"/>
      <c r="Y222" s="257"/>
      <c r="Z222" s="258"/>
      <c r="AA222" s="257"/>
      <c r="AB222" s="258"/>
      <c r="AC222" s="257"/>
    </row>
    <row r="223" spans="1:29" ht="25.5">
      <c r="A223" s="250">
        <f>A217+1</f>
        <v>72</v>
      </c>
      <c r="B223" s="251"/>
      <c r="C223" s="855" t="s">
        <v>2319</v>
      </c>
      <c r="D223" s="526" t="s">
        <v>1532</v>
      </c>
      <c r="E223" s="251" t="s">
        <v>2475</v>
      </c>
      <c r="F223" s="735">
        <f>N223+R223+P223+T223+V223+X223+Z223+AB223</f>
        <v>20</v>
      </c>
      <c r="G223" s="872">
        <v>42.2</v>
      </c>
      <c r="H223" s="261">
        <f>O223+S223+Q223+U223+W223+Y223+AA223+AC223</f>
        <v>844</v>
      </c>
      <c r="I223" s="251" t="s">
        <v>2475</v>
      </c>
      <c r="J223" s="872"/>
      <c r="K223" s="872"/>
      <c r="L223" s="872"/>
      <c r="M223" s="872"/>
      <c r="N223" s="258">
        <v>0</v>
      </c>
      <c r="O223" s="257">
        <f>INT($G223*N223*100+0.5)/100</f>
        <v>0</v>
      </c>
      <c r="P223" s="258">
        <v>7</v>
      </c>
      <c r="Q223" s="257">
        <f>INT($G223*P223*100+0.5)/100</f>
        <v>295.39999999999998</v>
      </c>
      <c r="R223" s="258">
        <v>0</v>
      </c>
      <c r="S223" s="257">
        <f>INT($G223*R223*100+0.5)/100</f>
        <v>0</v>
      </c>
      <c r="T223" s="257"/>
      <c r="U223" s="257"/>
      <c r="V223" s="258">
        <v>0</v>
      </c>
      <c r="W223" s="257">
        <f>INT($G223*V223*100+0.5)/100</f>
        <v>0</v>
      </c>
      <c r="X223" s="258">
        <v>0</v>
      </c>
      <c r="Y223" s="257">
        <f>INT($G223*X223*100+0.5)/100</f>
        <v>0</v>
      </c>
      <c r="Z223" s="258">
        <v>0</v>
      </c>
      <c r="AA223" s="257">
        <f>INT($G223*Z223*100+0.5)/100</f>
        <v>0</v>
      </c>
      <c r="AB223" s="258">
        <v>13</v>
      </c>
      <c r="AC223" s="257">
        <f>INT($G223*AB223*100+0.5)/100</f>
        <v>548.6</v>
      </c>
    </row>
    <row r="224" spans="1:29" ht="25.5">
      <c r="A224" s="250"/>
      <c r="B224" s="251"/>
      <c r="C224" s="860"/>
      <c r="D224" s="526" t="s">
        <v>1533</v>
      </c>
      <c r="E224" s="251"/>
      <c r="F224" s="735"/>
      <c r="G224" s="872"/>
      <c r="H224" s="261"/>
      <c r="I224" s="251"/>
      <c r="J224" s="872"/>
      <c r="K224" s="872"/>
      <c r="L224" s="872"/>
      <c r="M224" s="872"/>
      <c r="N224" s="258"/>
      <c r="O224" s="257"/>
      <c r="P224" s="258"/>
      <c r="Q224" s="257"/>
      <c r="R224" s="258"/>
      <c r="S224" s="257"/>
      <c r="T224" s="257"/>
      <c r="U224" s="257"/>
      <c r="V224" s="258"/>
      <c r="W224" s="257"/>
      <c r="X224" s="258"/>
      <c r="Y224" s="257"/>
      <c r="Z224" s="258"/>
      <c r="AA224" s="257"/>
      <c r="AB224" s="258"/>
      <c r="AC224" s="257"/>
    </row>
    <row r="225" spans="1:29" ht="15">
      <c r="A225" s="250"/>
      <c r="B225" s="251"/>
      <c r="C225" s="860"/>
      <c r="D225" s="292"/>
      <c r="E225" s="251"/>
      <c r="F225" s="735"/>
      <c r="G225" s="872"/>
      <c r="H225" s="261"/>
      <c r="I225" s="251"/>
      <c r="J225" s="872"/>
      <c r="K225" s="872"/>
      <c r="L225" s="872"/>
      <c r="M225" s="872"/>
      <c r="N225" s="258"/>
      <c r="O225" s="257"/>
      <c r="P225" s="258"/>
      <c r="Q225" s="257"/>
      <c r="R225" s="258"/>
      <c r="S225" s="257"/>
      <c r="T225" s="257"/>
      <c r="U225" s="257"/>
      <c r="V225" s="258"/>
      <c r="W225" s="257"/>
      <c r="X225" s="258"/>
      <c r="Y225" s="257"/>
      <c r="Z225" s="258"/>
      <c r="AA225" s="257"/>
      <c r="AB225" s="258"/>
      <c r="AC225" s="257"/>
    </row>
    <row r="226" spans="1:29" ht="38.25">
      <c r="A226" s="250">
        <f>A223+1</f>
        <v>73</v>
      </c>
      <c r="B226" s="251"/>
      <c r="C226" s="855" t="s">
        <v>2320</v>
      </c>
      <c r="D226" s="526" t="s">
        <v>1534</v>
      </c>
      <c r="E226" s="251" t="s">
        <v>2475</v>
      </c>
      <c r="F226" s="735">
        <f>N226+R226+P226+T226+V226+X226+Z226+AB226</f>
        <v>50</v>
      </c>
      <c r="G226" s="872">
        <v>38.700000000000003</v>
      </c>
      <c r="H226" s="261">
        <f>O226+S226+Q226+U226+W226+Y226+AA226+AC226</f>
        <v>1935</v>
      </c>
      <c r="I226" s="251" t="s">
        <v>2475</v>
      </c>
      <c r="J226" s="872"/>
      <c r="K226" s="872"/>
      <c r="L226" s="872"/>
      <c r="M226" s="872"/>
      <c r="N226" s="258">
        <v>50</v>
      </c>
      <c r="O226" s="257">
        <f>INT($G226*N226*100+0.5)/100</f>
        <v>1935</v>
      </c>
      <c r="P226" s="258">
        <v>0</v>
      </c>
      <c r="Q226" s="257">
        <f>INT($G226*P226*100+0.5)/100</f>
        <v>0</v>
      </c>
      <c r="R226" s="258">
        <v>0</v>
      </c>
      <c r="S226" s="257">
        <f>INT($G226*R226*100+0.5)/100</f>
        <v>0</v>
      </c>
      <c r="T226" s="257"/>
      <c r="U226" s="257"/>
      <c r="V226" s="258">
        <v>0</v>
      </c>
      <c r="W226" s="257">
        <f>INT($G226*V226*100+0.5)/100</f>
        <v>0</v>
      </c>
      <c r="X226" s="258">
        <v>0</v>
      </c>
      <c r="Y226" s="257">
        <f>INT($G226*X226*100+0.5)/100</f>
        <v>0</v>
      </c>
      <c r="Z226" s="258">
        <v>0</v>
      </c>
      <c r="AA226" s="257">
        <f>INT($G226*Z226*100+0.5)/100</f>
        <v>0</v>
      </c>
      <c r="AB226" s="258">
        <v>0</v>
      </c>
      <c r="AC226" s="257">
        <f>INT($G226*AB226*100+0.5)/100</f>
        <v>0</v>
      </c>
    </row>
    <row r="227" spans="1:29" ht="25.5">
      <c r="A227" s="250"/>
      <c r="B227" s="251"/>
      <c r="C227" s="860"/>
      <c r="D227" s="526" t="s">
        <v>1535</v>
      </c>
      <c r="E227" s="251"/>
      <c r="F227" s="735"/>
      <c r="G227" s="872"/>
      <c r="H227" s="261"/>
      <c r="I227" s="251"/>
      <c r="J227" s="872"/>
      <c r="K227" s="872"/>
      <c r="L227" s="872"/>
      <c r="M227" s="872"/>
      <c r="N227" s="258"/>
      <c r="O227" s="257"/>
      <c r="P227" s="258"/>
      <c r="Q227" s="257"/>
      <c r="R227" s="258"/>
      <c r="S227" s="257"/>
      <c r="T227" s="257"/>
      <c r="U227" s="257"/>
      <c r="V227" s="258"/>
      <c r="W227" s="257"/>
      <c r="X227" s="258"/>
      <c r="Y227" s="257"/>
      <c r="Z227" s="258"/>
      <c r="AA227" s="257"/>
      <c r="AB227" s="258"/>
      <c r="AC227" s="257"/>
    </row>
    <row r="228" spans="1:29" ht="15">
      <c r="A228" s="250"/>
      <c r="B228" s="251"/>
      <c r="C228" s="860"/>
      <c r="D228" s="292"/>
      <c r="E228" s="251"/>
      <c r="F228" s="735"/>
      <c r="G228" s="872"/>
      <c r="H228" s="261"/>
      <c r="I228" s="251"/>
      <c r="J228" s="872"/>
      <c r="K228" s="872"/>
      <c r="L228" s="872"/>
      <c r="M228" s="872"/>
      <c r="N228" s="258"/>
      <c r="O228" s="257"/>
      <c r="P228" s="258"/>
      <c r="Q228" s="257"/>
      <c r="R228" s="258"/>
      <c r="S228" s="257"/>
      <c r="T228" s="257"/>
      <c r="U228" s="257"/>
      <c r="V228" s="258"/>
      <c r="W228" s="257"/>
      <c r="X228" s="258"/>
      <c r="Y228" s="257"/>
      <c r="Z228" s="258"/>
      <c r="AA228" s="257"/>
      <c r="AB228" s="258"/>
      <c r="AC228" s="257"/>
    </row>
    <row r="229" spans="1:29" ht="25.5">
      <c r="A229" s="250">
        <f>A226+1</f>
        <v>74</v>
      </c>
      <c r="B229" s="251"/>
      <c r="C229" s="855" t="s">
        <v>2321</v>
      </c>
      <c r="D229" s="526" t="s">
        <v>1536</v>
      </c>
      <c r="E229" s="251" t="s">
        <v>2475</v>
      </c>
      <c r="F229" s="735"/>
      <c r="G229" s="872"/>
      <c r="H229" s="261"/>
      <c r="I229" s="251" t="s">
        <v>2475</v>
      </c>
      <c r="J229" s="872"/>
      <c r="K229" s="872"/>
      <c r="L229" s="872"/>
      <c r="M229" s="872"/>
      <c r="N229" s="258"/>
      <c r="O229" s="257"/>
      <c r="P229" s="258"/>
      <c r="Q229" s="257"/>
      <c r="R229" s="258"/>
      <c r="S229" s="257"/>
      <c r="T229" s="257"/>
      <c r="U229" s="257"/>
      <c r="V229" s="258"/>
      <c r="W229" s="257"/>
      <c r="X229" s="258"/>
      <c r="Y229" s="257"/>
      <c r="Z229" s="258"/>
      <c r="AA229" s="257"/>
      <c r="AB229" s="258"/>
      <c r="AC229" s="257"/>
    </row>
    <row r="230" spans="1:29" ht="15">
      <c r="A230" s="250"/>
      <c r="B230" s="251"/>
      <c r="C230" s="860"/>
      <c r="D230" s="526" t="s">
        <v>1537</v>
      </c>
      <c r="E230" s="251"/>
      <c r="F230" s="735"/>
      <c r="G230" s="872"/>
      <c r="H230" s="261"/>
      <c r="I230" s="251"/>
      <c r="J230" s="872"/>
      <c r="K230" s="872"/>
      <c r="L230" s="872"/>
      <c r="M230" s="872"/>
      <c r="N230" s="258"/>
      <c r="O230" s="257"/>
      <c r="P230" s="258"/>
      <c r="Q230" s="257"/>
      <c r="R230" s="258"/>
      <c r="S230" s="257"/>
      <c r="T230" s="257"/>
      <c r="U230" s="257"/>
      <c r="V230" s="258"/>
      <c r="W230" s="257"/>
      <c r="X230" s="258"/>
      <c r="Y230" s="257"/>
      <c r="Z230" s="258"/>
      <c r="AA230" s="257"/>
      <c r="AB230" s="258"/>
      <c r="AC230" s="257"/>
    </row>
    <row r="231" spans="1:29" ht="15">
      <c r="A231" s="250"/>
      <c r="B231" s="251"/>
      <c r="C231" s="860"/>
      <c r="D231" s="830" t="s">
        <v>2498</v>
      </c>
      <c r="E231" s="251"/>
      <c r="F231" s="735"/>
      <c r="G231" s="872"/>
      <c r="H231" s="261"/>
      <c r="I231" s="251"/>
      <c r="J231" s="872"/>
      <c r="K231" s="872"/>
      <c r="L231" s="872"/>
      <c r="M231" s="872"/>
      <c r="N231" s="258"/>
      <c r="O231" s="257"/>
      <c r="P231" s="258"/>
      <c r="Q231" s="257"/>
      <c r="R231" s="258"/>
      <c r="S231" s="257"/>
      <c r="T231" s="257"/>
      <c r="U231" s="257"/>
      <c r="V231" s="258"/>
      <c r="W231" s="257"/>
      <c r="X231" s="258">
        <v>79</v>
      </c>
      <c r="Y231" s="257"/>
      <c r="Z231" s="258"/>
      <c r="AA231" s="257"/>
      <c r="AB231" s="258"/>
      <c r="AC231" s="257"/>
    </row>
    <row r="232" spans="1:29" ht="15">
      <c r="A232" s="250"/>
      <c r="B232" s="251"/>
      <c r="C232" s="860"/>
      <c r="D232" s="830" t="s">
        <v>2511</v>
      </c>
      <c r="E232" s="251"/>
      <c r="F232" s="735"/>
      <c r="G232" s="872"/>
      <c r="H232" s="261"/>
      <c r="I232" s="251"/>
      <c r="J232" s="872"/>
      <c r="K232" s="872"/>
      <c r="L232" s="872"/>
      <c r="M232" s="872"/>
      <c r="N232" s="258"/>
      <c r="O232" s="257"/>
      <c r="P232" s="258"/>
      <c r="Q232" s="257"/>
      <c r="R232" s="258"/>
      <c r="S232" s="257"/>
      <c r="T232" s="257"/>
      <c r="U232" s="257"/>
      <c r="V232" s="258"/>
      <c r="W232" s="245"/>
      <c r="X232" s="289">
        <f>(31+42+46)+(12+39.5+19.5+31+17)</f>
        <v>238</v>
      </c>
      <c r="Y232" s="257"/>
      <c r="Z232" s="258"/>
      <c r="AA232" s="257"/>
      <c r="AB232" s="258"/>
      <c r="AC232" s="257"/>
    </row>
    <row r="233" spans="1:29" ht="15">
      <c r="A233" s="250"/>
      <c r="B233" s="251"/>
      <c r="C233" s="860"/>
      <c r="D233" s="830" t="s">
        <v>2512</v>
      </c>
      <c r="E233" s="251"/>
      <c r="F233" s="735"/>
      <c r="G233" s="872"/>
      <c r="H233" s="261"/>
      <c r="I233" s="251"/>
      <c r="J233" s="872"/>
      <c r="K233" s="872"/>
      <c r="L233" s="872"/>
      <c r="M233" s="872"/>
      <c r="N233" s="258"/>
      <c r="O233" s="257"/>
      <c r="P233" s="258"/>
      <c r="Q233" s="257"/>
      <c r="R233" s="258"/>
      <c r="S233" s="257"/>
      <c r="T233" s="257"/>
      <c r="U233" s="257"/>
      <c r="V233" s="258"/>
      <c r="W233" s="257"/>
      <c r="X233" s="258">
        <f>(12+164.5+29+19.5)+(18.5+138.5+29.5+54.5)</f>
        <v>466</v>
      </c>
      <c r="Y233" s="257"/>
      <c r="Z233" s="258"/>
      <c r="AA233" s="257"/>
      <c r="AB233" s="258"/>
      <c r="AC233" s="257"/>
    </row>
    <row r="234" spans="1:29" ht="15">
      <c r="A234" s="250"/>
      <c r="B234" s="251"/>
      <c r="C234" s="860"/>
      <c r="D234" s="833" t="s">
        <v>1899</v>
      </c>
      <c r="E234" s="251"/>
      <c r="F234" s="735"/>
      <c r="G234" s="872"/>
      <c r="H234" s="261"/>
      <c r="I234" s="251"/>
      <c r="J234" s="872"/>
      <c r="K234" s="872"/>
      <c r="L234" s="872"/>
      <c r="M234" s="872"/>
      <c r="N234" s="258"/>
      <c r="O234" s="257"/>
      <c r="P234" s="258"/>
      <c r="Q234" s="257"/>
      <c r="R234" s="258"/>
      <c r="S234" s="257"/>
      <c r="T234" s="257"/>
      <c r="U234" s="257"/>
      <c r="V234" s="258"/>
      <c r="W234" s="257"/>
      <c r="X234" s="293">
        <v>67</v>
      </c>
      <c r="Y234" s="257"/>
      <c r="Z234" s="258"/>
      <c r="AA234" s="257"/>
      <c r="AB234" s="258"/>
      <c r="AC234" s="257"/>
    </row>
    <row r="235" spans="1:29" ht="15">
      <c r="A235" s="250"/>
      <c r="B235" s="251"/>
      <c r="C235" s="860"/>
      <c r="D235" s="831" t="s">
        <v>1900</v>
      </c>
      <c r="E235" s="251"/>
      <c r="F235" s="735">
        <f>N235+R235+P235+T235+V235+X235+Z235+AB235</f>
        <v>870</v>
      </c>
      <c r="G235" s="872">
        <v>13.61</v>
      </c>
      <c r="H235" s="261">
        <f>O235+S235+Q235+U235+W235+Y235+AA235+AC235</f>
        <v>11840.7</v>
      </c>
      <c r="I235" s="251"/>
      <c r="J235" s="872"/>
      <c r="K235" s="872"/>
      <c r="L235" s="872"/>
      <c r="M235" s="872"/>
      <c r="N235" s="258">
        <v>0</v>
      </c>
      <c r="O235" s="257">
        <f>INT($G235*N235*100+0.5)/100</f>
        <v>0</v>
      </c>
      <c r="P235" s="258">
        <v>0</v>
      </c>
      <c r="Q235" s="257">
        <f>INT($G235*P235*100+0.5)/100</f>
        <v>0</v>
      </c>
      <c r="R235" s="258">
        <v>0</v>
      </c>
      <c r="S235" s="257">
        <f>INT($G235*R235*100+0.5)/100</f>
        <v>0</v>
      </c>
      <c r="T235" s="257"/>
      <c r="U235" s="257"/>
      <c r="V235" s="258">
        <v>0</v>
      </c>
      <c r="W235" s="257">
        <f>INT($G235*V235*100+0.5)/100</f>
        <v>0</v>
      </c>
      <c r="X235" s="258">
        <f>SUM(X231:X234)</f>
        <v>850</v>
      </c>
      <c r="Y235" s="257">
        <f>INT($G235*X235*100+0.5)/100</f>
        <v>11568.5</v>
      </c>
      <c r="Z235" s="258">
        <v>20</v>
      </c>
      <c r="AA235" s="257">
        <f>INT($G235*Z235*100+0.5)/100</f>
        <v>272.2</v>
      </c>
      <c r="AB235" s="258">
        <v>0</v>
      </c>
      <c r="AC235" s="257">
        <f>INT($G235*AB235*100+0.5)/100</f>
        <v>0</v>
      </c>
    </row>
    <row r="236" spans="1:29" ht="15">
      <c r="A236" s="250"/>
      <c r="B236" s="251"/>
      <c r="C236" s="860"/>
      <c r="D236" s="292"/>
      <c r="E236" s="251"/>
      <c r="F236" s="735"/>
      <c r="G236" s="872"/>
      <c r="H236" s="261"/>
      <c r="I236" s="251"/>
      <c r="J236" s="872"/>
      <c r="K236" s="872"/>
      <c r="L236" s="872"/>
      <c r="M236" s="872"/>
      <c r="N236" s="258"/>
      <c r="O236" s="257"/>
      <c r="P236" s="258"/>
      <c r="Q236" s="257"/>
      <c r="R236" s="258"/>
      <c r="S236" s="257"/>
      <c r="T236" s="257"/>
      <c r="U236" s="257"/>
      <c r="V236" s="258"/>
      <c r="W236" s="257"/>
      <c r="X236" s="258"/>
      <c r="Y236" s="257"/>
      <c r="Z236" s="258"/>
      <c r="AA236" s="257"/>
      <c r="AB236" s="258"/>
      <c r="AC236" s="257"/>
    </row>
    <row r="237" spans="1:29" ht="15">
      <c r="A237" s="250">
        <f>A229+1</f>
        <v>75</v>
      </c>
      <c r="B237" s="251"/>
      <c r="C237" s="855" t="s">
        <v>2455</v>
      </c>
      <c r="D237" s="526" t="s">
        <v>1538</v>
      </c>
      <c r="E237" s="251" t="s">
        <v>2475</v>
      </c>
      <c r="F237" s="735">
        <f>N237+R237+P237+T237+V237+X237+Z237+AB237</f>
        <v>1</v>
      </c>
      <c r="G237" s="872">
        <v>190</v>
      </c>
      <c r="H237" s="261">
        <f>O237+S237+Q237+U237+W237+Y237+AA237+AC237</f>
        <v>190</v>
      </c>
      <c r="I237" s="251" t="s">
        <v>2475</v>
      </c>
      <c r="J237" s="872"/>
      <c r="K237" s="872"/>
      <c r="L237" s="872"/>
      <c r="M237" s="872"/>
      <c r="N237" s="258">
        <v>1</v>
      </c>
      <c r="O237" s="257">
        <f>INT($G237*N237*100+0.5)/100</f>
        <v>190</v>
      </c>
      <c r="P237" s="258">
        <v>0</v>
      </c>
      <c r="Q237" s="257">
        <f>INT($G237*P237*100+0.5)/100</f>
        <v>0</v>
      </c>
      <c r="R237" s="258">
        <v>0</v>
      </c>
      <c r="S237" s="257">
        <f>INT($G237*R237*100+0.5)/100</f>
        <v>0</v>
      </c>
      <c r="T237" s="257"/>
      <c r="U237" s="257"/>
      <c r="V237" s="258">
        <v>0</v>
      </c>
      <c r="W237" s="257">
        <f>INT($G237*V237*100+0.5)/100</f>
        <v>0</v>
      </c>
      <c r="X237" s="258">
        <v>0</v>
      </c>
      <c r="Y237" s="257">
        <f>INT($G237*X237*100+0.5)/100</f>
        <v>0</v>
      </c>
      <c r="Z237" s="258">
        <v>0</v>
      </c>
      <c r="AA237" s="257">
        <f>INT($G237*Z237*100+0.5)/100</f>
        <v>0</v>
      </c>
      <c r="AB237" s="258">
        <v>0</v>
      </c>
      <c r="AC237" s="257">
        <f>INT($G237*AB237*100+0.5)/100</f>
        <v>0</v>
      </c>
    </row>
    <row r="238" spans="1:29" ht="15">
      <c r="A238" s="250"/>
      <c r="B238" s="251"/>
      <c r="C238" s="860"/>
      <c r="D238" s="526" t="s">
        <v>2456</v>
      </c>
      <c r="E238" s="251"/>
      <c r="F238" s="735"/>
      <c r="G238" s="872"/>
      <c r="H238" s="261"/>
      <c r="I238" s="251"/>
      <c r="J238" s="872"/>
      <c r="K238" s="872"/>
      <c r="L238" s="872"/>
      <c r="M238" s="872"/>
      <c r="N238" s="258"/>
      <c r="O238" s="257"/>
      <c r="P238" s="258"/>
      <c r="Q238" s="257"/>
      <c r="R238" s="258"/>
      <c r="S238" s="257"/>
      <c r="T238" s="257"/>
      <c r="U238" s="257"/>
      <c r="V238" s="258"/>
      <c r="W238" s="257"/>
      <c r="X238" s="258"/>
      <c r="Y238" s="257"/>
      <c r="Z238" s="258"/>
      <c r="AA238" s="257"/>
      <c r="AB238" s="258"/>
      <c r="AC238" s="257"/>
    </row>
    <row r="239" spans="1:29" ht="15">
      <c r="A239" s="250"/>
      <c r="B239" s="251"/>
      <c r="C239" s="860"/>
      <c r="D239" s="292"/>
      <c r="E239" s="251"/>
      <c r="F239" s="735"/>
      <c r="G239" s="872"/>
      <c r="H239" s="261"/>
      <c r="I239" s="251"/>
      <c r="J239" s="872"/>
      <c r="K239" s="872"/>
      <c r="L239" s="872"/>
      <c r="M239" s="872"/>
      <c r="N239" s="258"/>
      <c r="O239" s="257"/>
      <c r="P239" s="258"/>
      <c r="Q239" s="257"/>
      <c r="R239" s="258"/>
      <c r="S239" s="257"/>
      <c r="T239" s="257"/>
      <c r="U239" s="257"/>
      <c r="V239" s="258"/>
      <c r="W239" s="257"/>
      <c r="X239" s="258"/>
      <c r="Y239" s="257"/>
      <c r="Z239" s="258"/>
      <c r="AA239" s="257"/>
      <c r="AB239" s="258"/>
      <c r="AC239" s="257"/>
    </row>
    <row r="240" spans="1:29" s="247" customFormat="1" ht="25.5">
      <c r="A240" s="284">
        <f>A237+1</f>
        <v>76</v>
      </c>
      <c r="B240" s="237"/>
      <c r="C240" s="862" t="s">
        <v>1528</v>
      </c>
      <c r="D240" s="532" t="s">
        <v>1526</v>
      </c>
      <c r="E240" s="237" t="s">
        <v>1901</v>
      </c>
      <c r="F240" s="735">
        <f>N240+R240+P240+T240+V240+X240+Z240+AB240</f>
        <v>28</v>
      </c>
      <c r="G240" s="873">
        <v>35.53</v>
      </c>
      <c r="H240" s="261">
        <f>O240+S240+Q240+U240+W240+Y240+AA240+AC240</f>
        <v>994.84</v>
      </c>
      <c r="I240" s="237" t="s">
        <v>1901</v>
      </c>
      <c r="J240" s="873"/>
      <c r="K240" s="873"/>
      <c r="L240" s="873"/>
      <c r="M240" s="873"/>
      <c r="N240" s="289">
        <f>N214</f>
        <v>0</v>
      </c>
      <c r="O240" s="245">
        <f>INT($G240*N240*100+0.5)/100</f>
        <v>0</v>
      </c>
      <c r="P240" s="289">
        <v>0</v>
      </c>
      <c r="Q240" s="245">
        <f>INT($G240*P240*100+0.5)/100</f>
        <v>0</v>
      </c>
      <c r="R240" s="289">
        <v>0</v>
      </c>
      <c r="S240" s="245">
        <f>INT($G240*R240*100+0.5)/100</f>
        <v>0</v>
      </c>
      <c r="T240" s="245"/>
      <c r="U240" s="245"/>
      <c r="V240" s="289">
        <v>0</v>
      </c>
      <c r="W240" s="245">
        <f>INT($G240*V240*100+0.5)/100</f>
        <v>0</v>
      </c>
      <c r="X240" s="289">
        <f>X214</f>
        <v>28</v>
      </c>
      <c r="Y240" s="245">
        <f>INT($G240*X240*100+0.5)/100</f>
        <v>994.84</v>
      </c>
      <c r="Z240" s="289">
        <v>0</v>
      </c>
      <c r="AA240" s="245">
        <f>INT($G240*Z240*100+0.5)/100</f>
        <v>0</v>
      </c>
      <c r="AB240" s="289">
        <v>0</v>
      </c>
      <c r="AC240" s="245">
        <f>INT($G240*AB240*100+0.5)/100</f>
        <v>0</v>
      </c>
    </row>
    <row r="241" spans="1:29" s="247" customFormat="1" ht="15">
      <c r="A241" s="284"/>
      <c r="B241" s="237"/>
      <c r="C241" s="863"/>
      <c r="D241" s="532" t="s">
        <v>1527</v>
      </c>
      <c r="E241" s="237"/>
      <c r="F241" s="733"/>
      <c r="G241" s="873"/>
      <c r="H241" s="243"/>
      <c r="I241" s="237"/>
      <c r="J241" s="873"/>
      <c r="K241" s="873"/>
      <c r="L241" s="873"/>
      <c r="M241" s="873"/>
      <c r="N241" s="289"/>
      <c r="O241" s="245"/>
      <c r="P241" s="289"/>
      <c r="Q241" s="245"/>
      <c r="R241" s="289"/>
      <c r="S241" s="245"/>
      <c r="T241" s="245"/>
      <c r="U241" s="245"/>
      <c r="V241" s="289"/>
      <c r="W241" s="245"/>
      <c r="X241" s="289"/>
      <c r="Y241" s="245"/>
      <c r="Z241" s="289"/>
      <c r="AA241" s="245"/>
      <c r="AB241" s="289"/>
      <c r="AC241" s="245"/>
    </row>
    <row r="242" spans="1:29" s="247" customFormat="1" ht="15">
      <c r="A242" s="284"/>
      <c r="B242" s="237"/>
      <c r="C242" s="863"/>
      <c r="D242" s="532"/>
      <c r="E242" s="237"/>
      <c r="F242" s="733"/>
      <c r="G242" s="873"/>
      <c r="H242" s="243"/>
      <c r="I242" s="237"/>
      <c r="J242" s="873"/>
      <c r="K242" s="873"/>
      <c r="L242" s="873"/>
      <c r="M242" s="873"/>
      <c r="N242" s="289"/>
      <c r="O242" s="245"/>
      <c r="P242" s="289"/>
      <c r="Q242" s="245"/>
      <c r="R242" s="289"/>
      <c r="S242" s="245"/>
      <c r="T242" s="245"/>
      <c r="U242" s="245"/>
      <c r="V242" s="289"/>
      <c r="W242" s="245"/>
      <c r="X242" s="289"/>
      <c r="Y242" s="245"/>
      <c r="Z242" s="289"/>
      <c r="AA242" s="245"/>
      <c r="AB242" s="289"/>
      <c r="AC242" s="245"/>
    </row>
    <row r="243" spans="1:29" ht="15">
      <c r="A243" s="250">
        <f>A240+1</f>
        <v>77</v>
      </c>
      <c r="B243" s="251"/>
      <c r="C243" s="855" t="s">
        <v>2322</v>
      </c>
      <c r="D243" s="526" t="s">
        <v>1529</v>
      </c>
      <c r="E243" s="251" t="s">
        <v>1898</v>
      </c>
      <c r="F243" s="735">
        <f>N243+R243+P243+T243+V243+X243+Z243+AB243</f>
        <v>105</v>
      </c>
      <c r="G243" s="872">
        <v>26.47</v>
      </c>
      <c r="H243" s="261">
        <f>O243+S243+Q243+U243+W243+Y243+AA243+AC243</f>
        <v>2779.3500000000004</v>
      </c>
      <c r="I243" s="251" t="s">
        <v>1898</v>
      </c>
      <c r="J243" s="872"/>
      <c r="K243" s="872"/>
      <c r="L243" s="872"/>
      <c r="M243" s="872"/>
      <c r="N243" s="258">
        <f>N217</f>
        <v>25</v>
      </c>
      <c r="O243" s="257">
        <f>INT($G243*N243*100+0.5)/100</f>
        <v>661.75</v>
      </c>
      <c r="P243" s="258">
        <f>P217</f>
        <v>0</v>
      </c>
      <c r="Q243" s="257">
        <f>INT($G243*P243*100+0.5)/100</f>
        <v>0</v>
      </c>
      <c r="R243" s="258">
        <f>R217</f>
        <v>20</v>
      </c>
      <c r="S243" s="257">
        <f>INT($G243*R243*100+0.5)/100</f>
        <v>529.4</v>
      </c>
      <c r="T243" s="257"/>
      <c r="U243" s="257"/>
      <c r="V243" s="258">
        <f>V217</f>
        <v>0</v>
      </c>
      <c r="W243" s="257">
        <f>INT($G243*V243*100+0.5)/100</f>
        <v>0</v>
      </c>
      <c r="X243" s="258">
        <f>X217</f>
        <v>60</v>
      </c>
      <c r="Y243" s="257">
        <f>INT($G243*X243*100+0.5)/100</f>
        <v>1588.2</v>
      </c>
      <c r="Z243" s="258">
        <v>0</v>
      </c>
      <c r="AA243" s="257">
        <f>INT($G243*Z243*100+0.5)/100</f>
        <v>0</v>
      </c>
      <c r="AB243" s="258">
        <v>0</v>
      </c>
      <c r="AC243" s="257">
        <f>INT($G243*AB243*100+0.5)/100</f>
        <v>0</v>
      </c>
    </row>
    <row r="244" spans="1:29" ht="15">
      <c r="A244" s="250"/>
      <c r="B244" s="251"/>
      <c r="C244" s="855"/>
      <c r="D244" s="526" t="s">
        <v>1530</v>
      </c>
      <c r="E244" s="251"/>
      <c r="F244" s="735"/>
      <c r="G244" s="872"/>
      <c r="H244" s="261"/>
      <c r="I244" s="251"/>
      <c r="J244" s="872"/>
      <c r="K244" s="872"/>
      <c r="L244" s="872"/>
      <c r="M244" s="872"/>
      <c r="N244" s="258"/>
      <c r="O244" s="257"/>
      <c r="P244" s="258"/>
      <c r="Q244" s="257"/>
      <c r="R244" s="258"/>
      <c r="S244" s="257"/>
      <c r="T244" s="257"/>
      <c r="U244" s="257"/>
      <c r="V244" s="258"/>
      <c r="W244" s="257"/>
      <c r="X244" s="258"/>
      <c r="Y244" s="257"/>
      <c r="Z244" s="258"/>
      <c r="AA244" s="257"/>
      <c r="AB244" s="258"/>
      <c r="AC244" s="257"/>
    </row>
    <row r="245" spans="1:29" ht="15">
      <c r="A245" s="250"/>
      <c r="B245" s="251"/>
      <c r="C245" s="860"/>
      <c r="D245" s="292"/>
      <c r="E245" s="251"/>
      <c r="F245" s="735"/>
      <c r="G245" s="872"/>
      <c r="H245" s="261"/>
      <c r="I245" s="251"/>
      <c r="J245" s="872"/>
      <c r="K245" s="872"/>
      <c r="L245" s="872"/>
      <c r="M245" s="872"/>
      <c r="N245" s="258"/>
      <c r="O245" s="257"/>
      <c r="P245" s="258"/>
      <c r="Q245" s="257"/>
      <c r="R245" s="258"/>
      <c r="S245" s="257"/>
      <c r="T245" s="257"/>
      <c r="U245" s="257"/>
      <c r="V245" s="258"/>
      <c r="W245" s="257"/>
      <c r="X245" s="258"/>
      <c r="Y245" s="257"/>
      <c r="Z245" s="258"/>
      <c r="AA245" s="257"/>
      <c r="AB245" s="258"/>
      <c r="AC245" s="257"/>
    </row>
    <row r="246" spans="1:29" ht="26.45" hidden="1" customHeight="1">
      <c r="A246" s="750" t="s">
        <v>2510</v>
      </c>
      <c r="B246" s="251"/>
      <c r="C246" s="855" t="s">
        <v>2323</v>
      </c>
      <c r="D246" s="526" t="s">
        <v>8</v>
      </c>
      <c r="E246" s="251" t="s">
        <v>1898</v>
      </c>
      <c r="F246" s="735">
        <f>N246+R246+P246+V246+X246+Z246+AB246</f>
        <v>0</v>
      </c>
      <c r="G246" s="872">
        <v>27.22</v>
      </c>
      <c r="H246" s="261">
        <f>O246+S246+Q246+W246+Y246+AA246+AC246</f>
        <v>0</v>
      </c>
      <c r="I246" s="251" t="s">
        <v>1898</v>
      </c>
      <c r="J246" s="872"/>
      <c r="K246" s="872"/>
      <c r="L246" s="872"/>
      <c r="M246" s="872"/>
      <c r="N246" s="258">
        <v>0</v>
      </c>
      <c r="O246" s="257">
        <f>INT($G246*N246*100+0.5)/100</f>
        <v>0</v>
      </c>
      <c r="P246" s="258">
        <v>0</v>
      </c>
      <c r="Q246" s="257">
        <f>INT($G246*P246*100+0.5)/100</f>
        <v>0</v>
      </c>
      <c r="R246" s="258">
        <v>0</v>
      </c>
      <c r="S246" s="257">
        <f>INT($G246*R246*100+0.5)/100</f>
        <v>0</v>
      </c>
      <c r="T246" s="257"/>
      <c r="U246" s="257"/>
      <c r="V246" s="258">
        <v>0</v>
      </c>
      <c r="W246" s="257">
        <f>INT($G246*V246*100+0.5)/100</f>
        <v>0</v>
      </c>
      <c r="X246" s="258">
        <v>0</v>
      </c>
      <c r="Y246" s="257">
        <f>INT($G246*X246*100+0.5)/100</f>
        <v>0</v>
      </c>
      <c r="Z246" s="258">
        <v>0</v>
      </c>
      <c r="AA246" s="257">
        <f>INT($G246*Z246*100+0.5)/100</f>
        <v>0</v>
      </c>
      <c r="AB246" s="258">
        <v>0</v>
      </c>
      <c r="AC246" s="257">
        <f>INT($G246*AB246*100+0.5)/100</f>
        <v>0</v>
      </c>
    </row>
    <row r="247" spans="1:29" ht="15.6" hidden="1" customHeight="1">
      <c r="A247" s="250"/>
      <c r="B247" s="251"/>
      <c r="C247" s="855"/>
      <c r="D247" s="526" t="s">
        <v>7</v>
      </c>
      <c r="E247" s="251"/>
      <c r="F247" s="735"/>
      <c r="G247" s="872"/>
      <c r="H247" s="261"/>
      <c r="I247" s="251"/>
      <c r="J247" s="872"/>
      <c r="K247" s="872"/>
      <c r="L247" s="872"/>
      <c r="M247" s="872"/>
      <c r="N247" s="258"/>
      <c r="O247" s="257"/>
      <c r="P247" s="258"/>
      <c r="Q247" s="257"/>
      <c r="R247" s="258"/>
      <c r="S247" s="257"/>
      <c r="T247" s="257"/>
      <c r="U247" s="257"/>
      <c r="V247" s="258"/>
      <c r="W247" s="257"/>
      <c r="X247" s="258"/>
      <c r="Y247" s="257"/>
      <c r="Z247" s="258"/>
      <c r="AA247" s="257"/>
      <c r="AB247" s="258"/>
      <c r="AC247" s="257"/>
    </row>
    <row r="248" spans="1:29" ht="15.6" hidden="1" customHeight="1">
      <c r="A248" s="250"/>
      <c r="B248" s="251"/>
      <c r="C248" s="855"/>
      <c r="D248" s="292"/>
      <c r="E248" s="251"/>
      <c r="F248" s="735"/>
      <c r="G248" s="872"/>
      <c r="H248" s="261"/>
      <c r="I248" s="251"/>
      <c r="J248" s="872"/>
      <c r="K248" s="872"/>
      <c r="L248" s="872"/>
      <c r="M248" s="872"/>
      <c r="N248" s="258"/>
      <c r="O248" s="257"/>
      <c r="P248" s="258"/>
      <c r="Q248" s="257"/>
      <c r="R248" s="258"/>
      <c r="S248" s="257"/>
      <c r="T248" s="257"/>
      <c r="U248" s="257"/>
      <c r="V248" s="258"/>
      <c r="W248" s="257"/>
      <c r="X248" s="258"/>
      <c r="Y248" s="257"/>
      <c r="Z248" s="258"/>
      <c r="AA248" s="257"/>
      <c r="AB248" s="258"/>
      <c r="AC248" s="257"/>
    </row>
    <row r="249" spans="1:29" ht="15.6" hidden="1" customHeight="1">
      <c r="A249" s="750" t="s">
        <v>2510</v>
      </c>
      <c r="B249" s="251"/>
      <c r="C249" s="855" t="s">
        <v>2324</v>
      </c>
      <c r="D249" s="526" t="s">
        <v>678</v>
      </c>
      <c r="E249" s="251" t="s">
        <v>1898</v>
      </c>
      <c r="F249" s="735">
        <f>N249+R249+P249+V249+X249+Z249+AB249</f>
        <v>0</v>
      </c>
      <c r="G249" s="872">
        <v>31.5</v>
      </c>
      <c r="H249" s="261">
        <f>O249+S249+Q249+W249+Y249+AA249+AC249</f>
        <v>0</v>
      </c>
      <c r="I249" s="251" t="s">
        <v>1898</v>
      </c>
      <c r="J249" s="872"/>
      <c r="K249" s="872"/>
      <c r="L249" s="872"/>
      <c r="M249" s="872"/>
      <c r="N249" s="258">
        <v>0</v>
      </c>
      <c r="O249" s="257">
        <f>INT($G249*N249*100+0.5)/100</f>
        <v>0</v>
      </c>
      <c r="P249" s="258">
        <v>0</v>
      </c>
      <c r="Q249" s="257">
        <f>INT($G249*P249*100+0.5)/100</f>
        <v>0</v>
      </c>
      <c r="R249" s="258">
        <v>0</v>
      </c>
      <c r="S249" s="257">
        <f>INT($G249*R249*100+0.5)/100</f>
        <v>0</v>
      </c>
      <c r="T249" s="257"/>
      <c r="U249" s="257"/>
      <c r="V249" s="258">
        <v>0</v>
      </c>
      <c r="W249" s="257">
        <f>INT($G249*V249*100+0.5)/100</f>
        <v>0</v>
      </c>
      <c r="X249" s="258">
        <v>0</v>
      </c>
      <c r="Y249" s="257">
        <f>INT($G249*X249*100+0.5)/100</f>
        <v>0</v>
      </c>
      <c r="Z249" s="258">
        <v>0</v>
      </c>
      <c r="AA249" s="257">
        <f>INT($G249*Z249*100+0.5)/100</f>
        <v>0</v>
      </c>
      <c r="AB249" s="258">
        <v>0</v>
      </c>
      <c r="AC249" s="257">
        <f>INT($G249*AB249*100+0.5)/100</f>
        <v>0</v>
      </c>
    </row>
    <row r="250" spans="1:29" ht="15.6" hidden="1" customHeight="1">
      <c r="A250" s="250"/>
      <c r="B250" s="251"/>
      <c r="C250" s="855"/>
      <c r="D250" s="526" t="s">
        <v>677</v>
      </c>
      <c r="E250" s="251"/>
      <c r="F250" s="735"/>
      <c r="G250" s="872"/>
      <c r="H250" s="261"/>
      <c r="I250" s="251"/>
      <c r="J250" s="872"/>
      <c r="K250" s="872"/>
      <c r="L250" s="872"/>
      <c r="M250" s="872"/>
      <c r="N250" s="258"/>
      <c r="O250" s="257"/>
      <c r="P250" s="258"/>
      <c r="Q250" s="257"/>
      <c r="R250" s="258"/>
      <c r="S250" s="257"/>
      <c r="T250" s="257"/>
      <c r="U250" s="257"/>
      <c r="V250" s="258"/>
      <c r="W250" s="257"/>
      <c r="X250" s="258"/>
      <c r="Y250" s="257"/>
      <c r="Z250" s="258"/>
      <c r="AA250" s="257"/>
      <c r="AB250" s="258"/>
      <c r="AC250" s="257"/>
    </row>
    <row r="251" spans="1:29" ht="15.6" hidden="1" customHeight="1">
      <c r="A251" s="250"/>
      <c r="B251" s="251"/>
      <c r="C251" s="861"/>
      <c r="D251" s="292"/>
      <c r="E251" s="251"/>
      <c r="F251" s="735"/>
      <c r="G251" s="872"/>
      <c r="H251" s="261"/>
      <c r="I251" s="251"/>
      <c r="J251" s="872"/>
      <c r="K251" s="872"/>
      <c r="L251" s="872"/>
      <c r="M251" s="872"/>
      <c r="N251" s="258"/>
      <c r="O251" s="257"/>
      <c r="P251" s="258"/>
      <c r="Q251" s="257"/>
      <c r="R251" s="258"/>
      <c r="S251" s="257"/>
      <c r="T251" s="257"/>
      <c r="U251" s="257"/>
      <c r="V251" s="258"/>
      <c r="W251" s="257"/>
      <c r="X251" s="258"/>
      <c r="Y251" s="257"/>
      <c r="Z251" s="258"/>
      <c r="AA251" s="257"/>
      <c r="AB251" s="258"/>
      <c r="AC251" s="257"/>
    </row>
    <row r="252" spans="1:29" ht="15.6" hidden="1" customHeight="1">
      <c r="A252" s="750" t="s">
        <v>2510</v>
      </c>
      <c r="B252" s="251"/>
      <c r="C252" s="855" t="s">
        <v>2325</v>
      </c>
      <c r="D252" s="526" t="s">
        <v>680</v>
      </c>
      <c r="E252" s="251" t="s">
        <v>2475</v>
      </c>
      <c r="F252" s="735">
        <f>N252+R252+P252+V252+X252+Z252+AB252</f>
        <v>0</v>
      </c>
      <c r="G252" s="872">
        <v>8.4</v>
      </c>
      <c r="H252" s="261">
        <f>O252+S252+Q252+W252+Y252+AA252+AC252</f>
        <v>0</v>
      </c>
      <c r="I252" s="251" t="s">
        <v>2475</v>
      </c>
      <c r="J252" s="872"/>
      <c r="K252" s="872"/>
      <c r="L252" s="872"/>
      <c r="M252" s="872"/>
      <c r="N252" s="258">
        <v>0</v>
      </c>
      <c r="O252" s="257">
        <f>INT($G252*N252*100+0.5)/100</f>
        <v>0</v>
      </c>
      <c r="P252" s="258">
        <v>0</v>
      </c>
      <c r="Q252" s="257">
        <f>INT($G252*P252*100+0.5)/100</f>
        <v>0</v>
      </c>
      <c r="R252" s="258">
        <v>0</v>
      </c>
      <c r="S252" s="257">
        <f>INT($G252*R252*100+0.5)/100</f>
        <v>0</v>
      </c>
      <c r="T252" s="257"/>
      <c r="U252" s="257"/>
      <c r="V252" s="258">
        <v>0</v>
      </c>
      <c r="W252" s="257">
        <f>INT($G252*V252*100+0.5)/100</f>
        <v>0</v>
      </c>
      <c r="X252" s="258">
        <v>0</v>
      </c>
      <c r="Y252" s="257">
        <f>INT($G252*X252*100+0.5)/100</f>
        <v>0</v>
      </c>
      <c r="Z252" s="258">
        <v>0</v>
      </c>
      <c r="AA252" s="257">
        <f>INT($G252*Z252*100+0.5)/100</f>
        <v>0</v>
      </c>
      <c r="AB252" s="258">
        <v>0</v>
      </c>
      <c r="AC252" s="257">
        <f>INT($G252*AB252*100+0.5)/100</f>
        <v>0</v>
      </c>
    </row>
    <row r="253" spans="1:29" ht="15.6" hidden="1" customHeight="1">
      <c r="A253" s="250"/>
      <c r="B253" s="251"/>
      <c r="C253" s="855"/>
      <c r="D253" s="526" t="s">
        <v>679</v>
      </c>
      <c r="E253" s="251"/>
      <c r="F253" s="735"/>
      <c r="G253" s="872"/>
      <c r="H253" s="261"/>
      <c r="I253" s="251"/>
      <c r="J253" s="872"/>
      <c r="K253" s="872"/>
      <c r="L253" s="872"/>
      <c r="M253" s="872"/>
      <c r="N253" s="258"/>
      <c r="O253" s="257"/>
      <c r="P253" s="258"/>
      <c r="Q253" s="257"/>
      <c r="R253" s="258"/>
      <c r="S253" s="257"/>
      <c r="T253" s="257"/>
      <c r="U253" s="257"/>
      <c r="V253" s="258"/>
      <c r="W253" s="257"/>
      <c r="X253" s="258"/>
      <c r="Y253" s="257"/>
      <c r="Z253" s="258"/>
      <c r="AA253" s="257"/>
      <c r="AB253" s="258"/>
      <c r="AC253" s="257"/>
    </row>
    <row r="254" spans="1:29" ht="15.6" hidden="1" customHeight="1">
      <c r="A254" s="250"/>
      <c r="B254" s="251"/>
      <c r="C254" s="855"/>
      <c r="D254" s="292"/>
      <c r="E254" s="251"/>
      <c r="F254" s="735"/>
      <c r="G254" s="872"/>
      <c r="H254" s="261"/>
      <c r="I254" s="251"/>
      <c r="J254" s="872"/>
      <c r="K254" s="872"/>
      <c r="L254" s="872"/>
      <c r="M254" s="872"/>
      <c r="N254" s="258"/>
      <c r="O254" s="257"/>
      <c r="P254" s="258"/>
      <c r="Q254" s="257"/>
      <c r="R254" s="258"/>
      <c r="S254" s="257"/>
      <c r="T254" s="257"/>
      <c r="U254" s="257"/>
      <c r="V254" s="258"/>
      <c r="W254" s="257"/>
      <c r="X254" s="258"/>
      <c r="Y254" s="257"/>
      <c r="Z254" s="258"/>
      <c r="AA254" s="257"/>
      <c r="AB254" s="258"/>
      <c r="AC254" s="257"/>
    </row>
    <row r="255" spans="1:29" ht="15">
      <c r="A255" s="250">
        <f>A243+1</f>
        <v>78</v>
      </c>
      <c r="B255" s="251"/>
      <c r="C255" s="864" t="s">
        <v>1321</v>
      </c>
      <c r="D255" s="532" t="s">
        <v>1531</v>
      </c>
      <c r="E255" s="251" t="s">
        <v>1901</v>
      </c>
      <c r="F255" s="735"/>
      <c r="G255" s="872"/>
      <c r="H255" s="261"/>
      <c r="I255" s="251" t="s">
        <v>1901</v>
      </c>
      <c r="J255" s="872"/>
      <c r="K255" s="872"/>
      <c r="L255" s="872"/>
      <c r="M255" s="872"/>
      <c r="N255" s="258"/>
      <c r="O255" s="257"/>
      <c r="P255" s="258"/>
      <c r="Q255" s="257"/>
      <c r="R255" s="258"/>
      <c r="S255" s="257"/>
      <c r="T255" s="257"/>
      <c r="U255" s="257"/>
      <c r="V255" s="258"/>
      <c r="W255" s="257"/>
      <c r="X255" s="258"/>
      <c r="Y255" s="257"/>
      <c r="Z255" s="258"/>
      <c r="AA255" s="257"/>
      <c r="AB255" s="258"/>
      <c r="AC255" s="257"/>
    </row>
    <row r="256" spans="1:29" ht="15">
      <c r="A256" s="250"/>
      <c r="B256" s="251"/>
      <c r="C256" s="855"/>
      <c r="D256" s="532" t="s">
        <v>2457</v>
      </c>
      <c r="E256" s="251"/>
      <c r="F256" s="735"/>
      <c r="G256" s="872"/>
      <c r="H256" s="261"/>
      <c r="I256" s="251"/>
      <c r="J256" s="872"/>
      <c r="K256" s="872"/>
      <c r="L256" s="872"/>
      <c r="M256" s="872"/>
      <c r="N256" s="258"/>
      <c r="O256" s="257"/>
      <c r="P256" s="258"/>
      <c r="Q256" s="257"/>
      <c r="R256" s="258"/>
      <c r="S256" s="257"/>
      <c r="T256" s="257"/>
      <c r="U256" s="257"/>
      <c r="V256" s="258"/>
      <c r="W256" s="257"/>
      <c r="X256" s="258"/>
      <c r="Y256" s="257"/>
      <c r="Z256" s="258"/>
      <c r="AA256" s="257"/>
      <c r="AB256" s="258"/>
      <c r="AC256" s="257"/>
    </row>
    <row r="257" spans="1:29" ht="15">
      <c r="A257" s="250"/>
      <c r="B257" s="251"/>
      <c r="C257" s="855"/>
      <c r="D257" s="774" t="s">
        <v>2458</v>
      </c>
      <c r="E257" s="251"/>
      <c r="F257" s="735"/>
      <c r="G257" s="872"/>
      <c r="H257" s="261"/>
      <c r="I257" s="251"/>
      <c r="J257" s="872"/>
      <c r="K257" s="872"/>
      <c r="L257" s="872"/>
      <c r="M257" s="872"/>
      <c r="N257" s="257">
        <f>3+2+1</f>
        <v>6</v>
      </c>
      <c r="O257" s="257"/>
      <c r="P257" s="258"/>
      <c r="Q257" s="257"/>
      <c r="R257" s="258"/>
      <c r="S257" s="257"/>
      <c r="T257" s="257"/>
      <c r="U257" s="257"/>
      <c r="V257" s="258"/>
      <c r="W257" s="257"/>
      <c r="X257" s="258"/>
      <c r="Y257" s="257"/>
      <c r="Z257" s="258"/>
      <c r="AA257" s="257"/>
      <c r="AB257" s="258"/>
      <c r="AC257" s="257"/>
    </row>
    <row r="258" spans="1:29" ht="15">
      <c r="A258" s="250"/>
      <c r="B258" s="251"/>
      <c r="C258" s="855"/>
      <c r="D258" s="774" t="s">
        <v>990</v>
      </c>
      <c r="E258" s="251"/>
      <c r="F258" s="735"/>
      <c r="G258" s="872"/>
      <c r="H258" s="261"/>
      <c r="I258" s="251"/>
      <c r="J258" s="872"/>
      <c r="K258" s="872"/>
      <c r="L258" s="872"/>
      <c r="M258" s="872"/>
      <c r="N258" s="257">
        <f>13+6+9</f>
        <v>28</v>
      </c>
      <c r="O258" s="257"/>
      <c r="P258" s="258"/>
      <c r="Q258" s="257"/>
      <c r="R258" s="258"/>
      <c r="S258" s="257"/>
      <c r="T258" s="257"/>
      <c r="U258" s="257"/>
      <c r="V258" s="258"/>
      <c r="W258" s="257"/>
      <c r="X258" s="258"/>
      <c r="Y258" s="257"/>
      <c r="Z258" s="258"/>
      <c r="AA258" s="257"/>
      <c r="AB258" s="258"/>
      <c r="AC258" s="257"/>
    </row>
    <row r="259" spans="1:29" ht="15">
      <c r="A259" s="250"/>
      <c r="B259" s="251"/>
      <c r="C259" s="855"/>
      <c r="D259" s="774" t="s">
        <v>2459</v>
      </c>
      <c r="E259" s="251"/>
      <c r="F259" s="735"/>
      <c r="G259" s="872"/>
      <c r="H259" s="261"/>
      <c r="I259" s="251"/>
      <c r="J259" s="872"/>
      <c r="K259" s="872"/>
      <c r="L259" s="872"/>
      <c r="M259" s="872"/>
      <c r="N259" s="257">
        <v>2</v>
      </c>
      <c r="O259" s="257"/>
      <c r="P259" s="258"/>
      <c r="Q259" s="257"/>
      <c r="R259" s="258"/>
      <c r="S259" s="257"/>
      <c r="T259" s="257"/>
      <c r="U259" s="257"/>
      <c r="V259" s="258"/>
      <c r="W259" s="257"/>
      <c r="X259" s="258"/>
      <c r="Y259" s="257"/>
      <c r="Z259" s="258"/>
      <c r="AA259" s="257"/>
      <c r="AB259" s="258"/>
      <c r="AC259" s="257"/>
    </row>
    <row r="260" spans="1:29" ht="15">
      <c r="A260" s="250"/>
      <c r="B260" s="251"/>
      <c r="C260" s="855"/>
      <c r="D260" s="774" t="s">
        <v>2476</v>
      </c>
      <c r="E260" s="251"/>
      <c r="F260" s="735"/>
      <c r="G260" s="872"/>
      <c r="H260" s="261"/>
      <c r="I260" s="251"/>
      <c r="J260" s="872"/>
      <c r="K260" s="872"/>
      <c r="L260" s="872"/>
      <c r="M260" s="872"/>
      <c r="N260" s="257">
        <f>3*3</f>
        <v>9</v>
      </c>
      <c r="O260" s="257"/>
      <c r="P260" s="258"/>
      <c r="Q260" s="257"/>
      <c r="R260" s="258"/>
      <c r="S260" s="257"/>
      <c r="T260" s="257"/>
      <c r="U260" s="257"/>
      <c r="V260" s="258"/>
      <c r="W260" s="257"/>
      <c r="X260" s="258"/>
      <c r="Y260" s="257"/>
      <c r="Z260" s="258"/>
      <c r="AA260" s="257"/>
      <c r="AB260" s="258"/>
      <c r="AC260" s="257"/>
    </row>
    <row r="261" spans="1:29" ht="15">
      <c r="A261" s="250"/>
      <c r="B261" s="251"/>
      <c r="C261" s="855"/>
      <c r="D261" s="834" t="s">
        <v>2477</v>
      </c>
      <c r="E261" s="251"/>
      <c r="F261" s="735"/>
      <c r="G261" s="872"/>
      <c r="H261" s="261"/>
      <c r="I261" s="251"/>
      <c r="J261" s="872"/>
      <c r="K261" s="872"/>
      <c r="L261" s="872"/>
      <c r="M261" s="872"/>
      <c r="N261" s="294">
        <f>1*4</f>
        <v>4</v>
      </c>
      <c r="O261" s="257"/>
      <c r="P261" s="258"/>
      <c r="Q261" s="257"/>
      <c r="R261" s="258"/>
      <c r="S261" s="257"/>
      <c r="T261" s="257"/>
      <c r="U261" s="257"/>
      <c r="V261" s="258"/>
      <c r="W261" s="257"/>
      <c r="X261" s="258"/>
      <c r="Y261" s="257"/>
      <c r="Z261" s="258"/>
      <c r="AA261" s="257"/>
      <c r="AB261" s="258"/>
      <c r="AC261" s="257"/>
    </row>
    <row r="262" spans="1:29" ht="15">
      <c r="A262" s="250"/>
      <c r="B262" s="251"/>
      <c r="C262" s="855"/>
      <c r="D262" s="774" t="s">
        <v>1900</v>
      </c>
      <c r="E262" s="251"/>
      <c r="F262" s="735">
        <f>N262+R262+P262+T262+V262+X262+Z262+AB262</f>
        <v>49</v>
      </c>
      <c r="G262" s="872">
        <v>54.88</v>
      </c>
      <c r="H262" s="261">
        <f>O262+S262+Q262+U262+W262+Y262+AA262+AC262</f>
        <v>2689.12</v>
      </c>
      <c r="I262" s="251"/>
      <c r="J262" s="872"/>
      <c r="K262" s="872"/>
      <c r="L262" s="872"/>
      <c r="M262" s="872"/>
      <c r="N262" s="258">
        <f>SUM(N257:N261)</f>
        <v>49</v>
      </c>
      <c r="O262" s="257">
        <f>INT($G262*N262*100+0.5)/100</f>
        <v>2689.12</v>
      </c>
      <c r="P262" s="258">
        <v>0</v>
      </c>
      <c r="Q262" s="257">
        <f>INT($G262*P262*100+0.5)/100</f>
        <v>0</v>
      </c>
      <c r="R262" s="258">
        <v>0</v>
      </c>
      <c r="S262" s="257">
        <f>INT($G262*R262*100+0.5)/100</f>
        <v>0</v>
      </c>
      <c r="T262" s="257"/>
      <c r="U262" s="257"/>
      <c r="V262" s="258">
        <v>0</v>
      </c>
      <c r="W262" s="257">
        <f>INT($G262*V262*100+0.5)/100</f>
        <v>0</v>
      </c>
      <c r="X262" s="258">
        <v>0</v>
      </c>
      <c r="Y262" s="257">
        <f>INT($G262*X262*100+0.5)/100</f>
        <v>0</v>
      </c>
      <c r="Z262" s="258">
        <v>0</v>
      </c>
      <c r="AA262" s="257">
        <f>INT($G262*Z262*100+0.5)/100</f>
        <v>0</v>
      </c>
      <c r="AB262" s="258">
        <v>0</v>
      </c>
      <c r="AC262" s="257">
        <f>INT($G262*AB262*100+0.5)/100</f>
        <v>0</v>
      </c>
    </row>
    <row r="263" spans="1:29" ht="15">
      <c r="A263" s="250"/>
      <c r="B263" s="251"/>
      <c r="C263" s="855"/>
      <c r="D263" s="526"/>
      <c r="E263" s="251"/>
      <c r="F263" s="735"/>
      <c r="G263" s="872"/>
      <c r="H263" s="261"/>
      <c r="I263" s="251"/>
      <c r="J263" s="872"/>
      <c r="K263" s="872"/>
      <c r="L263" s="872"/>
      <c r="M263" s="872"/>
      <c r="N263" s="258"/>
      <c r="O263" s="257"/>
      <c r="P263" s="258"/>
      <c r="Q263" s="257"/>
      <c r="R263" s="258"/>
      <c r="S263" s="257"/>
      <c r="T263" s="257"/>
      <c r="U263" s="257"/>
      <c r="V263" s="258"/>
      <c r="W263" s="257"/>
      <c r="X263" s="258"/>
      <c r="Y263" s="257"/>
      <c r="Z263" s="258"/>
      <c r="AA263" s="257"/>
      <c r="AB263" s="258"/>
      <c r="AC263" s="257"/>
    </row>
    <row r="264" spans="1:29" ht="15">
      <c r="A264" s="250">
        <f>A255+1</f>
        <v>79</v>
      </c>
      <c r="B264" s="251"/>
      <c r="C264" s="855" t="s">
        <v>2326</v>
      </c>
      <c r="D264" s="526" t="s">
        <v>1540</v>
      </c>
      <c r="E264" s="251" t="s">
        <v>2475</v>
      </c>
      <c r="F264" s="735"/>
      <c r="G264" s="872"/>
      <c r="H264" s="261"/>
      <c r="I264" s="251" t="s">
        <v>2475</v>
      </c>
      <c r="J264" s="872"/>
      <c r="K264" s="872"/>
      <c r="L264" s="872"/>
      <c r="M264" s="872"/>
      <c r="N264" s="258"/>
      <c r="O264" s="257"/>
      <c r="P264" s="258"/>
      <c r="Q264" s="257"/>
      <c r="R264" s="258"/>
      <c r="S264" s="257"/>
      <c r="T264" s="257"/>
      <c r="U264" s="257"/>
      <c r="V264" s="258"/>
      <c r="W264" s="257"/>
      <c r="X264" s="258"/>
      <c r="Y264" s="257"/>
      <c r="Z264" s="258"/>
      <c r="AA264" s="257"/>
      <c r="AB264" s="258"/>
      <c r="AC264" s="257"/>
    </row>
    <row r="265" spans="1:29" ht="15">
      <c r="A265" s="250"/>
      <c r="B265" s="251"/>
      <c r="C265" s="855"/>
      <c r="D265" s="526" t="s">
        <v>1539</v>
      </c>
      <c r="E265" s="251"/>
      <c r="F265" s="735"/>
      <c r="G265" s="872"/>
      <c r="H265" s="261"/>
      <c r="I265" s="251"/>
      <c r="J265" s="872"/>
      <c r="K265" s="872"/>
      <c r="L265" s="872"/>
      <c r="M265" s="872"/>
      <c r="N265" s="258"/>
      <c r="O265" s="257"/>
      <c r="P265" s="258"/>
      <c r="Q265" s="257"/>
      <c r="R265" s="258"/>
      <c r="S265" s="257"/>
      <c r="T265" s="257"/>
      <c r="U265" s="257"/>
      <c r="V265" s="258"/>
      <c r="W265" s="257"/>
      <c r="X265" s="258"/>
      <c r="Y265" s="257"/>
      <c r="Z265" s="258"/>
      <c r="AA265" s="257"/>
      <c r="AB265" s="258"/>
      <c r="AC265" s="257"/>
    </row>
    <row r="266" spans="1:29" ht="15">
      <c r="A266" s="250"/>
      <c r="B266" s="251"/>
      <c r="C266" s="860"/>
      <c r="D266" s="830" t="s">
        <v>2498</v>
      </c>
      <c r="E266" s="251"/>
      <c r="F266" s="735"/>
      <c r="G266" s="872"/>
      <c r="H266" s="261"/>
      <c r="I266" s="251"/>
      <c r="J266" s="872"/>
      <c r="K266" s="872"/>
      <c r="L266" s="872"/>
      <c r="M266" s="872"/>
      <c r="N266" s="258"/>
      <c r="O266" s="257"/>
      <c r="P266" s="258"/>
      <c r="Q266" s="257"/>
      <c r="R266" s="258"/>
      <c r="S266" s="257"/>
      <c r="T266" s="257"/>
      <c r="U266" s="257"/>
      <c r="V266" s="258"/>
      <c r="W266" s="257"/>
      <c r="X266" s="258">
        <v>90</v>
      </c>
      <c r="Y266" s="257"/>
      <c r="Z266" s="258"/>
      <c r="AA266" s="257"/>
      <c r="AB266" s="258"/>
      <c r="AC266" s="257"/>
    </row>
    <row r="267" spans="1:29" ht="15">
      <c r="A267" s="250"/>
      <c r="B267" s="251"/>
      <c r="C267" s="860"/>
      <c r="D267" s="830" t="s">
        <v>2511</v>
      </c>
      <c r="E267" s="251"/>
      <c r="F267" s="735"/>
      <c r="G267" s="872"/>
      <c r="H267" s="261"/>
      <c r="I267" s="251"/>
      <c r="J267" s="872"/>
      <c r="K267" s="872"/>
      <c r="L267" s="872"/>
      <c r="M267" s="872"/>
      <c r="N267" s="258"/>
      <c r="O267" s="257"/>
      <c r="P267" s="258"/>
      <c r="Q267" s="257"/>
      <c r="R267" s="258"/>
      <c r="S267" s="257"/>
      <c r="T267" s="257"/>
      <c r="U267" s="257"/>
      <c r="V267" s="258"/>
      <c r="W267" s="257"/>
      <c r="X267" s="258"/>
      <c r="Y267" s="257"/>
      <c r="Z267" s="258"/>
      <c r="AA267" s="257"/>
      <c r="AB267" s="258"/>
      <c r="AC267" s="257"/>
    </row>
    <row r="268" spans="1:29" ht="15">
      <c r="A268" s="250"/>
      <c r="B268" s="251"/>
      <c r="C268" s="860"/>
      <c r="D268" s="830" t="s">
        <v>2512</v>
      </c>
      <c r="E268" s="251"/>
      <c r="F268" s="735"/>
      <c r="G268" s="872"/>
      <c r="H268" s="261"/>
      <c r="I268" s="251"/>
      <c r="J268" s="872"/>
      <c r="K268" s="872"/>
      <c r="L268" s="872"/>
      <c r="M268" s="872"/>
      <c r="N268" s="258"/>
      <c r="O268" s="257"/>
      <c r="P268" s="258"/>
      <c r="Q268" s="257"/>
      <c r="R268" s="258"/>
      <c r="S268" s="257"/>
      <c r="T268" s="257"/>
      <c r="U268" s="257"/>
      <c r="V268" s="258"/>
      <c r="W268" s="257"/>
      <c r="X268" s="258"/>
      <c r="Y268" s="257"/>
      <c r="Z268" s="258"/>
      <c r="AA268" s="257"/>
      <c r="AB268" s="258"/>
      <c r="AC268" s="257"/>
    </row>
    <row r="269" spans="1:29" ht="15">
      <c r="A269" s="250"/>
      <c r="B269" s="251"/>
      <c r="C269" s="860"/>
      <c r="D269" s="833" t="s">
        <v>1899</v>
      </c>
      <c r="E269" s="251"/>
      <c r="F269" s="735"/>
      <c r="G269" s="874"/>
      <c r="H269" s="261"/>
      <c r="I269" s="251"/>
      <c r="J269" s="874"/>
      <c r="K269" s="874"/>
      <c r="L269" s="874"/>
      <c r="M269" s="874"/>
      <c r="N269" s="293"/>
      <c r="O269" s="294"/>
      <c r="P269" s="293"/>
      <c r="Q269" s="294"/>
      <c r="R269" s="293"/>
      <c r="S269" s="294"/>
      <c r="T269" s="294"/>
      <c r="U269" s="294"/>
      <c r="V269" s="293"/>
      <c r="W269" s="294"/>
      <c r="X269" s="293">
        <v>10</v>
      </c>
      <c r="Y269" s="294"/>
      <c r="Z269" s="293"/>
      <c r="AA269" s="294"/>
      <c r="AB269" s="293"/>
      <c r="AC269" s="294"/>
    </row>
    <row r="270" spans="1:29" ht="15">
      <c r="A270" s="250"/>
      <c r="B270" s="251"/>
      <c r="C270" s="860"/>
      <c r="D270" s="774" t="s">
        <v>1900</v>
      </c>
      <c r="E270" s="251"/>
      <c r="F270" s="735">
        <f>N270+R270+P270+T270+V270+X270+Z270+AB270</f>
        <v>100</v>
      </c>
      <c r="G270" s="872">
        <v>33.630000000000003</v>
      </c>
      <c r="H270" s="261">
        <f>O270+S270+Q270+U270+W270+Y270+AA270+AC270</f>
        <v>3363</v>
      </c>
      <c r="I270" s="251"/>
      <c r="J270" s="872"/>
      <c r="K270" s="872"/>
      <c r="L270" s="872"/>
      <c r="M270" s="872"/>
      <c r="N270" s="258">
        <f>N229</f>
        <v>0</v>
      </c>
      <c r="O270" s="257">
        <f>INT($G270*N270*100+0.5)/100</f>
        <v>0</v>
      </c>
      <c r="P270" s="258">
        <f>SUM(P266:P268)</f>
        <v>0</v>
      </c>
      <c r="Q270" s="257">
        <f>INT($G270*P270*100+0.5)/100</f>
        <v>0</v>
      </c>
      <c r="R270" s="258">
        <f>SUM(R266:R268)</f>
        <v>0</v>
      </c>
      <c r="S270" s="257">
        <f>INT($G270*R270*100+0.5)/100</f>
        <v>0</v>
      </c>
      <c r="T270" s="257"/>
      <c r="U270" s="257"/>
      <c r="V270" s="258">
        <f>SUM(V266:V268)</f>
        <v>0</v>
      </c>
      <c r="W270" s="257">
        <f>INT($G270*V270*100+0.5)/100</f>
        <v>0</v>
      </c>
      <c r="X270" s="258">
        <f>SUM(X266:X269)</f>
        <v>100</v>
      </c>
      <c r="Y270" s="257">
        <f>INT($G270*X270*100+0.5)/100</f>
        <v>3363</v>
      </c>
      <c r="Z270" s="258">
        <f>SUM(Z266:Z268)</f>
        <v>0</v>
      </c>
      <c r="AA270" s="257">
        <f>INT($G270*Z270*100+0.5)/100</f>
        <v>0</v>
      </c>
      <c r="AB270" s="258">
        <f>SUM(AB266:AB268)</f>
        <v>0</v>
      </c>
      <c r="AC270" s="257">
        <f>INT($G270*AB270*100+0.5)/100</f>
        <v>0</v>
      </c>
    </row>
    <row r="271" spans="1:29" ht="15">
      <c r="A271" s="250"/>
      <c r="B271" s="251"/>
      <c r="C271" s="855"/>
      <c r="D271" s="292"/>
      <c r="E271" s="251"/>
      <c r="F271" s="735"/>
      <c r="G271" s="872"/>
      <c r="H271" s="261"/>
      <c r="I271" s="251"/>
      <c r="J271" s="872"/>
      <c r="K271" s="872"/>
      <c r="L271" s="872"/>
      <c r="M271" s="872"/>
      <c r="N271" s="258"/>
      <c r="O271" s="257"/>
      <c r="P271" s="258"/>
      <c r="Q271" s="257"/>
      <c r="R271" s="258"/>
      <c r="S271" s="257"/>
      <c r="T271" s="257"/>
      <c r="U271" s="257"/>
      <c r="V271" s="258"/>
      <c r="W271" s="257"/>
      <c r="X271" s="258"/>
      <c r="Y271" s="257"/>
      <c r="Z271" s="258"/>
      <c r="AA271" s="257"/>
      <c r="AB271" s="258"/>
      <c r="AC271" s="257"/>
    </row>
    <row r="272" spans="1:29" s="303" customFormat="1" ht="30">
      <c r="A272" s="298"/>
      <c r="B272" s="299"/>
      <c r="C272" s="885">
        <v>53</v>
      </c>
      <c r="D272" s="333" t="s">
        <v>1447</v>
      </c>
      <c r="E272" s="299"/>
      <c r="F272" s="782"/>
      <c r="G272" s="875"/>
      <c r="H272" s="271">
        <f>O272+S272+Q272+U272+W272+Y272+AA272+AC272</f>
        <v>33801.39</v>
      </c>
      <c r="I272" s="299"/>
      <c r="J272" s="875"/>
      <c r="K272" s="875"/>
      <c r="L272" s="875"/>
      <c r="M272" s="875"/>
      <c r="N272" s="273"/>
      <c r="O272" s="273">
        <f>SUM(O179:O271)</f>
        <v>8444.630000000001</v>
      </c>
      <c r="P272" s="273"/>
      <c r="Q272" s="273">
        <f>SUM(Q179:Q271)</f>
        <v>1982.08</v>
      </c>
      <c r="R272" s="273"/>
      <c r="S272" s="273">
        <f>SUM(S179:S271)</f>
        <v>3525.29</v>
      </c>
      <c r="T272" s="273"/>
      <c r="U272" s="273">
        <f>SUM(U179:U271)</f>
        <v>263.85000000000002</v>
      </c>
      <c r="V272" s="273"/>
      <c r="W272" s="273">
        <f>SUM(W179:W271)</f>
        <v>0</v>
      </c>
      <c r="X272" s="273"/>
      <c r="Y272" s="273">
        <f>SUM(Y179:Y271)</f>
        <v>18764.740000000002</v>
      </c>
      <c r="Z272" s="273"/>
      <c r="AA272" s="273">
        <f>SUM(AA179:AA271)</f>
        <v>272.2</v>
      </c>
      <c r="AB272" s="273"/>
      <c r="AC272" s="273">
        <f>SUM(AC179:AC271)</f>
        <v>548.6</v>
      </c>
    </row>
    <row r="273" spans="1:29" ht="15">
      <c r="A273" s="250"/>
      <c r="B273" s="251"/>
      <c r="C273" s="855"/>
      <c r="D273" s="526"/>
      <c r="E273" s="251"/>
      <c r="F273" s="735"/>
      <c r="G273" s="872"/>
      <c r="H273" s="261"/>
      <c r="I273" s="251"/>
      <c r="J273" s="872"/>
      <c r="K273" s="872"/>
      <c r="L273" s="872"/>
      <c r="M273" s="872"/>
      <c r="N273" s="258"/>
      <c r="O273" s="257"/>
      <c r="P273" s="258"/>
      <c r="Q273" s="257"/>
      <c r="R273" s="258"/>
      <c r="S273" s="257"/>
      <c r="T273" s="257"/>
      <c r="U273" s="257"/>
      <c r="V273" s="258"/>
      <c r="W273" s="257"/>
      <c r="X273" s="258"/>
      <c r="Y273" s="257"/>
      <c r="Z273" s="258"/>
      <c r="AA273" s="257"/>
      <c r="AB273" s="258"/>
      <c r="AC273" s="257"/>
    </row>
    <row r="274" spans="1:29" ht="25.5">
      <c r="A274" s="250"/>
      <c r="B274" s="251"/>
      <c r="C274" s="859" t="s">
        <v>1448</v>
      </c>
      <c r="D274" s="747" t="s">
        <v>1449</v>
      </c>
      <c r="E274" s="251"/>
      <c r="F274" s="735"/>
      <c r="G274" s="872"/>
      <c r="H274" s="261"/>
      <c r="I274" s="251"/>
      <c r="J274" s="872"/>
      <c r="K274" s="872"/>
      <c r="L274" s="872"/>
      <c r="M274" s="872"/>
      <c r="N274" s="258"/>
      <c r="O274" s="257"/>
      <c r="P274" s="258"/>
      <c r="Q274" s="257"/>
      <c r="R274" s="258"/>
      <c r="S274" s="257"/>
      <c r="T274" s="257"/>
      <c r="U274" s="257"/>
      <c r="V274" s="258"/>
      <c r="W274" s="257"/>
      <c r="X274" s="258"/>
      <c r="Y274" s="257"/>
      <c r="Z274" s="258"/>
      <c r="AA274" s="257"/>
      <c r="AB274" s="258"/>
      <c r="AC274" s="257"/>
    </row>
    <row r="275" spans="1:29" ht="25.5">
      <c r="A275" s="250">
        <f>A264+1</f>
        <v>80</v>
      </c>
      <c r="B275" s="251"/>
      <c r="C275" s="864" t="s">
        <v>2329</v>
      </c>
      <c r="D275" s="292" t="s">
        <v>2881</v>
      </c>
      <c r="E275" s="251" t="s">
        <v>2461</v>
      </c>
      <c r="F275" s="735"/>
      <c r="G275" s="872"/>
      <c r="H275" s="261"/>
      <c r="I275" s="251" t="s">
        <v>2461</v>
      </c>
      <c r="J275" s="872"/>
      <c r="K275" s="872"/>
      <c r="L275" s="872"/>
      <c r="M275" s="872"/>
      <c r="N275" s="258"/>
      <c r="O275" s="257"/>
      <c r="P275" s="258"/>
      <c r="Q275" s="257"/>
      <c r="R275" s="258"/>
      <c r="S275" s="257"/>
      <c r="T275" s="257"/>
      <c r="U275" s="257"/>
      <c r="V275" s="258"/>
      <c r="W275" s="245"/>
      <c r="X275" s="258"/>
      <c r="Y275" s="257"/>
      <c r="Z275" s="258"/>
      <c r="AA275" s="245"/>
      <c r="AB275" s="258"/>
      <c r="AC275" s="245"/>
    </row>
    <row r="276" spans="1:29" ht="25.5">
      <c r="A276" s="250"/>
      <c r="B276" s="251"/>
      <c r="C276" s="860"/>
      <c r="D276" s="292" t="s">
        <v>992</v>
      </c>
      <c r="E276" s="251"/>
      <c r="F276" s="735"/>
      <c r="G276" s="872"/>
      <c r="H276" s="261"/>
      <c r="I276" s="251"/>
      <c r="J276" s="872"/>
      <c r="K276" s="872"/>
      <c r="L276" s="872"/>
      <c r="M276" s="872"/>
      <c r="N276" s="258"/>
      <c r="O276" s="257"/>
      <c r="P276" s="258"/>
      <c r="Q276" s="257"/>
      <c r="R276" s="258"/>
      <c r="S276" s="772"/>
      <c r="T276" s="257"/>
      <c r="U276" s="257"/>
      <c r="V276" s="258"/>
      <c r="W276" s="245"/>
      <c r="X276" s="258"/>
      <c r="Y276" s="257"/>
      <c r="Z276" s="258"/>
      <c r="AA276" s="245"/>
      <c r="AB276" s="258"/>
      <c r="AC276" s="245"/>
    </row>
    <row r="277" spans="1:29" ht="15">
      <c r="A277" s="250"/>
      <c r="B277" s="251"/>
      <c r="C277" s="860"/>
      <c r="D277" s="830" t="s">
        <v>2498</v>
      </c>
      <c r="E277" s="251"/>
      <c r="F277" s="735"/>
      <c r="G277" s="872"/>
      <c r="H277" s="261"/>
      <c r="I277" s="251"/>
      <c r="J277" s="872"/>
      <c r="K277" s="872"/>
      <c r="L277" s="872"/>
      <c r="M277" s="872"/>
      <c r="N277" s="257">
        <f>(90)*0.7*1.6</f>
        <v>100.8</v>
      </c>
      <c r="O277" s="257"/>
      <c r="P277" s="257">
        <f>(90)*1.3*1.5</f>
        <v>175.5</v>
      </c>
      <c r="Q277" s="772"/>
      <c r="R277" s="257">
        <f>(90)*2</f>
        <v>180</v>
      </c>
      <c r="S277" s="772"/>
      <c r="T277" s="257"/>
      <c r="U277" s="257"/>
      <c r="V277" s="258"/>
      <c r="W277" s="245"/>
      <c r="X277" s="258">
        <f>(90)*1.5*0.3</f>
        <v>40.5</v>
      </c>
      <c r="Y277" s="257"/>
      <c r="Z277" s="258"/>
      <c r="AA277" s="245"/>
      <c r="AB277" s="258">
        <f>(90)*(2)*0.7</f>
        <v>125.99999999999999</v>
      </c>
      <c r="AC277" s="245"/>
    </row>
    <row r="278" spans="1:29" ht="15">
      <c r="A278" s="250"/>
      <c r="B278" s="251"/>
      <c r="C278" s="860"/>
      <c r="D278" s="830" t="s">
        <v>2516</v>
      </c>
      <c r="E278" s="251"/>
      <c r="F278" s="735"/>
      <c r="G278" s="872"/>
      <c r="H278" s="261"/>
      <c r="I278" s="251"/>
      <c r="J278" s="872"/>
      <c r="K278" s="872"/>
      <c r="L278" s="872"/>
      <c r="M278" s="872"/>
      <c r="N278" s="257">
        <f>(1.5*0.7)*(3*3+3*5)</f>
        <v>25.199999999999996</v>
      </c>
      <c r="O278" s="772"/>
      <c r="P278" s="257">
        <f>(1.5*0.7)*(3*3+3*5)</f>
        <v>25.199999999999996</v>
      </c>
      <c r="Q278" s="772"/>
      <c r="R278" s="257">
        <f>(2+2+7)*0.8*1.5+(2+2+30)*0.8*1.5</f>
        <v>54.000000000000007</v>
      </c>
      <c r="S278" s="772"/>
      <c r="T278" s="257"/>
      <c r="U278" s="257"/>
      <c r="V278" s="258"/>
      <c r="W278" s="245"/>
      <c r="X278" s="258"/>
      <c r="Y278" s="257"/>
      <c r="Z278" s="258"/>
      <c r="AA278" s="245"/>
      <c r="AB278" s="258"/>
      <c r="AC278" s="245"/>
    </row>
    <row r="279" spans="1:29" ht="15">
      <c r="A279" s="250"/>
      <c r="B279" s="251"/>
      <c r="C279" s="860"/>
      <c r="D279" s="830" t="s">
        <v>2511</v>
      </c>
      <c r="E279" s="251"/>
      <c r="F279" s="735"/>
      <c r="G279" s="872"/>
      <c r="H279" s="261"/>
      <c r="I279" s="251"/>
      <c r="J279" s="872"/>
      <c r="K279" s="872"/>
      <c r="L279" s="872"/>
      <c r="M279" s="872"/>
      <c r="N279" s="257">
        <f>(133+10)*0.7*1.6</f>
        <v>160.16</v>
      </c>
      <c r="O279" s="772"/>
      <c r="P279" s="257">
        <f>(133+10)*1.3*1.5</f>
        <v>278.85000000000002</v>
      </c>
      <c r="Q279" s="772"/>
      <c r="R279" s="257">
        <f>(132.5+10)*2.2</f>
        <v>313.5</v>
      </c>
      <c r="S279" s="772"/>
      <c r="T279" s="257"/>
      <c r="U279" s="257"/>
      <c r="V279" s="258">
        <f>(132.5)*0.5*0.9</f>
        <v>59.625</v>
      </c>
      <c r="W279" s="245"/>
      <c r="X279" s="258">
        <f>(132.5)*3.3*0.3+(132.5+10)*3.4*0.3-V279</f>
        <v>216.89999999999998</v>
      </c>
      <c r="Y279" s="257"/>
      <c r="Z279" s="258">
        <f>(16+19)*(2+3+2)*0.4*0.4</f>
        <v>39.200000000000003</v>
      </c>
      <c r="AA279" s="245"/>
      <c r="AB279" s="258">
        <f>(132.5+10)*(6.5-2.65)*0.8</f>
        <v>438.90000000000003</v>
      </c>
      <c r="AC279" s="245"/>
    </row>
    <row r="280" spans="1:29" ht="15">
      <c r="A280" s="250"/>
      <c r="B280" s="251"/>
      <c r="C280" s="860"/>
      <c r="D280" s="830" t="s">
        <v>2514</v>
      </c>
      <c r="E280" s="251"/>
      <c r="F280" s="735"/>
      <c r="G280" s="872"/>
      <c r="H280" s="261"/>
      <c r="I280" s="251"/>
      <c r="J280" s="872"/>
      <c r="K280" s="872"/>
      <c r="L280" s="872"/>
      <c r="M280" s="872"/>
      <c r="N280" s="257">
        <f>(1.5*0.7)*((7*3)+(7*11)+6*2)</f>
        <v>115.49999999999999</v>
      </c>
      <c r="O280" s="772"/>
      <c r="P280" s="257">
        <f>(1.5*0.7)*((7*3)+(7*11)+6*2)</f>
        <v>115.49999999999999</v>
      </c>
      <c r="Q280" s="772"/>
      <c r="R280" s="257">
        <f>((2+2+50)+(2+2+32+10+2)+(2+2+55+5))*0.8*1.5</f>
        <v>199.20000000000002</v>
      </c>
      <c r="S280" s="772"/>
      <c r="T280" s="257"/>
      <c r="U280" s="257"/>
      <c r="V280" s="258">
        <f>(6+6)*(7+2+1)*0.5*0.9</f>
        <v>54</v>
      </c>
      <c r="W280" s="245"/>
      <c r="X280" s="258"/>
      <c r="Y280" s="257"/>
      <c r="Z280" s="258"/>
      <c r="AA280" s="245"/>
      <c r="AB280" s="258"/>
      <c r="AC280" s="245"/>
    </row>
    <row r="281" spans="1:29" ht="15">
      <c r="A281" s="250"/>
      <c r="B281" s="251"/>
      <c r="C281" s="860"/>
      <c r="D281" s="830" t="s">
        <v>2512</v>
      </c>
      <c r="E281" s="251"/>
      <c r="F281" s="735"/>
      <c r="G281" s="872"/>
      <c r="H281" s="261"/>
      <c r="I281" s="251"/>
      <c r="J281" s="872"/>
      <c r="K281" s="872"/>
      <c r="L281" s="872"/>
      <c r="M281" s="872"/>
      <c r="N281" s="257">
        <f>(101.5+136.5+23-100)*0.7*1.6+100*0.9*1.6</f>
        <v>324.32</v>
      </c>
      <c r="O281" s="772"/>
      <c r="P281" s="257">
        <f>(101.5+136.5+23)*1.3*1.5</f>
        <v>508.95000000000005</v>
      </c>
      <c r="Q281" s="772"/>
      <c r="R281" s="257">
        <f>(101.5+136.5+23)*2.2</f>
        <v>574.20000000000005</v>
      </c>
      <c r="S281" s="772"/>
      <c r="T281" s="257">
        <f>(30)*0.7*1.2</f>
        <v>25.2</v>
      </c>
      <c r="U281" s="257"/>
      <c r="V281" s="258">
        <f>(101.5+136.5+23)*0.5*0.9</f>
        <v>117.45</v>
      </c>
      <c r="W281" s="245"/>
      <c r="X281" s="258">
        <f>(23+136.5+101.5)*3.5*0.3+(23+136.5+101.5)*3.5*0.3-V281</f>
        <v>430.65000000000003</v>
      </c>
      <c r="Y281" s="257"/>
      <c r="Z281" s="258">
        <f>(31+32)*(2+3+2)*0.4*0.4</f>
        <v>70.56</v>
      </c>
      <c r="AA281" s="245"/>
      <c r="AB281" s="258">
        <f>(101.5+136.5+23)*(6-2.65)*0.8</f>
        <v>699.48</v>
      </c>
      <c r="AC281" s="245"/>
    </row>
    <row r="282" spans="1:29" ht="15">
      <c r="A282" s="250"/>
      <c r="B282" s="251"/>
      <c r="C282" s="860"/>
      <c r="D282" s="830" t="s">
        <v>2515</v>
      </c>
      <c r="E282" s="251"/>
      <c r="F282" s="735"/>
      <c r="G282" s="872"/>
      <c r="H282" s="261"/>
      <c r="I282" s="251"/>
      <c r="J282" s="872"/>
      <c r="K282" s="872"/>
      <c r="L282" s="872"/>
      <c r="M282" s="872"/>
      <c r="N282" s="257">
        <f>(1.5*0.7)*((7*4)+(7*5)+6*4)</f>
        <v>91.34999999999998</v>
      </c>
      <c r="O282" s="772"/>
      <c r="P282" s="257">
        <f>(1.5*0.7)*((7*4)+(7*5)+6*4)</f>
        <v>91.34999999999998</v>
      </c>
      <c r="Q282" s="772"/>
      <c r="R282" s="257">
        <f>((2+2+13)+(2+2+33+7+3+22+10+2+37+12+4)+(2+2+7+5+3+26+58+7))*0.8*1.5</f>
        <v>313.20000000000005</v>
      </c>
      <c r="S282" s="772"/>
      <c r="T282" s="257">
        <f>1*(6*0.7)*1.2+2*(8*0.7)*1.2</f>
        <v>18.479999999999997</v>
      </c>
      <c r="U282" s="257"/>
      <c r="V282" s="258">
        <f>(9+10)*(7+2+1)*0.5*0.9</f>
        <v>85.5</v>
      </c>
      <c r="W282" s="245"/>
      <c r="X282" s="258"/>
      <c r="Y282" s="257"/>
      <c r="Z282" s="258"/>
      <c r="AA282" s="245"/>
      <c r="AB282" s="258"/>
      <c r="AC282" s="245"/>
    </row>
    <row r="283" spans="1:29" ht="15">
      <c r="A283" s="250"/>
      <c r="B283" s="251"/>
      <c r="C283" s="860"/>
      <c r="D283" s="830" t="s">
        <v>2517</v>
      </c>
      <c r="E283" s="251"/>
      <c r="F283" s="735"/>
      <c r="G283" s="872"/>
      <c r="H283" s="261"/>
      <c r="I283" s="251"/>
      <c r="J283" s="872"/>
      <c r="K283" s="872"/>
      <c r="L283" s="872"/>
      <c r="M283" s="872"/>
      <c r="N283" s="257">
        <f>(1.62*0.8)*(10+10)+(1.62*0.8)*5*5</f>
        <v>58.320000000000007</v>
      </c>
      <c r="O283" s="772"/>
      <c r="P283" s="257">
        <f>(35*0.6)*0.8*1*2+(35*0.6)*0.8*1*1+70*0.6*1*1.5*1</f>
        <v>113.4</v>
      </c>
      <c r="Q283" s="257"/>
      <c r="R283" s="257">
        <f>(10+5)*2.2</f>
        <v>33</v>
      </c>
      <c r="S283" s="772"/>
      <c r="T283" s="257"/>
      <c r="U283" s="257"/>
      <c r="V283" s="258"/>
      <c r="W283" s="245"/>
      <c r="X283" s="258"/>
      <c r="Y283" s="257"/>
      <c r="Z283" s="258"/>
      <c r="AA283" s="245"/>
      <c r="AB283" s="258"/>
      <c r="AC283" s="245"/>
    </row>
    <row r="284" spans="1:29" ht="15">
      <c r="A284" s="250"/>
      <c r="B284" s="251"/>
      <c r="C284" s="860"/>
      <c r="D284" s="830" t="s">
        <v>2871</v>
      </c>
      <c r="E284" s="251"/>
      <c r="F284" s="735"/>
      <c r="G284" s="872"/>
      <c r="H284" s="261"/>
      <c r="I284" s="251"/>
      <c r="J284" s="872"/>
      <c r="K284" s="872"/>
      <c r="L284" s="872"/>
      <c r="M284" s="872"/>
      <c r="N284" s="257"/>
      <c r="O284" s="257"/>
      <c r="P284" s="257"/>
      <c r="Q284" s="257"/>
      <c r="R284" s="257"/>
      <c r="S284" s="257"/>
      <c r="T284" s="257"/>
      <c r="U284" s="257"/>
      <c r="V284" s="258">
        <f>((6+6)+(9+10))*1.5*1*1</f>
        <v>46.5</v>
      </c>
      <c r="W284" s="245"/>
      <c r="X284" s="258"/>
      <c r="Y284" s="257"/>
      <c r="Z284" s="258"/>
      <c r="AA284" s="245"/>
      <c r="AB284" s="258"/>
      <c r="AC284" s="245"/>
    </row>
    <row r="285" spans="1:29" ht="15">
      <c r="A285" s="250"/>
      <c r="B285" s="251"/>
      <c r="C285" s="860"/>
      <c r="D285" s="830" t="s">
        <v>2513</v>
      </c>
      <c r="E285" s="251"/>
      <c r="F285" s="735"/>
      <c r="G285" s="876"/>
      <c r="H285" s="261"/>
      <c r="I285" s="251"/>
      <c r="J285" s="876"/>
      <c r="K285" s="876"/>
      <c r="L285" s="876"/>
      <c r="M285" s="876"/>
      <c r="N285" s="257"/>
      <c r="O285" s="260"/>
      <c r="P285" s="257"/>
      <c r="Q285" s="257"/>
      <c r="R285" s="257"/>
      <c r="S285" s="257"/>
      <c r="T285" s="257"/>
      <c r="U285" s="257"/>
      <c r="V285" s="258"/>
      <c r="W285" s="245"/>
      <c r="X285" s="258"/>
      <c r="Y285" s="257"/>
      <c r="Z285" s="258"/>
      <c r="AA285" s="245"/>
      <c r="AB285" s="258">
        <f>((10*7+10*6)+(18*6.1))*0.2</f>
        <v>47.960000000000008</v>
      </c>
      <c r="AC285" s="245"/>
    </row>
    <row r="286" spans="1:29" ht="15">
      <c r="A286" s="250"/>
      <c r="B286" s="251"/>
      <c r="C286" s="860"/>
      <c r="D286" s="832" t="s">
        <v>1899</v>
      </c>
      <c r="E286" s="251"/>
      <c r="F286" s="735"/>
      <c r="G286" s="877"/>
      <c r="H286" s="261"/>
      <c r="I286" s="251"/>
      <c r="J286" s="877"/>
      <c r="K286" s="877"/>
      <c r="L286" s="877"/>
      <c r="M286" s="877"/>
      <c r="N286" s="294">
        <f>24.35</f>
        <v>24.35</v>
      </c>
      <c r="O286" s="751"/>
      <c r="P286" s="294">
        <v>51.25</v>
      </c>
      <c r="Q286" s="294"/>
      <c r="R286" s="294">
        <v>32.9</v>
      </c>
      <c r="S286" s="294"/>
      <c r="T286" s="294">
        <v>6.32</v>
      </c>
      <c r="U286" s="294"/>
      <c r="V286" s="293">
        <v>36.92</v>
      </c>
      <c r="W286" s="296"/>
      <c r="X286" s="293">
        <v>21.95</v>
      </c>
      <c r="Y286" s="294"/>
      <c r="Z286" s="293">
        <v>40.24</v>
      </c>
      <c r="AA286" s="296"/>
      <c r="AB286" s="293">
        <v>37.659999999999997</v>
      </c>
      <c r="AC286" s="296"/>
    </row>
    <row r="287" spans="1:29" ht="15">
      <c r="A287" s="250"/>
      <c r="B287" s="251"/>
      <c r="C287" s="860"/>
      <c r="D287" s="830" t="s">
        <v>1900</v>
      </c>
      <c r="E287" s="251"/>
      <c r="F287" s="735">
        <f>N287+R287+P287+T287+V287+X287+Z287+AB287</f>
        <v>6620</v>
      </c>
      <c r="G287" s="872">
        <v>10.47</v>
      </c>
      <c r="H287" s="261">
        <f>O287+S287+Q287+U287+W287+Y287+AA287+AC287</f>
        <v>69311.399999999994</v>
      </c>
      <c r="I287" s="251"/>
      <c r="J287" s="872"/>
      <c r="K287" s="872"/>
      <c r="L287" s="872"/>
      <c r="M287" s="872"/>
      <c r="N287" s="258">
        <f>INT(SUM(N276:N286)*100+0.5)/100</f>
        <v>900</v>
      </c>
      <c r="O287" s="257">
        <f>INT($G287*N287*100+0.5)/100</f>
        <v>9423</v>
      </c>
      <c r="P287" s="258">
        <f>INT(SUM(P276:P286)*100+0.5)/100</f>
        <v>1360</v>
      </c>
      <c r="Q287" s="257">
        <f>INT($G287*P287*100+0.5)/100</f>
        <v>14239.2</v>
      </c>
      <c r="R287" s="258">
        <f>INT(SUM(R276:R286)*100+0.5)/100</f>
        <v>1700</v>
      </c>
      <c r="S287" s="257">
        <f>INT($G287*R287*100+0.5)/100</f>
        <v>17799</v>
      </c>
      <c r="T287" s="258">
        <f>INT(SUM(T276:T286)*100+0.5)/100</f>
        <v>50</v>
      </c>
      <c r="U287" s="257">
        <f>INT($G287*T287*100+0.5)/100</f>
        <v>523.5</v>
      </c>
      <c r="V287" s="258">
        <f>INT(SUM(V276:V286)*100+0.5)/100</f>
        <v>400</v>
      </c>
      <c r="W287" s="257">
        <f>INT($G287*V287*100+0.5)/100</f>
        <v>4188</v>
      </c>
      <c r="X287" s="258">
        <f>INT(SUM(X276:X286)*100+0.5)/100</f>
        <v>710</v>
      </c>
      <c r="Y287" s="257">
        <f>INT($G287*X287*100+0.5)/100</f>
        <v>7433.7</v>
      </c>
      <c r="Z287" s="258">
        <f>INT(SUM(Z276:Z286)*100+0.5)/100</f>
        <v>150</v>
      </c>
      <c r="AA287" s="257">
        <f>INT($G287*Z287*100+0.5)/100</f>
        <v>1570.5</v>
      </c>
      <c r="AB287" s="258">
        <f>INT(SUM(AB276:AB286)*100+0.5)/100</f>
        <v>1350</v>
      </c>
      <c r="AC287" s="257">
        <f>INT($G287*AB287*100+0.5)/100</f>
        <v>14134.5</v>
      </c>
    </row>
    <row r="288" spans="1:29" ht="15">
      <c r="A288" s="250"/>
      <c r="B288" s="251"/>
      <c r="C288" s="860"/>
      <c r="D288" s="292"/>
      <c r="E288" s="251"/>
      <c r="F288" s="735"/>
      <c r="G288" s="872"/>
      <c r="H288" s="261"/>
      <c r="I288" s="251"/>
      <c r="J288" s="872"/>
      <c r="K288" s="872"/>
      <c r="L288" s="872"/>
      <c r="M288" s="872"/>
      <c r="N288" s="258"/>
      <c r="O288" s="257"/>
      <c r="P288" s="258"/>
      <c r="Q288" s="257"/>
      <c r="R288" s="258"/>
      <c r="S288" s="257"/>
      <c r="T288" s="257"/>
      <c r="U288" s="257"/>
      <c r="V288" s="258"/>
      <c r="W288" s="257"/>
      <c r="X288" s="258"/>
      <c r="Y288" s="257"/>
      <c r="Z288" s="258"/>
      <c r="AA288" s="257"/>
      <c r="AB288" s="258"/>
      <c r="AC288" s="257"/>
    </row>
    <row r="289" spans="1:29" ht="15">
      <c r="A289" s="250"/>
      <c r="B289" s="251"/>
      <c r="C289" s="860"/>
      <c r="D289" s="292"/>
      <c r="E289" s="251"/>
      <c r="F289" s="735"/>
      <c r="G289" s="872"/>
      <c r="H289" s="261"/>
      <c r="I289" s="251"/>
      <c r="J289" s="872"/>
      <c r="K289" s="872"/>
      <c r="L289" s="872"/>
      <c r="M289" s="872"/>
      <c r="N289" s="258"/>
      <c r="O289" s="257"/>
      <c r="P289" s="258"/>
      <c r="Q289" s="257"/>
      <c r="R289" s="258"/>
      <c r="S289" s="257"/>
      <c r="T289" s="257"/>
      <c r="U289" s="257"/>
      <c r="V289" s="258"/>
      <c r="W289" s="245"/>
      <c r="X289" s="258"/>
      <c r="Y289" s="257"/>
      <c r="Z289" s="258"/>
      <c r="AA289" s="245"/>
      <c r="AB289" s="258"/>
      <c r="AC289" s="245"/>
    </row>
    <row r="290" spans="1:29" ht="25.5">
      <c r="A290" s="250">
        <f>A275+1</f>
        <v>81</v>
      </c>
      <c r="B290" s="251"/>
      <c r="C290" s="855" t="s">
        <v>2330</v>
      </c>
      <c r="D290" s="292" t="s">
        <v>2882</v>
      </c>
      <c r="E290" s="251" t="s">
        <v>2461</v>
      </c>
      <c r="F290" s="735"/>
      <c r="G290" s="872"/>
      <c r="H290" s="261"/>
      <c r="I290" s="251" t="s">
        <v>2461</v>
      </c>
      <c r="J290" s="872"/>
      <c r="K290" s="872"/>
      <c r="L290" s="872"/>
      <c r="M290" s="872"/>
      <c r="N290" s="258"/>
      <c r="O290" s="257"/>
      <c r="P290" s="258"/>
      <c r="Q290" s="257"/>
      <c r="R290" s="258"/>
      <c r="S290" s="257"/>
      <c r="T290" s="257"/>
      <c r="U290" s="257"/>
      <c r="V290" s="258"/>
      <c r="W290" s="245"/>
      <c r="X290" s="258"/>
      <c r="Y290" s="257"/>
      <c r="Z290" s="258"/>
      <c r="AA290" s="245"/>
      <c r="AB290" s="258"/>
      <c r="AC290" s="245"/>
    </row>
    <row r="291" spans="1:29" ht="25.5">
      <c r="A291" s="250"/>
      <c r="B291" s="251"/>
      <c r="C291" s="860"/>
      <c r="D291" s="292" t="s">
        <v>1372</v>
      </c>
      <c r="E291" s="251"/>
      <c r="F291" s="735"/>
      <c r="G291" s="872"/>
      <c r="H291" s="261"/>
      <c r="I291" s="251"/>
      <c r="J291" s="872"/>
      <c r="K291" s="872"/>
      <c r="L291" s="872"/>
      <c r="M291" s="872"/>
      <c r="N291" s="258"/>
      <c r="O291" s="257"/>
      <c r="P291" s="258"/>
      <c r="Q291" s="257"/>
      <c r="R291" s="258"/>
      <c r="S291" s="257"/>
      <c r="T291" s="257"/>
      <c r="U291" s="257"/>
      <c r="V291" s="258"/>
      <c r="W291" s="245"/>
      <c r="X291" s="258"/>
      <c r="Y291" s="257"/>
      <c r="Z291" s="258"/>
      <c r="AA291" s="245"/>
      <c r="AB291" s="258"/>
      <c r="AC291" s="245"/>
    </row>
    <row r="292" spans="1:29" ht="15">
      <c r="A292" s="250"/>
      <c r="B292" s="251"/>
      <c r="C292" s="860"/>
      <c r="D292" s="830" t="s">
        <v>2498</v>
      </c>
      <c r="E292" s="251"/>
      <c r="F292" s="735"/>
      <c r="G292" s="872"/>
      <c r="H292" s="261"/>
      <c r="I292" s="251"/>
      <c r="J292" s="872"/>
      <c r="K292" s="872"/>
      <c r="L292" s="872"/>
      <c r="M292" s="872"/>
      <c r="N292" s="257">
        <v>10</v>
      </c>
      <c r="O292" s="257"/>
      <c r="P292" s="257">
        <v>10</v>
      </c>
      <c r="Q292" s="257"/>
      <c r="R292" s="257">
        <v>10</v>
      </c>
      <c r="S292" s="257"/>
      <c r="T292" s="257"/>
      <c r="U292" s="257"/>
      <c r="V292" s="257">
        <v>0</v>
      </c>
      <c r="W292" s="245"/>
      <c r="X292" s="257"/>
      <c r="Y292" s="257"/>
      <c r="Z292" s="257"/>
      <c r="AA292" s="245"/>
      <c r="AB292" s="257"/>
      <c r="AC292" s="245"/>
    </row>
    <row r="293" spans="1:29" ht="15">
      <c r="A293" s="250"/>
      <c r="B293" s="251"/>
      <c r="C293" s="860"/>
      <c r="D293" s="830" t="s">
        <v>2514</v>
      </c>
      <c r="E293" s="251"/>
      <c r="F293" s="735"/>
      <c r="G293" s="872"/>
      <c r="H293" s="261"/>
      <c r="I293" s="251"/>
      <c r="J293" s="872"/>
      <c r="K293" s="872"/>
      <c r="L293" s="872"/>
      <c r="M293" s="872"/>
      <c r="N293" s="257">
        <v>30</v>
      </c>
      <c r="O293" s="257"/>
      <c r="P293" s="257">
        <v>30</v>
      </c>
      <c r="Q293" s="257"/>
      <c r="R293" s="257">
        <v>50</v>
      </c>
      <c r="S293" s="257"/>
      <c r="T293" s="257"/>
      <c r="U293" s="257"/>
      <c r="V293" s="257">
        <v>5</v>
      </c>
      <c r="W293" s="245"/>
      <c r="X293" s="257"/>
      <c r="Y293" s="257"/>
      <c r="Z293" s="257"/>
      <c r="AA293" s="245"/>
      <c r="AB293" s="257"/>
      <c r="AC293" s="245"/>
    </row>
    <row r="294" spans="1:29" ht="15">
      <c r="A294" s="250"/>
      <c r="B294" s="251"/>
      <c r="C294" s="860"/>
      <c r="D294" s="830" t="s">
        <v>2515</v>
      </c>
      <c r="E294" s="251"/>
      <c r="F294" s="735"/>
      <c r="G294" s="872"/>
      <c r="H294" s="261"/>
      <c r="I294" s="251"/>
      <c r="J294" s="872"/>
      <c r="K294" s="872"/>
      <c r="L294" s="872"/>
      <c r="M294" s="872"/>
      <c r="N294" s="257">
        <v>30</v>
      </c>
      <c r="O294" s="257"/>
      <c r="P294" s="257">
        <v>30</v>
      </c>
      <c r="Q294" s="257"/>
      <c r="R294" s="257">
        <v>50</v>
      </c>
      <c r="S294" s="257"/>
      <c r="T294" s="257"/>
      <c r="U294" s="257"/>
      <c r="V294" s="257">
        <v>5</v>
      </c>
      <c r="W294" s="245"/>
      <c r="X294" s="257"/>
      <c r="Y294" s="257"/>
      <c r="Z294" s="257"/>
      <c r="AA294" s="245"/>
      <c r="AB294" s="257"/>
      <c r="AC294" s="245"/>
    </row>
    <row r="295" spans="1:29" ht="15">
      <c r="A295" s="250"/>
      <c r="B295" s="251"/>
      <c r="C295" s="860"/>
      <c r="D295" s="832" t="s">
        <v>1899</v>
      </c>
      <c r="E295" s="251"/>
      <c r="F295" s="735"/>
      <c r="G295" s="872"/>
      <c r="H295" s="261"/>
      <c r="I295" s="251"/>
      <c r="J295" s="872"/>
      <c r="K295" s="872"/>
      <c r="L295" s="872"/>
      <c r="M295" s="872"/>
      <c r="N295" s="294">
        <v>0</v>
      </c>
      <c r="O295" s="257"/>
      <c r="P295" s="294">
        <v>0</v>
      </c>
      <c r="Q295" s="257"/>
      <c r="R295" s="294">
        <v>50</v>
      </c>
      <c r="S295" s="257"/>
      <c r="T295" s="294"/>
      <c r="U295" s="257"/>
      <c r="V295" s="294">
        <v>0</v>
      </c>
      <c r="W295" s="245"/>
      <c r="X295" s="294"/>
      <c r="Y295" s="257"/>
      <c r="Z295" s="294"/>
      <c r="AA295" s="245"/>
      <c r="AB295" s="294"/>
      <c r="AC295" s="245"/>
    </row>
    <row r="296" spans="1:29" ht="15">
      <c r="A296" s="250"/>
      <c r="B296" s="251"/>
      <c r="C296" s="860"/>
      <c r="D296" s="830" t="s">
        <v>1900</v>
      </c>
      <c r="E296" s="251"/>
      <c r="F296" s="735">
        <f>N296+R296+P296+T296+V296+X296+Z296+AB296</f>
        <v>330</v>
      </c>
      <c r="G296" s="872">
        <v>9.7799999999999994</v>
      </c>
      <c r="H296" s="261">
        <f>O296+S296+Q296+U296+W296+Y296+AA296+AC296</f>
        <v>3227.4</v>
      </c>
      <c r="I296" s="251"/>
      <c r="J296" s="872"/>
      <c r="K296" s="872"/>
      <c r="L296" s="872"/>
      <c r="M296" s="872"/>
      <c r="N296" s="258">
        <f>INT(SUM(N291:N295)*100+0.5)/100</f>
        <v>70</v>
      </c>
      <c r="O296" s="257">
        <f>INT($G296*N296*100+0.5)/100</f>
        <v>684.6</v>
      </c>
      <c r="P296" s="258">
        <f>INT(SUM(P291:P295)*100+0.5)/100</f>
        <v>70</v>
      </c>
      <c r="Q296" s="257">
        <f>INT($G296*P296*100+0.5)/100</f>
        <v>684.6</v>
      </c>
      <c r="R296" s="258">
        <f>INT(SUM(R291:R295)*100+0.5)/100</f>
        <v>160</v>
      </c>
      <c r="S296" s="257">
        <f>INT($G296*R296*100+0.5)/100</f>
        <v>1564.8</v>
      </c>
      <c r="T296" s="258">
        <v>20</v>
      </c>
      <c r="U296" s="257">
        <f>INT($G296*T296*100+0.5)/100</f>
        <v>195.6</v>
      </c>
      <c r="V296" s="258">
        <f>INT(SUM(V291:V295)*100+0.5)/100</f>
        <v>10</v>
      </c>
      <c r="W296" s="257">
        <f>INT($G296*V296*100+0.5)/100</f>
        <v>97.8</v>
      </c>
      <c r="X296" s="258">
        <f>INT(SUM(X291:X295)*100+0.5)/100</f>
        <v>0</v>
      </c>
      <c r="Y296" s="257">
        <f>INT($G296*X296*100+0.5)/100</f>
        <v>0</v>
      </c>
      <c r="Z296" s="258">
        <f>INT(SUM(Z291:Z295)*100+0.5)/100</f>
        <v>0</v>
      </c>
      <c r="AA296" s="257">
        <f>INT($G296*Z296*100+0.5)/100</f>
        <v>0</v>
      </c>
      <c r="AB296" s="258">
        <f>INT(SUM(AB291:AB295)*100+0.5)/100</f>
        <v>0</v>
      </c>
      <c r="AC296" s="257">
        <f>INT($G296*AB296*100+0.5)/100</f>
        <v>0</v>
      </c>
    </row>
    <row r="297" spans="1:29" ht="15">
      <c r="A297" s="250"/>
      <c r="B297" s="251"/>
      <c r="C297" s="860"/>
      <c r="D297" s="292"/>
      <c r="E297" s="251"/>
      <c r="F297" s="735"/>
      <c r="G297" s="872"/>
      <c r="H297" s="896" t="s">
        <v>3201</v>
      </c>
      <c r="I297" s="251"/>
      <c r="J297" s="872"/>
      <c r="K297" s="872"/>
      <c r="L297" s="872"/>
      <c r="M297" s="872"/>
      <c r="N297" s="258"/>
      <c r="O297" s="257"/>
      <c r="P297" s="258"/>
      <c r="Q297" s="257"/>
      <c r="R297" s="258"/>
      <c r="S297" s="257"/>
      <c r="T297" s="257"/>
      <c r="U297" s="257"/>
      <c r="V297" s="258"/>
      <c r="W297" s="257"/>
      <c r="X297" s="258"/>
      <c r="Y297" s="257"/>
      <c r="Z297" s="258"/>
      <c r="AA297" s="257"/>
      <c r="AB297" s="258"/>
      <c r="AC297" s="257"/>
    </row>
    <row r="298" spans="1:29" ht="15">
      <c r="A298" s="250">
        <f>A290+1</f>
        <v>82</v>
      </c>
      <c r="B298" s="251"/>
      <c r="C298" s="526" t="s">
        <v>1912</v>
      </c>
      <c r="D298" s="292" t="s">
        <v>1914</v>
      </c>
      <c r="E298" s="251" t="s">
        <v>2461</v>
      </c>
      <c r="F298" s="735"/>
      <c r="G298" s="872"/>
      <c r="H298" s="261"/>
      <c r="I298" s="251" t="s">
        <v>2461</v>
      </c>
      <c r="J298" s="872"/>
      <c r="K298" s="872"/>
      <c r="L298" s="872"/>
      <c r="M298" s="872"/>
      <c r="N298" s="258"/>
      <c r="O298" s="257"/>
      <c r="P298" s="258"/>
      <c r="Q298" s="257"/>
      <c r="R298" s="258"/>
      <c r="S298" s="257"/>
      <c r="T298" s="257"/>
      <c r="U298" s="257"/>
      <c r="V298" s="258"/>
      <c r="W298" s="257"/>
      <c r="X298" s="258"/>
      <c r="Y298" s="257"/>
      <c r="Z298" s="258"/>
      <c r="AA298" s="257"/>
      <c r="AB298" s="258"/>
      <c r="AC298" s="257"/>
    </row>
    <row r="299" spans="1:29" ht="15">
      <c r="A299" s="250"/>
      <c r="B299" s="251"/>
      <c r="C299" s="648"/>
      <c r="D299" s="292" t="s">
        <v>1913</v>
      </c>
      <c r="E299" s="251"/>
      <c r="F299" s="735"/>
      <c r="G299" s="872"/>
      <c r="H299" s="261"/>
      <c r="I299" s="251"/>
      <c r="J299" s="872"/>
      <c r="K299" s="872"/>
      <c r="L299" s="872"/>
      <c r="M299" s="872"/>
      <c r="N299" s="258"/>
      <c r="O299" s="257"/>
      <c r="P299" s="258"/>
      <c r="Q299" s="257"/>
      <c r="R299" s="258"/>
      <c r="S299" s="257"/>
      <c r="T299" s="257"/>
      <c r="U299" s="257"/>
      <c r="V299" s="258"/>
      <c r="W299" s="257"/>
      <c r="X299" s="258"/>
      <c r="Y299" s="257"/>
      <c r="Z299" s="258"/>
      <c r="AA299" s="257"/>
      <c r="AB299" s="258"/>
      <c r="AC299" s="257"/>
    </row>
    <row r="300" spans="1:29" ht="15">
      <c r="A300" s="250"/>
      <c r="B300" s="251"/>
      <c r="C300" s="648"/>
      <c r="D300" s="830" t="s">
        <v>442</v>
      </c>
      <c r="E300" s="251"/>
      <c r="F300" s="735">
        <f>N300+R300+P300+T300+V300+X300+Z300+AB300</f>
        <v>1304</v>
      </c>
      <c r="G300" s="261">
        <f>20.37-G296</f>
        <v>10.590000000000002</v>
      </c>
      <c r="H300" s="261">
        <f>O300+S300+Q300+U300+W300+Y300+AA300+AC300</f>
        <v>13809.36</v>
      </c>
      <c r="I300" s="251"/>
      <c r="J300" s="261"/>
      <c r="K300" s="261"/>
      <c r="L300" s="261"/>
      <c r="M300" s="261"/>
      <c r="N300" s="258">
        <f>INT(((N287+N296)*0.2)*100+0.5)/100</f>
        <v>194</v>
      </c>
      <c r="O300" s="257">
        <f>INT($G300*N300*100+0.5)/100</f>
        <v>2054.46</v>
      </c>
      <c r="P300" s="258">
        <f>(P287+P296)*0.2</f>
        <v>286</v>
      </c>
      <c r="Q300" s="257">
        <f>INT($G300*P300*100+0.5)/100</f>
        <v>3028.74</v>
      </c>
      <c r="R300" s="258">
        <f>(R287+R296)*0.2</f>
        <v>372</v>
      </c>
      <c r="S300" s="257">
        <f>INT($G300*R300*100+0.5)/100</f>
        <v>3939.48</v>
      </c>
      <c r="T300" s="258">
        <f>(T287+T296)*0.2</f>
        <v>14</v>
      </c>
      <c r="U300" s="257">
        <f>INT($G300*T300*100+0.5)/100</f>
        <v>148.26</v>
      </c>
      <c r="V300" s="258">
        <f>(V287+V296)*0.2</f>
        <v>82</v>
      </c>
      <c r="W300" s="257">
        <f>INT($G300*V300*100+0.5)/100</f>
        <v>868.38</v>
      </c>
      <c r="X300" s="258">
        <f>(X287+X296)*0.1</f>
        <v>71</v>
      </c>
      <c r="Y300" s="257">
        <f>INT($G300*X300*100+0.5)/100</f>
        <v>751.89</v>
      </c>
      <c r="Z300" s="258">
        <f>(Z287+Z296)*0.1</f>
        <v>15</v>
      </c>
      <c r="AA300" s="257">
        <f>INT($G300*Z300*100+0.5)/100</f>
        <v>158.85</v>
      </c>
      <c r="AB300" s="258">
        <f>(AB287+AB296)*0.2</f>
        <v>270</v>
      </c>
      <c r="AC300" s="257">
        <f>INT($G300*AB300*100+0.5)/100</f>
        <v>2859.3</v>
      </c>
    </row>
    <row r="301" spans="1:29" ht="15">
      <c r="A301" s="250"/>
      <c r="B301" s="251"/>
      <c r="C301" s="648"/>
      <c r="D301" s="292"/>
      <c r="E301" s="251"/>
      <c r="F301" s="735"/>
      <c r="G301" s="872"/>
      <c r="H301" s="261"/>
      <c r="I301" s="251"/>
      <c r="J301" s="872"/>
      <c r="K301" s="872"/>
      <c r="L301" s="872"/>
      <c r="M301" s="872"/>
      <c r="N301" s="258"/>
      <c r="O301" s="257"/>
      <c r="P301" s="258"/>
      <c r="Q301" s="257"/>
      <c r="R301" s="258"/>
      <c r="S301" s="257"/>
      <c r="T301" s="257"/>
      <c r="U301" s="257"/>
      <c r="V301" s="258"/>
      <c r="W301" s="257"/>
      <c r="X301" s="258"/>
      <c r="Y301" s="257"/>
      <c r="Z301" s="258"/>
      <c r="AA301" s="257"/>
      <c r="AB301" s="258"/>
      <c r="AC301" s="257"/>
    </row>
    <row r="302" spans="1:29" ht="25.5">
      <c r="A302" s="250">
        <f>A298+1</f>
        <v>83</v>
      </c>
      <c r="B302" s="251"/>
      <c r="C302" s="855" t="s">
        <v>2331</v>
      </c>
      <c r="D302" s="292" t="s">
        <v>1608</v>
      </c>
      <c r="E302" s="251" t="s">
        <v>2461</v>
      </c>
      <c r="F302" s="735"/>
      <c r="G302" s="872"/>
      <c r="H302" s="261"/>
      <c r="I302" s="251" t="s">
        <v>2461</v>
      </c>
      <c r="J302" s="872"/>
      <c r="K302" s="872"/>
      <c r="L302" s="872"/>
      <c r="M302" s="872"/>
      <c r="N302" s="258"/>
      <c r="O302" s="257"/>
      <c r="P302" s="258"/>
      <c r="Q302" s="257"/>
      <c r="R302" s="258"/>
      <c r="S302" s="257"/>
      <c r="T302" s="257"/>
      <c r="U302" s="257"/>
      <c r="V302" s="258"/>
      <c r="W302" s="257"/>
      <c r="X302" s="258"/>
      <c r="Y302" s="257"/>
      <c r="Z302" s="258"/>
      <c r="AA302" s="257"/>
      <c r="AB302" s="258"/>
      <c r="AC302" s="257"/>
    </row>
    <row r="303" spans="1:29" ht="15">
      <c r="A303" s="250"/>
      <c r="B303" s="251"/>
      <c r="C303" s="860"/>
      <c r="D303" s="292" t="s">
        <v>1609</v>
      </c>
      <c r="E303" s="251"/>
      <c r="F303" s="735"/>
      <c r="G303" s="872"/>
      <c r="H303" s="261"/>
      <c r="I303" s="251"/>
      <c r="J303" s="872"/>
      <c r="K303" s="872"/>
      <c r="L303" s="872"/>
      <c r="M303" s="872"/>
      <c r="N303" s="258"/>
      <c r="O303" s="257"/>
      <c r="P303" s="258"/>
      <c r="Q303" s="257"/>
      <c r="R303" s="258"/>
      <c r="S303" s="257"/>
      <c r="T303" s="257"/>
      <c r="U303" s="257"/>
      <c r="V303" s="258"/>
      <c r="W303" s="257"/>
      <c r="X303" s="258"/>
      <c r="Y303" s="257"/>
      <c r="Z303" s="258"/>
      <c r="AA303" s="257"/>
      <c r="AB303" s="258"/>
      <c r="AC303" s="257"/>
    </row>
    <row r="304" spans="1:29" ht="15">
      <c r="A304" s="250"/>
      <c r="B304" s="251"/>
      <c r="C304" s="860"/>
      <c r="D304" s="830" t="s">
        <v>443</v>
      </c>
      <c r="E304" s="251"/>
      <c r="F304" s="735">
        <f>N304+R304+P304+T304+V304+X304+Z304+AB304</f>
        <v>366</v>
      </c>
      <c r="G304" s="872">
        <v>44.39</v>
      </c>
      <c r="H304" s="261">
        <f>O304+S304+Q304+U304+W304+Y304+AA304+AC304</f>
        <v>16246.73</v>
      </c>
      <c r="I304" s="251"/>
      <c r="J304" s="872"/>
      <c r="K304" s="872"/>
      <c r="L304" s="872"/>
      <c r="M304" s="872"/>
      <c r="N304" s="258">
        <f>INT(N300*0.3*100+60+0.5)/100</f>
        <v>58.8</v>
      </c>
      <c r="O304" s="257">
        <f>INT($G304*N304*100+0.5)/100</f>
        <v>2610.13</v>
      </c>
      <c r="P304" s="258">
        <f>P300*0.3</f>
        <v>85.8</v>
      </c>
      <c r="Q304" s="257">
        <f>INT($G304*P304*100+0.5)/100</f>
        <v>3808.66</v>
      </c>
      <c r="R304" s="258">
        <f>R300*0.3</f>
        <v>111.6</v>
      </c>
      <c r="S304" s="257">
        <f>INT($G304*R304*100+0.5)/100</f>
        <v>4953.92</v>
      </c>
      <c r="T304" s="258">
        <f>T300*0.3</f>
        <v>4.2</v>
      </c>
      <c r="U304" s="257">
        <f>INT($G304*T304*100+0.5)/100</f>
        <v>186.44</v>
      </c>
      <c r="V304" s="258">
        <f>V300*0.3</f>
        <v>24.599999999999998</v>
      </c>
      <c r="W304" s="257">
        <f>INT($G304*V304*100+0.5)/100</f>
        <v>1091.99</v>
      </c>
      <c r="X304" s="258">
        <f>X300*0</f>
        <v>0</v>
      </c>
      <c r="Y304" s="257">
        <f>INT($G304*X304*100+0.5)/100</f>
        <v>0</v>
      </c>
      <c r="Z304" s="258">
        <f>Z300*0</f>
        <v>0</v>
      </c>
      <c r="AA304" s="257">
        <f>INT($G304*Z304*100+0.5)/100</f>
        <v>0</v>
      </c>
      <c r="AB304" s="258">
        <f>AB300*0.3</f>
        <v>81</v>
      </c>
      <c r="AC304" s="257">
        <f>INT($G304*AB304*100+0.5)/100</f>
        <v>3595.59</v>
      </c>
    </row>
    <row r="305" spans="1:29" ht="15">
      <c r="A305" s="250"/>
      <c r="B305" s="251"/>
      <c r="C305" s="860"/>
      <c r="D305" s="292"/>
      <c r="E305" s="251"/>
      <c r="F305" s="735"/>
      <c r="G305" s="872"/>
      <c r="H305" s="261"/>
      <c r="I305" s="251"/>
      <c r="J305" s="872"/>
      <c r="K305" s="872"/>
      <c r="L305" s="872"/>
      <c r="M305" s="872"/>
      <c r="N305" s="258"/>
      <c r="O305" s="257"/>
      <c r="P305" s="258"/>
      <c r="Q305" s="257"/>
      <c r="R305" s="258"/>
      <c r="S305" s="257"/>
      <c r="T305" s="257"/>
      <c r="U305" s="257"/>
      <c r="V305" s="258"/>
      <c r="W305" s="257"/>
      <c r="X305" s="258"/>
      <c r="Y305" s="257"/>
      <c r="Z305" s="258"/>
      <c r="AA305" s="257"/>
      <c r="AB305" s="258"/>
      <c r="AC305" s="257"/>
    </row>
    <row r="306" spans="1:29" ht="25.5">
      <c r="A306" s="250">
        <f>A302+1</f>
        <v>84</v>
      </c>
      <c r="B306" s="251"/>
      <c r="C306" s="526" t="s">
        <v>2332</v>
      </c>
      <c r="D306" s="292" t="s">
        <v>1038</v>
      </c>
      <c r="E306" s="251" t="s">
        <v>2461</v>
      </c>
      <c r="F306" s="735"/>
      <c r="G306" s="872"/>
      <c r="H306" s="261"/>
      <c r="I306" s="251" t="s">
        <v>2461</v>
      </c>
      <c r="J306" s="872"/>
      <c r="K306" s="872"/>
      <c r="L306" s="872"/>
      <c r="M306" s="872"/>
      <c r="N306" s="258"/>
      <c r="O306" s="257"/>
      <c r="P306" s="258"/>
      <c r="Q306" s="257"/>
      <c r="R306" s="258"/>
      <c r="S306" s="257"/>
      <c r="T306" s="257"/>
      <c r="U306" s="257"/>
      <c r="V306" s="258"/>
      <c r="W306" s="257"/>
      <c r="X306" s="258"/>
      <c r="Y306" s="257"/>
      <c r="Z306" s="258"/>
      <c r="AA306" s="257"/>
      <c r="AB306" s="258"/>
      <c r="AC306" s="257"/>
    </row>
    <row r="307" spans="1:29" ht="25.5">
      <c r="A307" s="250"/>
      <c r="B307" s="251"/>
      <c r="C307" s="860"/>
      <c r="D307" s="292" t="s">
        <v>1039</v>
      </c>
      <c r="E307" s="251"/>
      <c r="F307" s="735"/>
      <c r="G307" s="872"/>
      <c r="H307" s="261"/>
      <c r="I307" s="251"/>
      <c r="J307" s="872"/>
      <c r="K307" s="872"/>
      <c r="L307" s="872"/>
      <c r="M307" s="872"/>
      <c r="N307" s="258"/>
      <c r="O307" s="257"/>
      <c r="P307" s="258"/>
      <c r="Q307" s="257"/>
      <c r="R307" s="258"/>
      <c r="S307" s="257"/>
      <c r="T307" s="257"/>
      <c r="U307" s="257"/>
      <c r="V307" s="258"/>
      <c r="W307" s="257"/>
      <c r="X307" s="258"/>
      <c r="Y307" s="257"/>
      <c r="Z307" s="258"/>
      <c r="AA307" s="257"/>
      <c r="AB307" s="258"/>
      <c r="AC307" s="257"/>
    </row>
    <row r="308" spans="1:29" ht="15">
      <c r="A308" s="250"/>
      <c r="B308" s="251"/>
      <c r="C308" s="860"/>
      <c r="D308" s="830" t="s">
        <v>574</v>
      </c>
      <c r="E308" s="251"/>
      <c r="F308" s="735">
        <f>N308+R308+P308+T308+V308+X308+Z308+AB308</f>
        <v>696</v>
      </c>
      <c r="G308" s="261">
        <f>20.17-G296</f>
        <v>10.390000000000002</v>
      </c>
      <c r="H308" s="261">
        <f>O308+S308+Q308+U308+W308+Y308+AA308+AC308</f>
        <v>7231.4400000000005</v>
      </c>
      <c r="I308" s="251"/>
      <c r="J308" s="261"/>
      <c r="K308" s="261"/>
      <c r="L308" s="261"/>
      <c r="M308" s="261"/>
      <c r="N308" s="258">
        <f>INT((N287+N296)*0.1*100+100+0.5)/100</f>
        <v>98</v>
      </c>
      <c r="O308" s="257">
        <f>INT($G308*N308*100+0.5)/100</f>
        <v>1018.22</v>
      </c>
      <c r="P308" s="258">
        <f>(P287+P296)*0.1</f>
        <v>143</v>
      </c>
      <c r="Q308" s="257">
        <f>INT($G308*P308*100+0.5)/100</f>
        <v>1485.77</v>
      </c>
      <c r="R308" s="258">
        <f>(R287+R296)*0.1</f>
        <v>186</v>
      </c>
      <c r="S308" s="257">
        <f>INT($G308*R308*100+0.5)/100</f>
        <v>1932.54</v>
      </c>
      <c r="T308" s="258">
        <f>(T287+T296)*0.1</f>
        <v>7</v>
      </c>
      <c r="U308" s="257">
        <f>INT($G308*T308*100+0.5)/100</f>
        <v>72.73</v>
      </c>
      <c r="V308" s="258">
        <f>(V287+V296)*0.1</f>
        <v>41</v>
      </c>
      <c r="W308" s="257">
        <f>INT($G308*V308*100+0.5)/100</f>
        <v>425.99</v>
      </c>
      <c r="X308" s="258">
        <f>(X287+X296)*0.1</f>
        <v>71</v>
      </c>
      <c r="Y308" s="257">
        <f>INT($G308*X308*100+0.5)/100</f>
        <v>737.69</v>
      </c>
      <c r="Z308" s="258">
        <f>(Z287+Z296)*0.1</f>
        <v>15</v>
      </c>
      <c r="AA308" s="257">
        <f>INT($G308*Z308*100+0.5)/100</f>
        <v>155.85</v>
      </c>
      <c r="AB308" s="258">
        <f>(AB287+AB296)*0.1</f>
        <v>135</v>
      </c>
      <c r="AC308" s="257">
        <f>INT($G308*AB308*100+0.5)/100</f>
        <v>1402.65</v>
      </c>
    </row>
    <row r="309" spans="1:29" ht="15">
      <c r="A309" s="250"/>
      <c r="B309" s="251"/>
      <c r="C309" s="860"/>
      <c r="D309" s="292"/>
      <c r="E309" s="251"/>
      <c r="F309" s="735"/>
      <c r="G309" s="872"/>
      <c r="H309" s="261"/>
      <c r="I309" s="251"/>
      <c r="J309" s="872"/>
      <c r="K309" s="872"/>
      <c r="L309" s="872"/>
      <c r="M309" s="872"/>
      <c r="N309" s="258"/>
      <c r="O309" s="257"/>
      <c r="P309" s="258"/>
      <c r="Q309" s="257"/>
      <c r="R309" s="258"/>
      <c r="S309" s="257"/>
      <c r="T309" s="257"/>
      <c r="U309" s="257"/>
      <c r="V309" s="258"/>
      <c r="W309" s="257"/>
      <c r="X309" s="258"/>
      <c r="Y309" s="257"/>
      <c r="Z309" s="258"/>
      <c r="AA309" s="257"/>
      <c r="AB309" s="258"/>
      <c r="AC309" s="257"/>
    </row>
    <row r="310" spans="1:29" ht="25.5">
      <c r="A310" s="250">
        <f>A306+1</f>
        <v>85</v>
      </c>
      <c r="B310" s="251"/>
      <c r="C310" s="526" t="s">
        <v>2334</v>
      </c>
      <c r="D310" s="292" t="s">
        <v>1041</v>
      </c>
      <c r="E310" s="251" t="s">
        <v>2461</v>
      </c>
      <c r="F310" s="735"/>
      <c r="G310" s="872"/>
      <c r="H310" s="261"/>
      <c r="I310" s="251" t="s">
        <v>2461</v>
      </c>
      <c r="J310" s="872"/>
      <c r="K310" s="872"/>
      <c r="L310" s="872"/>
      <c r="M310" s="872"/>
      <c r="N310" s="258"/>
      <c r="O310" s="257"/>
      <c r="P310" s="258"/>
      <c r="Q310" s="257"/>
      <c r="R310" s="258"/>
      <c r="S310" s="257"/>
      <c r="T310" s="257"/>
      <c r="U310" s="257"/>
      <c r="V310" s="258"/>
      <c r="W310" s="257"/>
      <c r="X310" s="258"/>
      <c r="Y310" s="257"/>
      <c r="Z310" s="258"/>
      <c r="AA310" s="257"/>
      <c r="AB310" s="258"/>
      <c r="AC310" s="257"/>
    </row>
    <row r="311" spans="1:29" ht="25.5">
      <c r="A311" s="250"/>
      <c r="B311" s="251"/>
      <c r="C311" s="860"/>
      <c r="D311" s="292" t="s">
        <v>1040</v>
      </c>
      <c r="E311" s="251"/>
      <c r="F311" s="735"/>
      <c r="G311" s="872"/>
      <c r="H311" s="261"/>
      <c r="I311" s="251"/>
      <c r="J311" s="872"/>
      <c r="K311" s="872"/>
      <c r="L311" s="872"/>
      <c r="M311" s="872"/>
      <c r="N311" s="258"/>
      <c r="O311" s="257"/>
      <c r="P311" s="258"/>
      <c r="Q311" s="257"/>
      <c r="R311" s="258"/>
      <c r="S311" s="257"/>
      <c r="T311" s="257"/>
      <c r="U311" s="257"/>
      <c r="V311" s="258"/>
      <c r="W311" s="257"/>
      <c r="X311" s="258"/>
      <c r="Y311" s="257"/>
      <c r="Z311" s="258"/>
      <c r="AA311" s="257"/>
      <c r="AB311" s="258"/>
      <c r="AC311" s="257"/>
    </row>
    <row r="312" spans="1:29" ht="15">
      <c r="A312" s="250"/>
      <c r="B312" s="251"/>
      <c r="C312" s="860"/>
      <c r="D312" s="830" t="s">
        <v>1876</v>
      </c>
      <c r="E312" s="251"/>
      <c r="F312" s="735">
        <f>N312+R312+P312+T312+V312+X312+Z312+AB312</f>
        <v>348</v>
      </c>
      <c r="G312" s="261">
        <f>51.8-G296</f>
        <v>42.019999999999996</v>
      </c>
      <c r="H312" s="261">
        <f>O312+S312+Q312+U312+W312+Y312+AA312+AC312</f>
        <v>14622.96</v>
      </c>
      <c r="I312" s="251"/>
      <c r="J312" s="261"/>
      <c r="K312" s="261"/>
      <c r="L312" s="261"/>
      <c r="M312" s="261"/>
      <c r="N312" s="258">
        <f>INT((N287+N296)*0.05*100+50+0.5)/100</f>
        <v>49</v>
      </c>
      <c r="O312" s="257">
        <f>INT($G312*N312*100+0.5)/100</f>
        <v>2058.98</v>
      </c>
      <c r="P312" s="258">
        <f>(P287+P296)*0.05</f>
        <v>71.5</v>
      </c>
      <c r="Q312" s="257">
        <f>INT($G312*P312*100+0.5)/100</f>
        <v>3004.43</v>
      </c>
      <c r="R312" s="258">
        <f>(R287+R296)*0.05</f>
        <v>93</v>
      </c>
      <c r="S312" s="257">
        <f>INT($G312*R312*100+0.5)/100</f>
        <v>3907.86</v>
      </c>
      <c r="T312" s="258">
        <f>(T287+T296)*0.05</f>
        <v>3.5</v>
      </c>
      <c r="U312" s="257">
        <f>INT($G312*T312*100+0.5)/100</f>
        <v>147.07</v>
      </c>
      <c r="V312" s="258">
        <f>(V287+V296)*0.05</f>
        <v>20.5</v>
      </c>
      <c r="W312" s="257">
        <f>INT($G312*V312*100+0.5)/100</f>
        <v>861.41</v>
      </c>
      <c r="X312" s="258">
        <f>(X287+X296)*0.05</f>
        <v>35.5</v>
      </c>
      <c r="Y312" s="257">
        <f>INT($G312*X312*100+0.5)/100</f>
        <v>1491.71</v>
      </c>
      <c r="Z312" s="258">
        <f>(Z287+Z296)*0.05</f>
        <v>7.5</v>
      </c>
      <c r="AA312" s="257">
        <f>INT($G312*Z312*100+0.5)/100</f>
        <v>315.14999999999998</v>
      </c>
      <c r="AB312" s="258">
        <f>(AB287+AB296)*0.05</f>
        <v>67.5</v>
      </c>
      <c r="AC312" s="257">
        <f>INT($G312*AB312*100+0.5)/100</f>
        <v>2836.35</v>
      </c>
    </row>
    <row r="313" spans="1:29" ht="15">
      <c r="A313" s="250"/>
      <c r="B313" s="251"/>
      <c r="C313" s="860"/>
      <c r="D313" s="292"/>
      <c r="E313" s="251"/>
      <c r="F313" s="735"/>
      <c r="G313" s="872"/>
      <c r="H313" s="261"/>
      <c r="I313" s="251"/>
      <c r="J313" s="872"/>
      <c r="K313" s="872"/>
      <c r="L313" s="872"/>
      <c r="M313" s="872"/>
      <c r="N313" s="258"/>
      <c r="O313" s="257"/>
      <c r="P313" s="258"/>
      <c r="Q313" s="257"/>
      <c r="R313" s="258"/>
      <c r="S313" s="257"/>
      <c r="T313" s="257"/>
      <c r="U313" s="257"/>
      <c r="V313" s="258"/>
      <c r="W313" s="257"/>
      <c r="X313" s="258"/>
      <c r="Y313" s="257"/>
      <c r="Z313" s="258"/>
      <c r="AA313" s="257"/>
      <c r="AB313" s="258"/>
      <c r="AC313" s="257"/>
    </row>
    <row r="314" spans="1:29" ht="15">
      <c r="A314" s="250">
        <f>A310+1</f>
        <v>86</v>
      </c>
      <c r="B314" s="251"/>
      <c r="C314" s="855" t="s">
        <v>2336</v>
      </c>
      <c r="D314" s="526" t="s">
        <v>2133</v>
      </c>
      <c r="E314" s="251" t="s">
        <v>1898</v>
      </c>
      <c r="F314" s="735">
        <f>N314+R314+P314+T314+V314+X314+Z314+AB314</f>
        <v>470</v>
      </c>
      <c r="G314" s="872">
        <v>2.77</v>
      </c>
      <c r="H314" s="261">
        <f>O314+S314+Q314+U314+W314+Y314+AA314+AC314</f>
        <v>1301.9000000000001</v>
      </c>
      <c r="I314" s="251" t="s">
        <v>1898</v>
      </c>
      <c r="J314" s="872"/>
      <c r="K314" s="872"/>
      <c r="L314" s="872"/>
      <c r="M314" s="872"/>
      <c r="N314" s="258">
        <v>100</v>
      </c>
      <c r="O314" s="257">
        <f>INT($G314*N314*100+0.5)/100</f>
        <v>277</v>
      </c>
      <c r="P314" s="258">
        <v>100</v>
      </c>
      <c r="Q314" s="257">
        <f>INT($G314*P314*100+0.5)/100</f>
        <v>277</v>
      </c>
      <c r="R314" s="258">
        <v>100</v>
      </c>
      <c r="S314" s="257">
        <f>INT($G314*R314*100+0.5)/100</f>
        <v>277</v>
      </c>
      <c r="T314" s="258">
        <v>20</v>
      </c>
      <c r="U314" s="257">
        <f>INT($G314*T314*100+0.5)/100</f>
        <v>55.4</v>
      </c>
      <c r="V314" s="258">
        <v>50</v>
      </c>
      <c r="W314" s="257">
        <f>INT($G314*V314*100+0.5)/100</f>
        <v>138.5</v>
      </c>
      <c r="X314" s="258">
        <v>0</v>
      </c>
      <c r="Y314" s="257">
        <f>INT($G314*X314*100+0.5)/100</f>
        <v>0</v>
      </c>
      <c r="Z314" s="258">
        <f>Z415+Z401</f>
        <v>0</v>
      </c>
      <c r="AA314" s="257">
        <f>INT($G314*Z314*100+0.5)/100</f>
        <v>0</v>
      </c>
      <c r="AB314" s="258">
        <v>100</v>
      </c>
      <c r="AC314" s="257">
        <f>INT($G314*AB314*100+0.5)/100</f>
        <v>277</v>
      </c>
    </row>
    <row r="315" spans="1:29" ht="15">
      <c r="A315" s="250"/>
      <c r="B315" s="251"/>
      <c r="C315" s="855"/>
      <c r="D315" s="526" t="s">
        <v>2132</v>
      </c>
      <c r="E315" s="251"/>
      <c r="F315" s="735"/>
      <c r="G315" s="872"/>
      <c r="H315" s="261"/>
      <c r="I315" s="251"/>
      <c r="J315" s="872"/>
      <c r="K315" s="872"/>
      <c r="L315" s="872"/>
      <c r="M315" s="872"/>
      <c r="N315" s="258"/>
      <c r="O315" s="257"/>
      <c r="P315" s="258"/>
      <c r="Q315" s="257"/>
      <c r="R315" s="258"/>
      <c r="S315" s="257"/>
      <c r="T315" s="257"/>
      <c r="U315" s="257"/>
      <c r="V315" s="258"/>
      <c r="W315" s="257"/>
      <c r="X315" s="258"/>
      <c r="Y315" s="257"/>
      <c r="Z315" s="258"/>
      <c r="AA315" s="257"/>
      <c r="AB315" s="258"/>
      <c r="AC315" s="257"/>
    </row>
    <row r="316" spans="1:29" ht="15">
      <c r="A316" s="250"/>
      <c r="B316" s="251"/>
      <c r="C316" s="855"/>
      <c r="D316" s="292"/>
      <c r="E316" s="251"/>
      <c r="F316" s="735"/>
      <c r="G316" s="872"/>
      <c r="H316" s="261"/>
      <c r="I316" s="251"/>
      <c r="J316" s="872"/>
      <c r="K316" s="872"/>
      <c r="L316" s="872"/>
      <c r="M316" s="872"/>
      <c r="N316" s="258"/>
      <c r="O316" s="257"/>
      <c r="P316" s="258"/>
      <c r="Q316" s="257"/>
      <c r="R316" s="258"/>
      <c r="S316" s="257"/>
      <c r="T316" s="257"/>
      <c r="U316" s="257"/>
      <c r="V316" s="258"/>
      <c r="W316" s="257"/>
      <c r="X316" s="258"/>
      <c r="Y316" s="257"/>
      <c r="Z316" s="258"/>
      <c r="AA316" s="257"/>
      <c r="AB316" s="258"/>
      <c r="AC316" s="257"/>
    </row>
    <row r="317" spans="1:29" ht="15">
      <c r="A317" s="250">
        <f>A314+1</f>
        <v>87</v>
      </c>
      <c r="B317" s="251"/>
      <c r="C317" s="855" t="s">
        <v>2337</v>
      </c>
      <c r="D317" s="292" t="s">
        <v>2463</v>
      </c>
      <c r="E317" s="251" t="s">
        <v>2461</v>
      </c>
      <c r="F317" s="735"/>
      <c r="G317" s="872"/>
      <c r="H317" s="261"/>
      <c r="I317" s="251" t="s">
        <v>2461</v>
      </c>
      <c r="J317" s="872"/>
      <c r="K317" s="872"/>
      <c r="L317" s="872"/>
      <c r="M317" s="872"/>
      <c r="N317" s="258"/>
      <c r="O317" s="257"/>
      <c r="P317" s="258"/>
      <c r="Q317" s="257"/>
      <c r="R317" s="258"/>
      <c r="S317" s="257"/>
      <c r="T317" s="257"/>
      <c r="U317" s="257"/>
      <c r="V317" s="258"/>
      <c r="W317" s="257"/>
      <c r="X317" s="258"/>
      <c r="Y317" s="257"/>
      <c r="Z317" s="258"/>
      <c r="AA317" s="257"/>
      <c r="AB317" s="258"/>
      <c r="AC317" s="257"/>
    </row>
    <row r="318" spans="1:29" ht="15">
      <c r="A318" s="250"/>
      <c r="B318" s="251"/>
      <c r="C318" s="860"/>
      <c r="D318" s="292" t="s">
        <v>2462</v>
      </c>
      <c r="E318" s="251"/>
      <c r="F318" s="735"/>
      <c r="G318" s="872"/>
      <c r="H318" s="261"/>
      <c r="I318" s="251"/>
      <c r="J318" s="872"/>
      <c r="K318" s="872"/>
      <c r="L318" s="872"/>
      <c r="M318" s="872"/>
      <c r="N318" s="258"/>
      <c r="O318" s="257"/>
      <c r="P318" s="258"/>
      <c r="Q318" s="257"/>
      <c r="R318" s="258"/>
      <c r="S318" s="257"/>
      <c r="T318" s="257"/>
      <c r="U318" s="257"/>
      <c r="V318" s="258"/>
      <c r="W318" s="257"/>
      <c r="X318" s="258"/>
      <c r="Y318" s="257"/>
      <c r="Z318" s="258"/>
      <c r="AA318" s="257"/>
      <c r="AB318" s="258"/>
      <c r="AC318" s="257"/>
    </row>
    <row r="319" spans="1:29" ht="15">
      <c r="A319" s="250"/>
      <c r="B319" s="251"/>
      <c r="C319" s="860"/>
      <c r="D319" s="830" t="s">
        <v>2498</v>
      </c>
      <c r="E319" s="251"/>
      <c r="F319" s="735"/>
      <c r="G319" s="872"/>
      <c r="H319" s="261"/>
      <c r="I319" s="251"/>
      <c r="J319" s="872"/>
      <c r="K319" s="872"/>
      <c r="L319" s="872"/>
      <c r="M319" s="872"/>
      <c r="N319" s="257">
        <f>0.1*N277</f>
        <v>10.08</v>
      </c>
      <c r="O319" s="257"/>
      <c r="P319" s="257">
        <f>0.1*P277</f>
        <v>17.55</v>
      </c>
      <c r="Q319" s="257"/>
      <c r="R319" s="257">
        <f>0.1*R277</f>
        <v>18</v>
      </c>
      <c r="S319" s="257"/>
      <c r="T319" s="257">
        <f>0.1*T277</f>
        <v>0</v>
      </c>
      <c r="U319" s="257"/>
      <c r="V319" s="257">
        <f t="shared" ref="V319:V324" si="12">0.2*V277</f>
        <v>0</v>
      </c>
      <c r="W319" s="257"/>
      <c r="X319" s="257">
        <f>0.1*X277</f>
        <v>4.05</v>
      </c>
      <c r="Y319" s="257"/>
      <c r="Z319" s="257">
        <f>0.1*Z277</f>
        <v>0</v>
      </c>
      <c r="AA319" s="257"/>
      <c r="AB319" s="257">
        <f t="shared" ref="AB319:AB324" si="13">0.05*AB277</f>
        <v>6.3</v>
      </c>
      <c r="AC319" s="257"/>
    </row>
    <row r="320" spans="1:29" ht="15">
      <c r="A320" s="250"/>
      <c r="B320" s="251"/>
      <c r="C320" s="860"/>
      <c r="D320" s="830" t="s">
        <v>2516</v>
      </c>
      <c r="E320" s="251"/>
      <c r="F320" s="735"/>
      <c r="G320" s="872"/>
      <c r="H320" s="261"/>
      <c r="I320" s="251"/>
      <c r="J320" s="872"/>
      <c r="K320" s="872"/>
      <c r="L320" s="872"/>
      <c r="M320" s="872"/>
      <c r="N320" s="257">
        <f>0.2*N278</f>
        <v>5.0399999999999991</v>
      </c>
      <c r="O320" s="257"/>
      <c r="P320" s="257">
        <f>0.2*P278</f>
        <v>5.0399999999999991</v>
      </c>
      <c r="Q320" s="257"/>
      <c r="R320" s="257">
        <f>0.2*R278</f>
        <v>10.800000000000002</v>
      </c>
      <c r="S320" s="257"/>
      <c r="T320" s="257">
        <f>0.2*T278</f>
        <v>0</v>
      </c>
      <c r="U320" s="257"/>
      <c r="V320" s="257">
        <f t="shared" si="12"/>
        <v>0</v>
      </c>
      <c r="W320" s="257"/>
      <c r="X320" s="257">
        <f>0.2*X278</f>
        <v>0</v>
      </c>
      <c r="Y320" s="257"/>
      <c r="Z320" s="257">
        <f>0.2*Z278</f>
        <v>0</v>
      </c>
      <c r="AA320" s="257"/>
      <c r="AB320" s="257">
        <f t="shared" si="13"/>
        <v>0</v>
      </c>
      <c r="AC320" s="257"/>
    </row>
    <row r="321" spans="1:29" ht="15">
      <c r="A321" s="250"/>
      <c r="B321" s="251"/>
      <c r="C321" s="860"/>
      <c r="D321" s="830" t="s">
        <v>2511</v>
      </c>
      <c r="E321" s="251"/>
      <c r="F321" s="735"/>
      <c r="G321" s="872"/>
      <c r="H321" s="261"/>
      <c r="I321" s="251"/>
      <c r="J321" s="872"/>
      <c r="K321" s="872"/>
      <c r="L321" s="872"/>
      <c r="M321" s="872"/>
      <c r="N321" s="257">
        <f>0.1*N279</f>
        <v>16.016000000000002</v>
      </c>
      <c r="O321" s="257"/>
      <c r="P321" s="257">
        <f>0.1*P279</f>
        <v>27.885000000000005</v>
      </c>
      <c r="Q321" s="257"/>
      <c r="R321" s="257">
        <f>0.1*R279</f>
        <v>31.35</v>
      </c>
      <c r="S321" s="257"/>
      <c r="T321" s="257">
        <f>0.1*T279</f>
        <v>0</v>
      </c>
      <c r="U321" s="257"/>
      <c r="V321" s="257">
        <f t="shared" si="12"/>
        <v>11.925000000000001</v>
      </c>
      <c r="W321" s="245"/>
      <c r="X321" s="257">
        <f>0.1*X279</f>
        <v>21.689999999999998</v>
      </c>
      <c r="Y321" s="257"/>
      <c r="Z321" s="257">
        <f>0.2*Z279</f>
        <v>7.8400000000000007</v>
      </c>
      <c r="AA321" s="245"/>
      <c r="AB321" s="257">
        <f t="shared" si="13"/>
        <v>21.945000000000004</v>
      </c>
      <c r="AC321" s="245"/>
    </row>
    <row r="322" spans="1:29" ht="15">
      <c r="A322" s="250"/>
      <c r="B322" s="251"/>
      <c r="C322" s="860"/>
      <c r="D322" s="830" t="s">
        <v>2514</v>
      </c>
      <c r="E322" s="251"/>
      <c r="F322" s="735"/>
      <c r="G322" s="872"/>
      <c r="H322" s="261"/>
      <c r="I322" s="251"/>
      <c r="J322" s="872"/>
      <c r="K322" s="872"/>
      <c r="L322" s="872"/>
      <c r="M322" s="872"/>
      <c r="N322" s="257">
        <f>0.2*N280</f>
        <v>23.099999999999998</v>
      </c>
      <c r="O322" s="257"/>
      <c r="P322" s="257">
        <f>0.2*P280</f>
        <v>23.099999999999998</v>
      </c>
      <c r="Q322" s="257"/>
      <c r="R322" s="257">
        <f>0.2*R280</f>
        <v>39.840000000000003</v>
      </c>
      <c r="S322" s="257"/>
      <c r="T322" s="257">
        <f>0.2*T280</f>
        <v>0</v>
      </c>
      <c r="U322" s="257"/>
      <c r="V322" s="257">
        <f t="shared" si="12"/>
        <v>10.8</v>
      </c>
      <c r="W322" s="245"/>
      <c r="X322" s="257">
        <f>0.2*X280</f>
        <v>0</v>
      </c>
      <c r="Y322" s="257"/>
      <c r="Z322" s="257">
        <f>0.2*Z280</f>
        <v>0</v>
      </c>
      <c r="AA322" s="245"/>
      <c r="AB322" s="257">
        <f t="shared" si="13"/>
        <v>0</v>
      </c>
      <c r="AC322" s="245"/>
    </row>
    <row r="323" spans="1:29" ht="15">
      <c r="A323" s="250"/>
      <c r="B323" s="251"/>
      <c r="C323" s="860"/>
      <c r="D323" s="830" t="s">
        <v>2512</v>
      </c>
      <c r="E323" s="251"/>
      <c r="F323" s="735"/>
      <c r="G323" s="872"/>
      <c r="H323" s="261"/>
      <c r="I323" s="251"/>
      <c r="J323" s="872"/>
      <c r="K323" s="872"/>
      <c r="L323" s="872"/>
      <c r="M323" s="872"/>
      <c r="N323" s="257">
        <f>0.1*N281</f>
        <v>32.432000000000002</v>
      </c>
      <c r="O323" s="257"/>
      <c r="P323" s="257">
        <f>0.1*P281</f>
        <v>50.89500000000001</v>
      </c>
      <c r="Q323" s="257"/>
      <c r="R323" s="257">
        <f>0.1*R281</f>
        <v>57.420000000000009</v>
      </c>
      <c r="S323" s="257"/>
      <c r="T323" s="257">
        <f>0.1*T281</f>
        <v>2.52</v>
      </c>
      <c r="U323" s="257"/>
      <c r="V323" s="257">
        <f t="shared" si="12"/>
        <v>23.490000000000002</v>
      </c>
      <c r="W323" s="245"/>
      <c r="X323" s="257">
        <f>0.1*X281</f>
        <v>43.065000000000005</v>
      </c>
      <c r="Y323" s="257"/>
      <c r="Z323" s="257">
        <f>0.2*Z281</f>
        <v>14.112000000000002</v>
      </c>
      <c r="AA323" s="245"/>
      <c r="AB323" s="257">
        <f t="shared" si="13"/>
        <v>34.974000000000004</v>
      </c>
      <c r="AC323" s="245"/>
    </row>
    <row r="324" spans="1:29" ht="15">
      <c r="A324" s="250"/>
      <c r="B324" s="251"/>
      <c r="C324" s="860"/>
      <c r="D324" s="830" t="s">
        <v>2515</v>
      </c>
      <c r="E324" s="251"/>
      <c r="F324" s="735"/>
      <c r="G324" s="872"/>
      <c r="H324" s="261"/>
      <c r="I324" s="251"/>
      <c r="J324" s="872"/>
      <c r="K324" s="872"/>
      <c r="L324" s="872"/>
      <c r="M324" s="872"/>
      <c r="N324" s="257">
        <f>0.2*N282</f>
        <v>18.269999999999996</v>
      </c>
      <c r="O324" s="257"/>
      <c r="P324" s="257">
        <f>0.2*P282</f>
        <v>18.269999999999996</v>
      </c>
      <c r="Q324" s="257"/>
      <c r="R324" s="257">
        <f>0.2*R282</f>
        <v>62.640000000000015</v>
      </c>
      <c r="S324" s="257"/>
      <c r="T324" s="257">
        <f>0.2*T282</f>
        <v>3.6959999999999997</v>
      </c>
      <c r="U324" s="257"/>
      <c r="V324" s="257">
        <f t="shared" si="12"/>
        <v>17.100000000000001</v>
      </c>
      <c r="W324" s="245"/>
      <c r="X324" s="257">
        <f>0.2*X282</f>
        <v>0</v>
      </c>
      <c r="Y324" s="257"/>
      <c r="Z324" s="257">
        <f>0.2*Z282</f>
        <v>0</v>
      </c>
      <c r="AA324" s="245"/>
      <c r="AB324" s="257">
        <f t="shared" si="13"/>
        <v>0</v>
      </c>
      <c r="AC324" s="245"/>
    </row>
    <row r="325" spans="1:29" ht="15">
      <c r="A325" s="250"/>
      <c r="B325" s="251"/>
      <c r="C325" s="860"/>
      <c r="D325" s="832" t="s">
        <v>1899</v>
      </c>
      <c r="E325" s="251"/>
      <c r="F325" s="735"/>
      <c r="G325" s="872"/>
      <c r="H325" s="261"/>
      <c r="I325" s="251"/>
      <c r="J325" s="872"/>
      <c r="K325" s="872"/>
      <c r="L325" s="872"/>
      <c r="M325" s="872"/>
      <c r="N325" s="294">
        <v>9.23</v>
      </c>
      <c r="O325" s="257"/>
      <c r="P325" s="294">
        <v>7.26</v>
      </c>
      <c r="Q325" s="257"/>
      <c r="R325" s="294">
        <v>9.9499999999999993</v>
      </c>
      <c r="S325" s="257"/>
      <c r="T325" s="294">
        <v>0.78</v>
      </c>
      <c r="U325" s="257"/>
      <c r="V325" s="294">
        <v>6.68</v>
      </c>
      <c r="W325" s="245"/>
      <c r="X325" s="294">
        <v>6.19</v>
      </c>
      <c r="Y325" s="257"/>
      <c r="Z325" s="294">
        <v>8.0500000000000007</v>
      </c>
      <c r="AA325" s="245"/>
      <c r="AB325" s="294">
        <v>6.78</v>
      </c>
      <c r="AC325" s="245"/>
    </row>
    <row r="326" spans="1:29" ht="25.5">
      <c r="A326" s="250"/>
      <c r="B326" s="251"/>
      <c r="C326" s="860"/>
      <c r="D326" s="831" t="s">
        <v>2883</v>
      </c>
      <c r="E326" s="251"/>
      <c r="F326" s="733">
        <f>N326+R326+P326+T326+V326+X326+Z326+AB326</f>
        <v>746.17000000000007</v>
      </c>
      <c r="G326" s="872">
        <f>56.38</f>
        <v>56.38</v>
      </c>
      <c r="H326" s="243">
        <f>O326+S326+Q326+U326+W326+Y326+AA326+AC326</f>
        <v>42069.06</v>
      </c>
      <c r="I326" s="251"/>
      <c r="J326" s="872"/>
      <c r="K326" s="872"/>
      <c r="L326" s="872"/>
      <c r="M326" s="872"/>
      <c r="N326" s="258">
        <f>INT(SUM(N318:N325)*100+0.5)/100</f>
        <v>114.17</v>
      </c>
      <c r="O326" s="257">
        <f>INT($G326*N326*100+0.5)/100</f>
        <v>6436.9</v>
      </c>
      <c r="P326" s="258">
        <f>INT(SUM(P318:P325)*100+0.5)/100</f>
        <v>150</v>
      </c>
      <c r="Q326" s="257">
        <f>INT($G326*P326*100+0.5)/100</f>
        <v>8457</v>
      </c>
      <c r="R326" s="258">
        <f>INT(SUM(R318:R325)*100+0.5)/100</f>
        <v>230</v>
      </c>
      <c r="S326" s="257">
        <f>INT($G326*R326*100+0.5)/100</f>
        <v>12967.4</v>
      </c>
      <c r="T326" s="258">
        <f>INT(SUM(T318:T325)*100+0.5)/100</f>
        <v>7</v>
      </c>
      <c r="U326" s="257">
        <f>INT($G326*T326*100+0.5)/100</f>
        <v>394.66</v>
      </c>
      <c r="V326" s="258">
        <f>INT(SUM(V318:V325)*100+0.5)/100</f>
        <v>70</v>
      </c>
      <c r="W326" s="257">
        <f>INT($G326*V326*100+0.5)/100</f>
        <v>3946.6</v>
      </c>
      <c r="X326" s="258">
        <f>INT(SUM(X318:X325)*100+0.5)/100</f>
        <v>75</v>
      </c>
      <c r="Y326" s="257">
        <f>INT($G326*X326*100+0.5)/100</f>
        <v>4228.5</v>
      </c>
      <c r="Z326" s="258">
        <f>INT(SUM(Z318:Z325)*100+0.5)/100</f>
        <v>30</v>
      </c>
      <c r="AA326" s="257">
        <f>INT($G326*Z326*100+0.5)/100</f>
        <v>1691.4</v>
      </c>
      <c r="AB326" s="258">
        <f>INT(SUM(AB318:AB325)*100+0.5)/100</f>
        <v>70</v>
      </c>
      <c r="AC326" s="257">
        <f>INT($G326*AB326*100+0.5)/100</f>
        <v>3946.6</v>
      </c>
    </row>
    <row r="327" spans="1:29" ht="15">
      <c r="A327" s="250"/>
      <c r="B327" s="251"/>
      <c r="C327" s="860"/>
      <c r="D327" s="292"/>
      <c r="E327" s="251"/>
      <c r="F327" s="735"/>
      <c r="G327" s="261"/>
      <c r="H327" s="261"/>
      <c r="I327" s="251"/>
      <c r="J327" s="261"/>
      <c r="K327" s="261"/>
      <c r="L327" s="261"/>
      <c r="M327" s="261"/>
      <c r="N327" s="258"/>
      <c r="O327" s="257"/>
      <c r="P327" s="258"/>
      <c r="Q327" s="257"/>
      <c r="R327" s="258"/>
      <c r="S327" s="257"/>
      <c r="T327" s="257"/>
      <c r="U327" s="257"/>
      <c r="V327" s="258"/>
      <c r="W327" s="257"/>
      <c r="X327" s="258"/>
      <c r="Y327" s="257"/>
      <c r="Z327" s="258"/>
      <c r="AA327" s="257"/>
      <c r="AB327" s="258"/>
      <c r="AC327" s="257"/>
    </row>
    <row r="328" spans="1:29" ht="15.6" hidden="1" customHeight="1">
      <c r="A328" s="750" t="s">
        <v>2510</v>
      </c>
      <c r="B328" s="251"/>
      <c r="C328" s="855" t="s">
        <v>1568</v>
      </c>
      <c r="D328" s="292" t="s">
        <v>1612</v>
      </c>
      <c r="E328" s="251" t="s">
        <v>2461</v>
      </c>
      <c r="F328" s="735">
        <f>N328+R328+P328+V328+X328+Z328+AB328</f>
        <v>0</v>
      </c>
      <c r="G328" s="261">
        <v>2.61</v>
      </c>
      <c r="H328" s="261">
        <f>O328+S328+Q328+W328+Y328+AA328+AC328</f>
        <v>0</v>
      </c>
      <c r="I328" s="251" t="s">
        <v>2461</v>
      </c>
      <c r="J328" s="261"/>
      <c r="K328" s="261"/>
      <c r="L328" s="261"/>
      <c r="M328" s="261"/>
      <c r="N328" s="258">
        <v>0</v>
      </c>
      <c r="O328" s="257">
        <f>INT($G328*N328*100+0.5)/100</f>
        <v>0</v>
      </c>
      <c r="P328" s="258">
        <v>0</v>
      </c>
      <c r="Q328" s="257">
        <f>INT($G328*P328*100+0.5)/100</f>
        <v>0</v>
      </c>
      <c r="R328" s="258">
        <v>0</v>
      </c>
      <c r="S328" s="257">
        <f>INT($G328*R328*100+0.5)/100</f>
        <v>0</v>
      </c>
      <c r="T328" s="257"/>
      <c r="U328" s="257"/>
      <c r="V328" s="258">
        <v>0</v>
      </c>
      <c r="W328" s="257">
        <f>INT($G328*V328*100+0.5)/100</f>
        <v>0</v>
      </c>
      <c r="X328" s="258">
        <v>0</v>
      </c>
      <c r="Y328" s="257">
        <f>INT($G328*X328*100+0.5)/100</f>
        <v>0</v>
      </c>
      <c r="Z328" s="258">
        <v>0</v>
      </c>
      <c r="AA328" s="257">
        <f>INT($G328*Z328*100+0.5)/100</f>
        <v>0</v>
      </c>
      <c r="AB328" s="258">
        <v>0</v>
      </c>
      <c r="AC328" s="257">
        <f>INT($G328*AB328*100+0.5)/100</f>
        <v>0</v>
      </c>
    </row>
    <row r="329" spans="1:29" ht="15.6" hidden="1" customHeight="1">
      <c r="A329" s="250"/>
      <c r="B329" s="251"/>
      <c r="C329" s="860"/>
      <c r="D329" s="292" t="s">
        <v>1610</v>
      </c>
      <c r="E329" s="251"/>
      <c r="F329" s="735"/>
      <c r="G329" s="261"/>
      <c r="H329" s="261"/>
      <c r="I329" s="251"/>
      <c r="J329" s="261"/>
      <c r="K329" s="261"/>
      <c r="L329" s="261"/>
      <c r="M329" s="261"/>
      <c r="N329" s="258"/>
      <c r="O329" s="257"/>
      <c r="P329" s="258"/>
      <c r="Q329" s="257"/>
      <c r="R329" s="258"/>
      <c r="S329" s="257"/>
      <c r="T329" s="257"/>
      <c r="U329" s="257"/>
      <c r="V329" s="258"/>
      <c r="W329" s="257"/>
      <c r="X329" s="258"/>
      <c r="Y329" s="257"/>
      <c r="Z329" s="258"/>
      <c r="AA329" s="257"/>
      <c r="AB329" s="258"/>
      <c r="AC329" s="257"/>
    </row>
    <row r="330" spans="1:29" ht="15.6" hidden="1" customHeight="1">
      <c r="A330" s="250"/>
      <c r="B330" s="251"/>
      <c r="C330" s="860"/>
      <c r="D330" s="292"/>
      <c r="E330" s="251"/>
      <c r="F330" s="735"/>
      <c r="G330" s="261"/>
      <c r="H330" s="261"/>
      <c r="I330" s="251"/>
      <c r="J330" s="261"/>
      <c r="K330" s="261"/>
      <c r="L330" s="261"/>
      <c r="M330" s="261"/>
      <c r="N330" s="258"/>
      <c r="O330" s="257"/>
      <c r="P330" s="258"/>
      <c r="Q330" s="257"/>
      <c r="R330" s="258"/>
      <c r="S330" s="257"/>
      <c r="T330" s="257"/>
      <c r="U330" s="257"/>
      <c r="V330" s="258"/>
      <c r="W330" s="257"/>
      <c r="X330" s="258"/>
      <c r="Y330" s="257"/>
      <c r="Z330" s="258"/>
      <c r="AA330" s="257"/>
      <c r="AB330" s="258"/>
      <c r="AC330" s="257"/>
    </row>
    <row r="331" spans="1:29" ht="15.6" hidden="1" customHeight="1">
      <c r="A331" s="750" t="s">
        <v>2510</v>
      </c>
      <c r="B331" s="251"/>
      <c r="C331" s="855" t="s">
        <v>1569</v>
      </c>
      <c r="D331" s="292" t="s">
        <v>1613</v>
      </c>
      <c r="E331" s="251" t="s">
        <v>2461</v>
      </c>
      <c r="F331" s="735">
        <f>N331+R331+P331+V331+X331+Z331+AB331</f>
        <v>0</v>
      </c>
      <c r="G331" s="261">
        <v>3.26</v>
      </c>
      <c r="H331" s="261">
        <f>O331+S331+Q331+W331+Y331+AA331+AC331</f>
        <v>0</v>
      </c>
      <c r="I331" s="251" t="s">
        <v>2461</v>
      </c>
      <c r="J331" s="261"/>
      <c r="K331" s="261"/>
      <c r="L331" s="261"/>
      <c r="M331" s="261"/>
      <c r="N331" s="258">
        <v>0</v>
      </c>
      <c r="O331" s="257">
        <f>INT($G331*N331*100+0.5)/100</f>
        <v>0</v>
      </c>
      <c r="P331" s="258">
        <v>0</v>
      </c>
      <c r="Q331" s="257">
        <f>INT($G331*P331*100+0.5)/100</f>
        <v>0</v>
      </c>
      <c r="R331" s="258">
        <v>0</v>
      </c>
      <c r="S331" s="257">
        <f>INT($G331*R331*100+0.5)/100</f>
        <v>0</v>
      </c>
      <c r="T331" s="257"/>
      <c r="U331" s="257"/>
      <c r="V331" s="258">
        <v>0</v>
      </c>
      <c r="W331" s="257">
        <f>INT($G331*V331*100+0.5)/100</f>
        <v>0</v>
      </c>
      <c r="X331" s="258">
        <v>0</v>
      </c>
      <c r="Y331" s="257">
        <f>INT($G331*X331*100+0.5)/100</f>
        <v>0</v>
      </c>
      <c r="Z331" s="258">
        <v>0</v>
      </c>
      <c r="AA331" s="257">
        <f>INT($G331*Z331*100+0.5)/100</f>
        <v>0</v>
      </c>
      <c r="AB331" s="258">
        <v>0</v>
      </c>
      <c r="AC331" s="257">
        <f>INT($G331*AB331*100+0.5)/100</f>
        <v>0</v>
      </c>
    </row>
    <row r="332" spans="1:29" ht="15.6" hidden="1" customHeight="1">
      <c r="A332" s="250"/>
      <c r="B332" s="251"/>
      <c r="C332" s="860"/>
      <c r="D332" s="292" t="s">
        <v>1611</v>
      </c>
      <c r="E332" s="251"/>
      <c r="F332" s="735"/>
      <c r="G332" s="261"/>
      <c r="H332" s="261"/>
      <c r="I332" s="251"/>
      <c r="J332" s="261"/>
      <c r="K332" s="261"/>
      <c r="L332" s="261"/>
      <c r="M332" s="261"/>
      <c r="N332" s="258"/>
      <c r="O332" s="257"/>
      <c r="P332" s="258"/>
      <c r="Q332" s="257"/>
      <c r="R332" s="258"/>
      <c r="S332" s="257"/>
      <c r="T332" s="257"/>
      <c r="U332" s="257"/>
      <c r="V332" s="258"/>
      <c r="W332" s="257"/>
      <c r="X332" s="258"/>
      <c r="Y332" s="257"/>
      <c r="Z332" s="258"/>
      <c r="AA332" s="257"/>
      <c r="AB332" s="258"/>
      <c r="AC332" s="257"/>
    </row>
    <row r="333" spans="1:29" ht="15.6" hidden="1" customHeight="1">
      <c r="A333" s="250"/>
      <c r="B333" s="251"/>
      <c r="C333" s="860"/>
      <c r="D333" s="292"/>
      <c r="E333" s="251"/>
      <c r="F333" s="735"/>
      <c r="G333" s="261"/>
      <c r="H333" s="261"/>
      <c r="I333" s="251"/>
      <c r="J333" s="261"/>
      <c r="K333" s="261"/>
      <c r="L333" s="261"/>
      <c r="M333" s="261"/>
      <c r="N333" s="258"/>
      <c r="O333" s="257"/>
      <c r="P333" s="258"/>
      <c r="Q333" s="257"/>
      <c r="R333" s="258"/>
      <c r="S333" s="257"/>
      <c r="T333" s="257"/>
      <c r="U333" s="257"/>
      <c r="V333" s="258"/>
      <c r="W333" s="257"/>
      <c r="X333" s="258"/>
      <c r="Y333" s="257"/>
      <c r="Z333" s="258"/>
      <c r="AA333" s="257"/>
      <c r="AB333" s="258"/>
      <c r="AC333" s="257"/>
    </row>
    <row r="334" spans="1:29" ht="15.6" hidden="1" customHeight="1">
      <c r="A334" s="750" t="s">
        <v>2510</v>
      </c>
      <c r="B334" s="251"/>
      <c r="C334" s="865" t="s">
        <v>2487</v>
      </c>
      <c r="D334" s="752"/>
      <c r="E334" s="251" t="s">
        <v>2878</v>
      </c>
      <c r="F334" s="735"/>
      <c r="G334" s="261"/>
      <c r="H334" s="261"/>
      <c r="I334" s="251" t="s">
        <v>2878</v>
      </c>
      <c r="J334" s="261"/>
      <c r="K334" s="261"/>
      <c r="L334" s="261"/>
      <c r="M334" s="261"/>
      <c r="N334" s="258"/>
      <c r="O334" s="257"/>
      <c r="P334" s="258"/>
      <c r="Q334" s="257"/>
      <c r="R334" s="258"/>
      <c r="S334" s="257"/>
      <c r="T334" s="257"/>
      <c r="U334" s="257"/>
      <c r="V334" s="258"/>
      <c r="W334" s="257"/>
      <c r="X334" s="258"/>
      <c r="Y334" s="257"/>
      <c r="Z334" s="258"/>
      <c r="AA334" s="257"/>
      <c r="AB334" s="258"/>
      <c r="AC334" s="257"/>
    </row>
    <row r="335" spans="1:29" ht="26.45" hidden="1" customHeight="1">
      <c r="A335" s="250"/>
      <c r="B335" s="251"/>
      <c r="C335" s="860"/>
      <c r="D335" s="752" t="s">
        <v>2489</v>
      </c>
      <c r="E335" s="251"/>
      <c r="F335" s="735"/>
      <c r="G335" s="261"/>
      <c r="H335" s="261"/>
      <c r="I335" s="251"/>
      <c r="J335" s="261"/>
      <c r="K335" s="261"/>
      <c r="L335" s="261"/>
      <c r="M335" s="261"/>
      <c r="N335" s="258"/>
      <c r="O335" s="257"/>
      <c r="P335" s="258"/>
      <c r="Q335" s="257"/>
      <c r="R335" s="258"/>
      <c r="S335" s="257"/>
      <c r="T335" s="257"/>
      <c r="U335" s="257"/>
      <c r="V335" s="258"/>
      <c r="W335" s="257"/>
      <c r="X335" s="258"/>
      <c r="Y335" s="257"/>
      <c r="Z335" s="258"/>
      <c r="AA335" s="257"/>
      <c r="AB335" s="258"/>
      <c r="AC335" s="257"/>
    </row>
    <row r="336" spans="1:29" ht="15.6" hidden="1" customHeight="1">
      <c r="A336" s="250"/>
      <c r="B336" s="251"/>
      <c r="C336" s="860"/>
      <c r="D336" s="292" t="s">
        <v>2518</v>
      </c>
      <c r="E336" s="251"/>
      <c r="F336" s="735"/>
      <c r="G336" s="261"/>
      <c r="H336" s="261"/>
      <c r="I336" s="251"/>
      <c r="J336" s="261"/>
      <c r="K336" s="261"/>
      <c r="L336" s="261"/>
      <c r="M336" s="261"/>
      <c r="N336" s="258">
        <f>3+3</f>
        <v>6</v>
      </c>
      <c r="O336" s="257"/>
      <c r="P336" s="258"/>
      <c r="Q336" s="257"/>
      <c r="R336" s="258"/>
      <c r="S336" s="257"/>
      <c r="T336" s="257"/>
      <c r="U336" s="257"/>
      <c r="V336" s="258"/>
      <c r="W336" s="245"/>
      <c r="X336" s="258"/>
      <c r="Y336" s="257"/>
      <c r="Z336" s="258"/>
      <c r="AA336" s="245"/>
      <c r="AB336" s="258"/>
      <c r="AC336" s="245"/>
    </row>
    <row r="337" spans="1:29" ht="26.45" hidden="1" customHeight="1">
      <c r="A337" s="250"/>
      <c r="B337" s="251"/>
      <c r="C337" s="860"/>
      <c r="D337" s="292" t="s">
        <v>2519</v>
      </c>
      <c r="E337" s="251"/>
      <c r="F337" s="735"/>
      <c r="G337" s="261"/>
      <c r="H337" s="261"/>
      <c r="I337" s="251"/>
      <c r="J337" s="261"/>
      <c r="K337" s="261"/>
      <c r="L337" s="261"/>
      <c r="M337" s="261"/>
      <c r="N337" s="258">
        <f>10+3+2</f>
        <v>15</v>
      </c>
      <c r="O337" s="257"/>
      <c r="P337" s="258"/>
      <c r="Q337" s="257"/>
      <c r="R337" s="258"/>
      <c r="S337" s="257"/>
      <c r="T337" s="257"/>
      <c r="U337" s="257"/>
      <c r="V337" s="258"/>
      <c r="W337" s="245"/>
      <c r="X337" s="258"/>
      <c r="Y337" s="257"/>
      <c r="Z337" s="258"/>
      <c r="AA337" s="245"/>
      <c r="AB337" s="258"/>
      <c r="AC337" s="245"/>
    </row>
    <row r="338" spans="1:29" ht="26.45" hidden="1" customHeight="1">
      <c r="A338" s="250"/>
      <c r="B338" s="251"/>
      <c r="C338" s="860"/>
      <c r="D338" s="292" t="s">
        <v>2520</v>
      </c>
      <c r="E338" s="251"/>
      <c r="F338" s="735"/>
      <c r="G338" s="261"/>
      <c r="H338" s="261"/>
      <c r="I338" s="251"/>
      <c r="J338" s="261"/>
      <c r="K338" s="261"/>
      <c r="L338" s="261"/>
      <c r="M338" s="261"/>
      <c r="N338" s="258">
        <f>5+4+4</f>
        <v>13</v>
      </c>
      <c r="O338" s="257"/>
      <c r="P338" s="258"/>
      <c r="Q338" s="257"/>
      <c r="R338" s="258"/>
      <c r="S338" s="257"/>
      <c r="T338" s="257"/>
      <c r="U338" s="257"/>
      <c r="V338" s="258"/>
      <c r="W338" s="245"/>
      <c r="X338" s="258"/>
      <c r="Y338" s="257"/>
      <c r="Z338" s="258"/>
      <c r="AA338" s="245"/>
      <c r="AB338" s="258"/>
      <c r="AC338" s="245"/>
    </row>
    <row r="339" spans="1:29" ht="15.6" hidden="1" customHeight="1">
      <c r="A339" s="250"/>
      <c r="B339" s="251"/>
      <c r="C339" s="860"/>
      <c r="D339" s="292" t="s">
        <v>2479</v>
      </c>
      <c r="E339" s="251"/>
      <c r="F339" s="735"/>
      <c r="G339" s="256">
        <v>4</v>
      </c>
      <c r="H339" s="261"/>
      <c r="I339" s="251"/>
      <c r="J339" s="256"/>
      <c r="K339" s="256"/>
      <c r="L339" s="256"/>
      <c r="M339" s="256"/>
      <c r="N339" s="258"/>
      <c r="O339" s="257"/>
      <c r="P339" s="258"/>
      <c r="Q339" s="257"/>
      <c r="R339" s="258"/>
      <c r="S339" s="257"/>
      <c r="T339" s="257"/>
      <c r="U339" s="257"/>
      <c r="V339" s="258">
        <v>0</v>
      </c>
      <c r="W339" s="245"/>
      <c r="X339" s="258"/>
      <c r="Y339" s="257"/>
      <c r="Z339" s="258"/>
      <c r="AA339" s="245"/>
      <c r="AB339" s="258">
        <v>0</v>
      </c>
      <c r="AC339" s="245"/>
    </row>
    <row r="340" spans="1:29" ht="15.6" hidden="1" customHeight="1">
      <c r="A340" s="250"/>
      <c r="B340" s="251"/>
      <c r="C340" s="860"/>
      <c r="D340" s="292" t="s">
        <v>2478</v>
      </c>
      <c r="E340" s="251"/>
      <c r="F340" s="735"/>
      <c r="G340" s="256">
        <f>(55-32)</f>
        <v>23</v>
      </c>
      <c r="H340" s="261"/>
      <c r="I340" s="251"/>
      <c r="J340" s="256"/>
      <c r="K340" s="256"/>
      <c r="L340" s="256"/>
      <c r="M340" s="256"/>
      <c r="N340" s="258"/>
      <c r="O340" s="257"/>
      <c r="P340" s="258"/>
      <c r="Q340" s="257"/>
      <c r="R340" s="258"/>
      <c r="S340" s="257"/>
      <c r="T340" s="257"/>
      <c r="U340" s="257"/>
      <c r="V340" s="258"/>
      <c r="W340" s="245"/>
      <c r="X340" s="258"/>
      <c r="Y340" s="257"/>
      <c r="Z340" s="258"/>
      <c r="AA340" s="245"/>
      <c r="AB340" s="258"/>
      <c r="AC340" s="245"/>
    </row>
    <row r="341" spans="1:29" ht="15.6" hidden="1" customHeight="1">
      <c r="A341" s="250"/>
      <c r="B341" s="251"/>
      <c r="C341" s="860"/>
      <c r="D341" s="292" t="s">
        <v>1899</v>
      </c>
      <c r="E341" s="251"/>
      <c r="F341" s="735"/>
      <c r="G341" s="256"/>
      <c r="H341" s="261"/>
      <c r="I341" s="251"/>
      <c r="J341" s="256"/>
      <c r="K341" s="256"/>
      <c r="L341" s="256"/>
      <c r="M341" s="256"/>
      <c r="N341" s="293">
        <v>4</v>
      </c>
      <c r="O341" s="294"/>
      <c r="P341" s="293"/>
      <c r="Q341" s="294"/>
      <c r="R341" s="293"/>
      <c r="S341" s="294"/>
      <c r="T341" s="294"/>
      <c r="U341" s="294"/>
      <c r="V341" s="293"/>
      <c r="W341" s="296"/>
      <c r="X341" s="293"/>
      <c r="Y341" s="294"/>
      <c r="Z341" s="293"/>
      <c r="AA341" s="296"/>
      <c r="AB341" s="293"/>
      <c r="AC341" s="296"/>
    </row>
    <row r="342" spans="1:29" ht="15.6" hidden="1" customHeight="1">
      <c r="A342" s="250"/>
      <c r="B342" s="251"/>
      <c r="C342" s="860"/>
      <c r="D342" s="292" t="s">
        <v>1900</v>
      </c>
      <c r="E342" s="251"/>
      <c r="F342" s="756">
        <f>N342+R342+P342+T342+V342+X342+Z342+AB342</f>
        <v>0</v>
      </c>
      <c r="G342" s="841">
        <v>210</v>
      </c>
      <c r="H342" s="840">
        <f>O342+S342+Q342+U342+W342+Y342+AA342+AC342</f>
        <v>0</v>
      </c>
      <c r="I342" s="251"/>
      <c r="J342" s="841"/>
      <c r="K342" s="841"/>
      <c r="L342" s="841"/>
      <c r="M342" s="841"/>
      <c r="N342" s="780">
        <v>0</v>
      </c>
      <c r="O342" s="257">
        <f>INT($G342*N342*100+0.5)/100</f>
        <v>0</v>
      </c>
      <c r="P342" s="258">
        <f>INT(SUM(P335:P341)*100+0.5)/100</f>
        <v>0</v>
      </c>
      <c r="Q342" s="257">
        <f>INT($G342*P342*100+0.5)/100</f>
        <v>0</v>
      </c>
      <c r="R342" s="258">
        <f>INT(SUM(R335:R341)*100+0.5)/100</f>
        <v>0</v>
      </c>
      <c r="S342" s="257">
        <f>INT($G342*R342*100+0.5)/100</f>
        <v>0</v>
      </c>
      <c r="T342" s="257">
        <v>0</v>
      </c>
      <c r="U342" s="257">
        <f>INT($G342*T342*100+0.5)/100</f>
        <v>0</v>
      </c>
      <c r="V342" s="258">
        <f>INT(SUM(V335:V341)*100+0.5)/100</f>
        <v>0</v>
      </c>
      <c r="W342" s="257">
        <f>INT($G342*V342*100+0.5)/100</f>
        <v>0</v>
      </c>
      <c r="X342" s="258">
        <f>INT(SUM(X335:X341)*100+0.5)/100</f>
        <v>0</v>
      </c>
      <c r="Y342" s="257">
        <f>INT($G342*X342*100+0.5)/100</f>
        <v>0</v>
      </c>
      <c r="Z342" s="258">
        <f>INT(SUM(Z335:Z341)*100+0.5)/100</f>
        <v>0</v>
      </c>
      <c r="AA342" s="257">
        <f>INT($G342*Z342*100+0.5)/100</f>
        <v>0</v>
      </c>
      <c r="AB342" s="258">
        <f>INT(SUM(AB335:AB341)*100+0.5)/100</f>
        <v>0</v>
      </c>
      <c r="AC342" s="257">
        <f>INT($G342*AB342*100+0.5)/100</f>
        <v>0</v>
      </c>
    </row>
    <row r="343" spans="1:29" ht="15.6" hidden="1" customHeight="1">
      <c r="A343" s="250"/>
      <c r="B343" s="251"/>
      <c r="C343" s="860"/>
      <c r="D343" s="292"/>
      <c r="E343" s="251"/>
      <c r="F343" s="735"/>
      <c r="G343" s="261"/>
      <c r="H343" s="243"/>
      <c r="I343" s="251"/>
      <c r="J343" s="261"/>
      <c r="K343" s="261"/>
      <c r="L343" s="261"/>
      <c r="M343" s="261"/>
      <c r="N343" s="258"/>
      <c r="O343" s="257"/>
      <c r="P343" s="258"/>
      <c r="Q343" s="257"/>
      <c r="R343" s="258"/>
      <c r="S343" s="257"/>
      <c r="T343" s="257"/>
      <c r="U343" s="257"/>
      <c r="V343" s="258"/>
      <c r="W343" s="257"/>
      <c r="X343" s="258"/>
      <c r="Y343" s="257"/>
      <c r="Z343" s="258"/>
      <c r="AA343" s="257"/>
      <c r="AB343" s="258"/>
      <c r="AC343" s="257"/>
    </row>
    <row r="344" spans="1:29" ht="15.6" hidden="1" customHeight="1">
      <c r="A344" s="750" t="s">
        <v>2510</v>
      </c>
      <c r="B344" s="251"/>
      <c r="C344" s="865" t="s">
        <v>2488</v>
      </c>
      <c r="D344" s="752"/>
      <c r="E344" s="251" t="s">
        <v>2475</v>
      </c>
      <c r="F344" s="735"/>
      <c r="G344" s="261"/>
      <c r="H344" s="243"/>
      <c r="I344" s="251" t="s">
        <v>2475</v>
      </c>
      <c r="J344" s="261"/>
      <c r="K344" s="261"/>
      <c r="L344" s="261"/>
      <c r="M344" s="261"/>
      <c r="N344" s="258"/>
      <c r="O344" s="257"/>
      <c r="P344" s="258"/>
      <c r="Q344" s="257"/>
      <c r="R344" s="258"/>
      <c r="S344" s="257"/>
      <c r="T344" s="257"/>
      <c r="U344" s="257"/>
      <c r="V344" s="258"/>
      <c r="W344" s="257"/>
      <c r="X344" s="258"/>
      <c r="Y344" s="257"/>
      <c r="Z344" s="258"/>
      <c r="AA344" s="257"/>
      <c r="AB344" s="258"/>
      <c r="AC344" s="257"/>
    </row>
    <row r="345" spans="1:29" ht="26.45" hidden="1" customHeight="1">
      <c r="A345" s="250"/>
      <c r="B345" s="251"/>
      <c r="C345" s="866"/>
      <c r="D345" s="752" t="s">
        <v>2486</v>
      </c>
      <c r="E345" s="251"/>
      <c r="F345" s="735"/>
      <c r="G345" s="261"/>
      <c r="H345" s="243"/>
      <c r="I345" s="251"/>
      <c r="J345" s="261"/>
      <c r="K345" s="261"/>
      <c r="L345" s="261"/>
      <c r="M345" s="261"/>
      <c r="N345" s="258"/>
      <c r="O345" s="257"/>
      <c r="P345" s="258"/>
      <c r="Q345" s="257"/>
      <c r="R345" s="258"/>
      <c r="S345" s="257"/>
      <c r="T345" s="257"/>
      <c r="U345" s="257"/>
      <c r="V345" s="258"/>
      <c r="W345" s="257"/>
      <c r="X345" s="258"/>
      <c r="Y345" s="257"/>
      <c r="Z345" s="258"/>
      <c r="AA345" s="257"/>
      <c r="AB345" s="258"/>
      <c r="AC345" s="257"/>
    </row>
    <row r="346" spans="1:29" ht="15.6" hidden="1" customHeight="1">
      <c r="A346" s="250"/>
      <c r="B346" s="251"/>
      <c r="C346" s="860"/>
      <c r="D346" s="292" t="s">
        <v>2518</v>
      </c>
      <c r="E346" s="251"/>
      <c r="F346" s="735"/>
      <c r="G346" s="261"/>
      <c r="H346" s="243"/>
      <c r="I346" s="251"/>
      <c r="J346" s="261"/>
      <c r="K346" s="261"/>
      <c r="L346" s="261"/>
      <c r="M346" s="261"/>
      <c r="N346" s="258">
        <f>3*3+3*5</f>
        <v>24</v>
      </c>
      <c r="O346" s="257"/>
      <c r="P346" s="258"/>
      <c r="Q346" s="257"/>
      <c r="R346" s="258"/>
      <c r="S346" s="257"/>
      <c r="T346" s="257"/>
      <c r="U346" s="257"/>
      <c r="V346" s="258"/>
      <c r="W346" s="245"/>
      <c r="X346" s="258"/>
      <c r="Y346" s="257"/>
      <c r="Z346" s="258"/>
      <c r="AA346" s="245"/>
      <c r="AB346" s="258"/>
      <c r="AC346" s="245"/>
    </row>
    <row r="347" spans="1:29" ht="26.45" hidden="1" customHeight="1">
      <c r="A347" s="250"/>
      <c r="B347" s="251"/>
      <c r="C347" s="860"/>
      <c r="D347" s="292" t="s">
        <v>2519</v>
      </c>
      <c r="E347" s="251"/>
      <c r="F347" s="735"/>
      <c r="G347" s="261"/>
      <c r="H347" s="243"/>
      <c r="I347" s="251"/>
      <c r="J347" s="261"/>
      <c r="K347" s="261"/>
      <c r="L347" s="261"/>
      <c r="M347" s="261"/>
      <c r="N347" s="258">
        <f>10*7+3*7+4*5</f>
        <v>111</v>
      </c>
      <c r="O347" s="257"/>
      <c r="P347" s="258"/>
      <c r="Q347" s="257"/>
      <c r="R347" s="258"/>
      <c r="S347" s="257"/>
      <c r="T347" s="257"/>
      <c r="U347" s="257"/>
      <c r="V347" s="258"/>
      <c r="W347" s="245"/>
      <c r="X347" s="258"/>
      <c r="Y347" s="257"/>
      <c r="Z347" s="258"/>
      <c r="AA347" s="245"/>
      <c r="AB347" s="258"/>
      <c r="AC347" s="245"/>
    </row>
    <row r="348" spans="1:29" ht="26.45" hidden="1" customHeight="1">
      <c r="A348" s="250"/>
      <c r="B348" s="251"/>
      <c r="C348" s="860"/>
      <c r="D348" s="292" t="s">
        <v>2520</v>
      </c>
      <c r="E348" s="251"/>
      <c r="F348" s="735"/>
      <c r="G348" s="261"/>
      <c r="H348" s="243"/>
      <c r="I348" s="251"/>
      <c r="J348" s="261"/>
      <c r="K348" s="261"/>
      <c r="L348" s="261"/>
      <c r="M348" s="261"/>
      <c r="N348" s="293">
        <f>5*7+4*7+4*5</f>
        <v>83</v>
      </c>
      <c r="O348" s="257"/>
      <c r="P348" s="258"/>
      <c r="Q348" s="257"/>
      <c r="R348" s="258"/>
      <c r="S348" s="257"/>
      <c r="T348" s="257"/>
      <c r="U348" s="257"/>
      <c r="V348" s="258"/>
      <c r="W348" s="245"/>
      <c r="X348" s="258"/>
      <c r="Y348" s="257"/>
      <c r="Z348" s="258"/>
      <c r="AA348" s="245"/>
      <c r="AB348" s="258"/>
      <c r="AC348" s="245"/>
    </row>
    <row r="349" spans="1:29" ht="15.6" hidden="1" customHeight="1">
      <c r="A349" s="250"/>
      <c r="B349" s="251"/>
      <c r="C349" s="860"/>
      <c r="D349" s="292" t="s">
        <v>2479</v>
      </c>
      <c r="E349" s="251"/>
      <c r="F349" s="735"/>
      <c r="G349" s="256">
        <f>4*6</f>
        <v>24</v>
      </c>
      <c r="H349" s="261"/>
      <c r="I349" s="251"/>
      <c r="J349" s="256"/>
      <c r="K349" s="256"/>
      <c r="L349" s="256"/>
      <c r="M349" s="256"/>
      <c r="N349" s="258"/>
      <c r="O349" s="257"/>
      <c r="P349" s="258"/>
      <c r="Q349" s="257"/>
      <c r="R349" s="258"/>
      <c r="S349" s="257"/>
      <c r="T349" s="257"/>
      <c r="U349" s="257"/>
      <c r="V349" s="258">
        <v>0</v>
      </c>
      <c r="W349" s="245"/>
      <c r="X349" s="258"/>
      <c r="Y349" s="257"/>
      <c r="Z349" s="258"/>
      <c r="AA349" s="245"/>
      <c r="AB349" s="258">
        <v>0</v>
      </c>
      <c r="AC349" s="245"/>
    </row>
    <row r="350" spans="1:29" ht="15.6" hidden="1" customHeight="1">
      <c r="A350" s="250"/>
      <c r="B350" s="251"/>
      <c r="C350" s="860"/>
      <c r="D350" s="292" t="s">
        <v>2478</v>
      </c>
      <c r="E350" s="251"/>
      <c r="F350" s="735"/>
      <c r="G350" s="256">
        <f>(55-32)*6</f>
        <v>138</v>
      </c>
      <c r="H350" s="261"/>
      <c r="I350" s="251"/>
      <c r="J350" s="256"/>
      <c r="K350" s="256"/>
      <c r="L350" s="256"/>
      <c r="M350" s="256"/>
      <c r="N350" s="293"/>
      <c r="O350" s="294"/>
      <c r="P350" s="293"/>
      <c r="Q350" s="294"/>
      <c r="R350" s="258"/>
      <c r="S350" s="294"/>
      <c r="T350" s="294"/>
      <c r="U350" s="294"/>
      <c r="V350" s="293"/>
      <c r="W350" s="296"/>
      <c r="X350" s="293"/>
      <c r="Y350" s="294"/>
      <c r="Z350" s="293"/>
      <c r="AA350" s="296"/>
      <c r="AB350" s="293"/>
      <c r="AC350" s="296"/>
    </row>
    <row r="351" spans="1:29" ht="15.6" hidden="1" customHeight="1">
      <c r="A351" s="250"/>
      <c r="B351" s="251"/>
      <c r="C351" s="860"/>
      <c r="D351" s="292" t="s">
        <v>1900</v>
      </c>
      <c r="E351" s="251"/>
      <c r="F351" s="756">
        <f>N351+R351+P351+T351+V351+X351+Z351+AB351</f>
        <v>0</v>
      </c>
      <c r="G351" s="841">
        <v>157.5</v>
      </c>
      <c r="H351" s="840">
        <f>O351+S351+Q351+U351+W351+Y351+AA351+AC351</f>
        <v>0</v>
      </c>
      <c r="I351" s="251"/>
      <c r="J351" s="841"/>
      <c r="K351" s="841"/>
      <c r="L351" s="841"/>
      <c r="M351" s="841"/>
      <c r="N351" s="258">
        <v>0</v>
      </c>
      <c r="O351" s="257">
        <f>INT($G351*N351*100+0.5)/100</f>
        <v>0</v>
      </c>
      <c r="P351" s="258"/>
      <c r="Q351" s="257">
        <f>INT($G351*P351*100+0.5)/100</f>
        <v>0</v>
      </c>
      <c r="R351" s="258">
        <v>0</v>
      </c>
      <c r="S351" s="257">
        <f>INT($G351*R351*100+0.5)/100</f>
        <v>0</v>
      </c>
      <c r="T351" s="257">
        <v>0</v>
      </c>
      <c r="U351" s="257">
        <f>INT($G351*T351*100+0.5)/100</f>
        <v>0</v>
      </c>
      <c r="V351" s="258">
        <f>INT(SUM(V345:V350)*100+0.5)/100</f>
        <v>0</v>
      </c>
      <c r="W351" s="257">
        <f>INT($G351*V351*100+0.5)/100</f>
        <v>0</v>
      </c>
      <c r="X351" s="258">
        <f>INT(SUM(X345:X350)*100+0.5)/100</f>
        <v>0</v>
      </c>
      <c r="Y351" s="257">
        <f>INT($G351*X351*100+0.5)/100</f>
        <v>0</v>
      </c>
      <c r="Z351" s="258">
        <f>INT(SUM(Z345:Z350)*100+0.5)/100</f>
        <v>0</v>
      </c>
      <c r="AA351" s="257">
        <f>INT($G351*Z351*100+0.5)/100</f>
        <v>0</v>
      </c>
      <c r="AB351" s="258">
        <f>INT(SUM(AB345:AB350)*100+0.5)/100</f>
        <v>0</v>
      </c>
      <c r="AC351" s="257">
        <f>INT($G351*AB351*100+0.5)/100</f>
        <v>0</v>
      </c>
    </row>
    <row r="352" spans="1:29" ht="15.6" hidden="1" customHeight="1">
      <c r="A352" s="250"/>
      <c r="B352" s="251"/>
      <c r="C352" s="860"/>
      <c r="D352" s="292"/>
      <c r="E352" s="251"/>
      <c r="F352" s="735"/>
      <c r="G352" s="261"/>
      <c r="H352" s="261"/>
      <c r="I352" s="251"/>
      <c r="J352" s="261"/>
      <c r="K352" s="261"/>
      <c r="L352" s="261"/>
      <c r="M352" s="261"/>
      <c r="N352" s="258"/>
      <c r="O352" s="257"/>
      <c r="P352" s="258"/>
      <c r="Q352" s="257"/>
      <c r="R352" s="258"/>
      <c r="S352" s="257"/>
      <c r="T352" s="257"/>
      <c r="U352" s="257"/>
      <c r="V352" s="258"/>
      <c r="W352" s="257"/>
      <c r="X352" s="258"/>
      <c r="Y352" s="257"/>
      <c r="Z352" s="258"/>
      <c r="AA352" s="257"/>
      <c r="AB352" s="258"/>
      <c r="AC352" s="257"/>
    </row>
    <row r="353" spans="1:29" s="247" customFormat="1" ht="15.6" hidden="1" customHeight="1">
      <c r="A353" s="753" t="s">
        <v>2510</v>
      </c>
      <c r="B353" s="237"/>
      <c r="C353" s="867" t="s">
        <v>330</v>
      </c>
      <c r="D353" s="238" t="s">
        <v>328</v>
      </c>
      <c r="E353" s="237" t="s">
        <v>2475</v>
      </c>
      <c r="F353" s="735">
        <f>N353+R353+P353+V353+X353+Z353+AB353</f>
        <v>0</v>
      </c>
      <c r="G353" s="243">
        <v>630</v>
      </c>
      <c r="H353" s="261">
        <f>O353+S353+Q353+W353+Y353+AA353+AC353</f>
        <v>0</v>
      </c>
      <c r="I353" s="237" t="s">
        <v>2475</v>
      </c>
      <c r="J353" s="243"/>
      <c r="K353" s="243"/>
      <c r="L353" s="243"/>
      <c r="M353" s="243"/>
      <c r="N353" s="289">
        <v>0</v>
      </c>
      <c r="O353" s="245">
        <f>INT($G353*N353*100+0.5)/100</f>
        <v>0</v>
      </c>
      <c r="P353" s="289">
        <v>0</v>
      </c>
      <c r="Q353" s="245">
        <f>INT($G353*P353*100+0.5)/100</f>
        <v>0</v>
      </c>
      <c r="R353" s="289">
        <v>0</v>
      </c>
      <c r="S353" s="245">
        <f>INT($G353*R353*100+0.5)/100</f>
        <v>0</v>
      </c>
      <c r="T353" s="245"/>
      <c r="U353" s="245"/>
      <c r="V353" s="289">
        <v>0</v>
      </c>
      <c r="W353" s="245">
        <f>INT($G353*V353*100+0.5)/100</f>
        <v>0</v>
      </c>
      <c r="X353" s="289">
        <v>0</v>
      </c>
      <c r="Y353" s="245">
        <f>INT($G353*X353*100+0.5)/100</f>
        <v>0</v>
      </c>
      <c r="Z353" s="289">
        <v>0</v>
      </c>
      <c r="AA353" s="245">
        <f>INT($G353*Z353*100+0.5)/100</f>
        <v>0</v>
      </c>
      <c r="AB353" s="289">
        <v>0</v>
      </c>
      <c r="AC353" s="245">
        <f>INT($G353*AB353*100+0.5)/100</f>
        <v>0</v>
      </c>
    </row>
    <row r="354" spans="1:29" ht="15.6" hidden="1" customHeight="1">
      <c r="A354" s="250"/>
      <c r="B354" s="251"/>
      <c r="C354" s="864"/>
      <c r="D354" s="532" t="s">
        <v>329</v>
      </c>
      <c r="E354" s="237"/>
      <c r="F354" s="783"/>
      <c r="G354" s="243"/>
      <c r="H354" s="261"/>
      <c r="I354" s="237"/>
      <c r="J354" s="243"/>
      <c r="K354" s="243"/>
      <c r="L354" s="243"/>
      <c r="M354" s="243"/>
      <c r="N354" s="289"/>
      <c r="O354" s="245"/>
      <c r="P354" s="289"/>
      <c r="Q354" s="245"/>
      <c r="R354" s="289"/>
      <c r="S354" s="245"/>
      <c r="T354" s="245"/>
      <c r="U354" s="245"/>
      <c r="V354" s="289"/>
      <c r="W354" s="245"/>
      <c r="X354" s="289"/>
      <c r="Y354" s="245"/>
      <c r="Z354" s="289"/>
      <c r="AA354" s="245"/>
      <c r="AB354" s="289"/>
      <c r="AC354" s="245"/>
    </row>
    <row r="355" spans="1:29" ht="15.6" hidden="1" customHeight="1">
      <c r="A355" s="250"/>
      <c r="B355" s="251"/>
      <c r="C355" s="855"/>
      <c r="D355" s="526"/>
      <c r="E355" s="251"/>
      <c r="F355" s="316"/>
      <c r="G355" s="261"/>
      <c r="H355" s="261"/>
      <c r="I355" s="251"/>
      <c r="J355" s="261"/>
      <c r="K355" s="261"/>
      <c r="L355" s="261"/>
      <c r="M355" s="261"/>
      <c r="N355" s="258"/>
      <c r="O355" s="257"/>
      <c r="P355" s="258"/>
      <c r="Q355" s="257"/>
      <c r="R355" s="258"/>
      <c r="S355" s="257"/>
      <c r="T355" s="257"/>
      <c r="U355" s="257"/>
      <c r="V355" s="258"/>
      <c r="W355" s="257"/>
      <c r="X355" s="258"/>
      <c r="Y355" s="257"/>
      <c r="Z355" s="258"/>
      <c r="AA355" s="257"/>
      <c r="AB355" s="258"/>
      <c r="AC355" s="257"/>
    </row>
    <row r="356" spans="1:29" ht="15.6" hidden="1" customHeight="1">
      <c r="A356" s="750" t="s">
        <v>2510</v>
      </c>
      <c r="B356" s="251"/>
      <c r="C356" s="867" t="s">
        <v>331</v>
      </c>
      <c r="D356" s="526" t="s">
        <v>332</v>
      </c>
      <c r="E356" s="251" t="s">
        <v>1439</v>
      </c>
      <c r="F356" s="735">
        <f>N356+R356+P356+V356+X356+Z356+AB356</f>
        <v>0</v>
      </c>
      <c r="G356" s="261">
        <v>1.78</v>
      </c>
      <c r="H356" s="261">
        <f>O356+S356+Q356+W356+Y356+AA356+AC356</f>
        <v>0</v>
      </c>
      <c r="I356" s="251" t="s">
        <v>1439</v>
      </c>
      <c r="J356" s="261"/>
      <c r="K356" s="261"/>
      <c r="L356" s="261"/>
      <c r="M356" s="261"/>
      <c r="N356" s="258">
        <v>0</v>
      </c>
      <c r="O356" s="257">
        <f>INT($G356*N356*100+0.5)/100</f>
        <v>0</v>
      </c>
      <c r="P356" s="258">
        <v>0</v>
      </c>
      <c r="Q356" s="257">
        <f>INT($G356*P356*100+0.5)/100</f>
        <v>0</v>
      </c>
      <c r="R356" s="258">
        <v>0</v>
      </c>
      <c r="S356" s="257">
        <f>INT($G356*R356*100+0.5)/100</f>
        <v>0</v>
      </c>
      <c r="T356" s="257"/>
      <c r="U356" s="257"/>
      <c r="V356" s="258">
        <v>0</v>
      </c>
      <c r="W356" s="257">
        <f>INT($G356*V356*100+0.5)/100</f>
        <v>0</v>
      </c>
      <c r="X356" s="258">
        <v>0</v>
      </c>
      <c r="Y356" s="257">
        <f>INT($G356*X356*100+0.5)/100</f>
        <v>0</v>
      </c>
      <c r="Z356" s="258">
        <v>0</v>
      </c>
      <c r="AA356" s="257">
        <f>INT($G356*Z356*100+0.5)/100</f>
        <v>0</v>
      </c>
      <c r="AB356" s="258">
        <v>0</v>
      </c>
      <c r="AC356" s="257">
        <f>INT($G356*AB356*100+0.5)/100</f>
        <v>0</v>
      </c>
    </row>
    <row r="357" spans="1:29" ht="15.6" hidden="1" customHeight="1">
      <c r="A357" s="250"/>
      <c r="B357" s="251"/>
      <c r="C357" s="855"/>
      <c r="D357" s="526" t="s">
        <v>2113</v>
      </c>
      <c r="E357" s="251"/>
      <c r="F357" s="316"/>
      <c r="G357" s="261"/>
      <c r="H357" s="261"/>
      <c r="I357" s="251"/>
      <c r="J357" s="261"/>
      <c r="K357" s="261"/>
      <c r="L357" s="261"/>
      <c r="M357" s="261"/>
      <c r="N357" s="258"/>
      <c r="O357" s="257"/>
      <c r="P357" s="258"/>
      <c r="Q357" s="257"/>
      <c r="R357" s="258"/>
      <c r="S357" s="257"/>
      <c r="T357" s="257"/>
      <c r="U357" s="257"/>
      <c r="V357" s="258"/>
      <c r="W357" s="257"/>
      <c r="X357" s="258"/>
      <c r="Y357" s="257"/>
      <c r="Z357" s="258"/>
      <c r="AA357" s="257"/>
      <c r="AB357" s="258"/>
      <c r="AC357" s="257"/>
    </row>
    <row r="358" spans="1:29" ht="15.6" hidden="1" customHeight="1">
      <c r="A358" s="250"/>
      <c r="B358" s="251"/>
      <c r="C358" s="855"/>
      <c r="D358" s="526"/>
      <c r="E358" s="251"/>
      <c r="F358" s="316"/>
      <c r="G358" s="261"/>
      <c r="H358" s="261"/>
      <c r="I358" s="251"/>
      <c r="J358" s="261"/>
      <c r="K358" s="261"/>
      <c r="L358" s="261"/>
      <c r="M358" s="261"/>
      <c r="N358" s="258"/>
      <c r="O358" s="257"/>
      <c r="P358" s="258"/>
      <c r="Q358" s="257"/>
      <c r="R358" s="258"/>
      <c r="S358" s="257"/>
      <c r="T358" s="257"/>
      <c r="U358" s="257"/>
      <c r="V358" s="258"/>
      <c r="W358" s="257"/>
      <c r="X358" s="258"/>
      <c r="Y358" s="257"/>
      <c r="Z358" s="258"/>
      <c r="AA358" s="257"/>
      <c r="AB358" s="258"/>
      <c r="AC358" s="257"/>
    </row>
    <row r="359" spans="1:29" ht="15">
      <c r="A359" s="250">
        <f>A317+1</f>
        <v>88</v>
      </c>
      <c r="B359" s="251"/>
      <c r="C359" s="532" t="s">
        <v>996</v>
      </c>
      <c r="D359" s="526" t="s">
        <v>3182</v>
      </c>
      <c r="E359" s="251" t="s">
        <v>2475</v>
      </c>
      <c r="F359" s="735">
        <f>N359+R359+P359+T359+V359+X359+Z359+AB359</f>
        <v>1524.75</v>
      </c>
      <c r="G359" s="261">
        <v>3</v>
      </c>
      <c r="H359" s="261">
        <f>O359+S359+Q359+U359+W359+Y359+AA359+AC359</f>
        <v>4574.25</v>
      </c>
      <c r="I359" s="251" t="s">
        <v>2475</v>
      </c>
      <c r="J359" s="261"/>
      <c r="K359" s="261"/>
      <c r="L359" s="261"/>
      <c r="M359" s="261"/>
      <c r="N359" s="258">
        <f>((23+136.5+101.5)+(132.5+10)+90)/2</f>
        <v>246.75</v>
      </c>
      <c r="O359" s="257">
        <f>INT($G359*N359*100+0.5)/100</f>
        <v>740.25</v>
      </c>
      <c r="P359" s="258">
        <f>((23+136.5+101.5)+(132.5+10)+90)/2+((23+136.5+101.5)+(132.5+10)+90)/2</f>
        <v>493.5</v>
      </c>
      <c r="Q359" s="257">
        <f>INT($G359*P359*100+0.5)/100</f>
        <v>1480.5</v>
      </c>
      <c r="R359" s="258">
        <f>((23+136.5+101.5)+(132.5+10)+90)/2+((23+136.5+101.5)+(132.5+10)+90)/2</f>
        <v>493.5</v>
      </c>
      <c r="S359" s="257">
        <f>INT($G359*R359*100+0.5)/100</f>
        <v>1480.5</v>
      </c>
      <c r="T359" s="258">
        <f>(30)</f>
        <v>30</v>
      </c>
      <c r="U359" s="257">
        <f>INT($G359*T359*100+0.5)/100</f>
        <v>90</v>
      </c>
      <c r="V359" s="258">
        <f>(101.5+136.5+23)</f>
        <v>261</v>
      </c>
      <c r="W359" s="245">
        <f>INT($G359*V359*100+0.5)/100</f>
        <v>783</v>
      </c>
      <c r="X359" s="258">
        <v>0</v>
      </c>
      <c r="Y359" s="257">
        <f>INT($G359*X359*100+0.5)/100</f>
        <v>0</v>
      </c>
      <c r="Z359" s="258">
        <v>0</v>
      </c>
      <c r="AA359" s="245">
        <f>INT($G359*Z359*100+0.5)/100</f>
        <v>0</v>
      </c>
      <c r="AB359" s="258">
        <v>0</v>
      </c>
      <c r="AC359" s="245">
        <f>INT($G359*AB359*100+0.5)/100</f>
        <v>0</v>
      </c>
    </row>
    <row r="360" spans="1:29" ht="15">
      <c r="A360" s="250"/>
      <c r="B360" s="251"/>
      <c r="C360" s="532"/>
      <c r="D360" s="526" t="s">
        <v>997</v>
      </c>
      <c r="E360" s="251"/>
      <c r="F360" s="735"/>
      <c r="G360" s="261"/>
      <c r="H360" s="261"/>
      <c r="I360" s="251"/>
      <c r="J360" s="261"/>
      <c r="K360" s="261"/>
      <c r="L360" s="261"/>
      <c r="M360" s="261"/>
      <c r="N360" s="258"/>
      <c r="O360" s="257"/>
      <c r="P360" s="258"/>
      <c r="Q360" s="257"/>
      <c r="R360" s="258"/>
      <c r="S360" s="257"/>
      <c r="T360" s="257"/>
      <c r="U360" s="257"/>
      <c r="V360" s="258"/>
      <c r="W360" s="245"/>
      <c r="X360" s="258"/>
      <c r="Y360" s="257"/>
      <c r="Z360" s="258"/>
      <c r="AA360" s="245"/>
      <c r="AB360" s="258"/>
      <c r="AC360" s="245"/>
    </row>
    <row r="361" spans="1:29" ht="15">
      <c r="A361" s="250"/>
      <c r="B361" s="251"/>
      <c r="C361" s="532"/>
      <c r="D361" s="292"/>
      <c r="E361" s="251"/>
      <c r="F361" s="735"/>
      <c r="G361" s="261"/>
      <c r="H361" s="261"/>
      <c r="I361" s="251"/>
      <c r="J361" s="261"/>
      <c r="K361" s="261"/>
      <c r="L361" s="261"/>
      <c r="M361" s="261"/>
      <c r="N361" s="258"/>
      <c r="O361" s="257"/>
      <c r="P361" s="258"/>
      <c r="Q361" s="257"/>
      <c r="R361" s="258"/>
      <c r="S361" s="257"/>
      <c r="T361" s="257"/>
      <c r="U361" s="257"/>
      <c r="V361" s="258"/>
      <c r="W361" s="257"/>
      <c r="X361" s="258"/>
      <c r="Y361" s="257"/>
      <c r="Z361" s="258"/>
      <c r="AA361" s="257"/>
      <c r="AB361" s="258"/>
      <c r="AC361" s="257"/>
    </row>
    <row r="362" spans="1:29" ht="15">
      <c r="A362" s="750">
        <f>A359+1</f>
        <v>89</v>
      </c>
      <c r="B362" s="251"/>
      <c r="C362" s="532" t="s">
        <v>998</v>
      </c>
      <c r="D362" s="526" t="s">
        <v>3181</v>
      </c>
      <c r="E362" s="251" t="s">
        <v>1901</v>
      </c>
      <c r="F362" s="735">
        <f>N362+R362+P362+V362+X362+Z362+AB362</f>
        <v>208</v>
      </c>
      <c r="G362" s="261">
        <v>28</v>
      </c>
      <c r="H362" s="261">
        <f>O362+S362+Q362+W362+Y362+AA362+AC362</f>
        <v>5824</v>
      </c>
      <c r="I362" s="251" t="s">
        <v>1901</v>
      </c>
      <c r="J362" s="261"/>
      <c r="K362" s="261"/>
      <c r="L362" s="261"/>
      <c r="M362" s="261"/>
      <c r="N362" s="258">
        <f>22*3</f>
        <v>66</v>
      </c>
      <c r="O362" s="257">
        <f>INT($G362*N362*100+0.5)/100</f>
        <v>1848</v>
      </c>
      <c r="P362" s="258">
        <f>22*4</f>
        <v>88</v>
      </c>
      <c r="Q362" s="257">
        <f>INT($G362*P362*100+0.5)/100</f>
        <v>2464</v>
      </c>
      <c r="R362" s="258">
        <f>14*3+4+4*2</f>
        <v>54</v>
      </c>
      <c r="S362" s="257">
        <f>INT($G362*R362*100+0.5)/100</f>
        <v>1512</v>
      </c>
      <c r="T362" s="257"/>
      <c r="U362" s="257"/>
      <c r="V362" s="258">
        <v>0</v>
      </c>
      <c r="W362" s="245">
        <f>INT($G362*V362*100+0.5)/100</f>
        <v>0</v>
      </c>
      <c r="X362" s="258">
        <v>0</v>
      </c>
      <c r="Y362" s="257">
        <f>INT($G362*X362*100+0.5)/100</f>
        <v>0</v>
      </c>
      <c r="Z362" s="258">
        <v>0</v>
      </c>
      <c r="AA362" s="245">
        <f>INT($G362*Z362*100+0.5)/100</f>
        <v>0</v>
      </c>
      <c r="AB362" s="258">
        <v>0</v>
      </c>
      <c r="AC362" s="245">
        <f>INT($G362*AB362*100+0.5)/100</f>
        <v>0</v>
      </c>
    </row>
    <row r="363" spans="1:29" s="281" customFormat="1" ht="15">
      <c r="A363" s="463"/>
      <c r="B363" s="277"/>
      <c r="C363" s="532"/>
      <c r="D363" s="526" t="s">
        <v>999</v>
      </c>
      <c r="E363" s="277"/>
      <c r="F363" s="735"/>
      <c r="G363" s="261"/>
      <c r="H363" s="261"/>
      <c r="I363" s="251"/>
      <c r="J363" s="261"/>
      <c r="K363" s="261"/>
      <c r="L363" s="261"/>
      <c r="M363" s="261"/>
      <c r="N363" s="258"/>
      <c r="O363" s="257"/>
      <c r="P363" s="258"/>
      <c r="Q363" s="257"/>
      <c r="R363" s="258"/>
      <c r="S363" s="257"/>
      <c r="T363" s="257"/>
      <c r="U363" s="257"/>
      <c r="V363" s="258"/>
      <c r="W363" s="245"/>
      <c r="X363" s="258"/>
      <c r="Y363" s="257"/>
      <c r="Z363" s="258"/>
      <c r="AA363" s="245"/>
      <c r="AB363" s="258"/>
      <c r="AC363" s="245"/>
    </row>
    <row r="364" spans="1:29" ht="15">
      <c r="A364" s="250"/>
      <c r="B364" s="251"/>
      <c r="C364" s="532"/>
      <c r="D364" s="292"/>
      <c r="E364" s="251"/>
      <c r="F364" s="735"/>
      <c r="G364" s="261"/>
      <c r="H364" s="261"/>
      <c r="I364" s="251"/>
      <c r="J364" s="261"/>
      <c r="K364" s="261"/>
      <c r="L364" s="261"/>
      <c r="M364" s="261"/>
      <c r="N364" s="258"/>
      <c r="O364" s="257"/>
      <c r="P364" s="258"/>
      <c r="Q364" s="257"/>
      <c r="R364" s="258"/>
      <c r="S364" s="257"/>
      <c r="T364" s="257"/>
      <c r="U364" s="257"/>
      <c r="V364" s="258"/>
      <c r="W364" s="257"/>
      <c r="X364" s="258"/>
      <c r="Y364" s="257"/>
      <c r="Z364" s="258"/>
      <c r="AA364" s="257"/>
      <c r="AB364" s="258"/>
      <c r="AC364" s="257"/>
    </row>
    <row r="365" spans="1:29" ht="15">
      <c r="A365" s="250">
        <f>A362+1</f>
        <v>90</v>
      </c>
      <c r="B365" s="251"/>
      <c r="C365" s="855" t="s">
        <v>1621</v>
      </c>
      <c r="D365" s="292" t="s">
        <v>1617</v>
      </c>
      <c r="E365" s="251" t="s">
        <v>2461</v>
      </c>
      <c r="F365" s="735">
        <f>N365+R365+P365+T365+V365+X365+Z365+AB365</f>
        <v>16</v>
      </c>
      <c r="G365" s="872">
        <v>26.16</v>
      </c>
      <c r="H365" s="261">
        <f>O365+S365+Q365+U365+W365+Y365+AA365+AC365</f>
        <v>418.56000000000006</v>
      </c>
      <c r="I365" s="251" t="s">
        <v>2461</v>
      </c>
      <c r="J365" s="872"/>
      <c r="K365" s="872"/>
      <c r="L365" s="872"/>
      <c r="M365" s="872"/>
      <c r="N365" s="258">
        <v>3</v>
      </c>
      <c r="O365" s="257">
        <f>INT($G365*N365*100+0.5)/100</f>
        <v>78.48</v>
      </c>
      <c r="P365" s="258">
        <v>3</v>
      </c>
      <c r="Q365" s="257">
        <f>INT($G365*P365*100+0.5)/100</f>
        <v>78.48</v>
      </c>
      <c r="R365" s="258">
        <v>5</v>
      </c>
      <c r="S365" s="257">
        <f>INT($G365*R365*100+0.5)/100</f>
        <v>130.80000000000001</v>
      </c>
      <c r="T365" s="258">
        <v>3</v>
      </c>
      <c r="U365" s="257">
        <f>INT($G365*T365*100+0.5)/100</f>
        <v>78.48</v>
      </c>
      <c r="V365" s="258">
        <v>2</v>
      </c>
      <c r="W365" s="257">
        <f>INT($G365*V365*100+0.5)/100</f>
        <v>52.32</v>
      </c>
      <c r="X365" s="258">
        <v>0</v>
      </c>
      <c r="Y365" s="257">
        <f>INT($G365*X365*100+0.5)/100</f>
        <v>0</v>
      </c>
      <c r="Z365" s="258">
        <v>0</v>
      </c>
      <c r="AA365" s="257">
        <f>INT($G365*Z365*100+0.5)/100</f>
        <v>0</v>
      </c>
      <c r="AB365" s="258">
        <v>0</v>
      </c>
      <c r="AC365" s="257">
        <f>INT($G365*AB365*100+0.5)/100</f>
        <v>0</v>
      </c>
    </row>
    <row r="366" spans="1:29" ht="15">
      <c r="A366" s="250"/>
      <c r="B366" s="251"/>
      <c r="C366" s="855"/>
      <c r="D366" s="292" t="s">
        <v>1616</v>
      </c>
      <c r="E366" s="251"/>
      <c r="F366" s="735"/>
      <c r="G366" s="872"/>
      <c r="H366" s="261"/>
      <c r="I366" s="251"/>
      <c r="J366" s="872"/>
      <c r="K366" s="872"/>
      <c r="L366" s="872"/>
      <c r="M366" s="872"/>
      <c r="N366" s="258"/>
      <c r="O366" s="257"/>
      <c r="P366" s="258"/>
      <c r="Q366" s="257"/>
      <c r="R366" s="258"/>
      <c r="S366" s="257"/>
      <c r="T366" s="257"/>
      <c r="U366" s="257"/>
      <c r="V366" s="258"/>
      <c r="W366" s="257"/>
      <c r="X366" s="258"/>
      <c r="Y366" s="257"/>
      <c r="Z366" s="258"/>
      <c r="AA366" s="257"/>
      <c r="AB366" s="258"/>
      <c r="AC366" s="257"/>
    </row>
    <row r="367" spans="1:29" ht="15">
      <c r="A367" s="250"/>
      <c r="B367" s="251"/>
      <c r="C367" s="855"/>
      <c r="D367" s="292"/>
      <c r="E367" s="251"/>
      <c r="F367" s="735"/>
      <c r="G367" s="872"/>
      <c r="H367" s="261"/>
      <c r="I367" s="251"/>
      <c r="J367" s="872"/>
      <c r="K367" s="872"/>
      <c r="L367" s="872"/>
      <c r="M367" s="872"/>
      <c r="N367" s="258"/>
      <c r="O367" s="257"/>
      <c r="P367" s="258"/>
      <c r="Q367" s="257"/>
      <c r="R367" s="258"/>
      <c r="S367" s="257"/>
      <c r="T367" s="257"/>
      <c r="U367" s="257"/>
      <c r="V367" s="258"/>
      <c r="W367" s="257"/>
      <c r="X367" s="258"/>
      <c r="Y367" s="257"/>
      <c r="Z367" s="258"/>
      <c r="AA367" s="257"/>
      <c r="AB367" s="258"/>
      <c r="AC367" s="257"/>
    </row>
    <row r="368" spans="1:29" ht="15">
      <c r="A368" s="250">
        <f>A365+1</f>
        <v>91</v>
      </c>
      <c r="B368" s="251"/>
      <c r="C368" s="855" t="s">
        <v>2338</v>
      </c>
      <c r="D368" s="292" t="s">
        <v>1002</v>
      </c>
      <c r="E368" s="251" t="s">
        <v>2461</v>
      </c>
      <c r="F368" s="735">
        <f>N368+R368+P368+T368+V368+X368+Z368+AB368</f>
        <v>11</v>
      </c>
      <c r="G368" s="872">
        <v>141.02000000000001</v>
      </c>
      <c r="H368" s="261">
        <f>O368+S368+Q368+U368+W368+Y368+AA368+AC368</f>
        <v>1551.22</v>
      </c>
      <c r="I368" s="251" t="s">
        <v>2461</v>
      </c>
      <c r="J368" s="872"/>
      <c r="K368" s="872"/>
      <c r="L368" s="872"/>
      <c r="M368" s="872"/>
      <c r="N368" s="258">
        <v>3</v>
      </c>
      <c r="O368" s="257">
        <f>INT($G368*N368*100+0.5)/100</f>
        <v>423.06</v>
      </c>
      <c r="P368" s="258">
        <v>3</v>
      </c>
      <c r="Q368" s="257">
        <f>INT($G368*P368*100+0.5)/100</f>
        <v>423.06</v>
      </c>
      <c r="R368" s="258">
        <v>5</v>
      </c>
      <c r="S368" s="257">
        <f>INT($G368*R368*100+0.5)/100</f>
        <v>705.1</v>
      </c>
      <c r="T368" s="258">
        <v>0</v>
      </c>
      <c r="U368" s="257">
        <f>INT($G368*T368*100+0.5)/100</f>
        <v>0</v>
      </c>
      <c r="V368" s="258">
        <v>0</v>
      </c>
      <c r="W368" s="257">
        <f>INT($G368*V368*100+0.5)/100</f>
        <v>0</v>
      </c>
      <c r="X368" s="258">
        <v>0</v>
      </c>
      <c r="Y368" s="257">
        <f>INT($G368*X368*100+0.5)/100</f>
        <v>0</v>
      </c>
      <c r="Z368" s="258">
        <v>0</v>
      </c>
      <c r="AA368" s="257">
        <f>INT($G368*Z368*100+0.5)/100</f>
        <v>0</v>
      </c>
      <c r="AB368" s="258">
        <v>0</v>
      </c>
      <c r="AC368" s="257">
        <f>INT($G368*AB368*100+0.5)/100</f>
        <v>0</v>
      </c>
    </row>
    <row r="369" spans="1:29" ht="15">
      <c r="A369" s="250"/>
      <c r="B369" s="251"/>
      <c r="C369" s="855"/>
      <c r="D369" s="292" t="s">
        <v>1003</v>
      </c>
      <c r="E369" s="251"/>
      <c r="F369" s="735"/>
      <c r="G369" s="872"/>
      <c r="H369" s="261"/>
      <c r="I369" s="251"/>
      <c r="J369" s="872"/>
      <c r="K369" s="872"/>
      <c r="L369" s="872"/>
      <c r="M369" s="872"/>
      <c r="N369" s="258"/>
      <c r="O369" s="257"/>
      <c r="P369" s="258"/>
      <c r="Q369" s="257"/>
      <c r="R369" s="258"/>
      <c r="S369" s="257"/>
      <c r="T369" s="258"/>
      <c r="U369" s="257"/>
      <c r="V369" s="258"/>
      <c r="W369" s="257"/>
      <c r="X369" s="258"/>
      <c r="Y369" s="257"/>
      <c r="Z369" s="258"/>
      <c r="AA369" s="257"/>
      <c r="AB369" s="258"/>
      <c r="AC369" s="257"/>
    </row>
    <row r="370" spans="1:29" ht="15">
      <c r="A370" s="250"/>
      <c r="B370" s="251"/>
      <c r="C370" s="855"/>
      <c r="D370" s="292"/>
      <c r="E370" s="251"/>
      <c r="F370" s="735"/>
      <c r="G370" s="872"/>
      <c r="H370" s="261"/>
      <c r="I370" s="251"/>
      <c r="J370" s="872"/>
      <c r="K370" s="872"/>
      <c r="L370" s="872"/>
      <c r="M370" s="872"/>
      <c r="N370" s="258"/>
      <c r="O370" s="257"/>
      <c r="P370" s="258"/>
      <c r="Q370" s="257"/>
      <c r="R370" s="258"/>
      <c r="S370" s="257"/>
      <c r="T370" s="258"/>
      <c r="U370" s="257"/>
      <c r="V370" s="258"/>
      <c r="W370" s="257"/>
      <c r="X370" s="258"/>
      <c r="Y370" s="257"/>
      <c r="Z370" s="258"/>
      <c r="AA370" s="257"/>
      <c r="AB370" s="258"/>
      <c r="AC370" s="257"/>
    </row>
    <row r="371" spans="1:29" ht="15">
      <c r="A371" s="250">
        <f>A368+1</f>
        <v>92</v>
      </c>
      <c r="B371" s="251"/>
      <c r="C371" s="855" t="s">
        <v>2339</v>
      </c>
      <c r="D371" s="292" t="s">
        <v>1619</v>
      </c>
      <c r="E371" s="251" t="s">
        <v>2461</v>
      </c>
      <c r="F371" s="735">
        <f>N371+R371+P371+T371+V371+X371+Z371+AB371</f>
        <v>18</v>
      </c>
      <c r="G371" s="872">
        <v>253.43</v>
      </c>
      <c r="H371" s="261">
        <f>O371+S371+Q371+U371+W371+Y371+AA371+AC371</f>
        <v>4561.74</v>
      </c>
      <c r="I371" s="251" t="s">
        <v>2461</v>
      </c>
      <c r="J371" s="872"/>
      <c r="K371" s="872"/>
      <c r="L371" s="872"/>
      <c r="M371" s="872"/>
      <c r="N371" s="258">
        <v>3</v>
      </c>
      <c r="O371" s="257">
        <f>INT($G371*N371*100+0.5)/100</f>
        <v>760.29</v>
      </c>
      <c r="P371" s="258">
        <v>3</v>
      </c>
      <c r="Q371" s="257">
        <f>INT($G371*P371*100+0.5)/100</f>
        <v>760.29</v>
      </c>
      <c r="R371" s="258">
        <v>5</v>
      </c>
      <c r="S371" s="257">
        <f>INT($G371*R371*100+0.5)/100</f>
        <v>1267.1500000000001</v>
      </c>
      <c r="T371" s="258">
        <v>0</v>
      </c>
      <c r="U371" s="257">
        <f>INT($G371*T371*100+0.5)/100</f>
        <v>0</v>
      </c>
      <c r="V371" s="258">
        <v>0</v>
      </c>
      <c r="W371" s="257">
        <f>INT($G371*V371*100+0.5)/100</f>
        <v>0</v>
      </c>
      <c r="X371" s="258">
        <v>5</v>
      </c>
      <c r="Y371" s="257">
        <f>INT($G371*X371*100+0.5)/100</f>
        <v>1267.1500000000001</v>
      </c>
      <c r="Z371" s="258">
        <v>2</v>
      </c>
      <c r="AA371" s="257">
        <f>INT($G371*Z371*100+0.5)/100</f>
        <v>506.86</v>
      </c>
      <c r="AB371" s="258">
        <v>0</v>
      </c>
      <c r="AC371" s="257">
        <f>INT($G371*AB371*100+0.5)/100</f>
        <v>0</v>
      </c>
    </row>
    <row r="372" spans="1:29" ht="15">
      <c r="A372" s="250"/>
      <c r="B372" s="251"/>
      <c r="C372" s="648"/>
      <c r="D372" s="292" t="s">
        <v>1618</v>
      </c>
      <c r="E372" s="251"/>
      <c r="F372" s="735"/>
      <c r="G372" s="261"/>
      <c r="H372" s="261"/>
      <c r="I372" s="251"/>
      <c r="J372" s="261"/>
      <c r="K372" s="261"/>
      <c r="L372" s="261"/>
      <c r="M372" s="261"/>
      <c r="N372" s="258"/>
      <c r="O372" s="257"/>
      <c r="P372" s="258"/>
      <c r="Q372" s="257"/>
      <c r="R372" s="258"/>
      <c r="S372" s="257"/>
      <c r="T372" s="258"/>
      <c r="U372" s="257"/>
      <c r="V372" s="258"/>
      <c r="W372" s="257"/>
      <c r="X372" s="258"/>
      <c r="Y372" s="257"/>
      <c r="Z372" s="258"/>
      <c r="AA372" s="257"/>
      <c r="AB372" s="258"/>
      <c r="AC372" s="257"/>
    </row>
    <row r="373" spans="1:29" ht="15">
      <c r="A373" s="250"/>
      <c r="B373" s="251"/>
      <c r="C373" s="855"/>
      <c r="D373" s="292"/>
      <c r="E373" s="251"/>
      <c r="F373" s="735"/>
      <c r="G373" s="261"/>
      <c r="H373" s="261"/>
      <c r="I373" s="251"/>
      <c r="J373" s="261"/>
      <c r="K373" s="261"/>
      <c r="L373" s="261"/>
      <c r="M373" s="261"/>
      <c r="N373" s="258"/>
      <c r="O373" s="257"/>
      <c r="P373" s="258"/>
      <c r="Q373" s="257"/>
      <c r="R373" s="258"/>
      <c r="S373" s="257"/>
      <c r="T373" s="258"/>
      <c r="U373" s="257"/>
      <c r="V373" s="258"/>
      <c r="W373" s="257"/>
      <c r="X373" s="258"/>
      <c r="Y373" s="257"/>
      <c r="Z373" s="258"/>
      <c r="AA373" s="257"/>
      <c r="AB373" s="258"/>
      <c r="AC373" s="257"/>
    </row>
    <row r="374" spans="1:29" ht="15">
      <c r="A374" s="250">
        <f>A371+1</f>
        <v>93</v>
      </c>
      <c r="B374" s="251"/>
      <c r="C374" s="855" t="s">
        <v>3202</v>
      </c>
      <c r="D374" s="292" t="s">
        <v>3203</v>
      </c>
      <c r="E374" s="251" t="s">
        <v>1620</v>
      </c>
      <c r="F374" s="735">
        <f>N374+R374+P374+T374+V374+X374+Z374+AB374</f>
        <v>1010</v>
      </c>
      <c r="G374" s="872">
        <v>1.55</v>
      </c>
      <c r="H374" s="261">
        <f>O374+S374+Q374+U374+W374+Y374+AA374+AC374</f>
        <v>1565.5</v>
      </c>
      <c r="I374" s="251" t="s">
        <v>1620</v>
      </c>
      <c r="J374" s="872"/>
      <c r="K374" s="872"/>
      <c r="L374" s="872"/>
      <c r="M374" s="872"/>
      <c r="N374" s="258">
        <v>50</v>
      </c>
      <c r="O374" s="257">
        <f>INT($G374*N374*100+0.5)/100</f>
        <v>77.5</v>
      </c>
      <c r="P374" s="258">
        <v>0</v>
      </c>
      <c r="Q374" s="257">
        <f>INT($G374*P374*100+0.5)/100</f>
        <v>0</v>
      </c>
      <c r="R374" s="258">
        <f>(6*2+6*2)*40</f>
        <v>960</v>
      </c>
      <c r="S374" s="257">
        <f>INT($G374*R374*100+0.5)/100</f>
        <v>1488</v>
      </c>
      <c r="T374" s="258">
        <v>0</v>
      </c>
      <c r="U374" s="257">
        <f>INT($G374*T374*100+0.5)/100</f>
        <v>0</v>
      </c>
      <c r="V374" s="258">
        <v>0</v>
      </c>
      <c r="W374" s="245">
        <f>INT($G374*V374*100+0.5)/100</f>
        <v>0</v>
      </c>
      <c r="X374" s="258">
        <v>0</v>
      </c>
      <c r="Y374" s="257">
        <f>INT($G374*X374*100+0.5)/100</f>
        <v>0</v>
      </c>
      <c r="Z374" s="258">
        <v>0</v>
      </c>
      <c r="AA374" s="245">
        <f>INT($G374*Z374*100+0.5)/100</f>
        <v>0</v>
      </c>
      <c r="AB374" s="258">
        <v>0</v>
      </c>
      <c r="AC374" s="245">
        <f>INT($G374*AB374*100+0.5)/100</f>
        <v>0</v>
      </c>
    </row>
    <row r="375" spans="1:29" ht="15">
      <c r="A375" s="250"/>
      <c r="B375" s="251"/>
      <c r="C375" s="648"/>
      <c r="D375" s="292" t="s">
        <v>3204</v>
      </c>
      <c r="E375" s="251"/>
      <c r="F375" s="735"/>
      <c r="G375" s="872"/>
      <c r="H375" s="261"/>
      <c r="I375" s="251"/>
      <c r="J375" s="872"/>
      <c r="K375" s="872"/>
      <c r="L375" s="872"/>
      <c r="M375" s="872"/>
      <c r="N375" s="258"/>
      <c r="O375" s="257"/>
      <c r="P375" s="258"/>
      <c r="Q375" s="257"/>
      <c r="R375" s="258"/>
      <c r="S375" s="257"/>
      <c r="T375" s="257"/>
      <c r="U375" s="257"/>
      <c r="V375" s="258"/>
      <c r="W375" s="245"/>
      <c r="X375" s="258"/>
      <c r="Y375" s="257"/>
      <c r="Z375" s="258"/>
      <c r="AA375" s="245"/>
      <c r="AB375" s="258"/>
      <c r="AC375" s="245"/>
    </row>
    <row r="376" spans="1:29" ht="15">
      <c r="A376" s="250"/>
      <c r="B376" s="251"/>
      <c r="C376" s="648"/>
      <c r="D376" s="292"/>
      <c r="E376" s="251"/>
      <c r="F376" s="735"/>
      <c r="G376" s="872"/>
      <c r="H376" s="261"/>
      <c r="I376" s="251"/>
      <c r="J376" s="872"/>
      <c r="K376" s="872"/>
      <c r="L376" s="872"/>
      <c r="M376" s="872"/>
      <c r="N376" s="258"/>
      <c r="O376" s="257"/>
      <c r="P376" s="258"/>
      <c r="Q376" s="257"/>
      <c r="R376" s="258"/>
      <c r="S376" s="257"/>
      <c r="T376" s="257"/>
      <c r="U376" s="257"/>
      <c r="V376" s="258"/>
      <c r="W376" s="245"/>
      <c r="X376" s="258"/>
      <c r="Y376" s="257"/>
      <c r="Z376" s="258"/>
      <c r="AA376" s="245"/>
      <c r="AB376" s="258"/>
      <c r="AC376" s="245"/>
    </row>
    <row r="377" spans="1:29" ht="15">
      <c r="A377" s="250">
        <f>A374+1</f>
        <v>94</v>
      </c>
      <c r="B377" s="251"/>
      <c r="C377" s="855" t="s">
        <v>2341</v>
      </c>
      <c r="D377" s="292" t="s">
        <v>1011</v>
      </c>
      <c r="E377" s="251" t="s">
        <v>1620</v>
      </c>
      <c r="F377" s="735">
        <f>N377+R377+P377+T377+V377+X377+Z377+AB377</f>
        <v>1520</v>
      </c>
      <c r="G377" s="872">
        <v>1.97</v>
      </c>
      <c r="H377" s="261">
        <f>O377+S377+Q377+U377+W377+Y377+AA377+AC377</f>
        <v>2994.4</v>
      </c>
      <c r="I377" s="251" t="s">
        <v>1620</v>
      </c>
      <c r="J377" s="872"/>
      <c r="K377" s="872"/>
      <c r="L377" s="872"/>
      <c r="M377" s="872"/>
      <c r="N377" s="258">
        <f>(6+10+12)*25</f>
        <v>700</v>
      </c>
      <c r="O377" s="257">
        <f>INT($G377*N377*100+0.5)/100</f>
        <v>1379</v>
      </c>
      <c r="P377" s="258">
        <v>0</v>
      </c>
      <c r="Q377" s="257">
        <f>INT($G377*P377*100+0.5)/100</f>
        <v>0</v>
      </c>
      <c r="R377" s="258">
        <f>(9)*2*40</f>
        <v>720</v>
      </c>
      <c r="S377" s="257">
        <f>INT($G377*R377*100+0.5)/100</f>
        <v>1418.4</v>
      </c>
      <c r="T377" s="258">
        <f>(4)*25</f>
        <v>100</v>
      </c>
      <c r="U377" s="257">
        <f>INT($G377*T377*100+0.5)/100</f>
        <v>197</v>
      </c>
      <c r="V377" s="258">
        <v>0</v>
      </c>
      <c r="W377" s="245">
        <f>INT($G377*V377*100+0.5)/100</f>
        <v>0</v>
      </c>
      <c r="X377" s="258">
        <v>0</v>
      </c>
      <c r="Y377" s="257">
        <f>INT($G377*X377*100+0.5)/100</f>
        <v>0</v>
      </c>
      <c r="Z377" s="258">
        <v>0</v>
      </c>
      <c r="AA377" s="245">
        <f>INT($G377*Z377*100+0.5)/100</f>
        <v>0</v>
      </c>
      <c r="AB377" s="258">
        <v>0</v>
      </c>
      <c r="AC377" s="245">
        <f>INT($G377*AB377*100+0.5)/100</f>
        <v>0</v>
      </c>
    </row>
    <row r="378" spans="1:29" ht="25.5">
      <c r="A378" s="250"/>
      <c r="B378" s="251"/>
      <c r="C378" s="855"/>
      <c r="D378" s="292" t="s">
        <v>1012</v>
      </c>
      <c r="E378" s="251"/>
      <c r="F378" s="735"/>
      <c r="G378" s="872"/>
      <c r="H378" s="261"/>
      <c r="I378" s="251"/>
      <c r="J378" s="872"/>
      <c r="K378" s="872"/>
      <c r="L378" s="872"/>
      <c r="M378" s="872"/>
      <c r="N378" s="258"/>
      <c r="O378" s="257"/>
      <c r="P378" s="258"/>
      <c r="Q378" s="257"/>
      <c r="R378" s="258"/>
      <c r="S378" s="257"/>
      <c r="T378" s="257"/>
      <c r="U378" s="257"/>
      <c r="V378" s="258"/>
      <c r="W378" s="245"/>
      <c r="X378" s="258"/>
      <c r="Y378" s="257"/>
      <c r="Z378" s="258"/>
      <c r="AA378" s="245"/>
      <c r="AB378" s="258"/>
      <c r="AC378" s="245"/>
    </row>
    <row r="379" spans="1:29" ht="15">
      <c r="A379" s="250"/>
      <c r="B379" s="251"/>
      <c r="C379" s="855"/>
      <c r="D379" s="292"/>
      <c r="E379" s="251"/>
      <c r="F379" s="735"/>
      <c r="G379" s="872"/>
      <c r="H379" s="261"/>
      <c r="I379" s="251"/>
      <c r="J379" s="872"/>
      <c r="K379" s="872"/>
      <c r="L379" s="872"/>
      <c r="M379" s="872"/>
      <c r="N379" s="258"/>
      <c r="O379" s="257"/>
      <c r="P379" s="258"/>
      <c r="Q379" s="257"/>
      <c r="R379" s="258"/>
      <c r="S379" s="257"/>
      <c r="T379" s="257"/>
      <c r="U379" s="257"/>
      <c r="V379" s="258"/>
      <c r="W379" s="245"/>
      <c r="X379" s="258"/>
      <c r="Y379" s="257"/>
      <c r="Z379" s="258"/>
      <c r="AA379" s="245"/>
      <c r="AB379" s="258"/>
      <c r="AC379" s="245"/>
    </row>
    <row r="380" spans="1:29" ht="15">
      <c r="A380" s="250">
        <f>A377+1</f>
        <v>95</v>
      </c>
      <c r="B380" s="251"/>
      <c r="C380" s="855" t="s">
        <v>2342</v>
      </c>
      <c r="D380" s="292" t="s">
        <v>352</v>
      </c>
      <c r="E380" s="251" t="s">
        <v>1620</v>
      </c>
      <c r="F380" s="735">
        <f>N380+R380+P380+T380+V380+X380+Z380+AB380</f>
        <v>210</v>
      </c>
      <c r="G380" s="872">
        <v>2.79</v>
      </c>
      <c r="H380" s="261">
        <f>O380+S380+Q380+U380+W380+Y380+AA380+AC380</f>
        <v>585.9</v>
      </c>
      <c r="I380" s="251" t="s">
        <v>1620</v>
      </c>
      <c r="J380" s="872"/>
      <c r="K380" s="872"/>
      <c r="L380" s="872"/>
      <c r="M380" s="872"/>
      <c r="N380" s="258">
        <v>50</v>
      </c>
      <c r="O380" s="257">
        <f>INT($G380*N380*100+0.5)/100</f>
        <v>139.5</v>
      </c>
      <c r="P380" s="258">
        <v>0</v>
      </c>
      <c r="Q380" s="257">
        <f>INT($G380*P380*100+0.5)/100</f>
        <v>0</v>
      </c>
      <c r="R380" s="258">
        <f>(2)*2*40</f>
        <v>160</v>
      </c>
      <c r="S380" s="257">
        <f>INT($G380*R380*100+0.5)/100</f>
        <v>446.4</v>
      </c>
      <c r="T380" s="258">
        <v>0</v>
      </c>
      <c r="U380" s="257">
        <f>INT($G380*T380*100+0.5)/100</f>
        <v>0</v>
      </c>
      <c r="V380" s="258">
        <v>0</v>
      </c>
      <c r="W380" s="245">
        <f>INT($G380*V380*100+0.5)/100</f>
        <v>0</v>
      </c>
      <c r="X380" s="258">
        <v>0</v>
      </c>
      <c r="Y380" s="257">
        <f>INT($G380*X380*100+0.5)/100</f>
        <v>0</v>
      </c>
      <c r="Z380" s="258">
        <v>0</v>
      </c>
      <c r="AA380" s="245">
        <f>INT($G380*Z380*100+0.5)/100</f>
        <v>0</v>
      </c>
      <c r="AB380" s="258">
        <v>0</v>
      </c>
      <c r="AC380" s="245">
        <f>INT($G380*AB380*100+0.5)/100</f>
        <v>0</v>
      </c>
    </row>
    <row r="381" spans="1:29" ht="15">
      <c r="A381" s="250"/>
      <c r="B381" s="251"/>
      <c r="C381" s="855"/>
      <c r="D381" s="292" t="s">
        <v>353</v>
      </c>
      <c r="E381" s="251"/>
      <c r="F381" s="735"/>
      <c r="G381" s="872"/>
      <c r="H381" s="261"/>
      <c r="I381" s="251"/>
      <c r="J381" s="872"/>
      <c r="K381" s="872"/>
      <c r="L381" s="872"/>
      <c r="M381" s="872"/>
      <c r="N381" s="258"/>
      <c r="O381" s="257"/>
      <c r="P381" s="258"/>
      <c r="Q381" s="257"/>
      <c r="R381" s="258"/>
      <c r="S381" s="257"/>
      <c r="T381" s="257"/>
      <c r="U381" s="257"/>
      <c r="V381" s="258"/>
      <c r="W381" s="245"/>
      <c r="X381" s="258"/>
      <c r="Y381" s="257"/>
      <c r="Z381" s="258"/>
      <c r="AA381" s="245"/>
      <c r="AB381" s="258"/>
      <c r="AC381" s="245"/>
    </row>
    <row r="382" spans="1:29" ht="15">
      <c r="A382" s="250"/>
      <c r="B382" s="251"/>
      <c r="C382" s="855"/>
      <c r="D382" s="292"/>
      <c r="E382" s="251"/>
      <c r="F382" s="735"/>
      <c r="G382" s="872"/>
      <c r="H382" s="261"/>
      <c r="I382" s="251"/>
      <c r="J382" s="872"/>
      <c r="K382" s="872"/>
      <c r="L382" s="872"/>
      <c r="M382" s="872"/>
      <c r="N382" s="258"/>
      <c r="O382" s="257"/>
      <c r="P382" s="258"/>
      <c r="Q382" s="257"/>
      <c r="R382" s="258"/>
      <c r="S382" s="257"/>
      <c r="T382" s="257"/>
      <c r="U382" s="257"/>
      <c r="V382" s="258"/>
      <c r="W382" s="245"/>
      <c r="X382" s="258"/>
      <c r="Y382" s="257"/>
      <c r="Z382" s="258"/>
      <c r="AA382" s="245"/>
      <c r="AB382" s="258"/>
      <c r="AC382" s="245"/>
    </row>
    <row r="383" spans="1:29" ht="15">
      <c r="A383" s="250">
        <f>A380+1</f>
        <v>96</v>
      </c>
      <c r="B383" s="251"/>
      <c r="C383" s="855" t="s">
        <v>3030</v>
      </c>
      <c r="D383" s="292" t="s">
        <v>3031</v>
      </c>
      <c r="E383" s="251" t="s">
        <v>1620</v>
      </c>
      <c r="F383" s="735">
        <f>N383+R383+P383+T383+V383+X383+Z383+AB383</f>
        <v>454.09999999999997</v>
      </c>
      <c r="G383" s="872">
        <v>3.3</v>
      </c>
      <c r="H383" s="261">
        <f>O383+S383+Q383+U383+W383+Y383+AA383+AC383</f>
        <v>1498.53</v>
      </c>
      <c r="I383" s="251" t="s">
        <v>1620</v>
      </c>
      <c r="J383" s="872"/>
      <c r="K383" s="872"/>
      <c r="L383" s="872"/>
      <c r="M383" s="872"/>
      <c r="N383" s="258">
        <v>0</v>
      </c>
      <c r="O383" s="257">
        <f>INT($G383*N383*100+0.5)/100</f>
        <v>0</v>
      </c>
      <c r="P383" s="258">
        <f>(14+26+3)*8.7</f>
        <v>374.09999999999997</v>
      </c>
      <c r="Q383" s="257">
        <f>INT($G383*P383*100+0.5)/100</f>
        <v>1234.53</v>
      </c>
      <c r="R383" s="258">
        <f>2*40</f>
        <v>80</v>
      </c>
      <c r="S383" s="257">
        <f>INT($G383*R383*100+0.5)/100</f>
        <v>264</v>
      </c>
      <c r="T383" s="258">
        <v>0</v>
      </c>
      <c r="U383" s="257">
        <f>INT($G383*T383*100+0.5)/100</f>
        <v>0</v>
      </c>
      <c r="V383" s="258">
        <v>0</v>
      </c>
      <c r="W383" s="245">
        <f>INT($G383*V383*100+0.5)/100</f>
        <v>0</v>
      </c>
      <c r="X383" s="258">
        <v>0</v>
      </c>
      <c r="Y383" s="257">
        <f>INT($G383*X383*100+0.5)/100</f>
        <v>0</v>
      </c>
      <c r="Z383" s="258">
        <v>0</v>
      </c>
      <c r="AA383" s="245">
        <f>INT($G383*Z383*100+0.5)/100</f>
        <v>0</v>
      </c>
      <c r="AB383" s="258">
        <v>0</v>
      </c>
      <c r="AC383" s="245">
        <f>INT($G383*AB383*100+0.5)/100</f>
        <v>0</v>
      </c>
    </row>
    <row r="384" spans="1:29" ht="15">
      <c r="A384" s="250"/>
      <c r="B384" s="251"/>
      <c r="C384" s="855"/>
      <c r="D384" s="292" t="s">
        <v>3032</v>
      </c>
      <c r="E384" s="251"/>
      <c r="F384" s="735"/>
      <c r="G384" s="872"/>
      <c r="H384" s="261"/>
      <c r="I384" s="251"/>
      <c r="J384" s="872"/>
      <c r="K384" s="872"/>
      <c r="L384" s="872"/>
      <c r="M384" s="872"/>
      <c r="N384" s="258"/>
      <c r="O384" s="257"/>
      <c r="P384" s="258"/>
      <c r="Q384" s="257"/>
      <c r="R384" s="258"/>
      <c r="S384" s="257"/>
      <c r="T384" s="257"/>
      <c r="U384" s="257"/>
      <c r="V384" s="258"/>
      <c r="W384" s="245"/>
      <c r="X384" s="258"/>
      <c r="Y384" s="257"/>
      <c r="Z384" s="258"/>
      <c r="AA384" s="245"/>
      <c r="AB384" s="258"/>
      <c r="AC384" s="245"/>
    </row>
    <row r="385" spans="1:29" ht="15">
      <c r="A385" s="250"/>
      <c r="B385" s="251"/>
      <c r="C385" s="855"/>
      <c r="D385" s="292"/>
      <c r="E385" s="251"/>
      <c r="F385" s="735"/>
      <c r="G385" s="872"/>
      <c r="H385" s="261"/>
      <c r="I385" s="251"/>
      <c r="J385" s="872"/>
      <c r="K385" s="872"/>
      <c r="L385" s="872"/>
      <c r="M385" s="872"/>
      <c r="N385" s="258"/>
      <c r="O385" s="257"/>
      <c r="P385" s="258"/>
      <c r="Q385" s="257"/>
      <c r="R385" s="258"/>
      <c r="S385" s="257"/>
      <c r="T385" s="257"/>
      <c r="U385" s="257"/>
      <c r="V385" s="258"/>
      <c r="W385" s="245"/>
      <c r="X385" s="258"/>
      <c r="Y385" s="257"/>
      <c r="Z385" s="258"/>
      <c r="AA385" s="245"/>
      <c r="AB385" s="258"/>
      <c r="AC385" s="245"/>
    </row>
    <row r="386" spans="1:29" ht="15">
      <c r="A386" s="250">
        <f>A383+1</f>
        <v>97</v>
      </c>
      <c r="B386" s="251"/>
      <c r="C386" s="855" t="s">
        <v>2343</v>
      </c>
      <c r="D386" s="292" t="s">
        <v>354</v>
      </c>
      <c r="E386" s="251" t="s">
        <v>1620</v>
      </c>
      <c r="F386" s="735">
        <f>N386+R386+P386+T386+V386+X386+Z386+AB386</f>
        <v>180</v>
      </c>
      <c r="G386" s="872">
        <v>3.61</v>
      </c>
      <c r="H386" s="261">
        <f>O386+S386+Q386+U386+W386+Y386+AA386+AC386</f>
        <v>649.79999999999995</v>
      </c>
      <c r="I386" s="251" t="s">
        <v>1620</v>
      </c>
      <c r="J386" s="872"/>
      <c r="K386" s="872"/>
      <c r="L386" s="872"/>
      <c r="M386" s="872"/>
      <c r="N386" s="258">
        <v>50</v>
      </c>
      <c r="O386" s="257">
        <f>INT($G386*N386*100+0.5)/100</f>
        <v>180.5</v>
      </c>
      <c r="P386" s="258">
        <v>50</v>
      </c>
      <c r="Q386" s="257">
        <f>INT($G386*P386*100+0.5)/100</f>
        <v>180.5</v>
      </c>
      <c r="R386" s="258">
        <v>80</v>
      </c>
      <c r="S386" s="257">
        <f>INT($G386*R386*100+0.5)/100</f>
        <v>288.8</v>
      </c>
      <c r="T386" s="258">
        <v>0</v>
      </c>
      <c r="U386" s="257">
        <f>INT($G386*T386*100+0.5)/100</f>
        <v>0</v>
      </c>
      <c r="V386" s="258">
        <v>0</v>
      </c>
      <c r="W386" s="245">
        <f>INT($G386*V386*100+0.5)/100</f>
        <v>0</v>
      </c>
      <c r="X386" s="258">
        <v>0</v>
      </c>
      <c r="Y386" s="257">
        <f>INT($G386*X386*100+0.5)/100</f>
        <v>0</v>
      </c>
      <c r="Z386" s="258">
        <v>0</v>
      </c>
      <c r="AA386" s="245">
        <f>INT($G386*Z386*100+0.5)/100</f>
        <v>0</v>
      </c>
      <c r="AB386" s="258">
        <v>0</v>
      </c>
      <c r="AC386" s="245">
        <f>INT($G386*AB386*100+0.5)/100</f>
        <v>0</v>
      </c>
    </row>
    <row r="387" spans="1:29" ht="15">
      <c r="A387" s="250"/>
      <c r="B387" s="251"/>
      <c r="C387" s="855"/>
      <c r="D387" s="292" t="s">
        <v>355</v>
      </c>
      <c r="E387" s="251"/>
      <c r="F387" s="735"/>
      <c r="G387" s="872"/>
      <c r="H387" s="261"/>
      <c r="I387" s="251"/>
      <c r="J387" s="872"/>
      <c r="K387" s="872"/>
      <c r="L387" s="872"/>
      <c r="M387" s="872"/>
      <c r="N387" s="258"/>
      <c r="O387" s="257"/>
      <c r="P387" s="258"/>
      <c r="Q387" s="257"/>
      <c r="R387" s="258"/>
      <c r="S387" s="257"/>
      <c r="T387" s="258"/>
      <c r="U387" s="257"/>
      <c r="V387" s="258"/>
      <c r="W387" s="245"/>
      <c r="X387" s="258"/>
      <c r="Y387" s="257"/>
      <c r="Z387" s="258"/>
      <c r="AA387" s="245"/>
      <c r="AB387" s="258"/>
      <c r="AC387" s="245"/>
    </row>
    <row r="388" spans="1:29" ht="15">
      <c r="A388" s="250"/>
      <c r="B388" s="251"/>
      <c r="C388" s="855"/>
      <c r="D388" s="292"/>
      <c r="E388" s="251"/>
      <c r="F388" s="735"/>
      <c r="G388" s="872"/>
      <c r="H388" s="261"/>
      <c r="I388" s="251"/>
      <c r="J388" s="872"/>
      <c r="K388" s="872"/>
      <c r="L388" s="872"/>
      <c r="M388" s="872"/>
      <c r="N388" s="258"/>
      <c r="O388" s="257"/>
      <c r="P388" s="258"/>
      <c r="Q388" s="257"/>
      <c r="R388" s="258"/>
      <c r="S388" s="257"/>
      <c r="T388" s="258"/>
      <c r="U388" s="257"/>
      <c r="V388" s="258"/>
      <c r="W388" s="245"/>
      <c r="X388" s="258"/>
      <c r="Y388" s="257"/>
      <c r="Z388" s="258"/>
      <c r="AA388" s="245"/>
      <c r="AB388" s="258"/>
      <c r="AC388" s="245"/>
    </row>
    <row r="389" spans="1:29" ht="15">
      <c r="A389" s="250">
        <f>A386+1</f>
        <v>98</v>
      </c>
      <c r="B389" s="251"/>
      <c r="C389" s="855" t="s">
        <v>3197</v>
      </c>
      <c r="D389" s="292" t="s">
        <v>3195</v>
      </c>
      <c r="E389" s="251" t="s">
        <v>1620</v>
      </c>
      <c r="F389" s="735">
        <f>N389+R389+P389+T389+V389+X389+Z389+AB389</f>
        <v>20</v>
      </c>
      <c r="G389" s="872">
        <v>5.63</v>
      </c>
      <c r="H389" s="261">
        <f>O389+S389+Q389+U389+W389+Y389+AA389+AC389</f>
        <v>112.6</v>
      </c>
      <c r="I389" s="251" t="s">
        <v>1620</v>
      </c>
      <c r="J389" s="872"/>
      <c r="K389" s="872"/>
      <c r="L389" s="872"/>
      <c r="M389" s="872"/>
      <c r="N389" s="258">
        <v>0</v>
      </c>
      <c r="O389" s="257">
        <f>INT($G389*N389*100+0.5)/100</f>
        <v>0</v>
      </c>
      <c r="P389" s="258">
        <v>20</v>
      </c>
      <c r="Q389" s="257">
        <f>INT($G389*P389*100+0.5)/100</f>
        <v>112.6</v>
      </c>
      <c r="R389" s="258">
        <v>0</v>
      </c>
      <c r="S389" s="257">
        <f>INT($G389*R389*100+0.5)/100</f>
        <v>0</v>
      </c>
      <c r="T389" s="258">
        <v>0</v>
      </c>
      <c r="U389" s="257">
        <f>INT($G389*T389*100+0.5)/100</f>
        <v>0</v>
      </c>
      <c r="V389" s="258">
        <v>0</v>
      </c>
      <c r="W389" s="245">
        <f>INT($G389*V389*100+0.5)/100</f>
        <v>0</v>
      </c>
      <c r="X389" s="258">
        <v>0</v>
      </c>
      <c r="Y389" s="257">
        <f>INT($G389*X389*100+0.5)/100</f>
        <v>0</v>
      </c>
      <c r="Z389" s="258">
        <v>0</v>
      </c>
      <c r="AA389" s="245">
        <f>INT($G389*Z389*100+0.5)/100</f>
        <v>0</v>
      </c>
      <c r="AB389" s="258">
        <v>0</v>
      </c>
      <c r="AC389" s="245">
        <f>INT($G389*AB389*100+0.5)/100</f>
        <v>0</v>
      </c>
    </row>
    <row r="390" spans="1:29" ht="15">
      <c r="A390" s="250"/>
      <c r="B390" s="251"/>
      <c r="C390" s="855"/>
      <c r="D390" s="292" t="s">
        <v>3196</v>
      </c>
      <c r="E390" s="251"/>
      <c r="F390" s="735"/>
      <c r="G390" s="872"/>
      <c r="H390" s="261"/>
      <c r="I390" s="251"/>
      <c r="J390" s="872"/>
      <c r="K390" s="872"/>
      <c r="L390" s="872"/>
      <c r="M390" s="872"/>
      <c r="N390" s="258"/>
      <c r="O390" s="257"/>
      <c r="P390" s="258"/>
      <c r="Q390" s="257"/>
      <c r="R390" s="258"/>
      <c r="S390" s="257"/>
      <c r="T390" s="258"/>
      <c r="U390" s="257"/>
      <c r="V390" s="258"/>
      <c r="W390" s="257"/>
      <c r="X390" s="258"/>
      <c r="Y390" s="257"/>
      <c r="Z390" s="258"/>
      <c r="AA390" s="257"/>
      <c r="AB390" s="258"/>
      <c r="AC390" s="257"/>
    </row>
    <row r="391" spans="1:29" s="247" customFormat="1" ht="15">
      <c r="A391" s="284"/>
      <c r="B391" s="237"/>
      <c r="C391" s="855"/>
      <c r="D391" s="238"/>
      <c r="E391" s="237"/>
      <c r="F391" s="733"/>
      <c r="G391" s="872"/>
      <c r="H391" s="243"/>
      <c r="I391" s="237"/>
      <c r="J391" s="872"/>
      <c r="K391" s="872"/>
      <c r="L391" s="872"/>
      <c r="M391" s="872"/>
      <c r="N391" s="289"/>
      <c r="O391" s="245"/>
      <c r="P391" s="289"/>
      <c r="Q391" s="245"/>
      <c r="R391" s="289"/>
      <c r="S391" s="245"/>
      <c r="T391" s="245"/>
      <c r="U391" s="245"/>
      <c r="V391" s="289"/>
      <c r="W391" s="245"/>
      <c r="X391" s="289"/>
      <c r="Y391" s="245"/>
      <c r="Z391" s="289"/>
      <c r="AA391" s="245"/>
      <c r="AB391" s="289"/>
      <c r="AC391" s="245"/>
    </row>
    <row r="392" spans="1:29" ht="15">
      <c r="A392" s="250">
        <f>A389+1</f>
        <v>99</v>
      </c>
      <c r="B392" s="251"/>
      <c r="C392" s="855" t="s">
        <v>2345</v>
      </c>
      <c r="D392" s="526" t="s">
        <v>4</v>
      </c>
      <c r="E392" s="251" t="s">
        <v>1898</v>
      </c>
      <c r="F392" s="735"/>
      <c r="G392" s="872"/>
      <c r="H392" s="261"/>
      <c r="I392" s="251" t="s">
        <v>1898</v>
      </c>
      <c r="J392" s="872"/>
      <c r="K392" s="872"/>
      <c r="L392" s="872"/>
      <c r="M392" s="872"/>
      <c r="N392" s="258"/>
      <c r="O392" s="257"/>
      <c r="P392" s="258"/>
      <c r="Q392" s="257"/>
      <c r="R392" s="258"/>
      <c r="S392" s="257"/>
      <c r="T392" s="257"/>
      <c r="U392" s="257"/>
      <c r="V392" s="258"/>
      <c r="W392" s="257"/>
      <c r="X392" s="258"/>
      <c r="Y392" s="257"/>
      <c r="Z392" s="258"/>
      <c r="AA392" s="257"/>
      <c r="AB392" s="258"/>
      <c r="AC392" s="257"/>
    </row>
    <row r="393" spans="1:29" ht="15">
      <c r="A393" s="250"/>
      <c r="B393" s="251"/>
      <c r="C393" s="648"/>
      <c r="D393" s="526" t="s">
        <v>3</v>
      </c>
      <c r="E393" s="251"/>
      <c r="F393" s="735"/>
      <c r="G393" s="872"/>
      <c r="H393" s="261"/>
      <c r="I393" s="251"/>
      <c r="J393" s="872"/>
      <c r="K393" s="872"/>
      <c r="L393" s="872"/>
      <c r="M393" s="872"/>
      <c r="N393" s="258"/>
      <c r="O393" s="257"/>
      <c r="P393" s="258"/>
      <c r="Q393" s="257"/>
      <c r="R393" s="258"/>
      <c r="S393" s="257"/>
      <c r="T393" s="257"/>
      <c r="U393" s="257"/>
      <c r="V393" s="258"/>
      <c r="W393" s="257"/>
      <c r="X393" s="258"/>
      <c r="Y393" s="257"/>
      <c r="Z393" s="258"/>
      <c r="AA393" s="257"/>
      <c r="AB393" s="258"/>
      <c r="AC393" s="257"/>
    </row>
    <row r="394" spans="1:29" ht="15">
      <c r="A394" s="250"/>
      <c r="B394" s="251"/>
      <c r="C394" s="648"/>
      <c r="D394" s="830" t="s">
        <v>2498</v>
      </c>
      <c r="E394" s="251"/>
      <c r="F394" s="735"/>
      <c r="G394" s="872"/>
      <c r="H394" s="261"/>
      <c r="I394" s="251"/>
      <c r="J394" s="872"/>
      <c r="K394" s="872"/>
      <c r="L394" s="872"/>
      <c r="M394" s="872"/>
      <c r="N394" s="257">
        <f>3*1.5*1</f>
        <v>4.5</v>
      </c>
      <c r="O394" s="257"/>
      <c r="P394" s="257"/>
      <c r="Q394" s="257"/>
      <c r="R394" s="257">
        <f>2*1.5*1.5</f>
        <v>4.5</v>
      </c>
      <c r="S394" s="257"/>
      <c r="T394" s="257"/>
      <c r="U394" s="257"/>
      <c r="V394" s="257"/>
      <c r="W394" s="245"/>
      <c r="X394" s="257">
        <f>90*1.5-N394-R394-V394</f>
        <v>126</v>
      </c>
      <c r="Y394" s="257"/>
      <c r="Z394" s="258"/>
      <c r="AA394" s="245"/>
      <c r="AB394" s="258"/>
      <c r="AC394" s="245"/>
    </row>
    <row r="395" spans="1:29" ht="15">
      <c r="A395" s="250"/>
      <c r="B395" s="251"/>
      <c r="C395" s="648"/>
      <c r="D395" s="830" t="s">
        <v>2511</v>
      </c>
      <c r="E395" s="251"/>
      <c r="F395" s="735"/>
      <c r="G395" s="872"/>
      <c r="H395" s="261"/>
      <c r="I395" s="251"/>
      <c r="J395" s="872"/>
      <c r="K395" s="872"/>
      <c r="L395" s="872"/>
      <c r="M395" s="872"/>
      <c r="N395" s="257">
        <v>0</v>
      </c>
      <c r="O395" s="257"/>
      <c r="P395" s="257"/>
      <c r="Q395" s="257"/>
      <c r="R395" s="257">
        <v>0</v>
      </c>
      <c r="S395" s="257"/>
      <c r="T395" s="257"/>
      <c r="U395" s="257"/>
      <c r="V395" s="257">
        <f>(132.5+10)*0.5</f>
        <v>71.25</v>
      </c>
      <c r="W395" s="245"/>
      <c r="X395" s="257">
        <f>(327+338)-N395-R395-V395</f>
        <v>593.75</v>
      </c>
      <c r="Y395" s="257"/>
      <c r="Z395" s="258"/>
      <c r="AA395" s="245"/>
      <c r="AB395" s="258"/>
      <c r="AC395" s="245"/>
    </row>
    <row r="396" spans="1:29" ht="15">
      <c r="A396" s="250"/>
      <c r="B396" s="251"/>
      <c r="C396" s="648"/>
      <c r="D396" s="830" t="s">
        <v>2512</v>
      </c>
      <c r="E396" s="251"/>
      <c r="F396" s="735"/>
      <c r="G396" s="872"/>
      <c r="H396" s="261"/>
      <c r="I396" s="251"/>
      <c r="J396" s="872"/>
      <c r="K396" s="872"/>
      <c r="L396" s="872"/>
      <c r="M396" s="872"/>
      <c r="N396" s="257">
        <v>0</v>
      </c>
      <c r="O396" s="257"/>
      <c r="P396" s="257"/>
      <c r="Q396" s="257"/>
      <c r="R396" s="257">
        <v>0</v>
      </c>
      <c r="S396" s="257"/>
      <c r="T396" s="257">
        <f>(3*7)*1.2</f>
        <v>25.2</v>
      </c>
      <c r="U396" s="257"/>
      <c r="V396" s="257">
        <f>(101.5+136.5+23)*0.5</f>
        <v>130.5</v>
      </c>
      <c r="W396" s="245"/>
      <c r="X396" s="257">
        <f>((240+224+19+14+4+51+85+51)+(165+524))-N396-R396-V396</f>
        <v>1246.5</v>
      </c>
      <c r="Y396" s="257"/>
      <c r="Z396" s="258"/>
      <c r="AA396" s="245"/>
      <c r="AB396" s="258"/>
      <c r="AC396" s="245"/>
    </row>
    <row r="397" spans="1:29" ht="15">
      <c r="A397" s="250"/>
      <c r="B397" s="251"/>
      <c r="C397" s="648"/>
      <c r="D397" s="830" t="s">
        <v>2446</v>
      </c>
      <c r="E397" s="251"/>
      <c r="F397" s="735"/>
      <c r="G397" s="872"/>
      <c r="H397" s="261"/>
      <c r="I397" s="251"/>
      <c r="J397" s="872"/>
      <c r="K397" s="872"/>
      <c r="L397" s="872"/>
      <c r="M397" s="872"/>
      <c r="N397" s="260">
        <f>(10+2)*3.5*1+(12+4)*3.5*1</f>
        <v>98</v>
      </c>
      <c r="O397" s="260"/>
      <c r="P397" s="260"/>
      <c r="Q397" s="257"/>
      <c r="R397" s="260">
        <f>(2+3+5)*1.5*3.5</f>
        <v>52.5</v>
      </c>
      <c r="S397" s="257"/>
      <c r="T397" s="260"/>
      <c r="U397" s="260"/>
      <c r="V397" s="260">
        <f>6*(2.5+1.5)*0.5+10*(2.5+1.5)*0.5+31*(1.5*1.2)</f>
        <v>87.8</v>
      </c>
      <c r="W397" s="245"/>
      <c r="X397" s="260"/>
      <c r="Y397" s="257"/>
      <c r="Z397" s="256"/>
      <c r="AA397" s="245"/>
      <c r="AB397" s="256"/>
      <c r="AC397" s="245"/>
    </row>
    <row r="398" spans="1:29" ht="15.6" hidden="1" customHeight="1">
      <c r="A398" s="250"/>
      <c r="B398" s="251"/>
      <c r="C398" s="648"/>
      <c r="D398" s="830" t="s">
        <v>2451</v>
      </c>
      <c r="E398" s="251"/>
      <c r="F398" s="735"/>
      <c r="G398" s="872"/>
      <c r="H398" s="261"/>
      <c r="I398" s="251"/>
      <c r="J398" s="872"/>
      <c r="K398" s="872"/>
      <c r="L398" s="872"/>
      <c r="M398" s="872"/>
      <c r="N398" s="260"/>
      <c r="O398" s="260"/>
      <c r="P398" s="257"/>
      <c r="Q398" s="257"/>
      <c r="R398" s="257"/>
      <c r="S398" s="257"/>
      <c r="T398" s="257"/>
      <c r="U398" s="257"/>
      <c r="V398" s="257">
        <v>0</v>
      </c>
      <c r="W398" s="245"/>
      <c r="X398" s="257"/>
      <c r="Y398" s="257"/>
      <c r="Z398" s="258"/>
      <c r="AA398" s="245"/>
      <c r="AB398" s="258"/>
      <c r="AC398" s="245"/>
    </row>
    <row r="399" spans="1:29" ht="15.6" hidden="1" customHeight="1">
      <c r="A399" s="250"/>
      <c r="B399" s="251"/>
      <c r="C399" s="648"/>
      <c r="D399" s="830" t="s">
        <v>2446</v>
      </c>
      <c r="E399" s="251"/>
      <c r="F399" s="735"/>
      <c r="G399" s="872"/>
      <c r="H399" s="261"/>
      <c r="I399" s="251"/>
      <c r="J399" s="872"/>
      <c r="K399" s="872"/>
      <c r="L399" s="872"/>
      <c r="M399" s="872"/>
      <c r="N399" s="260"/>
      <c r="O399" s="751"/>
      <c r="P399" s="294"/>
      <c r="Q399" s="294"/>
      <c r="R399" s="257"/>
      <c r="S399" s="294"/>
      <c r="T399" s="257"/>
      <c r="U399" s="257"/>
      <c r="V399" s="257"/>
      <c r="W399" s="296"/>
      <c r="X399" s="257"/>
      <c r="Y399" s="294"/>
      <c r="Z399" s="258"/>
      <c r="AA399" s="296"/>
      <c r="AB399" s="258"/>
      <c r="AC399" s="296"/>
    </row>
    <row r="400" spans="1:29" ht="15">
      <c r="A400" s="250"/>
      <c r="B400" s="251"/>
      <c r="C400" s="648"/>
      <c r="D400" s="832" t="s">
        <v>1899</v>
      </c>
      <c r="E400" s="251"/>
      <c r="F400" s="735"/>
      <c r="G400" s="872"/>
      <c r="H400" s="261"/>
      <c r="I400" s="251"/>
      <c r="J400" s="872"/>
      <c r="K400" s="872"/>
      <c r="L400" s="872"/>
      <c r="M400" s="872"/>
      <c r="N400" s="294">
        <v>17.5</v>
      </c>
      <c r="O400" s="751"/>
      <c r="P400" s="751"/>
      <c r="Q400" s="294"/>
      <c r="R400" s="751">
        <v>13</v>
      </c>
      <c r="S400" s="294"/>
      <c r="T400" s="751">
        <v>4.8</v>
      </c>
      <c r="U400" s="751"/>
      <c r="V400" s="751">
        <v>10.45</v>
      </c>
      <c r="W400" s="296"/>
      <c r="X400" s="751">
        <v>33.75</v>
      </c>
      <c r="Y400" s="294"/>
      <c r="Z400" s="297"/>
      <c r="AA400" s="296"/>
      <c r="AB400" s="297"/>
      <c r="AC400" s="296"/>
    </row>
    <row r="401" spans="1:29" ht="15">
      <c r="A401" s="250"/>
      <c r="B401" s="251"/>
      <c r="C401" s="648"/>
      <c r="D401" s="830" t="s">
        <v>1900</v>
      </c>
      <c r="E401" s="251"/>
      <c r="F401" s="735">
        <f>N401+R401+P401+T401+V401+X401+Z401+AB401</f>
        <v>2520</v>
      </c>
      <c r="G401" s="872">
        <v>2.95</v>
      </c>
      <c r="H401" s="261">
        <f>O401+S401+Q401+U401+W401+Y401+AA401+AC401</f>
        <v>7434</v>
      </c>
      <c r="I401" s="251"/>
      <c r="J401" s="872"/>
      <c r="K401" s="872"/>
      <c r="L401" s="872"/>
      <c r="M401" s="872"/>
      <c r="N401" s="258">
        <f>INT(SUM(N393:N400)*100+0.5)/100</f>
        <v>120</v>
      </c>
      <c r="O401" s="260">
        <f>INT($G401*N401*100+0.5)/100</f>
        <v>354</v>
      </c>
      <c r="P401" s="258">
        <f>INT(SUM(P393:P399)*100+0.5)/100</f>
        <v>0</v>
      </c>
      <c r="Q401" s="257">
        <f>INT($G401*P401*100+0.5)/100</f>
        <v>0</v>
      </c>
      <c r="R401" s="258">
        <f>INT(SUM(R393:R400)*100+0.5)/100</f>
        <v>70</v>
      </c>
      <c r="S401" s="257">
        <f>INT($G401*R401*100+0.5)/100</f>
        <v>206.5</v>
      </c>
      <c r="T401" s="258">
        <f>INT(SUM(T393:T400)*100+0.5)/100</f>
        <v>30</v>
      </c>
      <c r="U401" s="257">
        <f>INT($G401*T401*100+0.5)/100</f>
        <v>88.5</v>
      </c>
      <c r="V401" s="258">
        <f>INT(SUM(V394:V400)*100+0.5)/100</f>
        <v>300</v>
      </c>
      <c r="W401" s="257">
        <f>INT($G401*V401*100+0.5)/100</f>
        <v>885</v>
      </c>
      <c r="X401" s="258">
        <f>INT(SUM(X394:X400)*100+0.5)/100</f>
        <v>2000</v>
      </c>
      <c r="Y401" s="257">
        <f>INT($G401*X401*100+0.5)/100</f>
        <v>5900</v>
      </c>
      <c r="Z401" s="258">
        <f>INT(SUM(Z394:Z399)*100+0.5)/100</f>
        <v>0</v>
      </c>
      <c r="AA401" s="257">
        <f>INT($G401*Z401*100+0.5)/100</f>
        <v>0</v>
      </c>
      <c r="AB401" s="258">
        <f>INT(SUM(AB394:AB399)*100+0.5)/100</f>
        <v>0</v>
      </c>
      <c r="AC401" s="257">
        <f>INT($G401*AB401*100+0.5)/100</f>
        <v>0</v>
      </c>
    </row>
    <row r="402" spans="1:29" ht="15">
      <c r="A402" s="250"/>
      <c r="B402" s="251"/>
      <c r="C402" s="648"/>
      <c r="D402" s="292"/>
      <c r="E402" s="251"/>
      <c r="F402" s="735"/>
      <c r="G402" s="872"/>
      <c r="H402" s="896" t="s">
        <v>3200</v>
      </c>
      <c r="I402" s="251"/>
      <c r="J402" s="872"/>
      <c r="K402" s="872"/>
      <c r="L402" s="872"/>
      <c r="M402" s="872"/>
      <c r="N402" s="258"/>
      <c r="O402" s="257"/>
      <c r="P402" s="258"/>
      <c r="Q402" s="257"/>
      <c r="R402" s="258"/>
      <c r="S402" s="257"/>
      <c r="T402" s="257"/>
      <c r="U402" s="257"/>
      <c r="V402" s="258"/>
      <c r="W402" s="257"/>
      <c r="X402" s="258"/>
      <c r="Y402" s="257"/>
      <c r="Z402" s="258"/>
      <c r="AA402" s="257"/>
      <c r="AB402" s="258"/>
      <c r="AC402" s="257"/>
    </row>
    <row r="403" spans="1:29" ht="15">
      <c r="A403" s="250">
        <f>A392+1</f>
        <v>100</v>
      </c>
      <c r="B403" s="251"/>
      <c r="C403" s="647" t="s">
        <v>3183</v>
      </c>
      <c r="D403" s="526" t="s">
        <v>1057</v>
      </c>
      <c r="E403" s="251" t="s">
        <v>1898</v>
      </c>
      <c r="F403" s="735"/>
      <c r="G403" s="872"/>
      <c r="H403" s="261"/>
      <c r="I403" s="251" t="s">
        <v>1898</v>
      </c>
      <c r="J403" s="872"/>
      <c r="K403" s="872"/>
      <c r="L403" s="872"/>
      <c r="M403" s="872"/>
      <c r="N403" s="258"/>
      <c r="O403" s="257"/>
      <c r="P403" s="258"/>
      <c r="Q403" s="257"/>
      <c r="R403" s="258"/>
      <c r="S403" s="257"/>
      <c r="T403" s="257"/>
      <c r="U403" s="257"/>
      <c r="V403" s="258"/>
      <c r="W403" s="257"/>
      <c r="X403" s="258"/>
      <c r="Y403" s="257"/>
      <c r="Z403" s="258"/>
      <c r="AA403" s="257"/>
      <c r="AB403" s="258"/>
      <c r="AC403" s="257"/>
    </row>
    <row r="404" spans="1:29" ht="15">
      <c r="A404" s="250"/>
      <c r="B404" s="251"/>
      <c r="C404" s="648"/>
      <c r="D404" s="526" t="s">
        <v>1058</v>
      </c>
      <c r="E404" s="251"/>
      <c r="F404" s="735"/>
      <c r="G404" s="872"/>
      <c r="H404" s="261"/>
      <c r="I404" s="251"/>
      <c r="J404" s="872"/>
      <c r="K404" s="872"/>
      <c r="L404" s="872"/>
      <c r="M404" s="872"/>
      <c r="N404" s="258"/>
      <c r="O404" s="257"/>
      <c r="P404" s="258"/>
      <c r="Q404" s="257"/>
      <c r="R404" s="258"/>
      <c r="S404" s="257"/>
      <c r="T404" s="257"/>
      <c r="U404" s="257"/>
      <c r="V404" s="258"/>
      <c r="W404" s="257"/>
      <c r="X404" s="258"/>
      <c r="Y404" s="257"/>
      <c r="Z404" s="258"/>
      <c r="AA404" s="257"/>
      <c r="AB404" s="258"/>
      <c r="AC404" s="257"/>
    </row>
    <row r="405" spans="1:29" ht="15">
      <c r="A405" s="250"/>
      <c r="B405" s="251"/>
      <c r="C405" s="648"/>
      <c r="D405" s="830" t="s">
        <v>2498</v>
      </c>
      <c r="E405" s="251"/>
      <c r="F405" s="735"/>
      <c r="G405" s="872"/>
      <c r="H405" s="261"/>
      <c r="I405" s="251"/>
      <c r="J405" s="872"/>
      <c r="K405" s="872"/>
      <c r="L405" s="872"/>
      <c r="M405" s="872"/>
      <c r="N405" s="257">
        <f>297*0.7/3.2</f>
        <v>64.968749999999986</v>
      </c>
      <c r="O405" s="257"/>
      <c r="P405" s="257">
        <f>297*0.8/3.2</f>
        <v>74.25</v>
      </c>
      <c r="Q405" s="257"/>
      <c r="R405" s="257">
        <f>297*1.2/3.2</f>
        <v>111.37499999999999</v>
      </c>
      <c r="S405" s="257"/>
      <c r="T405" s="257"/>
      <c r="U405" s="257"/>
      <c r="V405" s="257">
        <f>1*5*0.5</f>
        <v>2.5</v>
      </c>
      <c r="W405" s="245"/>
      <c r="X405" s="258"/>
      <c r="Y405" s="257"/>
      <c r="Z405" s="258"/>
      <c r="AA405" s="245"/>
      <c r="AB405" s="257">
        <f>297*0.5/3.2</f>
        <v>46.40625</v>
      </c>
      <c r="AC405" s="245"/>
    </row>
    <row r="406" spans="1:29" ht="15">
      <c r="A406" s="250"/>
      <c r="B406" s="251"/>
      <c r="C406" s="648"/>
      <c r="D406" s="830" t="s">
        <v>2511</v>
      </c>
      <c r="E406" s="251"/>
      <c r="F406" s="735"/>
      <c r="G406" s="872"/>
      <c r="H406" s="261"/>
      <c r="I406" s="251"/>
      <c r="J406" s="872"/>
      <c r="K406" s="872"/>
      <c r="L406" s="872"/>
      <c r="M406" s="872"/>
      <c r="N406" s="257">
        <f>(10+132.5)*0.7</f>
        <v>99.75</v>
      </c>
      <c r="O406" s="257"/>
      <c r="P406" s="257">
        <f>(132.5+10)*1.3</f>
        <v>185.25</v>
      </c>
      <c r="Q406" s="257"/>
      <c r="R406" s="257">
        <f>(132.5+10)*1.3</f>
        <v>185.25</v>
      </c>
      <c r="S406" s="257"/>
      <c r="T406" s="257"/>
      <c r="U406" s="257"/>
      <c r="V406" s="257">
        <f>6*7*0.5</f>
        <v>21</v>
      </c>
      <c r="W406" s="245"/>
      <c r="X406" s="258"/>
      <c r="Y406" s="257"/>
      <c r="Z406" s="258"/>
      <c r="AA406" s="245"/>
      <c r="AB406" s="257">
        <f>943-P406-R406-N406-V406</f>
        <v>451.75</v>
      </c>
      <c r="AC406" s="245"/>
    </row>
    <row r="407" spans="1:29" ht="15">
      <c r="A407" s="250"/>
      <c r="B407" s="251"/>
      <c r="C407" s="648"/>
      <c r="D407" s="830" t="s">
        <v>2512</v>
      </c>
      <c r="E407" s="251"/>
      <c r="F407" s="735"/>
      <c r="G407" s="872"/>
      <c r="H407" s="261"/>
      <c r="I407" s="251"/>
      <c r="J407" s="872"/>
      <c r="K407" s="872"/>
      <c r="L407" s="872"/>
      <c r="M407" s="872"/>
      <c r="N407" s="257">
        <f>(101.5+136.5+23)*0.7</f>
        <v>182.7</v>
      </c>
      <c r="O407" s="257"/>
      <c r="P407" s="257">
        <f>(101.5+136.5+23)*1.3</f>
        <v>339.3</v>
      </c>
      <c r="Q407" s="257"/>
      <c r="R407" s="257">
        <f>(101.5+136.5+23)*1.3</f>
        <v>339.3</v>
      </c>
      <c r="S407" s="257"/>
      <c r="T407" s="257">
        <f>(30)*0.9</f>
        <v>27</v>
      </c>
      <c r="U407" s="257"/>
      <c r="V407" s="257">
        <f>10*6*0.5</f>
        <v>30</v>
      </c>
      <c r="W407" s="245"/>
      <c r="X407" s="258"/>
      <c r="Y407" s="257"/>
      <c r="Z407" s="258"/>
      <c r="AA407" s="245"/>
      <c r="AB407" s="257">
        <f>(1151+12+80+12+359)-P407-R407-N407-V407</f>
        <v>722.7</v>
      </c>
      <c r="AC407" s="245"/>
    </row>
    <row r="408" spans="1:29" ht="15">
      <c r="A408" s="250"/>
      <c r="B408" s="251"/>
      <c r="C408" s="648"/>
      <c r="D408" s="830" t="s">
        <v>1233</v>
      </c>
      <c r="E408" s="251"/>
      <c r="F408" s="735"/>
      <c r="G408" s="872"/>
      <c r="H408" s="261"/>
      <c r="I408" s="251"/>
      <c r="J408" s="872"/>
      <c r="K408" s="872"/>
      <c r="L408" s="872"/>
      <c r="M408" s="872"/>
      <c r="N408" s="257"/>
      <c r="O408" s="257"/>
      <c r="P408" s="257">
        <f>((13+13)+(7+7)+4)*1.2*1.2</f>
        <v>63.359999999999992</v>
      </c>
      <c r="Q408" s="257"/>
      <c r="R408" s="257"/>
      <c r="S408" s="257"/>
      <c r="T408" s="257"/>
      <c r="U408" s="257"/>
      <c r="V408" s="257"/>
      <c r="W408" s="245"/>
      <c r="X408" s="258"/>
      <c r="Y408" s="257"/>
      <c r="Z408" s="258"/>
      <c r="AA408" s="245"/>
      <c r="AB408" s="257">
        <f>-P408-R408-N408</f>
        <v>-63.359999999999992</v>
      </c>
      <c r="AC408" s="245"/>
    </row>
    <row r="409" spans="1:29" ht="15">
      <c r="A409" s="250"/>
      <c r="B409" s="251"/>
      <c r="C409" s="648"/>
      <c r="D409" s="830" t="s">
        <v>2446</v>
      </c>
      <c r="E409" s="251"/>
      <c r="F409" s="735"/>
      <c r="G409" s="872"/>
      <c r="H409" s="261"/>
      <c r="I409" s="251"/>
      <c r="J409" s="872"/>
      <c r="K409" s="872"/>
      <c r="L409" s="872"/>
      <c r="M409" s="872"/>
      <c r="N409" s="257">
        <f>(4+13+9)*4*1+(1+2+4)*2*1</f>
        <v>118</v>
      </c>
      <c r="O409" s="257"/>
      <c r="P409" s="257">
        <f>((13+13)+(7+7)+4)*(1+2.5)*0.7</f>
        <v>107.8</v>
      </c>
      <c r="Q409" s="257"/>
      <c r="R409" s="257">
        <f>(2*1+3*(4+1.5)+2*1.5)*1.5</f>
        <v>32.25</v>
      </c>
      <c r="S409" s="257"/>
      <c r="T409" s="257"/>
      <c r="U409" s="257"/>
      <c r="V409" s="257"/>
      <c r="W409" s="245"/>
      <c r="X409" s="258"/>
      <c r="Y409" s="257"/>
      <c r="Z409" s="258"/>
      <c r="AA409" s="245"/>
      <c r="AB409" s="257">
        <f>-P409-R409-N409</f>
        <v>-258.05</v>
      </c>
      <c r="AC409" s="245"/>
    </row>
    <row r="410" spans="1:29" ht="15">
      <c r="A410" s="250"/>
      <c r="B410" s="251"/>
      <c r="C410" s="648"/>
      <c r="D410" s="830" t="s">
        <v>2870</v>
      </c>
      <c r="E410" s="251"/>
      <c r="F410" s="735"/>
      <c r="G410" s="872"/>
      <c r="H410" s="261"/>
      <c r="I410" s="251"/>
      <c r="J410" s="872"/>
      <c r="K410" s="872"/>
      <c r="L410" s="872"/>
      <c r="M410" s="872"/>
      <c r="N410" s="257">
        <f>10*1.5+10*1.5</f>
        <v>30</v>
      </c>
      <c r="O410" s="257"/>
      <c r="P410" s="257">
        <f>6*1.2</f>
        <v>7.1999999999999993</v>
      </c>
      <c r="Q410" s="257"/>
      <c r="R410" s="257">
        <f>9*1.8</f>
        <v>16.2</v>
      </c>
      <c r="S410" s="257"/>
      <c r="T410" s="257"/>
      <c r="U410" s="257"/>
      <c r="V410" s="257"/>
      <c r="W410" s="245"/>
      <c r="X410" s="258"/>
      <c r="Y410" s="257"/>
      <c r="Z410" s="258"/>
      <c r="AA410" s="245"/>
      <c r="AB410" s="257">
        <f>-P410-R410-N410</f>
        <v>-53.4</v>
      </c>
      <c r="AC410" s="245"/>
    </row>
    <row r="411" spans="1:29" ht="15">
      <c r="A411" s="250"/>
      <c r="B411" s="251"/>
      <c r="C411" s="648"/>
      <c r="D411" s="830" t="s">
        <v>445</v>
      </c>
      <c r="E411" s="251"/>
      <c r="F411" s="735"/>
      <c r="G411" s="872"/>
      <c r="H411" s="261"/>
      <c r="I411" s="251"/>
      <c r="J411" s="872"/>
      <c r="K411" s="872"/>
      <c r="L411" s="872"/>
      <c r="M411" s="872"/>
      <c r="N411" s="257">
        <f>-N423</f>
        <v>-11</v>
      </c>
      <c r="O411" s="257"/>
      <c r="P411" s="257">
        <f>-P423</f>
        <v>-28.6</v>
      </c>
      <c r="Q411" s="257"/>
      <c r="R411" s="257">
        <f>-R423</f>
        <v>-28.6</v>
      </c>
      <c r="S411" s="257"/>
      <c r="T411" s="257"/>
      <c r="U411" s="257"/>
      <c r="V411" s="257"/>
      <c r="W411" s="245"/>
      <c r="X411" s="258"/>
      <c r="Y411" s="257"/>
      <c r="Z411" s="258"/>
      <c r="AA411" s="245"/>
      <c r="AB411" s="257">
        <f>-AB423</f>
        <v>-67.8</v>
      </c>
      <c r="AC411" s="245"/>
    </row>
    <row r="412" spans="1:29" ht="15.6" hidden="1" customHeight="1">
      <c r="A412" s="250"/>
      <c r="B412" s="251"/>
      <c r="C412" s="648"/>
      <c r="D412" s="830" t="s">
        <v>2451</v>
      </c>
      <c r="E412" s="251"/>
      <c r="F412" s="735"/>
      <c r="G412" s="872">
        <f>(180+45+70+40)*2.4</f>
        <v>804</v>
      </c>
      <c r="H412" s="261"/>
      <c r="I412" s="251"/>
      <c r="J412" s="872"/>
      <c r="K412" s="872"/>
      <c r="L412" s="872"/>
      <c r="M412" s="872"/>
      <c r="N412" s="260"/>
      <c r="O412" s="260"/>
      <c r="P412" s="260"/>
      <c r="Q412" s="257"/>
      <c r="R412" s="260"/>
      <c r="S412" s="257"/>
      <c r="T412" s="260"/>
      <c r="U412" s="260"/>
      <c r="V412" s="260"/>
      <c r="W412" s="245"/>
      <c r="X412" s="256"/>
      <c r="Y412" s="257"/>
      <c r="Z412" s="256"/>
      <c r="AA412" s="245"/>
      <c r="AB412" s="260"/>
      <c r="AC412" s="245"/>
    </row>
    <row r="413" spans="1:29" ht="15.6" hidden="1" customHeight="1">
      <c r="A413" s="250"/>
      <c r="B413" s="251"/>
      <c r="C413" s="648"/>
      <c r="D413" s="830" t="s">
        <v>2446</v>
      </c>
      <c r="E413" s="251"/>
      <c r="F413" s="735"/>
      <c r="G413" s="872">
        <f>50*2</f>
        <v>100</v>
      </c>
      <c r="H413" s="261"/>
      <c r="I413" s="251"/>
      <c r="J413" s="872"/>
      <c r="K413" s="872"/>
      <c r="L413" s="872"/>
      <c r="M413" s="872"/>
      <c r="N413" s="257"/>
      <c r="O413" s="257"/>
      <c r="P413" s="257"/>
      <c r="Q413" s="257"/>
      <c r="R413" s="257"/>
      <c r="S413" s="257"/>
      <c r="T413" s="257"/>
      <c r="U413" s="257"/>
      <c r="V413" s="257"/>
      <c r="W413" s="245"/>
      <c r="X413" s="258"/>
      <c r="Y413" s="257"/>
      <c r="Z413" s="258"/>
      <c r="AA413" s="245"/>
      <c r="AB413" s="257"/>
      <c r="AC413" s="245"/>
    </row>
    <row r="414" spans="1:29" ht="15">
      <c r="A414" s="250"/>
      <c r="B414" s="251"/>
      <c r="C414" s="648"/>
      <c r="D414" s="832" t="s">
        <v>1899</v>
      </c>
      <c r="E414" s="251"/>
      <c r="F414" s="735"/>
      <c r="G414" s="872"/>
      <c r="H414" s="261"/>
      <c r="I414" s="251"/>
      <c r="J414" s="872"/>
      <c r="K414" s="872"/>
      <c r="L414" s="872"/>
      <c r="M414" s="872"/>
      <c r="N414" s="294">
        <v>25.58</v>
      </c>
      <c r="O414" s="751"/>
      <c r="P414" s="751">
        <v>21.44</v>
      </c>
      <c r="Q414" s="294"/>
      <c r="R414" s="751">
        <v>24.22</v>
      </c>
      <c r="S414" s="294"/>
      <c r="T414" s="294">
        <v>13</v>
      </c>
      <c r="U414" s="751"/>
      <c r="V414" s="751">
        <v>16.5</v>
      </c>
      <c r="W414" s="296"/>
      <c r="X414" s="297"/>
      <c r="Y414" s="294"/>
      <c r="Z414" s="297"/>
      <c r="AA414" s="296"/>
      <c r="AB414" s="751">
        <v>21.75</v>
      </c>
      <c r="AC414" s="296"/>
    </row>
    <row r="415" spans="1:29" ht="15">
      <c r="A415" s="250"/>
      <c r="B415" s="251"/>
      <c r="C415" s="648"/>
      <c r="D415" s="830" t="s">
        <v>1900</v>
      </c>
      <c r="E415" s="251"/>
      <c r="F415" s="735">
        <f>N415+R415+P415+T415+V415+X415+Z415+AB415</f>
        <v>2870</v>
      </c>
      <c r="G415" s="872">
        <v>3.31</v>
      </c>
      <c r="H415" s="261">
        <f>O415+S415+Q415+U415+W415+Y415+AA415+AC415</f>
        <v>9499.7000000000007</v>
      </c>
      <c r="I415" s="251"/>
      <c r="J415" s="872"/>
      <c r="K415" s="872"/>
      <c r="L415" s="872"/>
      <c r="M415" s="872"/>
      <c r="N415" s="258">
        <f>INT(SUM(N405:N414)*100+0.5)/100</f>
        <v>510</v>
      </c>
      <c r="O415" s="257">
        <f>INT($G415*N415*100+0.5)/100</f>
        <v>1688.1</v>
      </c>
      <c r="P415" s="258">
        <f>INT(SUM(P405:P414)*100+0.5)/100</f>
        <v>770</v>
      </c>
      <c r="Q415" s="257">
        <f>INT($G415*P415*100+0.5)/100</f>
        <v>2548.6999999999998</v>
      </c>
      <c r="R415" s="258">
        <f>INT(SUM(R405:R414)*100+0.5)/100</f>
        <v>680</v>
      </c>
      <c r="S415" s="257">
        <f>INT($G415*R415*100+0.5)/100</f>
        <v>2250.8000000000002</v>
      </c>
      <c r="T415" s="258">
        <f>INT(SUM(T405:T414)*100+0.5)/100</f>
        <v>40</v>
      </c>
      <c r="U415" s="257">
        <f>INT($G415*T415*100+0.5)/100</f>
        <v>132.4</v>
      </c>
      <c r="V415" s="258">
        <f>INT(SUM(V405:V414)*100+0.5)/100</f>
        <v>70</v>
      </c>
      <c r="W415" s="257">
        <f>INT($G415*V415*100+0.5)/100</f>
        <v>231.7</v>
      </c>
      <c r="X415" s="258">
        <f>INT(SUM(X405:X414)*100+0.5)/100</f>
        <v>0</v>
      </c>
      <c r="Y415" s="257">
        <f>INT($G415*X415*100+0.5)/100</f>
        <v>0</v>
      </c>
      <c r="Z415" s="258">
        <f>INT(SUM(Z405:Z414)*100+0.5)/100</f>
        <v>0</v>
      </c>
      <c r="AA415" s="257">
        <f>INT($G415*Z415*100+0.5)/100</f>
        <v>0</v>
      </c>
      <c r="AB415" s="258">
        <f>INT(SUM(AB405:AB414)*100+0.5)/100</f>
        <v>800</v>
      </c>
      <c r="AC415" s="257">
        <f>INT($G415*AB415*100+0.5)/100</f>
        <v>2648</v>
      </c>
    </row>
    <row r="416" spans="1:29" ht="15">
      <c r="A416" s="250"/>
      <c r="B416" s="251"/>
      <c r="C416" s="648"/>
      <c r="D416" s="526"/>
      <c r="E416" s="251"/>
      <c r="F416" s="735"/>
      <c r="G416" s="872"/>
      <c r="H416" s="896" t="s">
        <v>1172</v>
      </c>
      <c r="I416" s="251"/>
      <c r="J416" s="872"/>
      <c r="K416" s="872"/>
      <c r="L416" s="872"/>
      <c r="M416" s="872"/>
      <c r="N416" s="258"/>
      <c r="O416" s="257"/>
      <c r="P416" s="258"/>
      <c r="Q416" s="257"/>
      <c r="R416" s="258"/>
      <c r="S416" s="257"/>
      <c r="T416" s="257"/>
      <c r="U416" s="257"/>
      <c r="V416" s="258"/>
      <c r="W416" s="257"/>
      <c r="X416" s="258"/>
      <c r="Y416" s="257"/>
      <c r="Z416" s="258"/>
      <c r="AA416" s="257"/>
      <c r="AB416" s="258"/>
      <c r="AC416" s="257"/>
    </row>
    <row r="417" spans="1:29" ht="25.5">
      <c r="A417" s="250">
        <f>A403+1</f>
        <v>101</v>
      </c>
      <c r="B417" s="251"/>
      <c r="C417" s="647" t="s">
        <v>1059</v>
      </c>
      <c r="D417" s="526" t="s">
        <v>1296</v>
      </c>
      <c r="E417" s="251" t="s">
        <v>1898</v>
      </c>
      <c r="F417" s="735"/>
      <c r="G417" s="872"/>
      <c r="H417" s="261"/>
      <c r="I417" s="251" t="s">
        <v>1898</v>
      </c>
      <c r="J417" s="872"/>
      <c r="K417" s="872"/>
      <c r="L417" s="872"/>
      <c r="M417" s="872"/>
      <c r="N417" s="258"/>
      <c r="O417" s="257"/>
      <c r="P417" s="258"/>
      <c r="Q417" s="257"/>
      <c r="R417" s="258"/>
      <c r="S417" s="257"/>
      <c r="T417" s="257"/>
      <c r="U417" s="257"/>
      <c r="V417" s="258"/>
      <c r="W417" s="257"/>
      <c r="X417" s="258"/>
      <c r="Y417" s="257"/>
      <c r="Z417" s="258"/>
      <c r="AA417" s="257"/>
      <c r="AB417" s="258"/>
      <c r="AC417" s="257"/>
    </row>
    <row r="418" spans="1:29" ht="25.5">
      <c r="A418" s="250"/>
      <c r="B418" s="251"/>
      <c r="C418" s="648"/>
      <c r="D418" s="526" t="s">
        <v>1297</v>
      </c>
      <c r="E418" s="251"/>
      <c r="F418" s="735"/>
      <c r="G418" s="872"/>
      <c r="H418" s="261"/>
      <c r="I418" s="251"/>
      <c r="J418" s="872"/>
      <c r="K418" s="872"/>
      <c r="L418" s="872"/>
      <c r="M418" s="872"/>
      <c r="N418" s="258"/>
      <c r="O418" s="257"/>
      <c r="P418" s="258"/>
      <c r="Q418" s="257"/>
      <c r="R418" s="258"/>
      <c r="S418" s="257"/>
      <c r="T418" s="257"/>
      <c r="U418" s="257"/>
      <c r="V418" s="258"/>
      <c r="W418" s="257"/>
      <c r="X418" s="258"/>
      <c r="Y418" s="257"/>
      <c r="Z418" s="258"/>
      <c r="AA418" s="257"/>
      <c r="AB418" s="258"/>
      <c r="AC418" s="257"/>
    </row>
    <row r="419" spans="1:29" ht="15">
      <c r="A419" s="250"/>
      <c r="B419" s="251"/>
      <c r="C419" s="648"/>
      <c r="D419" s="830" t="s">
        <v>2522</v>
      </c>
      <c r="E419" s="251"/>
      <c r="F419" s="735"/>
      <c r="G419" s="872"/>
      <c r="H419" s="261"/>
      <c r="I419" s="251"/>
      <c r="J419" s="872"/>
      <c r="K419" s="872"/>
      <c r="L419" s="872"/>
      <c r="M419" s="872"/>
      <c r="N419" s="257">
        <f>2*0.5</f>
        <v>1</v>
      </c>
      <c r="O419" s="257"/>
      <c r="P419" s="257">
        <f>2*1.3</f>
        <v>2.6</v>
      </c>
      <c r="Q419" s="257"/>
      <c r="R419" s="257">
        <f>2*1.3</f>
        <v>2.6</v>
      </c>
      <c r="S419" s="257"/>
      <c r="T419" s="257"/>
      <c r="U419" s="257"/>
      <c r="V419" s="258"/>
      <c r="W419" s="245"/>
      <c r="X419" s="258"/>
      <c r="Y419" s="257"/>
      <c r="Z419" s="258"/>
      <c r="AA419" s="245"/>
      <c r="AB419" s="257">
        <f>(2*7)-P419-R419-N419</f>
        <v>7.8000000000000007</v>
      </c>
      <c r="AC419" s="245"/>
    </row>
    <row r="420" spans="1:29" ht="15">
      <c r="A420" s="250"/>
      <c r="B420" s="251"/>
      <c r="C420" s="648"/>
      <c r="D420" s="830" t="s">
        <v>2523</v>
      </c>
      <c r="E420" s="251"/>
      <c r="F420" s="735"/>
      <c r="G420" s="872"/>
      <c r="H420" s="261"/>
      <c r="I420" s="251"/>
      <c r="J420" s="872"/>
      <c r="K420" s="872"/>
      <c r="L420" s="872"/>
      <c r="M420" s="872"/>
      <c r="N420" s="257">
        <f>2*0.5</f>
        <v>1</v>
      </c>
      <c r="O420" s="257"/>
      <c r="P420" s="257">
        <f>2*1.3</f>
        <v>2.6</v>
      </c>
      <c r="Q420" s="257"/>
      <c r="R420" s="257">
        <f>2*1.3</f>
        <v>2.6</v>
      </c>
      <c r="S420" s="257"/>
      <c r="T420" s="257"/>
      <c r="U420" s="257"/>
      <c r="V420" s="258"/>
      <c r="W420" s="245"/>
      <c r="X420" s="258"/>
      <c r="Y420" s="257"/>
      <c r="Z420" s="258"/>
      <c r="AA420" s="245"/>
      <c r="AB420" s="257">
        <f>(2*7)-P420-R420-N420</f>
        <v>7.8000000000000007</v>
      </c>
      <c r="AC420" s="245"/>
    </row>
    <row r="421" spans="1:29" ht="15">
      <c r="A421" s="250"/>
      <c r="B421" s="251"/>
      <c r="C421" s="648"/>
      <c r="D421" s="832" t="s">
        <v>2521</v>
      </c>
      <c r="E421" s="251"/>
      <c r="F421" s="735"/>
      <c r="G421" s="872"/>
      <c r="H421" s="261"/>
      <c r="I421" s="251"/>
      <c r="J421" s="872"/>
      <c r="K421" s="872"/>
      <c r="L421" s="872"/>
      <c r="M421" s="872"/>
      <c r="N421" s="294">
        <f>18*0.5</f>
        <v>9</v>
      </c>
      <c r="O421" s="257"/>
      <c r="P421" s="294">
        <f>18*1.3</f>
        <v>23.400000000000002</v>
      </c>
      <c r="Q421" s="257"/>
      <c r="R421" s="294">
        <f>18*1.3</f>
        <v>23.400000000000002</v>
      </c>
      <c r="S421" s="257"/>
      <c r="T421" s="257"/>
      <c r="U421" s="257"/>
      <c r="V421" s="293"/>
      <c r="W421" s="245"/>
      <c r="X421" s="293"/>
      <c r="Y421" s="257"/>
      <c r="Z421" s="293"/>
      <c r="AA421" s="245"/>
      <c r="AB421" s="294">
        <f>(18*6)-P421-R421-N421</f>
        <v>52.199999999999989</v>
      </c>
      <c r="AC421" s="245"/>
    </row>
    <row r="422" spans="1:29" ht="15.6" hidden="1" customHeight="1">
      <c r="A422" s="250"/>
      <c r="B422" s="251"/>
      <c r="C422" s="648"/>
      <c r="D422" s="830" t="s">
        <v>2451</v>
      </c>
      <c r="E422" s="251"/>
      <c r="F422" s="735"/>
      <c r="G422" s="872">
        <f>17*3</f>
        <v>51</v>
      </c>
      <c r="H422" s="261"/>
      <c r="I422" s="251"/>
      <c r="J422" s="872"/>
      <c r="K422" s="872"/>
      <c r="L422" s="872"/>
      <c r="M422" s="872"/>
      <c r="N422" s="293"/>
      <c r="O422" s="294"/>
      <c r="P422" s="293"/>
      <c r="Q422" s="294"/>
      <c r="R422" s="293"/>
      <c r="S422" s="294"/>
      <c r="T422" s="294"/>
      <c r="U422" s="294"/>
      <c r="V422" s="293">
        <v>0</v>
      </c>
      <c r="W422" s="296"/>
      <c r="X422" s="293"/>
      <c r="Y422" s="294"/>
      <c r="Z422" s="293">
        <v>0</v>
      </c>
      <c r="AA422" s="296"/>
      <c r="AB422" s="293"/>
      <c r="AC422" s="296"/>
    </row>
    <row r="423" spans="1:29" ht="15">
      <c r="A423" s="250"/>
      <c r="B423" s="251"/>
      <c r="C423" s="648"/>
      <c r="D423" s="830" t="s">
        <v>1900</v>
      </c>
      <c r="E423" s="251"/>
      <c r="F423" s="735">
        <f>N423+R423+P423+T423+V423+X423+Z423+AB423</f>
        <v>136</v>
      </c>
      <c r="G423" s="872">
        <v>4.5</v>
      </c>
      <c r="H423" s="261">
        <f>O423+S423+Q423+U423+W423+Y423+AA423+AC423</f>
        <v>612</v>
      </c>
      <c r="I423" s="251"/>
      <c r="J423" s="872"/>
      <c r="K423" s="872"/>
      <c r="L423" s="872"/>
      <c r="M423" s="872"/>
      <c r="N423" s="258">
        <f>INT(SUM(N419:N422)*100+0.5)/100</f>
        <v>11</v>
      </c>
      <c r="O423" s="257">
        <f>INT($G423*N423*100+0.5)/100</f>
        <v>49.5</v>
      </c>
      <c r="P423" s="258">
        <f>INT(SUM(P419:P422)*100+0.5)/100</f>
        <v>28.6</v>
      </c>
      <c r="Q423" s="257">
        <f>INT($G423*P423*100+0.5)/100</f>
        <v>128.69999999999999</v>
      </c>
      <c r="R423" s="258">
        <f>INT(SUM(R419:R422)*100+0.5)/100</f>
        <v>28.6</v>
      </c>
      <c r="S423" s="257">
        <f>INT($G423*R423*100+0.5)/100</f>
        <v>128.69999999999999</v>
      </c>
      <c r="T423" s="258">
        <f>INT(SUM(T419:T422)*100+0.5)/100</f>
        <v>0</v>
      </c>
      <c r="U423" s="257">
        <f>INT($G423*T423*100+0.5)/100</f>
        <v>0</v>
      </c>
      <c r="V423" s="258">
        <f>INT(SUM(V419:V422)*100+0.5)/100</f>
        <v>0</v>
      </c>
      <c r="W423" s="257">
        <f>INT($G423*V423*100+0.5)/100</f>
        <v>0</v>
      </c>
      <c r="X423" s="258">
        <f>INT(SUM(X419:X422)*100+0.5)/100</f>
        <v>0</v>
      </c>
      <c r="Y423" s="257">
        <f>INT($G423*X423*100+0.5)/100</f>
        <v>0</v>
      </c>
      <c r="Z423" s="258">
        <f>INT(SUM(Z419:Z422)*100+0.5)/100</f>
        <v>0</v>
      </c>
      <c r="AA423" s="257">
        <f>INT($G423*Z423*100+0.5)/100</f>
        <v>0</v>
      </c>
      <c r="AB423" s="258">
        <f>INT(SUM(AB419:AB422)*100+0.5)/100</f>
        <v>67.8</v>
      </c>
      <c r="AC423" s="257">
        <f>INT($G423*AB423*100+0.5)/100</f>
        <v>305.10000000000002</v>
      </c>
    </row>
    <row r="424" spans="1:29" ht="15">
      <c r="A424" s="250"/>
      <c r="B424" s="251"/>
      <c r="C424" s="648"/>
      <c r="D424" s="526"/>
      <c r="E424" s="251"/>
      <c r="F424" s="735"/>
      <c r="G424" s="872"/>
      <c r="H424" s="261"/>
      <c r="I424" s="251"/>
      <c r="J424" s="872"/>
      <c r="K424" s="872"/>
      <c r="L424" s="872"/>
      <c r="M424" s="872"/>
      <c r="N424" s="258"/>
      <c r="O424" s="257"/>
      <c r="P424" s="258"/>
      <c r="Q424" s="257"/>
      <c r="R424" s="258"/>
      <c r="S424" s="257"/>
      <c r="T424" s="257"/>
      <c r="U424" s="257"/>
      <c r="V424" s="258"/>
      <c r="W424" s="257"/>
      <c r="X424" s="258"/>
      <c r="Y424" s="257"/>
      <c r="Z424" s="258"/>
      <c r="AA424" s="257"/>
      <c r="AB424" s="258"/>
      <c r="AC424" s="257"/>
    </row>
    <row r="425" spans="1:29" ht="25.5">
      <c r="A425" s="250">
        <f>A417+1</f>
        <v>102</v>
      </c>
      <c r="B425" s="251"/>
      <c r="C425" s="647" t="s">
        <v>2346</v>
      </c>
      <c r="D425" s="526" t="s">
        <v>1294</v>
      </c>
      <c r="E425" s="251" t="s">
        <v>1898</v>
      </c>
      <c r="F425" s="735">
        <f>N425+R425+P425+T425+V425+X425+Z425+AB425</f>
        <v>52.4</v>
      </c>
      <c r="G425" s="872">
        <v>10.87</v>
      </c>
      <c r="H425" s="261">
        <f>O425+S425+Q425+U425+W425+Y425+AA425+AC425</f>
        <v>569.59</v>
      </c>
      <c r="I425" s="251" t="s">
        <v>1898</v>
      </c>
      <c r="J425" s="872"/>
      <c r="K425" s="872"/>
      <c r="L425" s="872"/>
      <c r="M425" s="872"/>
      <c r="N425" s="258">
        <v>6</v>
      </c>
      <c r="O425" s="257">
        <f>INT($G425*N425*100+0.5)/100</f>
        <v>65.22</v>
      </c>
      <c r="P425" s="258">
        <v>3</v>
      </c>
      <c r="Q425" s="257">
        <f>INT($G425*P425*100+0.5)/100</f>
        <v>32.61</v>
      </c>
      <c r="R425" s="258">
        <v>20</v>
      </c>
      <c r="S425" s="257">
        <f>INT($G425*R425*100+0.5)/100</f>
        <v>217.4</v>
      </c>
      <c r="T425" s="258">
        <f>6*3.4</f>
        <v>20.399999999999999</v>
      </c>
      <c r="U425" s="257">
        <f>INT($G425*T425*100+0.5)/100</f>
        <v>221.75</v>
      </c>
      <c r="V425" s="258">
        <v>3</v>
      </c>
      <c r="W425" s="257">
        <f>INT($G425*V425*100+0.5)/100</f>
        <v>32.61</v>
      </c>
      <c r="X425" s="258">
        <v>0</v>
      </c>
      <c r="Y425" s="257">
        <f>INT($G425*X425*100+0.5)/100</f>
        <v>0</v>
      </c>
      <c r="Z425" s="258">
        <v>0</v>
      </c>
      <c r="AA425" s="257">
        <f>INT($G425*Z425*100+0.5)/100</f>
        <v>0</v>
      </c>
      <c r="AB425" s="258">
        <v>0</v>
      </c>
      <c r="AC425" s="257">
        <f>INT($G425*AB425*100+0.5)/100</f>
        <v>0</v>
      </c>
    </row>
    <row r="426" spans="1:29" ht="15">
      <c r="A426" s="250"/>
      <c r="B426" s="251"/>
      <c r="C426" s="648"/>
      <c r="D426" s="526" t="s">
        <v>1295</v>
      </c>
      <c r="E426" s="251"/>
      <c r="F426" s="735"/>
      <c r="G426" s="872"/>
      <c r="H426" s="261"/>
      <c r="I426" s="251"/>
      <c r="J426" s="872"/>
      <c r="K426" s="872"/>
      <c r="L426" s="872"/>
      <c r="M426" s="872"/>
      <c r="N426" s="258"/>
      <c r="O426" s="257"/>
      <c r="P426" s="258"/>
      <c r="Q426" s="257"/>
      <c r="R426" s="258"/>
      <c r="S426" s="257"/>
      <c r="T426" s="257"/>
      <c r="U426" s="257"/>
      <c r="V426" s="258"/>
      <c r="W426" s="257"/>
      <c r="X426" s="258"/>
      <c r="Y426" s="257"/>
      <c r="Z426" s="258"/>
      <c r="AA426" s="257"/>
      <c r="AB426" s="258"/>
      <c r="AC426" s="257"/>
    </row>
    <row r="427" spans="1:29" s="247" customFormat="1" ht="15">
      <c r="A427" s="284"/>
      <c r="B427" s="237"/>
      <c r="C427" s="653"/>
      <c r="D427" s="238"/>
      <c r="E427" s="237"/>
      <c r="F427" s="733"/>
      <c r="G427" s="872"/>
      <c r="H427" s="243"/>
      <c r="I427" s="237"/>
      <c r="J427" s="872"/>
      <c r="K427" s="872"/>
      <c r="L427" s="872"/>
      <c r="M427" s="872"/>
      <c r="N427" s="289"/>
      <c r="O427" s="245"/>
      <c r="P427" s="289"/>
      <c r="Q427" s="245"/>
      <c r="R427" s="289"/>
      <c r="S427" s="245"/>
      <c r="T427" s="245"/>
      <c r="U427" s="245"/>
      <c r="V427" s="289"/>
      <c r="W427" s="245"/>
      <c r="X427" s="289"/>
      <c r="Y427" s="245"/>
      <c r="Z427" s="289"/>
      <c r="AA427" s="245"/>
      <c r="AB427" s="289"/>
      <c r="AC427" s="245"/>
    </row>
    <row r="428" spans="1:29" ht="51">
      <c r="A428" s="250">
        <f>A425+1</f>
        <v>103</v>
      </c>
      <c r="B428" s="251"/>
      <c r="C428" s="647" t="s">
        <v>2347</v>
      </c>
      <c r="D428" s="526" t="s">
        <v>1293</v>
      </c>
      <c r="E428" s="251" t="s">
        <v>2461</v>
      </c>
      <c r="F428" s="735"/>
      <c r="G428" s="872"/>
      <c r="H428" s="261"/>
      <c r="I428" s="251" t="s">
        <v>2461</v>
      </c>
      <c r="J428" s="872"/>
      <c r="K428" s="872"/>
      <c r="L428" s="872"/>
      <c r="M428" s="872"/>
      <c r="N428" s="258"/>
      <c r="O428" s="257"/>
      <c r="P428" s="258"/>
      <c r="Q428" s="257"/>
      <c r="R428" s="258"/>
      <c r="S428" s="257"/>
      <c r="T428" s="257"/>
      <c r="U428" s="257"/>
      <c r="V428" s="258"/>
      <c r="W428" s="257"/>
      <c r="X428" s="258"/>
      <c r="Y428" s="257"/>
      <c r="Z428" s="258"/>
      <c r="AA428" s="257"/>
      <c r="AB428" s="258"/>
      <c r="AC428" s="257"/>
    </row>
    <row r="429" spans="1:29" ht="51">
      <c r="A429" s="250"/>
      <c r="B429" s="251"/>
      <c r="C429" s="648"/>
      <c r="D429" s="526" t="s">
        <v>1292</v>
      </c>
      <c r="E429" s="251"/>
      <c r="F429" s="735"/>
      <c r="G429" s="872"/>
      <c r="H429" s="261"/>
      <c r="I429" s="251"/>
      <c r="J429" s="872"/>
      <c r="K429" s="872"/>
      <c r="L429" s="872"/>
      <c r="M429" s="872"/>
      <c r="N429" s="258"/>
      <c r="O429" s="257"/>
      <c r="P429" s="258"/>
      <c r="Q429" s="257"/>
      <c r="R429" s="258"/>
      <c r="S429" s="257"/>
      <c r="T429" s="257"/>
      <c r="U429" s="257"/>
      <c r="V429" s="258"/>
      <c r="W429" s="257"/>
      <c r="X429" s="258"/>
      <c r="Y429" s="257"/>
      <c r="Z429" s="258"/>
      <c r="AA429" s="257"/>
      <c r="AB429" s="258"/>
      <c r="AC429" s="257"/>
    </row>
    <row r="430" spans="1:29" ht="15">
      <c r="A430" s="250"/>
      <c r="B430" s="251"/>
      <c r="C430" s="648"/>
      <c r="D430" s="830" t="s">
        <v>2498</v>
      </c>
      <c r="E430" s="251"/>
      <c r="F430" s="735"/>
      <c r="G430" s="872"/>
      <c r="H430" s="261"/>
      <c r="I430" s="251"/>
      <c r="J430" s="872"/>
      <c r="K430" s="872"/>
      <c r="L430" s="872"/>
      <c r="M430" s="872"/>
      <c r="N430" s="257">
        <f>(90)*0.7*(1.6-(0.04+0.06+0.1)-0.4-0.4)</f>
        <v>37.799999999999997</v>
      </c>
      <c r="O430" s="258"/>
      <c r="P430" s="257">
        <f>(90)*0.8*(1.6-(0.04+0.06+0.1)-0.4-0.4)</f>
        <v>43.199999999999996</v>
      </c>
      <c r="Q430" s="257"/>
      <c r="R430" s="257">
        <f>(90)*1.3*(1.6-(0.04+0.06+0.1)-0.4-0.4)</f>
        <v>70.2</v>
      </c>
      <c r="S430" s="257"/>
      <c r="T430" s="257"/>
      <c r="U430" s="257"/>
      <c r="V430" s="258"/>
      <c r="W430" s="257"/>
      <c r="X430" s="258"/>
      <c r="Y430" s="257"/>
      <c r="Z430" s="258"/>
      <c r="AA430" s="257"/>
      <c r="AB430" s="258"/>
      <c r="AC430" s="257"/>
    </row>
    <row r="431" spans="1:29" ht="15">
      <c r="A431" s="250"/>
      <c r="B431" s="251"/>
      <c r="C431" s="648"/>
      <c r="D431" s="830" t="s">
        <v>2511</v>
      </c>
      <c r="E431" s="251"/>
      <c r="F431" s="735"/>
      <c r="G431" s="872"/>
      <c r="H431" s="261"/>
      <c r="I431" s="251"/>
      <c r="J431" s="872"/>
      <c r="K431" s="872"/>
      <c r="L431" s="872"/>
      <c r="M431" s="872"/>
      <c r="N431" s="257">
        <f>(132.5+10)*0.7*(1.6-(0.04+0.06+0.1)-0.05-0.6-0.4)</f>
        <v>34.912500000000009</v>
      </c>
      <c r="O431" s="258"/>
      <c r="P431" s="257">
        <f>(132.5+10)*1.3*(1.6-(0.04+0.06+0.1)-0.05-0.6-0.4)</f>
        <v>64.83750000000002</v>
      </c>
      <c r="Q431" s="257"/>
      <c r="R431" s="257">
        <f>(132.5+10)*1.3*(1.6-(0.04+0.06+0.1)-0.05-0.6-0.4)</f>
        <v>64.83750000000002</v>
      </c>
      <c r="S431" s="257"/>
      <c r="T431" s="257"/>
      <c r="U431" s="257"/>
      <c r="V431" s="258"/>
      <c r="W431" s="257"/>
      <c r="X431" s="258"/>
      <c r="Y431" s="257"/>
      <c r="Z431" s="258"/>
      <c r="AA431" s="257"/>
      <c r="AB431" s="258"/>
      <c r="AC431" s="257"/>
    </row>
    <row r="432" spans="1:29" ht="15">
      <c r="A432" s="250"/>
      <c r="B432" s="251"/>
      <c r="C432" s="648"/>
      <c r="D432" s="830" t="s">
        <v>2512</v>
      </c>
      <c r="E432" s="251"/>
      <c r="F432" s="735"/>
      <c r="G432" s="872"/>
      <c r="H432" s="261"/>
      <c r="I432" s="251"/>
      <c r="J432" s="872"/>
      <c r="K432" s="872"/>
      <c r="L432" s="872"/>
      <c r="M432" s="872"/>
      <c r="N432" s="257">
        <f>(101.5+136.5+23+10+10)*0.7*(1.6-(0.04+0.06+0.1)-0.05-0.6-0.4)</f>
        <v>68.845000000000013</v>
      </c>
      <c r="O432" s="258"/>
      <c r="P432" s="257">
        <f>(101.5+136.5+23+10+10)*1.3*(1.6-(0.04+0.06+0.1)-0.05-0.6-0.4)</f>
        <v>127.85500000000003</v>
      </c>
      <c r="Q432" s="257"/>
      <c r="R432" s="257">
        <f>(101.5+136.5+23+10+10)*1.3*(1.6-(0.04+0.06+0.1)-0.05-0.6-0.4)</f>
        <v>127.85500000000003</v>
      </c>
      <c r="S432" s="257"/>
      <c r="T432" s="257"/>
      <c r="U432" s="257"/>
      <c r="V432" s="258"/>
      <c r="W432" s="257"/>
      <c r="X432" s="258"/>
      <c r="Y432" s="257"/>
      <c r="Z432" s="258"/>
      <c r="AA432" s="257"/>
      <c r="AB432" s="258"/>
      <c r="AC432" s="257"/>
    </row>
    <row r="433" spans="1:29" ht="15">
      <c r="A433" s="250"/>
      <c r="B433" s="251"/>
      <c r="C433" s="648"/>
      <c r="D433" s="830" t="s">
        <v>2446</v>
      </c>
      <c r="E433" s="251"/>
      <c r="F433" s="735"/>
      <c r="G433" s="872"/>
      <c r="H433" s="261"/>
      <c r="I433" s="251"/>
      <c r="J433" s="872"/>
      <c r="K433" s="872"/>
      <c r="L433" s="872"/>
      <c r="M433" s="872"/>
      <c r="N433" s="257">
        <f>(N278+N280+N282+N283)/2*0.7*(1.6-(0.04+0.06+0.1)-0.05-0.6-0.4)+(N278+N280+N282+N283)/2*0.7*(1.6-(0.03+0.05)-0.05-0.2-0.4)</f>
        <v>123.98799</v>
      </c>
      <c r="O433" s="257"/>
      <c r="P433" s="257">
        <f>(P278+P280+P282+P283)*1.2*(1.6-(0.04+0.06+0.1)-0.05-0.6-0.4)</f>
        <v>145.089</v>
      </c>
      <c r="Q433" s="257"/>
      <c r="R433" s="257">
        <f>(R278+R280+R282+R283)/2*0.8*(1.6-(0.04+0.06+0.1)-0.05-0.6-0.4)+(R278+R280+R282+R283)/2*0.8*(1.6-(0.03+0.05)-0.05-0.2-0.4)</f>
        <v>292.50720000000007</v>
      </c>
      <c r="S433" s="257"/>
      <c r="T433" s="257"/>
      <c r="U433" s="257"/>
      <c r="V433" s="258"/>
      <c r="W433" s="257"/>
      <c r="X433" s="258"/>
      <c r="Y433" s="257"/>
      <c r="Z433" s="258"/>
      <c r="AA433" s="257"/>
      <c r="AB433" s="258"/>
      <c r="AC433" s="257"/>
    </row>
    <row r="434" spans="1:29" ht="15.6" hidden="1" customHeight="1">
      <c r="A434" s="250"/>
      <c r="B434" s="251"/>
      <c r="C434" s="648"/>
      <c r="D434" s="830" t="s">
        <v>2451</v>
      </c>
      <c r="E434" s="251"/>
      <c r="F434" s="735"/>
      <c r="G434" s="872">
        <f>(180+45+70+40)*0.9*0.2</f>
        <v>60.300000000000004</v>
      </c>
      <c r="H434" s="261"/>
      <c r="I434" s="251"/>
      <c r="J434" s="872"/>
      <c r="K434" s="872"/>
      <c r="L434" s="872"/>
      <c r="M434" s="872"/>
      <c r="N434" s="257"/>
      <c r="O434" s="257"/>
      <c r="P434" s="257"/>
      <c r="Q434" s="257"/>
      <c r="R434" s="257"/>
      <c r="S434" s="257"/>
      <c r="T434" s="257"/>
      <c r="U434" s="257"/>
      <c r="V434" s="258"/>
      <c r="W434" s="257"/>
      <c r="X434" s="258"/>
      <c r="Y434" s="257"/>
      <c r="Z434" s="258"/>
      <c r="AA434" s="257"/>
      <c r="AB434" s="258"/>
      <c r="AC434" s="257"/>
    </row>
    <row r="435" spans="1:29" ht="15.6" hidden="1" customHeight="1">
      <c r="A435" s="250"/>
      <c r="B435" s="251"/>
      <c r="C435" s="648"/>
      <c r="D435" s="830" t="s">
        <v>2446</v>
      </c>
      <c r="E435" s="251"/>
      <c r="F435" s="735"/>
      <c r="G435" s="872">
        <f>50*0.9*0.2</f>
        <v>9</v>
      </c>
      <c r="H435" s="261"/>
      <c r="I435" s="251"/>
      <c r="J435" s="872"/>
      <c r="K435" s="872"/>
      <c r="L435" s="872"/>
      <c r="M435" s="872"/>
      <c r="N435" s="257"/>
      <c r="O435" s="257"/>
      <c r="P435" s="257"/>
      <c r="Q435" s="257"/>
      <c r="R435" s="257"/>
      <c r="S435" s="257"/>
      <c r="T435" s="257"/>
      <c r="U435" s="257"/>
      <c r="V435" s="258"/>
      <c r="W435" s="257"/>
      <c r="X435" s="258"/>
      <c r="Y435" s="257"/>
      <c r="Z435" s="258"/>
      <c r="AA435" s="257"/>
      <c r="AB435" s="258"/>
      <c r="AC435" s="257"/>
    </row>
    <row r="436" spans="1:29" ht="15">
      <c r="A436" s="250"/>
      <c r="B436" s="251"/>
      <c r="C436" s="648"/>
      <c r="D436" s="832" t="s">
        <v>3019</v>
      </c>
      <c r="E436" s="251"/>
      <c r="F436" s="735"/>
      <c r="G436" s="872"/>
      <c r="H436" s="261"/>
      <c r="I436" s="251"/>
      <c r="J436" s="872"/>
      <c r="K436" s="872"/>
      <c r="L436" s="872"/>
      <c r="M436" s="872"/>
      <c r="N436" s="294">
        <f>N296+14.45</f>
        <v>84.45</v>
      </c>
      <c r="O436" s="294"/>
      <c r="P436" s="294">
        <f>P296+49.02</f>
        <v>119.02000000000001</v>
      </c>
      <c r="Q436" s="294"/>
      <c r="R436" s="294">
        <f>R296+34.6</f>
        <v>194.6</v>
      </c>
      <c r="S436" s="294"/>
      <c r="T436" s="294"/>
      <c r="U436" s="294"/>
      <c r="V436" s="293"/>
      <c r="W436" s="294"/>
      <c r="X436" s="293"/>
      <c r="Y436" s="294"/>
      <c r="Z436" s="293"/>
      <c r="AA436" s="294"/>
      <c r="AB436" s="293"/>
      <c r="AC436" s="294"/>
    </row>
    <row r="437" spans="1:29" ht="15">
      <c r="A437" s="250"/>
      <c r="B437" s="251"/>
      <c r="C437" s="648"/>
      <c r="D437" s="830" t="s">
        <v>575</v>
      </c>
      <c r="E437" s="251"/>
      <c r="F437" s="735">
        <f>N437+R437+P437+T437+V437+X437+Z437+AB437</f>
        <v>2192.8091899999999</v>
      </c>
      <c r="G437" s="872">
        <v>23.72</v>
      </c>
      <c r="H437" s="261">
        <f>O437+S437+Q437+U437+W437+Y437+AA437+AC437</f>
        <v>52013.429999999993</v>
      </c>
      <c r="I437" s="251"/>
      <c r="J437" s="872"/>
      <c r="K437" s="872"/>
      <c r="L437" s="872"/>
      <c r="M437" s="872"/>
      <c r="N437" s="258">
        <f>SUM(N430:N436)</f>
        <v>349.99548999999996</v>
      </c>
      <c r="O437" s="257">
        <f>INT($G437*N437*100+0.5)/100</f>
        <v>8301.89</v>
      </c>
      <c r="P437" s="258">
        <f>SUM(P430:P436)</f>
        <v>500.00150000000008</v>
      </c>
      <c r="Q437" s="257">
        <f>INT($G437*P437*100+0.5)/100</f>
        <v>11860.04</v>
      </c>
      <c r="R437" s="258">
        <f>SUM(R430:R436)</f>
        <v>749.99970000000019</v>
      </c>
      <c r="S437" s="257">
        <f>INT($G437*R437*100+0.5)/100</f>
        <v>17789.990000000002</v>
      </c>
      <c r="T437" s="258">
        <f>(T287+T296)/1.6*(1.6-0.2-0.05-0.6)</f>
        <v>32.812500000000007</v>
      </c>
      <c r="U437" s="257">
        <f>INT($G437*T437*100+0.5)/100</f>
        <v>778.31</v>
      </c>
      <c r="V437" s="258">
        <f>(V287+V296)</f>
        <v>410</v>
      </c>
      <c r="W437" s="257">
        <f>INT($G437*V437*100+0.5)/100</f>
        <v>9725.2000000000007</v>
      </c>
      <c r="X437" s="258">
        <f>SUM(X430:X435)</f>
        <v>0</v>
      </c>
      <c r="Y437" s="257">
        <f>INT($G437*X437*100+0.5)/100</f>
        <v>0</v>
      </c>
      <c r="Z437" s="258">
        <f>(Z287+Z296)</f>
        <v>150</v>
      </c>
      <c r="AA437" s="257">
        <f>INT($G437*Z437*100+0.5)/100</f>
        <v>3558</v>
      </c>
      <c r="AB437" s="258">
        <f>SUM(AB430:AB435)</f>
        <v>0</v>
      </c>
      <c r="AC437" s="257">
        <f>INT($G437*AB437*100+0.5)/100</f>
        <v>0</v>
      </c>
    </row>
    <row r="438" spans="1:29" ht="15">
      <c r="A438" s="250"/>
      <c r="B438" s="251"/>
      <c r="C438" s="251"/>
      <c r="D438" s="292"/>
      <c r="E438" s="251"/>
      <c r="F438" s="735"/>
      <c r="G438" s="872"/>
      <c r="H438" s="261"/>
      <c r="I438" s="251"/>
      <c r="J438" s="872"/>
      <c r="K438" s="872"/>
      <c r="L438" s="872"/>
      <c r="M438" s="872"/>
      <c r="N438" s="258"/>
      <c r="O438" s="257"/>
      <c r="P438" s="258"/>
      <c r="Q438" s="257"/>
      <c r="R438" s="258"/>
      <c r="S438" s="257"/>
      <c r="T438" s="257"/>
      <c r="U438" s="257"/>
      <c r="V438" s="258"/>
      <c r="W438" s="257"/>
      <c r="X438" s="258"/>
      <c r="Y438" s="257"/>
      <c r="Z438" s="258"/>
      <c r="AA438" s="257"/>
      <c r="AB438" s="258"/>
      <c r="AC438" s="257"/>
    </row>
    <row r="439" spans="1:29" ht="15">
      <c r="A439" s="250">
        <f>A428+1</f>
        <v>104</v>
      </c>
      <c r="B439" s="251"/>
      <c r="C439" s="855" t="s">
        <v>11</v>
      </c>
      <c r="D439" s="526" t="s">
        <v>10</v>
      </c>
      <c r="E439" s="251" t="s">
        <v>2461</v>
      </c>
      <c r="F439" s="735"/>
      <c r="G439" s="872"/>
      <c r="H439" s="261"/>
      <c r="I439" s="251" t="s">
        <v>2461</v>
      </c>
      <c r="J439" s="872"/>
      <c r="K439" s="872"/>
      <c r="L439" s="872"/>
      <c r="M439" s="872"/>
      <c r="N439" s="258"/>
      <c r="O439" s="257"/>
      <c r="P439" s="258"/>
      <c r="Q439" s="257"/>
      <c r="R439" s="258"/>
      <c r="S439" s="257"/>
      <c r="T439" s="257"/>
      <c r="U439" s="257"/>
      <c r="V439" s="258"/>
      <c r="W439" s="257"/>
      <c r="X439" s="258"/>
      <c r="Y439" s="257"/>
      <c r="Z439" s="258"/>
      <c r="AA439" s="257"/>
      <c r="AB439" s="258"/>
      <c r="AC439" s="257"/>
    </row>
    <row r="440" spans="1:29" ht="15">
      <c r="A440" s="250"/>
      <c r="B440" s="251"/>
      <c r="C440" s="648"/>
      <c r="D440" s="526" t="s">
        <v>9</v>
      </c>
      <c r="E440" s="251"/>
      <c r="F440" s="735"/>
      <c r="H440" s="261"/>
      <c r="I440" s="251"/>
      <c r="N440" s="258"/>
      <c r="O440" s="257"/>
      <c r="P440" s="258"/>
      <c r="Q440" s="257"/>
      <c r="R440" s="258"/>
      <c r="S440" s="257"/>
      <c r="T440" s="257"/>
      <c r="U440" s="257"/>
      <c r="V440" s="258"/>
      <c r="W440" s="257"/>
      <c r="X440" s="258"/>
      <c r="Y440" s="257"/>
      <c r="Z440" s="258"/>
      <c r="AA440" s="257"/>
      <c r="AB440" s="258"/>
      <c r="AC440" s="257"/>
    </row>
    <row r="441" spans="1:29" ht="15">
      <c r="A441" s="250"/>
      <c r="B441" s="251"/>
      <c r="C441" s="648"/>
      <c r="D441" s="830" t="s">
        <v>2498</v>
      </c>
      <c r="E441" s="251"/>
      <c r="F441" s="735"/>
      <c r="H441" s="261"/>
      <c r="I441" s="251"/>
      <c r="N441" s="258"/>
      <c r="O441" s="257"/>
      <c r="P441" s="258"/>
      <c r="Q441" s="257"/>
      <c r="R441" s="257"/>
      <c r="S441" s="257"/>
      <c r="T441" s="257"/>
      <c r="U441" s="257"/>
      <c r="V441" s="258"/>
      <c r="W441" s="257"/>
      <c r="X441" s="258"/>
      <c r="Y441" s="257"/>
      <c r="Z441" s="258"/>
      <c r="AA441" s="257"/>
      <c r="AB441" s="258"/>
      <c r="AC441" s="257"/>
    </row>
    <row r="442" spans="1:29" ht="15">
      <c r="A442" s="250"/>
      <c r="B442" s="251"/>
      <c r="C442" s="648"/>
      <c r="D442" s="830" t="s">
        <v>2511</v>
      </c>
      <c r="E442" s="251"/>
      <c r="F442" s="735"/>
      <c r="H442" s="261"/>
      <c r="I442" s="251"/>
      <c r="N442" s="258"/>
      <c r="O442" s="257"/>
      <c r="P442" s="258"/>
      <c r="Q442" s="257"/>
      <c r="R442" s="257"/>
      <c r="S442" s="257"/>
      <c r="T442" s="257"/>
      <c r="U442" s="257"/>
      <c r="V442" s="257">
        <f>132.5*0.5*0.3</f>
        <v>19.875</v>
      </c>
      <c r="W442" s="257"/>
      <c r="X442" s="258"/>
      <c r="Y442" s="257"/>
      <c r="Z442" s="258"/>
      <c r="AA442" s="257"/>
      <c r="AB442" s="258"/>
      <c r="AC442" s="257"/>
    </row>
    <row r="443" spans="1:29" ht="15">
      <c r="A443" s="250"/>
      <c r="B443" s="251"/>
      <c r="C443" s="648"/>
      <c r="D443" s="830" t="s">
        <v>2512</v>
      </c>
      <c r="E443" s="251"/>
      <c r="F443" s="735"/>
      <c r="H443" s="261"/>
      <c r="I443" s="251"/>
      <c r="N443" s="258"/>
      <c r="O443" s="257"/>
      <c r="P443" s="258"/>
      <c r="Q443" s="257"/>
      <c r="R443" s="257"/>
      <c r="S443" s="257"/>
      <c r="T443" s="257">
        <f>30*0.7*0.4</f>
        <v>8.4</v>
      </c>
      <c r="U443" s="257"/>
      <c r="V443" s="257">
        <f>(23+136.5+101.5)*0.5*0.3</f>
        <v>39.15</v>
      </c>
      <c r="W443" s="257"/>
      <c r="X443" s="258"/>
      <c r="Y443" s="257"/>
      <c r="Z443" s="258"/>
      <c r="AA443" s="257"/>
      <c r="AB443" s="258"/>
      <c r="AC443" s="257"/>
    </row>
    <row r="444" spans="1:29" ht="15">
      <c r="A444" s="250"/>
      <c r="B444" s="251"/>
      <c r="C444" s="648"/>
      <c r="D444" s="830" t="s">
        <v>2069</v>
      </c>
      <c r="E444" s="251"/>
      <c r="F444" s="735"/>
      <c r="H444" s="261"/>
      <c r="I444" s="251"/>
      <c r="N444" s="258"/>
      <c r="O444" s="257"/>
      <c r="P444" s="258"/>
      <c r="Q444" s="257"/>
      <c r="R444" s="257"/>
      <c r="S444" s="257"/>
      <c r="T444" s="257"/>
      <c r="U444" s="257"/>
      <c r="V444" s="257">
        <f>(6+10)*10*0.5*0.3</f>
        <v>24</v>
      </c>
      <c r="W444" s="257"/>
      <c r="X444" s="258"/>
      <c r="Y444" s="257"/>
      <c r="Z444" s="258"/>
      <c r="AA444" s="257"/>
      <c r="AB444" s="258"/>
      <c r="AC444" s="257"/>
    </row>
    <row r="445" spans="1:29" ht="15">
      <c r="A445" s="250"/>
      <c r="B445" s="251"/>
      <c r="C445" s="648"/>
      <c r="D445" s="830" t="s">
        <v>2451</v>
      </c>
      <c r="E445" s="251"/>
      <c r="F445" s="735"/>
      <c r="G445" s="872">
        <f>(180+45+70+40)*0.9*0.4</f>
        <v>120.60000000000001</v>
      </c>
      <c r="H445" s="261"/>
      <c r="I445" s="251"/>
      <c r="J445" s="872"/>
      <c r="K445" s="872"/>
      <c r="L445" s="872"/>
      <c r="M445" s="872"/>
      <c r="N445" s="256"/>
      <c r="O445" s="257"/>
      <c r="P445" s="258"/>
      <c r="Q445" s="257"/>
      <c r="R445" s="257"/>
      <c r="S445" s="257"/>
      <c r="T445" s="257"/>
      <c r="U445" s="257"/>
      <c r="V445" s="257"/>
      <c r="W445" s="257"/>
      <c r="X445" s="258"/>
      <c r="Y445" s="257"/>
      <c r="Z445" s="258"/>
      <c r="AA445" s="257"/>
      <c r="AB445" s="258"/>
      <c r="AC445" s="257"/>
    </row>
    <row r="446" spans="1:29" ht="15">
      <c r="A446" s="250"/>
      <c r="B446" s="251"/>
      <c r="C446" s="648"/>
      <c r="D446" s="830" t="s">
        <v>2872</v>
      </c>
      <c r="E446" s="251"/>
      <c r="F446" s="735"/>
      <c r="G446" s="872">
        <f>50*0.9*0.4</f>
        <v>18</v>
      </c>
      <c r="H446" s="261"/>
      <c r="I446" s="251"/>
      <c r="J446" s="872"/>
      <c r="K446" s="872"/>
      <c r="L446" s="872"/>
      <c r="M446" s="872"/>
      <c r="N446" s="258"/>
      <c r="O446" s="257"/>
      <c r="P446" s="258"/>
      <c r="Q446" s="257"/>
      <c r="R446" s="257"/>
      <c r="S446" s="257"/>
      <c r="T446" s="257"/>
      <c r="U446" s="257"/>
      <c r="V446" s="257"/>
      <c r="W446" s="257"/>
      <c r="X446" s="258"/>
      <c r="Y446" s="257"/>
      <c r="Z446" s="258"/>
      <c r="AA446" s="257"/>
      <c r="AB446" s="258"/>
      <c r="AC446" s="257"/>
    </row>
    <row r="447" spans="1:29" ht="15">
      <c r="A447" s="250"/>
      <c r="B447" s="251"/>
      <c r="C447" s="648"/>
      <c r="D447" s="832" t="s">
        <v>1899</v>
      </c>
      <c r="E447" s="251"/>
      <c r="F447" s="735"/>
      <c r="G447" s="872"/>
      <c r="H447" s="261"/>
      <c r="I447" s="251"/>
      <c r="J447" s="872"/>
      <c r="K447" s="872"/>
      <c r="L447" s="872"/>
      <c r="M447" s="872"/>
      <c r="N447" s="293"/>
      <c r="O447" s="257"/>
      <c r="P447" s="293"/>
      <c r="Q447" s="257"/>
      <c r="R447" s="294"/>
      <c r="S447" s="257"/>
      <c r="T447" s="294">
        <v>1.6</v>
      </c>
      <c r="U447" s="257"/>
      <c r="V447" s="294">
        <v>16.97</v>
      </c>
      <c r="W447" s="257"/>
      <c r="X447" s="258"/>
      <c r="Y447" s="257"/>
      <c r="Z447" s="258"/>
      <c r="AA447" s="257"/>
      <c r="AB447" s="258"/>
      <c r="AC447" s="257"/>
    </row>
    <row r="448" spans="1:29" ht="15">
      <c r="A448" s="250"/>
      <c r="B448" s="251"/>
      <c r="C448" s="648"/>
      <c r="D448" s="830" t="s">
        <v>575</v>
      </c>
      <c r="E448" s="251"/>
      <c r="F448" s="735">
        <f>N448+R448+P448+T448+V448+X448+Z448+AB448</f>
        <v>109.995</v>
      </c>
      <c r="G448" s="872">
        <v>30.21</v>
      </c>
      <c r="H448" s="261">
        <f>O448+S448+Q448+U448+W448+Y448+AA448+AC448</f>
        <v>3322.95</v>
      </c>
      <c r="I448" s="251"/>
      <c r="J448" s="872"/>
      <c r="K448" s="872"/>
      <c r="L448" s="872"/>
      <c r="M448" s="872"/>
      <c r="N448" s="258">
        <f>SUM(N441:N446)</f>
        <v>0</v>
      </c>
      <c r="O448" s="257">
        <f>INT($G448*N448*100+0.5)/100</f>
        <v>0</v>
      </c>
      <c r="P448" s="258">
        <f>SUM(P441:P447)</f>
        <v>0</v>
      </c>
      <c r="Q448" s="257">
        <f>INT($G448*P448*100+0.5)/100</f>
        <v>0</v>
      </c>
      <c r="R448" s="258">
        <f>SUM(R441:R447)</f>
        <v>0</v>
      </c>
      <c r="S448" s="257">
        <f>INT($G448*R448*100+0.5)/100</f>
        <v>0</v>
      </c>
      <c r="T448" s="258">
        <f>SUM(T441:T447)</f>
        <v>10</v>
      </c>
      <c r="U448" s="257">
        <f>INT($G448*T448*100+0.5)/100</f>
        <v>302.10000000000002</v>
      </c>
      <c r="V448" s="258">
        <f>SUM(V441:V447)</f>
        <v>99.995000000000005</v>
      </c>
      <c r="W448" s="257">
        <f>INT($G448*V448*100+0.5)/100</f>
        <v>3020.85</v>
      </c>
      <c r="X448" s="258">
        <f>SUM(X441:X446)</f>
        <v>0</v>
      </c>
      <c r="Y448" s="257">
        <f>INT($G448*X448*100+0.5)/100</f>
        <v>0</v>
      </c>
      <c r="Z448" s="258">
        <f>SUM(Z441:Z446)</f>
        <v>0</v>
      </c>
      <c r="AA448" s="257">
        <f>INT($G448*Z448*100+0.5)/100</f>
        <v>0</v>
      </c>
      <c r="AB448" s="258">
        <f>SUM(AB441:AB446)</f>
        <v>0</v>
      </c>
      <c r="AC448" s="257">
        <f>INT($G448*AB448*100+0.5)/100</f>
        <v>0</v>
      </c>
    </row>
    <row r="449" spans="1:29" ht="15">
      <c r="A449" s="250"/>
      <c r="B449" s="251"/>
      <c r="C449" s="648"/>
      <c r="D449" s="292"/>
      <c r="E449" s="251"/>
      <c r="F449" s="735"/>
      <c r="G449" s="261"/>
      <c r="H449" s="261"/>
      <c r="I449" s="251"/>
      <c r="J449" s="261"/>
      <c r="K449" s="261"/>
      <c r="L449" s="261"/>
      <c r="M449" s="261"/>
      <c r="N449" s="258"/>
      <c r="O449" s="257"/>
      <c r="P449" s="258"/>
      <c r="Q449" s="257"/>
      <c r="R449" s="258"/>
      <c r="S449" s="257"/>
      <c r="T449" s="257"/>
      <c r="U449" s="257"/>
      <c r="V449" s="258"/>
      <c r="W449" s="257"/>
      <c r="X449" s="258"/>
      <c r="Y449" s="257"/>
      <c r="Z449" s="258"/>
      <c r="AA449" s="257"/>
      <c r="AB449" s="258"/>
      <c r="AC449" s="257"/>
    </row>
    <row r="450" spans="1:29" ht="15">
      <c r="A450" s="250">
        <f>A439+1</f>
        <v>105</v>
      </c>
      <c r="B450" s="251"/>
      <c r="C450" s="816" t="s">
        <v>3007</v>
      </c>
      <c r="D450" s="526" t="s">
        <v>3002</v>
      </c>
      <c r="E450" s="251" t="s">
        <v>2475</v>
      </c>
      <c r="F450" s="735"/>
      <c r="G450" s="261"/>
      <c r="H450" s="261"/>
      <c r="I450" s="251" t="s">
        <v>2475</v>
      </c>
      <c r="J450" s="261"/>
      <c r="K450" s="261"/>
      <c r="L450" s="261"/>
      <c r="M450" s="261"/>
      <c r="N450" s="258"/>
      <c r="O450" s="257"/>
      <c r="P450" s="258"/>
      <c r="Q450" s="257"/>
      <c r="R450" s="258"/>
      <c r="S450" s="257"/>
      <c r="T450" s="257"/>
      <c r="U450" s="257"/>
      <c r="V450" s="258"/>
      <c r="W450" s="257"/>
      <c r="X450" s="258"/>
      <c r="Y450" s="257"/>
      <c r="Z450" s="258"/>
      <c r="AA450" s="257"/>
      <c r="AB450" s="258"/>
      <c r="AC450" s="257"/>
    </row>
    <row r="451" spans="1:29" ht="15">
      <c r="A451" s="250"/>
      <c r="B451" s="251"/>
      <c r="C451" s="648"/>
      <c r="D451" s="814" t="s">
        <v>3001</v>
      </c>
      <c r="E451" s="251"/>
      <c r="F451" s="735"/>
      <c r="G451" s="261"/>
      <c r="H451" s="261"/>
      <c r="I451" s="251"/>
      <c r="J451" s="261"/>
      <c r="K451" s="261"/>
      <c r="L451" s="261"/>
      <c r="M451" s="261"/>
      <c r="N451" s="258"/>
      <c r="O451" s="257"/>
      <c r="P451" s="258"/>
      <c r="Q451" s="257"/>
      <c r="R451" s="258"/>
      <c r="S451" s="257"/>
      <c r="T451" s="257"/>
      <c r="U451" s="257"/>
      <c r="V451" s="258"/>
      <c r="W451" s="257"/>
      <c r="X451" s="258"/>
      <c r="Y451" s="257"/>
      <c r="Z451" s="258"/>
      <c r="AA451" s="257"/>
      <c r="AB451" s="258"/>
      <c r="AC451" s="257"/>
    </row>
    <row r="452" spans="1:29" ht="15">
      <c r="A452" s="250"/>
      <c r="B452" s="251"/>
      <c r="C452" s="648"/>
      <c r="D452" s="830" t="s">
        <v>2498</v>
      </c>
      <c r="E452" s="251"/>
      <c r="F452" s="735"/>
      <c r="G452" s="256"/>
      <c r="H452" s="261"/>
      <c r="I452" s="251"/>
      <c r="J452" s="256"/>
      <c r="K452" s="256"/>
      <c r="L452" s="256"/>
      <c r="M452" s="256"/>
      <c r="N452" s="258"/>
      <c r="O452" s="257"/>
      <c r="P452" s="258"/>
      <c r="Q452" s="257"/>
      <c r="R452" s="257">
        <f>(8+3)+(29+3)</f>
        <v>43</v>
      </c>
      <c r="S452" s="257"/>
      <c r="T452" s="257"/>
      <c r="U452" s="257"/>
      <c r="V452" s="258"/>
      <c r="W452" s="257"/>
      <c r="X452" s="258"/>
      <c r="Y452" s="257"/>
      <c r="Z452" s="258"/>
      <c r="AA452" s="257"/>
      <c r="AB452" s="258"/>
      <c r="AC452" s="257"/>
    </row>
    <row r="453" spans="1:29" ht="15">
      <c r="A453" s="250"/>
      <c r="B453" s="251"/>
      <c r="C453" s="648"/>
      <c r="D453" s="830" t="s">
        <v>2511</v>
      </c>
      <c r="E453" s="251"/>
      <c r="F453" s="735"/>
      <c r="G453" s="256"/>
      <c r="H453" s="261"/>
      <c r="I453" s="251"/>
      <c r="J453" s="256"/>
      <c r="K453" s="256"/>
      <c r="L453" s="256"/>
      <c r="M453" s="256"/>
      <c r="N453" s="258"/>
      <c r="O453" s="257"/>
      <c r="P453" s="258"/>
      <c r="Q453" s="257"/>
      <c r="R453" s="257">
        <f>(6+3+26+20)+(6+3+21)+(6+6+54)+(6+3+38)</f>
        <v>198</v>
      </c>
      <c r="S453" s="257"/>
      <c r="T453" s="257"/>
      <c r="U453" s="257"/>
      <c r="V453" s="258"/>
      <c r="W453" s="257"/>
      <c r="X453" s="258"/>
      <c r="Y453" s="257"/>
      <c r="Z453" s="258"/>
      <c r="AA453" s="257"/>
      <c r="AB453" s="258"/>
      <c r="AC453" s="257"/>
    </row>
    <row r="454" spans="1:29" ht="15">
      <c r="A454" s="250"/>
      <c r="B454" s="251"/>
      <c r="C454" s="648"/>
      <c r="D454" s="830" t="s">
        <v>2512</v>
      </c>
      <c r="E454" s="251"/>
      <c r="F454" s="735"/>
      <c r="G454" s="256"/>
      <c r="H454" s="261"/>
      <c r="I454" s="251"/>
      <c r="J454" s="256"/>
      <c r="K454" s="256"/>
      <c r="L454" s="256"/>
      <c r="M454" s="256"/>
      <c r="N454" s="258"/>
      <c r="O454" s="257"/>
      <c r="P454" s="258"/>
      <c r="Q454" s="257"/>
      <c r="R454" s="257">
        <f>(6+3+8)+(6+3+27+4+38+14+2+34+2+10)</f>
        <v>157</v>
      </c>
      <c r="S454" s="257"/>
      <c r="T454" s="257"/>
      <c r="U454" s="257"/>
      <c r="V454" s="258"/>
      <c r="W454" s="257"/>
      <c r="X454" s="258"/>
      <c r="Y454" s="257"/>
      <c r="Z454" s="258"/>
      <c r="AA454" s="257"/>
      <c r="AB454" s="258"/>
      <c r="AC454" s="257"/>
    </row>
    <row r="455" spans="1:29" ht="15">
      <c r="A455" s="250"/>
      <c r="B455" s="251"/>
      <c r="C455" s="648"/>
      <c r="D455" s="832" t="s">
        <v>1899</v>
      </c>
      <c r="E455" s="251"/>
      <c r="F455" s="735"/>
      <c r="G455" s="256"/>
      <c r="H455" s="261"/>
      <c r="I455" s="251"/>
      <c r="J455" s="256"/>
      <c r="K455" s="256"/>
      <c r="L455" s="256"/>
      <c r="M455" s="256"/>
      <c r="N455" s="293"/>
      <c r="O455" s="257"/>
      <c r="P455" s="293"/>
      <c r="Q455" s="257"/>
      <c r="R455" s="294">
        <v>2</v>
      </c>
      <c r="S455" s="257"/>
      <c r="T455" s="294"/>
      <c r="U455" s="257"/>
      <c r="V455" s="293"/>
      <c r="W455" s="257"/>
      <c r="X455" s="258"/>
      <c r="Y455" s="257"/>
      <c r="Z455" s="258"/>
      <c r="AA455" s="257"/>
      <c r="AB455" s="258"/>
      <c r="AC455" s="257"/>
    </row>
    <row r="456" spans="1:29" ht="15">
      <c r="A456" s="250"/>
      <c r="B456" s="251"/>
      <c r="C456" s="648"/>
      <c r="D456" s="830" t="s">
        <v>575</v>
      </c>
      <c r="E456" s="251"/>
      <c r="F456" s="735">
        <f>N456+R456+P456+T456+V456+X456+Z456+AB456</f>
        <v>400</v>
      </c>
      <c r="G456" s="762">
        <v>11.5</v>
      </c>
      <c r="H456" s="261">
        <f>O456+S456+Q456+U456+W456+Y456+AA456+AC456</f>
        <v>4600</v>
      </c>
      <c r="I456" s="251"/>
      <c r="J456" s="762"/>
      <c r="K456" s="762"/>
      <c r="L456" s="762"/>
      <c r="M456" s="762"/>
      <c r="N456" s="258">
        <f>SUM(N452:N454)</f>
        <v>0</v>
      </c>
      <c r="O456" s="257">
        <f>INT($G456*N456*100+0.5)/100</f>
        <v>0</v>
      </c>
      <c r="P456" s="258">
        <f>SUM(P452:P454)</f>
        <v>0</v>
      </c>
      <c r="Q456" s="257">
        <f>INT($G456*P456*100+0.5)/100</f>
        <v>0</v>
      </c>
      <c r="R456" s="258">
        <f>SUM(R452:R455)</f>
        <v>400</v>
      </c>
      <c r="S456" s="257">
        <f>INT($G456*R456*100+0.5)/100</f>
        <v>4600</v>
      </c>
      <c r="T456" s="258">
        <f>SUM(T452:T455)</f>
        <v>0</v>
      </c>
      <c r="U456" s="257">
        <f>INT($G456*T456*100+0.5)/100</f>
        <v>0</v>
      </c>
      <c r="V456" s="258">
        <f>SUM(V452:V455)</f>
        <v>0</v>
      </c>
      <c r="W456" s="257">
        <f>INT($G456*V456*100+0.5)/100</f>
        <v>0</v>
      </c>
      <c r="X456" s="258">
        <f>SUM(X452:X454)</f>
        <v>0</v>
      </c>
      <c r="Y456" s="257">
        <f>INT($G456*X456*100+0.5)/100</f>
        <v>0</v>
      </c>
      <c r="Z456" s="258">
        <f>SUM(Z452:Z454)</f>
        <v>0</v>
      </c>
      <c r="AA456" s="257">
        <f>INT($G456*Z456*100+0.5)/100</f>
        <v>0</v>
      </c>
      <c r="AB456" s="258">
        <f>SUM(AB452:AB454)</f>
        <v>0</v>
      </c>
      <c r="AC456" s="257">
        <f>INT($G456*AB456*100+0.5)/100</f>
        <v>0</v>
      </c>
    </row>
    <row r="457" spans="1:29" ht="15">
      <c r="A457" s="250"/>
      <c r="B457" s="251"/>
      <c r="C457" s="648"/>
      <c r="D457" s="292"/>
      <c r="E457" s="251"/>
      <c r="F457" s="735"/>
      <c r="G457" s="261"/>
      <c r="H457" s="261"/>
      <c r="I457" s="251"/>
      <c r="J457" s="261"/>
      <c r="K457" s="261"/>
      <c r="L457" s="261"/>
      <c r="M457" s="261"/>
      <c r="N457" s="258"/>
      <c r="O457" s="257"/>
      <c r="P457" s="258"/>
      <c r="Q457" s="257"/>
      <c r="R457" s="258"/>
      <c r="S457" s="257"/>
      <c r="T457" s="257"/>
      <c r="U457" s="257"/>
      <c r="V457" s="258"/>
      <c r="W457" s="257"/>
      <c r="X457" s="258"/>
      <c r="Y457" s="257"/>
      <c r="Z457" s="258"/>
      <c r="AA457" s="257"/>
      <c r="AB457" s="258"/>
      <c r="AC457" s="257"/>
    </row>
    <row r="458" spans="1:29" ht="15">
      <c r="A458" s="250">
        <f>A450+1</f>
        <v>106</v>
      </c>
      <c r="B458" s="251"/>
      <c r="C458" s="816" t="s">
        <v>3008</v>
      </c>
      <c r="D458" s="526" t="s">
        <v>3004</v>
      </c>
      <c r="E458" s="251" t="s">
        <v>2475</v>
      </c>
      <c r="F458" s="735"/>
      <c r="G458" s="261"/>
      <c r="H458" s="261"/>
      <c r="I458" s="251" t="s">
        <v>2475</v>
      </c>
      <c r="J458" s="261"/>
      <c r="K458" s="261"/>
      <c r="L458" s="261"/>
      <c r="M458" s="261"/>
      <c r="N458" s="258"/>
      <c r="O458" s="257"/>
      <c r="P458" s="258"/>
      <c r="Q458" s="257"/>
      <c r="R458" s="258"/>
      <c r="S458" s="257"/>
      <c r="T458" s="257"/>
      <c r="U458" s="257"/>
      <c r="V458" s="258"/>
      <c r="W458" s="257"/>
      <c r="X458" s="258"/>
      <c r="Y458" s="257"/>
      <c r="Z458" s="258"/>
      <c r="AA458" s="257"/>
      <c r="AB458" s="258"/>
      <c r="AC458" s="257"/>
    </row>
    <row r="459" spans="1:29" ht="15">
      <c r="A459" s="250"/>
      <c r="B459" s="251"/>
      <c r="C459" s="648"/>
      <c r="D459" s="814" t="s">
        <v>3003</v>
      </c>
      <c r="E459" s="251"/>
      <c r="F459" s="735"/>
      <c r="G459" s="261"/>
      <c r="H459" s="261"/>
      <c r="I459" s="251"/>
      <c r="J459" s="261"/>
      <c r="K459" s="261"/>
      <c r="L459" s="261"/>
      <c r="M459" s="261"/>
      <c r="N459" s="258"/>
      <c r="O459" s="257"/>
      <c r="P459" s="258"/>
      <c r="Q459" s="257"/>
      <c r="R459" s="258"/>
      <c r="S459" s="257"/>
      <c r="T459" s="257"/>
      <c r="U459" s="257"/>
      <c r="V459" s="258"/>
      <c r="W459" s="257"/>
      <c r="X459" s="258"/>
      <c r="Y459" s="257"/>
      <c r="Z459" s="258"/>
      <c r="AA459" s="257"/>
      <c r="AB459" s="258"/>
      <c r="AC459" s="257"/>
    </row>
    <row r="460" spans="1:29" ht="15">
      <c r="A460" s="250"/>
      <c r="B460" s="251"/>
      <c r="C460" s="648"/>
      <c r="D460" s="830" t="s">
        <v>2498</v>
      </c>
      <c r="E460" s="251"/>
      <c r="F460" s="735"/>
      <c r="G460" s="256"/>
      <c r="H460" s="261"/>
      <c r="I460" s="251"/>
      <c r="J460" s="256"/>
      <c r="K460" s="256"/>
      <c r="L460" s="256"/>
      <c r="M460" s="256"/>
      <c r="N460" s="258"/>
      <c r="O460" s="257"/>
      <c r="P460" s="258"/>
      <c r="Q460" s="257"/>
      <c r="R460" s="257">
        <v>90</v>
      </c>
      <c r="S460" s="257"/>
      <c r="T460" s="257"/>
      <c r="U460" s="257"/>
      <c r="V460" s="258"/>
      <c r="W460" s="257"/>
      <c r="X460" s="258"/>
      <c r="Y460" s="257"/>
      <c r="Z460" s="258"/>
      <c r="AA460" s="257"/>
      <c r="AB460" s="258"/>
      <c r="AC460" s="257"/>
    </row>
    <row r="461" spans="1:29" ht="15">
      <c r="A461" s="250"/>
      <c r="B461" s="251"/>
      <c r="C461" s="648"/>
      <c r="D461" s="830" t="s">
        <v>2511</v>
      </c>
      <c r="E461" s="251"/>
      <c r="F461" s="735"/>
      <c r="G461" s="256"/>
      <c r="H461" s="261"/>
      <c r="I461" s="251"/>
      <c r="J461" s="256"/>
      <c r="K461" s="256"/>
      <c r="L461" s="256"/>
      <c r="M461" s="256"/>
      <c r="N461" s="258"/>
      <c r="O461" s="257"/>
      <c r="P461" s="258"/>
      <c r="Q461" s="257"/>
      <c r="R461" s="257"/>
      <c r="S461" s="257"/>
      <c r="T461" s="257"/>
      <c r="U461" s="257"/>
      <c r="V461" s="258"/>
      <c r="W461" s="257"/>
      <c r="X461" s="258"/>
      <c r="Y461" s="257"/>
      <c r="Z461" s="258"/>
      <c r="AA461" s="257"/>
      <c r="AB461" s="258"/>
      <c r="AC461" s="257"/>
    </row>
    <row r="462" spans="1:29" ht="15">
      <c r="A462" s="250"/>
      <c r="B462" s="251"/>
      <c r="C462" s="648"/>
      <c r="D462" s="830" t="s">
        <v>2512</v>
      </c>
      <c r="E462" s="251"/>
      <c r="F462" s="735"/>
      <c r="G462" s="256"/>
      <c r="H462" s="261"/>
      <c r="I462" s="251"/>
      <c r="J462" s="256"/>
      <c r="K462" s="256"/>
      <c r="L462" s="256"/>
      <c r="M462" s="256"/>
      <c r="N462" s="258"/>
      <c r="O462" s="257"/>
      <c r="P462" s="258"/>
      <c r="Q462" s="257"/>
      <c r="R462" s="257"/>
      <c r="S462" s="257"/>
      <c r="T462" s="257"/>
      <c r="U462" s="257"/>
      <c r="V462" s="258"/>
      <c r="W462" s="257"/>
      <c r="X462" s="258"/>
      <c r="Y462" s="257"/>
      <c r="Z462" s="258"/>
      <c r="AA462" s="257"/>
      <c r="AB462" s="258"/>
      <c r="AC462" s="257"/>
    </row>
    <row r="463" spans="1:29" ht="15">
      <c r="A463" s="250"/>
      <c r="B463" s="251"/>
      <c r="C463" s="648"/>
      <c r="D463" s="832" t="s">
        <v>1899</v>
      </c>
      <c r="E463" s="251"/>
      <c r="F463" s="735"/>
      <c r="G463" s="256"/>
      <c r="H463" s="261"/>
      <c r="I463" s="251"/>
      <c r="J463" s="256"/>
      <c r="K463" s="256"/>
      <c r="L463" s="256"/>
      <c r="M463" s="256"/>
      <c r="N463" s="293"/>
      <c r="O463" s="257"/>
      <c r="P463" s="293"/>
      <c r="Q463" s="257"/>
      <c r="R463" s="294">
        <v>10</v>
      </c>
      <c r="S463" s="257"/>
      <c r="T463" s="294"/>
      <c r="U463" s="257"/>
      <c r="V463" s="293"/>
      <c r="W463" s="257"/>
      <c r="X463" s="258"/>
      <c r="Y463" s="257"/>
      <c r="Z463" s="258"/>
      <c r="AA463" s="257"/>
      <c r="AB463" s="258"/>
      <c r="AC463" s="257"/>
    </row>
    <row r="464" spans="1:29" ht="15">
      <c r="A464" s="250"/>
      <c r="B464" s="251"/>
      <c r="C464" s="648"/>
      <c r="D464" s="830" t="s">
        <v>575</v>
      </c>
      <c r="E464" s="251"/>
      <c r="F464" s="735">
        <f>N464+R464+P464+T464+V464+X464+Z464+AB464</f>
        <v>100</v>
      </c>
      <c r="G464" s="762">
        <v>12.5</v>
      </c>
      <c r="H464" s="261">
        <f>O464+S464+Q464+U464+W464+Y464+AA464+AC464</f>
        <v>1250</v>
      </c>
      <c r="I464" s="251"/>
      <c r="J464" s="762"/>
      <c r="K464" s="762"/>
      <c r="L464" s="762"/>
      <c r="M464" s="762"/>
      <c r="N464" s="258">
        <f>SUM(N460:N462)</f>
        <v>0</v>
      </c>
      <c r="O464" s="257">
        <f>INT($G464*N464*100+0.5)/100</f>
        <v>0</v>
      </c>
      <c r="P464" s="258">
        <f>SUM(P460:P462)</f>
        <v>0</v>
      </c>
      <c r="Q464" s="257">
        <f>INT($G464*P464*100+0.5)/100</f>
        <v>0</v>
      </c>
      <c r="R464" s="258">
        <f>SUM(R460:R463)</f>
        <v>100</v>
      </c>
      <c r="S464" s="257">
        <f>INT($G464*R464*100+0.5)/100</f>
        <v>1250</v>
      </c>
      <c r="T464" s="258">
        <f>SUM(T460:T463)</f>
        <v>0</v>
      </c>
      <c r="U464" s="257">
        <f>INT($G464*T464*100+0.5)/100</f>
        <v>0</v>
      </c>
      <c r="V464" s="258">
        <f>SUM(V460:V463)</f>
        <v>0</v>
      </c>
      <c r="W464" s="257">
        <f>INT($G464*V464*100+0.5)/100</f>
        <v>0</v>
      </c>
      <c r="X464" s="258">
        <f>SUM(X460:X462)</f>
        <v>0</v>
      </c>
      <c r="Y464" s="257">
        <f>INT($G464*X464*100+0.5)/100</f>
        <v>0</v>
      </c>
      <c r="Z464" s="258">
        <f>SUM(Z460:Z462)</f>
        <v>0</v>
      </c>
      <c r="AA464" s="257">
        <f>INT($G464*Z464*100+0.5)/100</f>
        <v>0</v>
      </c>
      <c r="AB464" s="258">
        <f>SUM(AB460:AB462)</f>
        <v>0</v>
      </c>
      <c r="AC464" s="257">
        <f>INT($G464*AB464*100+0.5)/100</f>
        <v>0</v>
      </c>
    </row>
    <row r="465" spans="1:29" ht="15">
      <c r="A465" s="250"/>
      <c r="B465" s="251"/>
      <c r="C465" s="648"/>
      <c r="D465" s="292"/>
      <c r="E465" s="251"/>
      <c r="F465" s="735"/>
      <c r="G465" s="261"/>
      <c r="H465" s="261"/>
      <c r="I465" s="251"/>
      <c r="J465" s="261"/>
      <c r="K465" s="261"/>
      <c r="L465" s="261"/>
      <c r="M465" s="261"/>
      <c r="N465" s="258"/>
      <c r="O465" s="257"/>
      <c r="P465" s="258"/>
      <c r="Q465" s="257"/>
      <c r="R465" s="258"/>
      <c r="S465" s="257"/>
      <c r="T465" s="257"/>
      <c r="U465" s="257"/>
      <c r="V465" s="258"/>
      <c r="W465" s="257"/>
      <c r="X465" s="258"/>
      <c r="Y465" s="257"/>
      <c r="Z465" s="258"/>
      <c r="AA465" s="257"/>
      <c r="AB465" s="258"/>
      <c r="AC465" s="257"/>
    </row>
    <row r="466" spans="1:29" ht="15">
      <c r="A466" s="250">
        <f>A458+1</f>
        <v>107</v>
      </c>
      <c r="B466" s="251"/>
      <c r="C466" s="816" t="s">
        <v>3009</v>
      </c>
      <c r="D466" s="526" t="s">
        <v>3006</v>
      </c>
      <c r="E466" s="251" t="s">
        <v>2475</v>
      </c>
      <c r="F466" s="735"/>
      <c r="G466" s="261"/>
      <c r="H466" s="261"/>
      <c r="I466" s="251" t="s">
        <v>2475</v>
      </c>
      <c r="J466" s="261"/>
      <c r="K466" s="261"/>
      <c r="L466" s="261"/>
      <c r="M466" s="261"/>
      <c r="N466" s="258"/>
      <c r="O466" s="257"/>
      <c r="P466" s="258"/>
      <c r="Q466" s="257"/>
      <c r="R466" s="258"/>
      <c r="S466" s="257"/>
      <c r="T466" s="257"/>
      <c r="U466" s="257"/>
      <c r="V466" s="258"/>
      <c r="W466" s="257"/>
      <c r="X466" s="258"/>
      <c r="Y466" s="257"/>
      <c r="Z466" s="258"/>
      <c r="AA466" s="257"/>
      <c r="AB466" s="258"/>
      <c r="AC466" s="257"/>
    </row>
    <row r="467" spans="1:29" ht="15">
      <c r="A467" s="250"/>
      <c r="B467" s="251"/>
      <c r="C467" s="648"/>
      <c r="D467" s="814" t="s">
        <v>3005</v>
      </c>
      <c r="E467" s="251"/>
      <c r="F467" s="735"/>
      <c r="G467" s="261"/>
      <c r="H467" s="261"/>
      <c r="I467" s="251"/>
      <c r="J467" s="261"/>
      <c r="K467" s="261"/>
      <c r="L467" s="261"/>
      <c r="M467" s="261"/>
      <c r="N467" s="258"/>
      <c r="O467" s="257"/>
      <c r="P467" s="258"/>
      <c r="Q467" s="257"/>
      <c r="R467" s="258"/>
      <c r="S467" s="257"/>
      <c r="T467" s="257"/>
      <c r="U467" s="257"/>
      <c r="V467" s="258"/>
      <c r="W467" s="257"/>
      <c r="X467" s="258"/>
      <c r="Y467" s="257"/>
      <c r="Z467" s="258"/>
      <c r="AA467" s="257"/>
      <c r="AB467" s="258"/>
      <c r="AC467" s="257"/>
    </row>
    <row r="468" spans="1:29" ht="15">
      <c r="A468" s="250"/>
      <c r="B468" s="251"/>
      <c r="C468" s="648"/>
      <c r="D468" s="830" t="s">
        <v>2498</v>
      </c>
      <c r="E468" s="251"/>
      <c r="F468" s="735"/>
      <c r="G468" s="256"/>
      <c r="H468" s="261"/>
      <c r="I468" s="251"/>
      <c r="J468" s="256"/>
      <c r="K468" s="256"/>
      <c r="L468" s="256"/>
      <c r="M468" s="256"/>
      <c r="N468" s="258"/>
      <c r="O468" s="257"/>
      <c r="P468" s="258"/>
      <c r="Q468" s="257"/>
      <c r="R468" s="257"/>
      <c r="S468" s="257"/>
      <c r="T468" s="257"/>
      <c r="U468" s="257"/>
      <c r="V468" s="258"/>
      <c r="W468" s="257"/>
      <c r="X468" s="258"/>
      <c r="Y468" s="257"/>
      <c r="Z468" s="258"/>
      <c r="AA468" s="257"/>
      <c r="AB468" s="258"/>
      <c r="AC468" s="257"/>
    </row>
    <row r="469" spans="1:29" ht="15">
      <c r="A469" s="250"/>
      <c r="B469" s="251"/>
      <c r="C469" s="648"/>
      <c r="D469" s="830" t="s">
        <v>2511</v>
      </c>
      <c r="E469" s="251"/>
      <c r="F469" s="735"/>
      <c r="G469" s="256"/>
      <c r="H469" s="261"/>
      <c r="I469" s="251"/>
      <c r="J469" s="256"/>
      <c r="K469" s="256"/>
      <c r="L469" s="256"/>
      <c r="M469" s="256"/>
      <c r="N469" s="258"/>
      <c r="O469" s="257"/>
      <c r="P469" s="258"/>
      <c r="Q469" s="257"/>
      <c r="R469" s="257">
        <f>132.5+(3+3)+(3+10)</f>
        <v>151.5</v>
      </c>
      <c r="S469" s="257"/>
      <c r="T469" s="257"/>
      <c r="U469" s="257"/>
      <c r="V469" s="258"/>
      <c r="W469" s="257"/>
      <c r="X469" s="258"/>
      <c r="Y469" s="257"/>
      <c r="Z469" s="258"/>
      <c r="AA469" s="257"/>
      <c r="AB469" s="258"/>
      <c r="AC469" s="257"/>
    </row>
    <row r="470" spans="1:29" ht="15">
      <c r="A470" s="250"/>
      <c r="B470" s="251"/>
      <c r="C470" s="648"/>
      <c r="D470" s="830" t="s">
        <v>2512</v>
      </c>
      <c r="E470" s="251"/>
      <c r="F470" s="735"/>
      <c r="G470" s="256"/>
      <c r="H470" s="261"/>
      <c r="I470" s="251"/>
      <c r="J470" s="256"/>
      <c r="K470" s="256"/>
      <c r="L470" s="256"/>
      <c r="M470" s="256"/>
      <c r="N470" s="258"/>
      <c r="O470" s="257"/>
      <c r="P470" s="258"/>
      <c r="Q470" s="257"/>
      <c r="R470" s="257">
        <f>(23+136.5)+(3+3)+(101.5+3)+(3+10)+(6+10)</f>
        <v>299</v>
      </c>
      <c r="S470" s="257"/>
      <c r="T470" s="257"/>
      <c r="U470" s="257"/>
      <c r="V470" s="258"/>
      <c r="W470" s="257"/>
      <c r="X470" s="258"/>
      <c r="Y470" s="257"/>
      <c r="Z470" s="258"/>
      <c r="AA470" s="257"/>
      <c r="AB470" s="258"/>
      <c r="AC470" s="257"/>
    </row>
    <row r="471" spans="1:29" ht="15">
      <c r="A471" s="250"/>
      <c r="B471" s="251"/>
      <c r="C471" s="648"/>
      <c r="D471" s="832" t="s">
        <v>1899</v>
      </c>
      <c r="E471" s="251"/>
      <c r="F471" s="735"/>
      <c r="G471" s="256"/>
      <c r="H471" s="261"/>
      <c r="I471" s="251"/>
      <c r="J471" s="256"/>
      <c r="K471" s="256"/>
      <c r="L471" s="256"/>
      <c r="M471" s="256"/>
      <c r="N471" s="293"/>
      <c r="O471" s="257"/>
      <c r="P471" s="293"/>
      <c r="Q471" s="257"/>
      <c r="R471" s="294">
        <v>9.5</v>
      </c>
      <c r="S471" s="257"/>
      <c r="T471" s="294"/>
      <c r="U471" s="294"/>
      <c r="V471" s="293"/>
      <c r="W471" s="257"/>
      <c r="X471" s="258"/>
      <c r="Y471" s="257"/>
      <c r="Z471" s="258"/>
      <c r="AA471" s="257"/>
      <c r="AB471" s="258"/>
      <c r="AC471" s="257"/>
    </row>
    <row r="472" spans="1:29" ht="15">
      <c r="A472" s="250"/>
      <c r="B472" s="251"/>
      <c r="C472" s="648"/>
      <c r="D472" s="830" t="s">
        <v>575</v>
      </c>
      <c r="E472" s="251"/>
      <c r="F472" s="735">
        <f>N472+R472+P472+T472+V472+X472+Z472+AB472</f>
        <v>460</v>
      </c>
      <c r="G472" s="762">
        <v>15</v>
      </c>
      <c r="H472" s="261">
        <f>O472+S472+Q472+U472+W472+Y472+AA472+AC472</f>
        <v>6900</v>
      </c>
      <c r="I472" s="251"/>
      <c r="J472" s="762"/>
      <c r="K472" s="762"/>
      <c r="L472" s="762"/>
      <c r="M472" s="762"/>
      <c r="N472" s="258">
        <f>SUM(N468:N470)</f>
        <v>0</v>
      </c>
      <c r="O472" s="257">
        <f>INT($G472*N472*100+0.5)/100</f>
        <v>0</v>
      </c>
      <c r="P472" s="258">
        <f>SUM(P468:P470)</f>
        <v>0</v>
      </c>
      <c r="Q472" s="257">
        <f>INT($G472*P472*100+0.5)/100</f>
        <v>0</v>
      </c>
      <c r="R472" s="258">
        <f>SUM(R468:R471)</f>
        <v>460</v>
      </c>
      <c r="S472" s="257">
        <f>INT($G472*R472*100+0.5)/100</f>
        <v>6900</v>
      </c>
      <c r="T472" s="258">
        <f>SUM(T468:T471)</f>
        <v>0</v>
      </c>
      <c r="U472" s="257">
        <f>INT($G472*T472*100+0.5)/100</f>
        <v>0</v>
      </c>
      <c r="V472" s="258">
        <f>SUM(V468:V471)</f>
        <v>0</v>
      </c>
      <c r="W472" s="257">
        <f>INT($G472*V472*100+0.5)/100</f>
        <v>0</v>
      </c>
      <c r="X472" s="258">
        <f>SUM(X468:X470)</f>
        <v>0</v>
      </c>
      <c r="Y472" s="257">
        <f>INT($G472*X472*100+0.5)/100</f>
        <v>0</v>
      </c>
      <c r="Z472" s="258">
        <f>SUM(Z468:Z470)</f>
        <v>0</v>
      </c>
      <c r="AA472" s="257">
        <f>INT($G472*Z472*100+0.5)/100</f>
        <v>0</v>
      </c>
      <c r="AB472" s="258">
        <f>SUM(AB468:AB470)</f>
        <v>0</v>
      </c>
      <c r="AC472" s="257">
        <f>INT($G472*AB472*100+0.5)/100</f>
        <v>0</v>
      </c>
    </row>
    <row r="473" spans="1:29" ht="15">
      <c r="A473" s="250"/>
      <c r="B473" s="251"/>
      <c r="C473" s="648"/>
      <c r="D473" s="292"/>
      <c r="E473" s="251"/>
      <c r="F473" s="735"/>
      <c r="G473" s="261"/>
      <c r="H473" s="261"/>
      <c r="I473" s="251"/>
      <c r="J473" s="261"/>
      <c r="K473" s="261"/>
      <c r="L473" s="261"/>
      <c r="M473" s="261"/>
      <c r="N473" s="258"/>
      <c r="O473" s="257"/>
      <c r="P473" s="258"/>
      <c r="Q473" s="257"/>
      <c r="R473" s="258"/>
      <c r="S473" s="257"/>
      <c r="T473" s="257"/>
      <c r="U473" s="257"/>
      <c r="V473" s="258"/>
      <c r="W473" s="257"/>
      <c r="X473" s="258"/>
      <c r="Y473" s="257"/>
      <c r="Z473" s="258"/>
      <c r="AA473" s="257"/>
      <c r="AB473" s="258"/>
      <c r="AC473" s="257"/>
    </row>
    <row r="474" spans="1:29" ht="25.5">
      <c r="A474" s="250">
        <f>A466+1</f>
        <v>108</v>
      </c>
      <c r="B474" s="251"/>
      <c r="C474" s="647" t="s">
        <v>2349</v>
      </c>
      <c r="D474" s="526" t="s">
        <v>2135</v>
      </c>
      <c r="E474" s="251" t="s">
        <v>1898</v>
      </c>
      <c r="F474" s="735"/>
      <c r="G474" s="261"/>
      <c r="H474" s="261"/>
      <c r="I474" s="251" t="s">
        <v>1898</v>
      </c>
      <c r="J474" s="261"/>
      <c r="K474" s="261"/>
      <c r="L474" s="261"/>
      <c r="M474" s="261"/>
      <c r="N474" s="258"/>
      <c r="O474" s="257"/>
      <c r="P474" s="258"/>
      <c r="Q474" s="257"/>
      <c r="R474" s="258"/>
      <c r="S474" s="257"/>
      <c r="T474" s="257"/>
      <c r="U474" s="257"/>
      <c r="V474" s="258"/>
      <c r="W474" s="257"/>
      <c r="X474" s="258"/>
      <c r="Y474" s="257"/>
      <c r="Z474" s="258"/>
      <c r="AA474" s="257"/>
      <c r="AB474" s="258"/>
      <c r="AC474" s="257"/>
    </row>
    <row r="475" spans="1:29" ht="15">
      <c r="A475" s="250"/>
      <c r="B475" s="251"/>
      <c r="C475" s="526"/>
      <c r="D475" s="526" t="s">
        <v>2134</v>
      </c>
      <c r="E475" s="251"/>
      <c r="F475" s="735"/>
      <c r="G475" s="261"/>
      <c r="H475" s="261"/>
      <c r="I475" s="251"/>
      <c r="J475" s="261"/>
      <c r="K475" s="261"/>
      <c r="L475" s="261"/>
      <c r="M475" s="261"/>
      <c r="N475" s="258"/>
      <c r="O475" s="257"/>
      <c r="P475" s="258"/>
      <c r="Q475" s="257"/>
      <c r="R475" s="258"/>
      <c r="S475" s="257"/>
      <c r="T475" s="257"/>
      <c r="U475" s="257"/>
      <c r="V475" s="258"/>
      <c r="W475" s="257"/>
      <c r="X475" s="258"/>
      <c r="Y475" s="257"/>
      <c r="Z475" s="258"/>
      <c r="AA475" s="257"/>
      <c r="AB475" s="258"/>
      <c r="AC475" s="257"/>
    </row>
    <row r="476" spans="1:29" ht="15">
      <c r="A476" s="250"/>
      <c r="B476" s="251"/>
      <c r="C476" s="526"/>
      <c r="D476" s="774" t="s">
        <v>1298</v>
      </c>
      <c r="E476" s="251"/>
      <c r="F476" s="735">
        <f>N476+R476+P476+T476+V476+X476+Z476+AB476</f>
        <v>2177</v>
      </c>
      <c r="G476" s="872">
        <v>5.66</v>
      </c>
      <c r="H476" s="261">
        <f>O476+S476+Q476+U476+W476+Y476+AA476+AC476</f>
        <v>12321.82</v>
      </c>
      <c r="I476" s="251"/>
      <c r="J476" s="872"/>
      <c r="K476" s="872"/>
      <c r="L476" s="872"/>
      <c r="M476" s="872"/>
      <c r="N476" s="258"/>
      <c r="O476" s="257">
        <f>INT($G476*N476*100+0.5)/100</f>
        <v>0</v>
      </c>
      <c r="P476" s="258">
        <v>0</v>
      </c>
      <c r="Q476" s="257">
        <f>INT($G476*P476*100+0.5)/100</f>
        <v>0</v>
      </c>
      <c r="R476" s="258">
        <v>0</v>
      </c>
      <c r="S476" s="257">
        <f>INT($G476*R476*100+0.5)/100</f>
        <v>0</v>
      </c>
      <c r="T476" s="258">
        <f>INT(SUM(T474:T475)*100+0.5)/100</f>
        <v>0</v>
      </c>
      <c r="U476" s="257">
        <f>INT($G476*T476*100+0.5)/100</f>
        <v>0</v>
      </c>
      <c r="V476" s="258">
        <f>((23+136.5+101.5)+(132.5))*0.9</f>
        <v>354.15000000000003</v>
      </c>
      <c r="W476" s="257">
        <f>INT($G476*V476*100+0.5)/100</f>
        <v>2004.49</v>
      </c>
      <c r="X476" s="258">
        <f>90*1.5+(327+338)+(524+165+51+85+51+4+14+19+224+240)-V476</f>
        <v>1822.85</v>
      </c>
      <c r="Y476" s="257">
        <f>INT($G476*X476*100+0.5)/100</f>
        <v>10317.33</v>
      </c>
      <c r="Z476" s="258">
        <v>0</v>
      </c>
      <c r="AA476" s="257">
        <f>INT($G476*Z476*100+0.5)/100</f>
        <v>0</v>
      </c>
      <c r="AB476" s="258">
        <v>0</v>
      </c>
      <c r="AC476" s="257">
        <f>INT($G476*AB476*100+0.5)/100</f>
        <v>0</v>
      </c>
    </row>
    <row r="477" spans="1:29" ht="15">
      <c r="A477" s="284"/>
      <c r="B477" s="237"/>
      <c r="C477" s="526"/>
      <c r="D477" s="292"/>
      <c r="E477" s="251"/>
      <c r="F477" s="735"/>
      <c r="G477" s="872"/>
      <c r="H477" s="261"/>
      <c r="I477" s="251"/>
      <c r="J477" s="872"/>
      <c r="K477" s="872"/>
      <c r="L477" s="872"/>
      <c r="M477" s="872"/>
      <c r="N477" s="258"/>
      <c r="O477" s="257"/>
      <c r="P477" s="258"/>
      <c r="Q477" s="257"/>
      <c r="R477" s="258"/>
      <c r="S477" s="257"/>
      <c r="T477" s="257"/>
      <c r="U477" s="257"/>
      <c r="V477" s="258"/>
      <c r="W477" s="257"/>
      <c r="X477" s="258"/>
      <c r="Y477" s="257"/>
      <c r="Z477" s="258"/>
      <c r="AA477" s="257"/>
      <c r="AB477" s="258"/>
      <c r="AC477" s="257"/>
    </row>
    <row r="478" spans="1:29" ht="25.5">
      <c r="A478" s="250">
        <f>A474+1</f>
        <v>109</v>
      </c>
      <c r="B478" s="251"/>
      <c r="C478" s="647" t="s">
        <v>2350</v>
      </c>
      <c r="D478" s="526" t="s">
        <v>6</v>
      </c>
      <c r="E478" s="251" t="s">
        <v>1898</v>
      </c>
      <c r="F478" s="735"/>
      <c r="G478" s="872"/>
      <c r="H478" s="261"/>
      <c r="I478" s="251" t="s">
        <v>1898</v>
      </c>
      <c r="J478" s="872"/>
      <c r="K478" s="872"/>
      <c r="L478" s="872"/>
      <c r="M478" s="872"/>
      <c r="N478" s="258"/>
      <c r="O478" s="257"/>
      <c r="P478" s="258"/>
      <c r="Q478" s="257"/>
      <c r="R478" s="258"/>
      <c r="S478" s="257"/>
      <c r="T478" s="257"/>
      <c r="U478" s="257"/>
      <c r="V478" s="258"/>
      <c r="W478" s="257"/>
      <c r="X478" s="258"/>
      <c r="Y478" s="257"/>
      <c r="Z478" s="258"/>
      <c r="AA478" s="257"/>
      <c r="AB478" s="258"/>
      <c r="AC478" s="257"/>
    </row>
    <row r="479" spans="1:29" ht="15">
      <c r="A479" s="250"/>
      <c r="B479" s="251"/>
      <c r="C479" s="647"/>
      <c r="D479" s="526" t="s">
        <v>5</v>
      </c>
      <c r="E479" s="251"/>
      <c r="F479" s="735"/>
      <c r="G479" s="872"/>
      <c r="H479" s="261"/>
      <c r="I479" s="251"/>
      <c r="J479" s="872"/>
      <c r="K479" s="872"/>
      <c r="L479" s="872"/>
      <c r="M479" s="872"/>
      <c r="N479" s="258"/>
      <c r="O479" s="257"/>
      <c r="P479" s="258"/>
      <c r="Q479" s="257"/>
      <c r="R479" s="258"/>
      <c r="S479" s="257"/>
      <c r="T479" s="257"/>
      <c r="U479" s="257"/>
      <c r="V479" s="258"/>
      <c r="W479" s="257"/>
      <c r="X479" s="258"/>
      <c r="Y479" s="257"/>
      <c r="Z479" s="258"/>
      <c r="AA479" s="257"/>
      <c r="AB479" s="258"/>
      <c r="AC479" s="257"/>
    </row>
    <row r="480" spans="1:29" ht="15">
      <c r="A480" s="250"/>
      <c r="B480" s="251"/>
      <c r="C480" s="251"/>
      <c r="D480" s="830" t="s">
        <v>2498</v>
      </c>
      <c r="E480" s="251"/>
      <c r="F480" s="735">
        <f>N480+R480+P480+T480+V480+X480+Z480+AB480</f>
        <v>297</v>
      </c>
      <c r="G480" s="872">
        <v>10.45</v>
      </c>
      <c r="H480" s="261">
        <f>O480+S480+Q480+U480+W480+Y480+AA480+AC480</f>
        <v>3103.6499999999996</v>
      </c>
      <c r="I480" s="251"/>
      <c r="J480" s="872"/>
      <c r="K480" s="872"/>
      <c r="L480" s="872"/>
      <c r="M480" s="872"/>
      <c r="N480" s="258">
        <f>(90)*0.7</f>
        <v>62.999999999999993</v>
      </c>
      <c r="O480" s="257">
        <f>INT($G480*N480*100+0.5)/100</f>
        <v>658.35</v>
      </c>
      <c r="P480" s="258">
        <f>(90)*0.9</f>
        <v>81</v>
      </c>
      <c r="Q480" s="257">
        <f>INT($G480*P480*100+0.5)/100</f>
        <v>846.45</v>
      </c>
      <c r="R480" s="258">
        <f>(90)*1.3</f>
        <v>117</v>
      </c>
      <c r="S480" s="257">
        <f>INT($G480*R480*100+0.5)/100</f>
        <v>1222.6500000000001</v>
      </c>
      <c r="T480" s="258">
        <f>INT(SUM(T478:T479)*100+0.5)/100</f>
        <v>0</v>
      </c>
      <c r="U480" s="257">
        <f>INT($G480*T480*100+0.5)/100</f>
        <v>0</v>
      </c>
      <c r="V480" s="258">
        <v>0</v>
      </c>
      <c r="W480" s="257">
        <f>INT($G480*V480*100+0.5)/100</f>
        <v>0</v>
      </c>
      <c r="X480" s="258">
        <v>0</v>
      </c>
      <c r="Y480" s="257">
        <f>INT($G480*X480*100+0.5)/100</f>
        <v>0</v>
      </c>
      <c r="Z480" s="258">
        <v>0</v>
      </c>
      <c r="AA480" s="257">
        <f>INT($G480*Z480*100+0.5)/100</f>
        <v>0</v>
      </c>
      <c r="AB480" s="258">
        <f>297-P480-R480-N480</f>
        <v>36.000000000000007</v>
      </c>
      <c r="AC480" s="257">
        <f>INT($G480*AB480*100+0.5)/100</f>
        <v>376.2</v>
      </c>
    </row>
    <row r="481" spans="1:29" ht="15">
      <c r="A481" s="284"/>
      <c r="B481" s="237"/>
      <c r="C481" s="647"/>
      <c r="D481" s="529"/>
      <c r="E481" s="251"/>
      <c r="F481" s="735"/>
      <c r="G481" s="872"/>
      <c r="H481" s="261"/>
      <c r="I481" s="251"/>
      <c r="J481" s="872"/>
      <c r="K481" s="872"/>
      <c r="L481" s="872"/>
      <c r="M481" s="872"/>
      <c r="N481" s="258"/>
      <c r="O481" s="257"/>
      <c r="P481" s="258"/>
      <c r="Q481" s="257"/>
      <c r="R481" s="258"/>
      <c r="S481" s="257"/>
      <c r="T481" s="257"/>
      <c r="U481" s="257"/>
      <c r="V481" s="258"/>
      <c r="W481" s="257"/>
      <c r="X481" s="258"/>
      <c r="Y481" s="257"/>
      <c r="Z481" s="258"/>
      <c r="AA481" s="257"/>
      <c r="AB481" s="258"/>
      <c r="AC481" s="257"/>
    </row>
    <row r="482" spans="1:29" ht="25.5">
      <c r="A482" s="250">
        <f>A478+1</f>
        <v>110</v>
      </c>
      <c r="B482" s="251"/>
      <c r="C482" s="647" t="s">
        <v>2351</v>
      </c>
      <c r="D482" s="526" t="s">
        <v>323</v>
      </c>
      <c r="E482" s="251" t="s">
        <v>2461</v>
      </c>
      <c r="F482" s="735"/>
      <c r="G482" s="872"/>
      <c r="H482" s="261"/>
      <c r="I482" s="251" t="s">
        <v>2461</v>
      </c>
      <c r="J482" s="872"/>
      <c r="K482" s="872"/>
      <c r="L482" s="872"/>
      <c r="M482" s="872"/>
      <c r="N482" s="258"/>
      <c r="O482" s="257"/>
      <c r="P482" s="258"/>
      <c r="Q482" s="257"/>
      <c r="R482" s="258"/>
      <c r="S482" s="257"/>
      <c r="T482" s="257"/>
      <c r="U482" s="257"/>
      <c r="V482" s="258"/>
      <c r="W482" s="257"/>
      <c r="X482" s="258"/>
      <c r="Y482" s="257"/>
      <c r="Z482" s="258"/>
      <c r="AA482" s="257"/>
      <c r="AB482" s="258"/>
      <c r="AC482" s="257"/>
    </row>
    <row r="483" spans="1:29" ht="15">
      <c r="A483" s="250"/>
      <c r="B483" s="251"/>
      <c r="C483" s="526"/>
      <c r="D483" s="526" t="s">
        <v>322</v>
      </c>
      <c r="E483" s="251"/>
      <c r="F483" s="735"/>
      <c r="G483" s="872"/>
      <c r="H483" s="261"/>
      <c r="I483" s="251"/>
      <c r="J483" s="872"/>
      <c r="K483" s="872"/>
      <c r="L483" s="872"/>
      <c r="M483" s="872"/>
      <c r="N483" s="258"/>
      <c r="O483" s="257"/>
      <c r="P483" s="258"/>
      <c r="Q483" s="257"/>
      <c r="R483" s="258"/>
      <c r="S483" s="257"/>
      <c r="T483" s="257"/>
      <c r="U483" s="257"/>
      <c r="V483" s="258"/>
      <c r="W483" s="257"/>
      <c r="X483" s="258"/>
      <c r="Y483" s="257"/>
      <c r="Z483" s="258"/>
      <c r="AA483" s="257"/>
      <c r="AB483" s="258"/>
      <c r="AC483" s="257"/>
    </row>
    <row r="484" spans="1:29" ht="15">
      <c r="A484" s="250"/>
      <c r="B484" s="251"/>
      <c r="C484" s="251"/>
      <c r="D484" s="830" t="s">
        <v>2511</v>
      </c>
      <c r="E484" s="251"/>
      <c r="F484" s="735"/>
      <c r="G484" s="872"/>
      <c r="H484" s="261"/>
      <c r="I484" s="251"/>
      <c r="J484" s="872"/>
      <c r="K484" s="872"/>
      <c r="L484" s="872"/>
      <c r="M484" s="872"/>
      <c r="N484" s="257">
        <f>(10+132.5)*0.7*0.6</f>
        <v>59.849999999999994</v>
      </c>
      <c r="O484" s="257"/>
      <c r="P484" s="257">
        <f>(10+132.5)*(1.3*0.6)</f>
        <v>111.15</v>
      </c>
      <c r="Q484" s="257"/>
      <c r="R484" s="257">
        <f>(10+132.5)*1.3*0.6</f>
        <v>111.14999999999999</v>
      </c>
      <c r="S484" s="257"/>
      <c r="T484" s="257"/>
      <c r="U484" s="257"/>
      <c r="V484" s="258"/>
      <c r="W484" s="257"/>
      <c r="X484" s="258"/>
      <c r="Y484" s="257"/>
      <c r="Z484" s="258"/>
      <c r="AA484" s="257"/>
      <c r="AB484" s="257">
        <f>943*0.6-P484-R484-N484</f>
        <v>283.64999999999998</v>
      </c>
      <c r="AC484" s="257"/>
    </row>
    <row r="485" spans="1:29" ht="15">
      <c r="A485" s="250"/>
      <c r="B485" s="251"/>
      <c r="C485" s="251"/>
      <c r="D485" s="830" t="s">
        <v>2512</v>
      </c>
      <c r="E485" s="251"/>
      <c r="F485" s="735"/>
      <c r="G485" s="872"/>
      <c r="H485" s="261"/>
      <c r="I485" s="251"/>
      <c r="J485" s="872"/>
      <c r="K485" s="872"/>
      <c r="L485" s="872"/>
      <c r="M485" s="872"/>
      <c r="N485" s="257">
        <f>(101.5+136.5+23)*0.7*0.6</f>
        <v>109.61999999999999</v>
      </c>
      <c r="O485" s="257"/>
      <c r="P485" s="257">
        <f>(101.5+136.5+23)*(1.3*0.6)</f>
        <v>203.58</v>
      </c>
      <c r="Q485" s="257"/>
      <c r="R485" s="257">
        <f>(101.5+136.5+23)*1.3*0.6</f>
        <v>203.58</v>
      </c>
      <c r="S485" s="257"/>
      <c r="T485" s="257">
        <f>30*0.7*0.6</f>
        <v>12.6</v>
      </c>
      <c r="U485" s="257"/>
      <c r="V485" s="258"/>
      <c r="W485" s="257"/>
      <c r="X485" s="258"/>
      <c r="Y485" s="257"/>
      <c r="Z485" s="258"/>
      <c r="AA485" s="257"/>
      <c r="AB485" s="257">
        <f>(1151+12+80+12+343)*0.6-P485-R485-N485-T485</f>
        <v>429.41999999999985</v>
      </c>
      <c r="AC485" s="257"/>
    </row>
    <row r="486" spans="1:29" ht="15">
      <c r="A486" s="250"/>
      <c r="B486" s="251"/>
      <c r="C486" s="251"/>
      <c r="D486" s="830" t="s">
        <v>2121</v>
      </c>
      <c r="E486" s="251"/>
      <c r="F486" s="735"/>
      <c r="G486" s="872"/>
      <c r="H486" s="261"/>
      <c r="I486" s="251"/>
      <c r="J486" s="872"/>
      <c r="K486" s="872"/>
      <c r="L486" s="872"/>
      <c r="M486" s="872"/>
      <c r="N486" s="257">
        <f>N409*0.6+(10+10)*0.7*(0.6+0.2)</f>
        <v>82</v>
      </c>
      <c r="O486" s="257"/>
      <c r="P486" s="257">
        <f>P409*0.6</f>
        <v>64.679999999999993</v>
      </c>
      <c r="Q486" s="257"/>
      <c r="R486" s="257">
        <f>R409*0.6</f>
        <v>19.349999999999998</v>
      </c>
      <c r="S486" s="257"/>
      <c r="T486" s="257"/>
      <c r="U486" s="257"/>
      <c r="V486" s="258"/>
      <c r="W486" s="257"/>
      <c r="X486" s="258"/>
      <c r="Y486" s="257"/>
      <c r="Z486" s="258"/>
      <c r="AA486" s="257"/>
      <c r="AB486" s="257">
        <f>AB285</f>
        <v>47.960000000000008</v>
      </c>
      <c r="AC486" s="257"/>
    </row>
    <row r="487" spans="1:29" ht="15">
      <c r="A487" s="250"/>
      <c r="B487" s="251"/>
      <c r="C487" s="251"/>
      <c r="D487" s="830" t="s">
        <v>2451</v>
      </c>
      <c r="E487" s="251"/>
      <c r="F487" s="735"/>
      <c r="G487" s="874">
        <f>(180+45+70+40)*0.9</f>
        <v>301.5</v>
      </c>
      <c r="H487" s="261"/>
      <c r="I487" s="251"/>
      <c r="J487" s="874"/>
      <c r="K487" s="874"/>
      <c r="L487" s="874"/>
      <c r="M487" s="874"/>
      <c r="N487" s="260"/>
      <c r="O487" s="257"/>
      <c r="P487" s="257"/>
      <c r="Q487" s="257"/>
      <c r="R487" s="257"/>
      <c r="S487" s="257"/>
      <c r="T487" s="257"/>
      <c r="U487" s="257"/>
      <c r="V487" s="258"/>
      <c r="W487" s="257"/>
      <c r="X487" s="258"/>
      <c r="Y487" s="257"/>
      <c r="Z487" s="258"/>
      <c r="AA487" s="257"/>
      <c r="AB487" s="257"/>
      <c r="AC487" s="257"/>
    </row>
    <row r="488" spans="1:29" ht="15">
      <c r="A488" s="250"/>
      <c r="B488" s="251"/>
      <c r="C488" s="251"/>
      <c r="D488" s="832" t="s">
        <v>1899</v>
      </c>
      <c r="E488" s="251"/>
      <c r="F488" s="735"/>
      <c r="G488" s="874"/>
      <c r="H488" s="261"/>
      <c r="I488" s="251"/>
      <c r="J488" s="874"/>
      <c r="K488" s="874"/>
      <c r="L488" s="874"/>
      <c r="M488" s="874"/>
      <c r="N488" s="751">
        <v>48.53</v>
      </c>
      <c r="O488" s="294"/>
      <c r="P488" s="294">
        <v>20.59</v>
      </c>
      <c r="Q488" s="294"/>
      <c r="R488" s="294">
        <v>25.92</v>
      </c>
      <c r="S488" s="294"/>
      <c r="T488" s="294">
        <v>2.4</v>
      </c>
      <c r="U488" s="294"/>
      <c r="V488" s="293"/>
      <c r="W488" s="294"/>
      <c r="X488" s="293"/>
      <c r="Y488" s="294"/>
      <c r="Z488" s="293"/>
      <c r="AA488" s="294"/>
      <c r="AB488" s="294">
        <v>12.71</v>
      </c>
      <c r="AC488" s="294"/>
    </row>
    <row r="489" spans="1:29" ht="15">
      <c r="A489" s="250"/>
      <c r="B489" s="251"/>
      <c r="C489" s="251"/>
      <c r="D489" s="830" t="s">
        <v>575</v>
      </c>
      <c r="E489" s="251"/>
      <c r="F489" s="735">
        <f>N489+R489+P489+T489+V489+X489+Z489+AB489</f>
        <v>1848.7399999999998</v>
      </c>
      <c r="G489" s="872">
        <v>25.99</v>
      </c>
      <c r="H489" s="261">
        <f>O489+S489+Q489+U489+W489+Y489+AA489+AC489</f>
        <v>48048.75</v>
      </c>
      <c r="I489" s="251"/>
      <c r="J489" s="872"/>
      <c r="K489" s="872"/>
      <c r="L489" s="256"/>
      <c r="M489" s="256"/>
      <c r="N489" s="258">
        <f>SUM(N484:N488)</f>
        <v>300</v>
      </c>
      <c r="O489" s="257">
        <f>INT($G489*N489*100+0.5)/100</f>
        <v>7797</v>
      </c>
      <c r="P489" s="258">
        <f>SUM(P484:P488)</f>
        <v>400</v>
      </c>
      <c r="Q489" s="257">
        <f>INT($G489*P489*100+0.5)/100</f>
        <v>10396</v>
      </c>
      <c r="R489" s="258">
        <f>SUM(R484:R488)</f>
        <v>360.00000000000006</v>
      </c>
      <c r="S489" s="257">
        <f>INT($G489*R489*100+0.5)/100</f>
        <v>9356.4</v>
      </c>
      <c r="T489" s="258">
        <f>SUM(T485:T488)</f>
        <v>15</v>
      </c>
      <c r="U489" s="257">
        <f>INT($G489*T489*100+0.5)/100</f>
        <v>389.85</v>
      </c>
      <c r="V489" s="258">
        <f>SUM(V484:V488)</f>
        <v>0</v>
      </c>
      <c r="W489" s="257">
        <f>INT($G489*V489*100+0.5)/100</f>
        <v>0</v>
      </c>
      <c r="X489" s="258">
        <f>SUM(X484:X488)</f>
        <v>0</v>
      </c>
      <c r="Y489" s="257">
        <f>INT($G489*X489*100+0.5)/100</f>
        <v>0</v>
      </c>
      <c r="Z489" s="258">
        <f>SUM(Z484:Z488)</f>
        <v>0</v>
      </c>
      <c r="AA489" s="257">
        <f>INT($G489*Z489*100+0.5)/100</f>
        <v>0</v>
      </c>
      <c r="AB489" s="258">
        <f>SUM(AB484:AB488)</f>
        <v>773.7399999999999</v>
      </c>
      <c r="AC489" s="257">
        <f>INT($G489*AB489*100+0.5)/100</f>
        <v>20109.5</v>
      </c>
    </row>
    <row r="490" spans="1:29" ht="15">
      <c r="A490" s="284"/>
      <c r="B490" s="237"/>
      <c r="C490" s="526"/>
      <c r="D490" s="529"/>
      <c r="E490" s="251"/>
      <c r="F490" s="735"/>
      <c r="G490" s="872"/>
      <c r="H490" s="261"/>
      <c r="I490" s="251"/>
      <c r="J490" s="872"/>
      <c r="K490" s="872"/>
      <c r="L490" s="872"/>
      <c r="M490" s="872"/>
      <c r="N490" s="258"/>
      <c r="O490" s="257"/>
      <c r="P490" s="258"/>
      <c r="Q490" s="257"/>
      <c r="R490" s="258"/>
      <c r="S490" s="257"/>
      <c r="T490" s="257"/>
      <c r="U490" s="257"/>
      <c r="V490" s="258"/>
      <c r="W490" s="257"/>
      <c r="X490" s="258"/>
      <c r="Y490" s="257"/>
      <c r="Z490" s="258"/>
      <c r="AA490" s="257"/>
      <c r="AB490" s="258"/>
      <c r="AC490" s="257"/>
    </row>
    <row r="491" spans="1:29" ht="51">
      <c r="A491" s="250">
        <f>A482+1</f>
        <v>111</v>
      </c>
      <c r="B491" s="251"/>
      <c r="C491" s="647" t="s">
        <v>2352</v>
      </c>
      <c r="D491" s="537" t="s">
        <v>1299</v>
      </c>
      <c r="E491" s="251" t="s">
        <v>2461</v>
      </c>
      <c r="F491" s="735"/>
      <c r="G491" s="261"/>
      <c r="H491" s="261"/>
      <c r="I491" s="251" t="s">
        <v>2461</v>
      </c>
      <c r="J491" s="261"/>
      <c r="K491" s="261"/>
      <c r="L491" s="261"/>
      <c r="M491" s="261"/>
      <c r="N491" s="258"/>
      <c r="O491" s="257"/>
      <c r="P491" s="258"/>
      <c r="Q491" s="257"/>
      <c r="R491" s="258"/>
      <c r="S491" s="257"/>
      <c r="T491" s="257"/>
      <c r="U491" s="257"/>
      <c r="V491" s="258"/>
      <c r="W491" s="257"/>
      <c r="X491" s="257">
        <f>(23+136.5+101.5)*2*3.5*0.05</f>
        <v>91.350000000000009</v>
      </c>
      <c r="Y491" s="257"/>
      <c r="Z491" s="258"/>
      <c r="AA491" s="257"/>
      <c r="AB491" s="258"/>
      <c r="AC491" s="257"/>
    </row>
    <row r="492" spans="1:29" ht="51">
      <c r="A492" s="250"/>
      <c r="B492" s="251"/>
      <c r="C492" s="648"/>
      <c r="D492" s="538" t="s">
        <v>1524</v>
      </c>
      <c r="E492" s="311"/>
      <c r="F492" s="735"/>
      <c r="G492" s="261"/>
      <c r="H492" s="261"/>
      <c r="I492" s="311"/>
      <c r="J492" s="261"/>
      <c r="K492" s="261"/>
      <c r="L492" s="261"/>
      <c r="M492" s="261"/>
      <c r="N492" s="258"/>
      <c r="O492" s="257"/>
      <c r="P492" s="258"/>
      <c r="Q492" s="257"/>
      <c r="R492" s="258"/>
      <c r="S492" s="257"/>
      <c r="T492" s="257"/>
      <c r="U492" s="257"/>
      <c r="V492" s="258"/>
      <c r="W492" s="257"/>
      <c r="X492" s="258"/>
      <c r="Y492" s="257"/>
      <c r="Z492" s="258"/>
      <c r="AA492" s="257"/>
      <c r="AB492" s="258"/>
      <c r="AC492" s="257"/>
    </row>
    <row r="493" spans="1:29" ht="15">
      <c r="A493" s="250"/>
      <c r="B493" s="251"/>
      <c r="C493" s="648"/>
      <c r="D493" s="830" t="s">
        <v>2498</v>
      </c>
      <c r="E493" s="251"/>
      <c r="F493" s="735"/>
      <c r="G493" s="261"/>
      <c r="H493" s="261"/>
      <c r="I493" s="251"/>
      <c r="J493" s="261"/>
      <c r="K493" s="261"/>
      <c r="L493" s="261"/>
      <c r="M493" s="261"/>
      <c r="N493" s="257">
        <f>(90)*0.7*0.1</f>
        <v>6.3</v>
      </c>
      <c r="O493" s="257"/>
      <c r="P493" s="257">
        <f>(90)*0.8*0.1</f>
        <v>7.2</v>
      </c>
      <c r="Q493" s="257"/>
      <c r="R493" s="257">
        <f>(90)*1.3*0.1</f>
        <v>11.700000000000001</v>
      </c>
      <c r="S493" s="257"/>
      <c r="T493" s="257"/>
      <c r="U493" s="257"/>
      <c r="V493" s="258"/>
      <c r="W493" s="257"/>
      <c r="X493" s="257">
        <f>(90)*1.5*0.05</f>
        <v>6.75</v>
      </c>
      <c r="Y493" s="257"/>
      <c r="Z493" s="258"/>
      <c r="AA493" s="258"/>
      <c r="AB493" s="257">
        <f>(297)*0.1-P493-R493-N493</f>
        <v>4.5000000000000027</v>
      </c>
      <c r="AC493" s="257"/>
    </row>
    <row r="494" spans="1:29" ht="15">
      <c r="A494" s="250"/>
      <c r="B494" s="251"/>
      <c r="C494" s="648"/>
      <c r="D494" s="830" t="s">
        <v>2511</v>
      </c>
      <c r="E494" s="251"/>
      <c r="F494" s="735"/>
      <c r="G494" s="261"/>
      <c r="H494" s="261"/>
      <c r="I494" s="251"/>
      <c r="J494" s="261"/>
      <c r="K494" s="261"/>
      <c r="L494" s="261"/>
      <c r="M494" s="261"/>
      <c r="N494" s="257">
        <f>(132.5+10)*0.7*0.1</f>
        <v>9.9750000000000014</v>
      </c>
      <c r="O494" s="257"/>
      <c r="P494" s="257">
        <f>(132.5+10)*1.3*0.1</f>
        <v>18.525000000000002</v>
      </c>
      <c r="Q494" s="257"/>
      <c r="R494" s="257">
        <f>(132.5+10)*1.3*0.1</f>
        <v>18.525000000000002</v>
      </c>
      <c r="S494" s="257"/>
      <c r="T494" s="257">
        <f>30*0.9*0.1</f>
        <v>2.7</v>
      </c>
      <c r="U494" s="257"/>
      <c r="V494" s="258"/>
      <c r="W494" s="257"/>
      <c r="X494" s="257">
        <f>(132.5+10)*2*3.5*0.05</f>
        <v>49.875</v>
      </c>
      <c r="Y494" s="257"/>
      <c r="Z494" s="258"/>
      <c r="AA494" s="258"/>
      <c r="AB494" s="257">
        <f>(943)*0.1-P494-R494-N494-T494</f>
        <v>44.574999999999996</v>
      </c>
      <c r="AC494" s="257"/>
    </row>
    <row r="495" spans="1:29" ht="15">
      <c r="A495" s="250"/>
      <c r="B495" s="251"/>
      <c r="C495" s="648"/>
      <c r="D495" s="830" t="s">
        <v>2512</v>
      </c>
      <c r="E495" s="251"/>
      <c r="F495" s="735"/>
      <c r="G495" s="261"/>
      <c r="H495" s="261"/>
      <c r="I495" s="251"/>
      <c r="J495" s="261"/>
      <c r="K495" s="261"/>
      <c r="L495" s="261"/>
      <c r="M495" s="261"/>
      <c r="N495" s="257">
        <f>(23+136.5+101.5+10+10)*0.7*0.1</f>
        <v>19.670000000000002</v>
      </c>
      <c r="O495" s="257"/>
      <c r="P495" s="257">
        <f>(23+136.5+101.5+10+10)*1.3*0.1</f>
        <v>36.53</v>
      </c>
      <c r="Q495" s="257"/>
      <c r="R495" s="257">
        <f>(23+136.5+101.5+10+10)*1.3*0.1</f>
        <v>36.53</v>
      </c>
      <c r="S495" s="257"/>
      <c r="T495" s="257"/>
      <c r="U495" s="257"/>
      <c r="V495" s="258"/>
      <c r="W495" s="257"/>
      <c r="X495" s="257">
        <f>(23+136.5+101.5)*2*3.5*0.05</f>
        <v>91.350000000000009</v>
      </c>
      <c r="Y495" s="257"/>
      <c r="Z495" s="258"/>
      <c r="AA495" s="258"/>
      <c r="AB495" s="257">
        <f>(1151+12+80+12+359)*0.1-P495-R495-N495</f>
        <v>68.67</v>
      </c>
      <c r="AC495" s="257"/>
    </row>
    <row r="496" spans="1:29" ht="15">
      <c r="A496" s="250"/>
      <c r="B496" s="251"/>
      <c r="C496" s="648"/>
      <c r="D496" s="830" t="s">
        <v>2446</v>
      </c>
      <c r="E496" s="251"/>
      <c r="F496" s="735"/>
      <c r="G496" s="261"/>
      <c r="H496" s="261"/>
      <c r="I496" s="251"/>
      <c r="J496" s="261"/>
      <c r="K496" s="261"/>
      <c r="L496" s="261"/>
      <c r="M496" s="261"/>
      <c r="N496" s="257">
        <f>21*(0.8)*3.5*0.05+21*(0.8)*1.5*0.08+11*(0.8)*4.5*0.08+11*(0.8)*3.5*0.05</f>
        <v>9.6640000000000033</v>
      </c>
      <c r="O496" s="257"/>
      <c r="P496" s="257">
        <f>(7+13)*(0.8*5)*0.1+(7+13)*(0.8*1)*0.1</f>
        <v>9.6</v>
      </c>
      <c r="Q496" s="257"/>
      <c r="R496" s="257">
        <f>(R400+R409)*0.1</f>
        <v>4.5250000000000004</v>
      </c>
      <c r="S496" s="257"/>
      <c r="T496" s="257"/>
      <c r="U496" s="257"/>
      <c r="V496" s="258"/>
      <c r="W496" s="257"/>
      <c r="X496" s="257"/>
      <c r="Y496" s="257"/>
      <c r="Z496" s="258"/>
      <c r="AA496" s="257"/>
      <c r="AB496" s="257"/>
      <c r="AC496" s="257"/>
    </row>
    <row r="497" spans="1:29" ht="15">
      <c r="A497" s="250"/>
      <c r="B497" s="251"/>
      <c r="C497" s="648"/>
      <c r="D497" s="832" t="s">
        <v>1899</v>
      </c>
      <c r="E497" s="251"/>
      <c r="F497" s="735"/>
      <c r="G497" s="261"/>
      <c r="H497" s="261"/>
      <c r="I497" s="251"/>
      <c r="J497" s="261"/>
      <c r="K497" s="261"/>
      <c r="L497" s="261"/>
      <c r="M497" s="261"/>
      <c r="N497" s="294">
        <v>4.3899999999999997</v>
      </c>
      <c r="O497" s="257"/>
      <c r="P497" s="294">
        <v>3.64</v>
      </c>
      <c r="Q497" s="257"/>
      <c r="R497" s="294">
        <v>8.7200000000000006</v>
      </c>
      <c r="S497" s="257"/>
      <c r="T497" s="294">
        <v>2.2999999999999998</v>
      </c>
      <c r="U497" s="257"/>
      <c r="V497" s="258"/>
      <c r="W497" s="257"/>
      <c r="X497" s="294">
        <v>12.02</v>
      </c>
      <c r="Y497" s="257"/>
      <c r="Z497" s="258"/>
      <c r="AA497" s="257"/>
      <c r="AB497" s="294">
        <v>12.25</v>
      </c>
      <c r="AC497" s="257"/>
    </row>
    <row r="498" spans="1:29" ht="15">
      <c r="A498" s="250"/>
      <c r="B498" s="251"/>
      <c r="C498" s="648"/>
      <c r="D498" s="830" t="s">
        <v>575</v>
      </c>
      <c r="E498" s="251"/>
      <c r="F498" s="735">
        <f>N498+R498+P498+T498+V498+X498+Z498+AB498</f>
        <v>500.48400000000004</v>
      </c>
      <c r="G498" s="872">
        <v>47.34</v>
      </c>
      <c r="H498" s="261">
        <f>O498+S498+Q498+U498+W498+Y498+AA498+AC498</f>
        <v>23692.9</v>
      </c>
      <c r="I498" s="251"/>
      <c r="J498" s="872"/>
      <c r="K498" s="872"/>
      <c r="L498" s="256"/>
      <c r="M498" s="256"/>
      <c r="N498" s="258">
        <f>SUM(N493:N497)</f>
        <v>49.999000000000009</v>
      </c>
      <c r="O498" s="257">
        <f>INT($G498*N498*100+0.5)/100</f>
        <v>2366.9499999999998</v>
      </c>
      <c r="P498" s="258">
        <f>SUM(P493:P497)</f>
        <v>75.495000000000005</v>
      </c>
      <c r="Q498" s="257">
        <f>INT($G498*P498*100+0.5)/100</f>
        <v>3573.93</v>
      </c>
      <c r="R498" s="258">
        <f>SUM(R493:R497)</f>
        <v>80</v>
      </c>
      <c r="S498" s="257">
        <f>INT($G498*R498*100+0.5)/100</f>
        <v>3787.2</v>
      </c>
      <c r="T498" s="258">
        <f>SUM(T494:T497)</f>
        <v>5</v>
      </c>
      <c r="U498" s="257">
        <f>INT($G498*T498*100+0.5)/100</f>
        <v>236.7</v>
      </c>
      <c r="V498" s="258">
        <f>SUM(V493:V497)</f>
        <v>0</v>
      </c>
      <c r="W498" s="257">
        <f>INT($G498*V498*100+0.5)/100</f>
        <v>0</v>
      </c>
      <c r="X498" s="258">
        <f>SUM(X493:X497)</f>
        <v>159.99500000000003</v>
      </c>
      <c r="Y498" s="257">
        <f>INT($G498*X498*100+0.5)/100</f>
        <v>7574.16</v>
      </c>
      <c r="Z498" s="258">
        <f>SUM(Z493:Z497)</f>
        <v>0</v>
      </c>
      <c r="AA498" s="257">
        <f>INT($G498*Z498*100+0.5)/100</f>
        <v>0</v>
      </c>
      <c r="AB498" s="258">
        <f>SUM(AB493:AB497)</f>
        <v>129.995</v>
      </c>
      <c r="AC498" s="257">
        <f>INT($G498*AB498*100+0.5)/100</f>
        <v>6153.96</v>
      </c>
    </row>
    <row r="499" spans="1:29" ht="15">
      <c r="A499" s="250"/>
      <c r="B499" s="251"/>
      <c r="C499" s="648"/>
      <c r="D499" s="292"/>
      <c r="E499" s="251"/>
      <c r="F499" s="735"/>
      <c r="G499" s="872"/>
      <c r="H499" s="261"/>
      <c r="I499" s="251"/>
      <c r="J499" s="872"/>
      <c r="K499" s="872"/>
      <c r="L499" s="872"/>
      <c r="M499" s="872"/>
      <c r="N499" s="258"/>
      <c r="O499" s="257"/>
      <c r="P499" s="258"/>
      <c r="Q499" s="257"/>
      <c r="R499" s="258"/>
      <c r="S499" s="257"/>
      <c r="T499" s="257"/>
      <c r="U499" s="257"/>
      <c r="V499" s="258"/>
      <c r="W499" s="257"/>
      <c r="X499" s="258"/>
      <c r="Y499" s="257"/>
      <c r="Z499" s="258"/>
      <c r="AA499" s="257"/>
      <c r="AB499" s="258"/>
      <c r="AC499" s="257"/>
    </row>
    <row r="500" spans="1:29" ht="51">
      <c r="A500" s="312">
        <f>A491+1</f>
        <v>112</v>
      </c>
      <c r="B500" s="311"/>
      <c r="C500" s="658" t="s">
        <v>2353</v>
      </c>
      <c r="D500" s="815" t="s">
        <v>3011</v>
      </c>
      <c r="E500" s="251" t="s">
        <v>2461</v>
      </c>
      <c r="F500" s="735">
        <f>N500+R500+P500+T500+V500+X500+Z500+AB500</f>
        <v>61</v>
      </c>
      <c r="G500" s="872">
        <v>32.090000000000003</v>
      </c>
      <c r="H500" s="261">
        <f>O500+S500+Q500+U500+W500+Y500+AA500+AC500</f>
        <v>1957.4899999999998</v>
      </c>
      <c r="I500" s="251" t="s">
        <v>2461</v>
      </c>
      <c r="J500" s="872"/>
      <c r="K500" s="872"/>
      <c r="L500" s="256"/>
      <c r="M500" s="256"/>
      <c r="N500" s="258">
        <v>12</v>
      </c>
      <c r="O500" s="257">
        <f>INT($G500*N500*100+0.5)/100</f>
        <v>385.08</v>
      </c>
      <c r="P500" s="258">
        <v>6</v>
      </c>
      <c r="Q500" s="257">
        <f>INT($G500*P500*100+0.5)/100</f>
        <v>192.54</v>
      </c>
      <c r="R500" s="258">
        <v>20</v>
      </c>
      <c r="S500" s="257">
        <f>INT($G500*R500*100+0.5)/100</f>
        <v>641.79999999999995</v>
      </c>
      <c r="T500" s="258">
        <f>INT(SUM(T498:T499)*100+0.5)/100</f>
        <v>5</v>
      </c>
      <c r="U500" s="257">
        <f>INT($G500*T500*100+0.5)/100</f>
        <v>160.44999999999999</v>
      </c>
      <c r="V500" s="258">
        <f>V220</f>
        <v>0</v>
      </c>
      <c r="W500" s="257">
        <f>INT($G500*V500*100+0.5)/100</f>
        <v>0</v>
      </c>
      <c r="X500" s="258">
        <v>6</v>
      </c>
      <c r="Y500" s="257">
        <f>INT($G500*X500*100+0.5)/100</f>
        <v>192.54</v>
      </c>
      <c r="Z500" s="258">
        <v>0</v>
      </c>
      <c r="AA500" s="257">
        <f>INT($G500*Z500*100+0.5)/100</f>
        <v>0</v>
      </c>
      <c r="AB500" s="258">
        <v>12</v>
      </c>
      <c r="AC500" s="257">
        <f>INT($G500*AB500*100+0.5)/100</f>
        <v>385.08</v>
      </c>
    </row>
    <row r="501" spans="1:29" ht="38.25">
      <c r="A501" s="312"/>
      <c r="B501" s="311"/>
      <c r="C501" s="538"/>
      <c r="D501" s="815" t="s">
        <v>3010</v>
      </c>
      <c r="E501" s="311"/>
      <c r="F501" s="735"/>
      <c r="G501" s="872"/>
      <c r="H501" s="588"/>
      <c r="I501" s="311"/>
      <c r="J501" s="872"/>
      <c r="K501" s="872"/>
      <c r="L501" s="872"/>
      <c r="M501" s="872"/>
      <c r="N501" s="258"/>
      <c r="O501" s="257"/>
      <c r="P501" s="258"/>
      <c r="Q501" s="257"/>
      <c r="R501" s="258"/>
      <c r="S501" s="257"/>
      <c r="T501" s="257"/>
      <c r="U501" s="257"/>
      <c r="V501" s="258"/>
      <c r="W501" s="257"/>
      <c r="X501" s="258"/>
      <c r="Y501" s="257"/>
      <c r="Z501" s="258"/>
      <c r="AA501" s="257"/>
      <c r="AB501" s="258"/>
      <c r="AC501" s="257"/>
    </row>
    <row r="502" spans="1:29" ht="15">
      <c r="A502" s="312"/>
      <c r="B502" s="311"/>
      <c r="C502" s="538"/>
      <c r="D502" s="313"/>
      <c r="E502" s="311"/>
      <c r="F502" s="735"/>
      <c r="G502" s="872"/>
      <c r="H502" s="588"/>
      <c r="I502" s="311"/>
      <c r="J502" s="872"/>
      <c r="K502" s="872"/>
      <c r="L502" s="872"/>
      <c r="M502" s="872"/>
      <c r="N502" s="258"/>
      <c r="O502" s="257"/>
      <c r="P502" s="258"/>
      <c r="Q502" s="257"/>
      <c r="R502" s="258"/>
      <c r="S502" s="257"/>
      <c r="T502" s="257"/>
      <c r="U502" s="257"/>
      <c r="V502" s="258"/>
      <c r="W502" s="257"/>
      <c r="X502" s="258"/>
      <c r="Y502" s="257"/>
      <c r="Z502" s="258"/>
      <c r="AA502" s="257"/>
      <c r="AB502" s="258"/>
      <c r="AC502" s="257"/>
    </row>
    <row r="503" spans="1:29" ht="15">
      <c r="A503" s="250">
        <f>A500+1</f>
        <v>113</v>
      </c>
      <c r="B503" s="251"/>
      <c r="C503" s="647" t="s">
        <v>2354</v>
      </c>
      <c r="D503" s="526" t="s">
        <v>1789</v>
      </c>
      <c r="E503" s="251" t="s">
        <v>2461</v>
      </c>
      <c r="F503" s="735"/>
      <c r="G503" s="872"/>
      <c r="H503" s="261"/>
      <c r="I503" s="251" t="s">
        <v>2461</v>
      </c>
      <c r="J503" s="872"/>
      <c r="K503" s="872"/>
      <c r="L503" s="872"/>
      <c r="M503" s="872"/>
      <c r="N503" s="258"/>
      <c r="O503" s="257"/>
      <c r="P503" s="258"/>
      <c r="Q503" s="257"/>
      <c r="R503" s="258"/>
      <c r="S503" s="257"/>
      <c r="T503" s="257"/>
      <c r="U503" s="257"/>
      <c r="V503" s="258"/>
      <c r="W503" s="257"/>
      <c r="X503" s="258"/>
      <c r="Y503" s="257"/>
      <c r="Z503" s="258"/>
      <c r="AA503" s="257"/>
      <c r="AB503" s="258"/>
      <c r="AC503" s="257"/>
    </row>
    <row r="504" spans="1:29" ht="15">
      <c r="A504" s="250"/>
      <c r="B504" s="251"/>
      <c r="C504" s="648"/>
      <c r="D504" s="526" t="s">
        <v>12</v>
      </c>
      <c r="E504" s="311"/>
      <c r="F504" s="735"/>
      <c r="G504" s="872"/>
      <c r="H504" s="261"/>
      <c r="I504" s="311"/>
      <c r="J504" s="872"/>
      <c r="K504" s="872"/>
      <c r="L504" s="872"/>
      <c r="M504" s="872"/>
      <c r="N504" s="258"/>
      <c r="O504" s="257"/>
      <c r="P504" s="258"/>
      <c r="Q504" s="257"/>
      <c r="R504" s="258"/>
      <c r="S504" s="257"/>
      <c r="T504" s="257"/>
      <c r="U504" s="257"/>
      <c r="V504" s="258"/>
      <c r="W504" s="257"/>
      <c r="X504" s="258"/>
      <c r="Y504" s="257"/>
      <c r="Z504" s="258"/>
      <c r="AA504" s="257"/>
      <c r="AB504" s="258"/>
      <c r="AC504" s="257"/>
    </row>
    <row r="505" spans="1:29" ht="15">
      <c r="A505" s="250"/>
      <c r="B505" s="251"/>
      <c r="C505" s="648"/>
      <c r="D505" s="830" t="s">
        <v>1899</v>
      </c>
      <c r="E505" s="251"/>
      <c r="F505" s="735"/>
      <c r="G505" s="872"/>
      <c r="H505" s="261"/>
      <c r="I505" s="251"/>
      <c r="J505" s="872"/>
      <c r="K505" s="872"/>
      <c r="L505" s="872"/>
      <c r="M505" s="872"/>
      <c r="N505" s="293">
        <v>0</v>
      </c>
      <c r="O505" s="294"/>
      <c r="P505" s="293">
        <v>0</v>
      </c>
      <c r="Q505" s="294"/>
      <c r="R505" s="293">
        <v>0</v>
      </c>
      <c r="S505" s="294"/>
      <c r="T505" s="294"/>
      <c r="U505" s="294"/>
      <c r="V505" s="293">
        <v>0</v>
      </c>
      <c r="W505" s="294"/>
      <c r="X505" s="293">
        <v>0</v>
      </c>
      <c r="Y505" s="294"/>
      <c r="Z505" s="293">
        <v>0</v>
      </c>
      <c r="AA505" s="294"/>
      <c r="AB505" s="293">
        <v>0</v>
      </c>
      <c r="AC505" s="294"/>
    </row>
    <row r="506" spans="1:29" ht="15">
      <c r="A506" s="250"/>
      <c r="B506" s="251"/>
      <c r="C506" s="648"/>
      <c r="D506" s="830" t="s">
        <v>1904</v>
      </c>
      <c r="E506" s="251"/>
      <c r="F506" s="735">
        <f>N506+R506+P506+T506+V506+X506+Z506+AB506</f>
        <v>80</v>
      </c>
      <c r="G506" s="872">
        <v>24.85</v>
      </c>
      <c r="H506" s="261">
        <f>O506+S506+Q506+U506+W506+Y506+AA506+AC506</f>
        <v>1988</v>
      </c>
      <c r="I506" s="251"/>
      <c r="J506" s="872"/>
      <c r="K506" s="872"/>
      <c r="L506" s="872"/>
      <c r="M506" s="872"/>
      <c r="N506" s="258">
        <v>20</v>
      </c>
      <c r="O506" s="257">
        <f>INT($G506*N506*100+0.5)/100</f>
        <v>497</v>
      </c>
      <c r="P506" s="258">
        <v>20</v>
      </c>
      <c r="Q506" s="257">
        <f>INT($G506*P506*100+0.5)/100</f>
        <v>497</v>
      </c>
      <c r="R506" s="258">
        <v>30</v>
      </c>
      <c r="S506" s="257">
        <f>INT($G506*R506*100+0.5)/100</f>
        <v>745.5</v>
      </c>
      <c r="T506" s="258">
        <v>10</v>
      </c>
      <c r="U506" s="257">
        <f>INT($G506*T506*100+0.5)/100</f>
        <v>248.5</v>
      </c>
      <c r="V506" s="258">
        <f>INT(SUM(V505:V505)*100+0.5)/100</f>
        <v>0</v>
      </c>
      <c r="W506" s="257">
        <f>INT($G506*V506*100+0.5)/100</f>
        <v>0</v>
      </c>
      <c r="X506" s="258">
        <f>INT(SUM(X505:X505)*100+0.5)/100</f>
        <v>0</v>
      </c>
      <c r="Y506" s="257">
        <f>INT($G506*X506*100+0.5)/100</f>
        <v>0</v>
      </c>
      <c r="Z506" s="258">
        <f>INT(SUM(Z505:Z505)*100+0.5)/100</f>
        <v>0</v>
      </c>
      <c r="AA506" s="257">
        <f>INT($G506*Z506*100+0.5)/100</f>
        <v>0</v>
      </c>
      <c r="AB506" s="258">
        <f>INT(SUM(AB505:AB505)*100+0.5)/100</f>
        <v>0</v>
      </c>
      <c r="AC506" s="257">
        <f>INT($G506*AB506*100+0.5)/100</f>
        <v>0</v>
      </c>
    </row>
    <row r="507" spans="1:29" ht="15">
      <c r="A507" s="250"/>
      <c r="B507" s="251"/>
      <c r="C507" s="648"/>
      <c r="D507" s="292"/>
      <c r="E507" s="251"/>
      <c r="F507" s="735"/>
      <c r="G507" s="872"/>
      <c r="H507" s="261"/>
      <c r="I507" s="251"/>
      <c r="J507" s="872"/>
      <c r="K507" s="872"/>
      <c r="L507" s="872"/>
      <c r="M507" s="872"/>
      <c r="N507" s="258"/>
      <c r="O507" s="257"/>
      <c r="P507" s="258"/>
      <c r="Q507" s="257"/>
      <c r="R507" s="258"/>
      <c r="S507" s="257"/>
      <c r="T507" s="257"/>
      <c r="U507" s="257"/>
      <c r="V507" s="258"/>
      <c r="W507" s="257"/>
      <c r="X507" s="258"/>
      <c r="Y507" s="257"/>
      <c r="Z507" s="258"/>
      <c r="AA507" s="257"/>
      <c r="AB507" s="258"/>
      <c r="AC507" s="257"/>
    </row>
    <row r="508" spans="1:29" ht="15">
      <c r="A508" s="250">
        <f>A503+1</f>
        <v>114</v>
      </c>
      <c r="B508" s="251"/>
      <c r="C508" s="647" t="s">
        <v>2355</v>
      </c>
      <c r="D508" s="526" t="s">
        <v>1051</v>
      </c>
      <c r="E508" s="251" t="s">
        <v>1898</v>
      </c>
      <c r="F508" s="735">
        <f>N508+R508+P508+T508+V508+X508+Z508+AB508</f>
        <v>110</v>
      </c>
      <c r="G508" s="872">
        <v>5.48</v>
      </c>
      <c r="H508" s="261">
        <f>O508+S508+Q508+U508+W508+Y508+AA508+AC508</f>
        <v>602.79999999999995</v>
      </c>
      <c r="I508" s="251" t="s">
        <v>1898</v>
      </c>
      <c r="J508" s="872"/>
      <c r="K508" s="872"/>
      <c r="L508" s="872"/>
      <c r="M508" s="872"/>
      <c r="N508" s="258">
        <v>0</v>
      </c>
      <c r="O508" s="257">
        <f>INT($G508*N508*100+0.5)/100</f>
        <v>0</v>
      </c>
      <c r="P508" s="258">
        <v>0</v>
      </c>
      <c r="Q508" s="257">
        <f>INT($G508*P508*100+0.5)/100</f>
        <v>0</v>
      </c>
      <c r="R508" s="258">
        <v>100</v>
      </c>
      <c r="S508" s="257">
        <f>INT($G508*R508*100+0.5)/100</f>
        <v>548</v>
      </c>
      <c r="T508" s="258">
        <f>INT(SUM(T506:T507)*100+0.5)/100</f>
        <v>10</v>
      </c>
      <c r="U508" s="257">
        <f>INT($G508*T508*100+0.5)/100</f>
        <v>54.8</v>
      </c>
      <c r="V508" s="258">
        <v>0</v>
      </c>
      <c r="W508" s="257">
        <f>INT($G508*V508*100+0.5)/100</f>
        <v>0</v>
      </c>
      <c r="X508" s="258">
        <v>0</v>
      </c>
      <c r="Y508" s="257">
        <f>INT($G508*X508*100+0.5)/100</f>
        <v>0</v>
      </c>
      <c r="Z508" s="258">
        <v>0</v>
      </c>
      <c r="AA508" s="257">
        <f>INT($G508*Z508*100+0.5)/100</f>
        <v>0</v>
      </c>
      <c r="AB508" s="258">
        <v>0</v>
      </c>
      <c r="AC508" s="257">
        <f>INT($G508*AB508*100+0.5)/100</f>
        <v>0</v>
      </c>
    </row>
    <row r="509" spans="1:29" ht="15">
      <c r="A509" s="250"/>
      <c r="B509" s="251"/>
      <c r="C509" s="648"/>
      <c r="D509" s="526" t="s">
        <v>356</v>
      </c>
      <c r="E509" s="251"/>
      <c r="F509" s="735"/>
      <c r="G509" s="872"/>
      <c r="H509" s="261"/>
      <c r="I509" s="251"/>
      <c r="J509" s="872"/>
      <c r="K509" s="872"/>
      <c r="L509" s="872"/>
      <c r="M509" s="872"/>
      <c r="N509" s="258"/>
      <c r="O509" s="257"/>
      <c r="P509" s="258"/>
      <c r="Q509" s="257"/>
      <c r="R509" s="258"/>
      <c r="S509" s="257"/>
      <c r="T509" s="257"/>
      <c r="U509" s="257"/>
      <c r="V509" s="258"/>
      <c r="W509" s="257"/>
      <c r="X509" s="258"/>
      <c r="Y509" s="257"/>
      <c r="Z509" s="258"/>
      <c r="AA509" s="257"/>
      <c r="AB509" s="258"/>
      <c r="AC509" s="257"/>
    </row>
    <row r="510" spans="1:29" ht="15">
      <c r="A510" s="250"/>
      <c r="B510" s="251"/>
      <c r="C510" s="648"/>
      <c r="D510" s="292"/>
      <c r="E510" s="251"/>
      <c r="F510" s="735"/>
      <c r="G510" s="872"/>
      <c r="H510" s="261"/>
      <c r="I510" s="251"/>
      <c r="J510" s="872"/>
      <c r="K510" s="872"/>
      <c r="L510" s="872"/>
      <c r="M510" s="872"/>
      <c r="N510" s="258"/>
      <c r="O510" s="257"/>
      <c r="P510" s="258"/>
      <c r="Q510" s="257"/>
      <c r="R510" s="258"/>
      <c r="S510" s="257"/>
      <c r="T510" s="257"/>
      <c r="U510" s="257"/>
      <c r="V510" s="258"/>
      <c r="W510" s="257"/>
      <c r="X510" s="258"/>
      <c r="Y510" s="257"/>
      <c r="Z510" s="258"/>
      <c r="AA510" s="257"/>
      <c r="AB510" s="258"/>
      <c r="AC510" s="257"/>
    </row>
    <row r="511" spans="1:29" ht="15">
      <c r="A511" s="250">
        <f>A508+1</f>
        <v>115</v>
      </c>
      <c r="B511" s="251"/>
      <c r="C511" s="647" t="s">
        <v>2356</v>
      </c>
      <c r="D511" s="526" t="s">
        <v>1371</v>
      </c>
      <c r="E511" s="251" t="s">
        <v>1898</v>
      </c>
      <c r="F511" s="735">
        <f>N511+R511+P511+T511+V511+X511+Z511+AB511</f>
        <v>100</v>
      </c>
      <c r="G511" s="872">
        <v>1.1299999999999999</v>
      </c>
      <c r="H511" s="261">
        <f>O511+S511+Q511+U511+W511+Y511+AA511+AC511</f>
        <v>113</v>
      </c>
      <c r="I511" s="251" t="s">
        <v>1898</v>
      </c>
      <c r="J511" s="872"/>
      <c r="K511" s="872"/>
      <c r="L511" s="872"/>
      <c r="M511" s="872"/>
      <c r="N511" s="258">
        <f>SUM(N194:N196)</f>
        <v>0</v>
      </c>
      <c r="O511" s="257">
        <f>INT($G511*N511*100+0.5)/100</f>
        <v>0</v>
      </c>
      <c r="P511" s="258">
        <f>SUM(P194:P196)</f>
        <v>0</v>
      </c>
      <c r="Q511" s="257">
        <f>INT($G511*P511*100+0.5)/100</f>
        <v>0</v>
      </c>
      <c r="R511" s="258">
        <v>100</v>
      </c>
      <c r="S511" s="257">
        <f>INT($G511*R511*100+0.5)/100</f>
        <v>113</v>
      </c>
      <c r="T511" s="258">
        <f>INT(SUM(T509:T510)*100+0.5)/100</f>
        <v>0</v>
      </c>
      <c r="U511" s="257">
        <f>INT($G511*T511*100+0.5)/100</f>
        <v>0</v>
      </c>
      <c r="V511" s="258">
        <f>SUM(V194:V196)</f>
        <v>0</v>
      </c>
      <c r="W511" s="257">
        <f>INT($G511*V511*100+0.5)/100</f>
        <v>0</v>
      </c>
      <c r="X511" s="258">
        <f>SUM(X194:X196)</f>
        <v>0</v>
      </c>
      <c r="Y511" s="257">
        <f>INT($G511*X511*100+0.5)/100</f>
        <v>0</v>
      </c>
      <c r="Z511" s="258">
        <f>SUM(Z194:Z196)</f>
        <v>0</v>
      </c>
      <c r="AA511" s="257">
        <f>INT($G511*Z511*100+0.5)/100</f>
        <v>0</v>
      </c>
      <c r="AB511" s="258">
        <f>SUM(AB194:AB196)</f>
        <v>0</v>
      </c>
      <c r="AC511" s="257">
        <f>INT($G511*AB511*100+0.5)/100</f>
        <v>0</v>
      </c>
    </row>
    <row r="512" spans="1:29" ht="25.5">
      <c r="A512" s="250"/>
      <c r="B512" s="251"/>
      <c r="C512" s="648"/>
      <c r="D512" s="526" t="s">
        <v>1370</v>
      </c>
      <c r="E512" s="251"/>
      <c r="F512" s="735"/>
      <c r="G512" s="872"/>
      <c r="H512" s="261"/>
      <c r="I512" s="251"/>
      <c r="J512" s="872"/>
      <c r="K512" s="872"/>
      <c r="L512" s="872"/>
      <c r="M512" s="872"/>
      <c r="N512" s="258"/>
      <c r="O512" s="257"/>
      <c r="P512" s="258"/>
      <c r="Q512" s="257"/>
      <c r="R512" s="258"/>
      <c r="S512" s="257"/>
      <c r="T512" s="257"/>
      <c r="U512" s="257"/>
      <c r="V512" s="258"/>
      <c r="W512" s="257"/>
      <c r="X512" s="258"/>
      <c r="Y512" s="257"/>
      <c r="Z512" s="258"/>
      <c r="AA512" s="257"/>
      <c r="AB512" s="258"/>
      <c r="AC512" s="257"/>
    </row>
    <row r="513" spans="1:29" ht="15">
      <c r="A513" s="250"/>
      <c r="B513" s="251"/>
      <c r="C513" s="648"/>
      <c r="D513" s="292"/>
      <c r="E513" s="251"/>
      <c r="F513" s="735"/>
      <c r="G513" s="872"/>
      <c r="H513" s="261"/>
      <c r="I513" s="251"/>
      <c r="J513" s="872"/>
      <c r="K513" s="872"/>
      <c r="L513" s="872"/>
      <c r="M513" s="872"/>
      <c r="N513" s="258"/>
      <c r="O513" s="257"/>
      <c r="P513" s="258"/>
      <c r="Q513" s="257"/>
      <c r="R513" s="258"/>
      <c r="S513" s="257"/>
      <c r="T513" s="257"/>
      <c r="U513" s="257"/>
      <c r="V513" s="258"/>
      <c r="W513" s="257"/>
      <c r="X513" s="258"/>
      <c r="Y513" s="257"/>
      <c r="Z513" s="258"/>
      <c r="AA513" s="257"/>
      <c r="AB513" s="258"/>
      <c r="AC513" s="257"/>
    </row>
    <row r="514" spans="1:29" ht="25.5">
      <c r="A514" s="250">
        <f>A511+1</f>
        <v>116</v>
      </c>
      <c r="B514" s="251"/>
      <c r="C514" s="647" t="s">
        <v>2357</v>
      </c>
      <c r="D514" s="526" t="s">
        <v>493</v>
      </c>
      <c r="E514" s="251" t="s">
        <v>1898</v>
      </c>
      <c r="F514" s="735">
        <f>N514+R514+P514+T514+V514+X514+Z514+AB514</f>
        <v>100</v>
      </c>
      <c r="G514" s="872">
        <v>4.72</v>
      </c>
      <c r="H514" s="261">
        <f>O514+S514+Q514+U514+W514+Y514+AA514+AC514</f>
        <v>472</v>
      </c>
      <c r="I514" s="251" t="s">
        <v>1898</v>
      </c>
      <c r="J514" s="872"/>
      <c r="K514" s="872"/>
      <c r="L514" s="872"/>
      <c r="M514" s="872"/>
      <c r="N514" s="258">
        <v>0</v>
      </c>
      <c r="O514" s="257">
        <f>INT($G514*N514*100+0.5)/100</f>
        <v>0</v>
      </c>
      <c r="P514" s="258">
        <v>0</v>
      </c>
      <c r="Q514" s="257">
        <f>INT($G514*P514*100+0.5)/100</f>
        <v>0</v>
      </c>
      <c r="R514" s="258">
        <v>100</v>
      </c>
      <c r="S514" s="257">
        <f>INT($G514*R514*100+0.5)/100</f>
        <v>472</v>
      </c>
      <c r="T514" s="258">
        <f>INT(SUM(T512:T513)*100+0.5)/100</f>
        <v>0</v>
      </c>
      <c r="U514" s="257">
        <f>INT($G514*T514*100+0.5)/100</f>
        <v>0</v>
      </c>
      <c r="V514" s="258">
        <v>0</v>
      </c>
      <c r="W514" s="257">
        <f>INT($G514*V514*100+0.5)/100</f>
        <v>0</v>
      </c>
      <c r="X514" s="258">
        <v>0</v>
      </c>
      <c r="Y514" s="257">
        <f>INT($G514*X514*100+0.5)/100</f>
        <v>0</v>
      </c>
      <c r="Z514" s="258">
        <v>0</v>
      </c>
      <c r="AA514" s="257">
        <f>INT($G514*Z514*100+0.5)/100</f>
        <v>0</v>
      </c>
      <c r="AB514" s="258">
        <v>0</v>
      </c>
      <c r="AC514" s="257">
        <f>INT($G514*AB514*100+0.5)/100</f>
        <v>0</v>
      </c>
    </row>
    <row r="515" spans="1:29" ht="25.5">
      <c r="A515" s="250"/>
      <c r="B515" s="251"/>
      <c r="C515" s="526"/>
      <c r="D515" s="526" t="s">
        <v>1803</v>
      </c>
      <c r="E515" s="251"/>
      <c r="F515" s="735"/>
      <c r="G515" s="872"/>
      <c r="H515" s="261"/>
      <c r="I515" s="251"/>
      <c r="J515" s="872"/>
      <c r="K515" s="872"/>
      <c r="L515" s="872"/>
      <c r="M515" s="872"/>
      <c r="N515" s="258"/>
      <c r="O515" s="257"/>
      <c r="P515" s="258"/>
      <c r="Q515" s="257"/>
      <c r="R515" s="258"/>
      <c r="S515" s="257"/>
      <c r="T515" s="257"/>
      <c r="U515" s="257"/>
      <c r="V515" s="258"/>
      <c r="W515" s="257"/>
      <c r="X515" s="258"/>
      <c r="Y515" s="257"/>
      <c r="Z515" s="258"/>
      <c r="AA515" s="257"/>
      <c r="AB515" s="258"/>
      <c r="AC515" s="257"/>
    </row>
    <row r="516" spans="1:29" ht="15">
      <c r="A516" s="250"/>
      <c r="B516" s="251"/>
      <c r="C516" s="526"/>
      <c r="D516" s="292"/>
      <c r="E516" s="251"/>
      <c r="F516" s="735"/>
      <c r="G516" s="872"/>
      <c r="H516" s="261"/>
      <c r="I516" s="251"/>
      <c r="J516" s="872"/>
      <c r="K516" s="872"/>
      <c r="L516" s="872"/>
      <c r="M516" s="872"/>
      <c r="N516" s="258"/>
      <c r="O516" s="257"/>
      <c r="P516" s="258"/>
      <c r="Q516" s="257"/>
      <c r="R516" s="258"/>
      <c r="S516" s="257"/>
      <c r="T516" s="257"/>
      <c r="U516" s="257"/>
      <c r="V516" s="258"/>
      <c r="W516" s="257"/>
      <c r="X516" s="258"/>
      <c r="Y516" s="257"/>
      <c r="Z516" s="258"/>
      <c r="AA516" s="257"/>
      <c r="AB516" s="258"/>
      <c r="AC516" s="257"/>
    </row>
    <row r="517" spans="1:29" ht="15">
      <c r="A517" s="250">
        <f>A514+1</f>
        <v>117</v>
      </c>
      <c r="B517" s="251"/>
      <c r="C517" s="647" t="s">
        <v>683</v>
      </c>
      <c r="D517" s="526" t="s">
        <v>2359</v>
      </c>
      <c r="E517" s="251" t="s">
        <v>591</v>
      </c>
      <c r="F517" s="735">
        <f>N517+R517+P517+T517+V517+X517+Z517+AB517</f>
        <v>7983.72</v>
      </c>
      <c r="G517" s="872">
        <v>3.52</v>
      </c>
      <c r="H517" s="261">
        <f>O517+S517+Q517+U517+W517+Y517+AA517+AC517</f>
        <v>28102.699999999997</v>
      </c>
      <c r="I517" s="251" t="s">
        <v>591</v>
      </c>
      <c r="J517" s="872"/>
      <c r="K517" s="872"/>
      <c r="L517" s="872"/>
      <c r="M517" s="872"/>
      <c r="N517" s="289">
        <f>N287*0.67*1.8</f>
        <v>1085.4000000000001</v>
      </c>
      <c r="O517" s="245">
        <f>INT($G517*N517*100+0.5)/100</f>
        <v>3820.61</v>
      </c>
      <c r="P517" s="289">
        <f>P287*0.67*1.8</f>
        <v>1640.16</v>
      </c>
      <c r="Q517" s="245">
        <f>INT($G517*P517*100+0.5)/100</f>
        <v>5773.36</v>
      </c>
      <c r="R517" s="289">
        <f>R287*0.67*1.8</f>
        <v>2050.2000000000003</v>
      </c>
      <c r="S517" s="245">
        <f>INT($G517*R517*100+0.5)/100</f>
        <v>7216.7</v>
      </c>
      <c r="T517" s="289">
        <f>T287*0.67*1.8</f>
        <v>60.300000000000004</v>
      </c>
      <c r="U517" s="257">
        <f>INT($G517*T517*100+0.5)/100</f>
        <v>212.26</v>
      </c>
      <c r="V517" s="289">
        <f>V287*0.67*1.8</f>
        <v>482.40000000000003</v>
      </c>
      <c r="W517" s="245">
        <f>INT($G517*V517*100+0.5)/100</f>
        <v>1698.05</v>
      </c>
      <c r="X517" s="289">
        <f>X287*0.67*1.8</f>
        <v>856.2600000000001</v>
      </c>
      <c r="Y517" s="245">
        <f>INT($G517*X517*100+0.5)/100</f>
        <v>3014.04</v>
      </c>
      <c r="Z517" s="289">
        <f>Z287*0.67*1.8</f>
        <v>180.9</v>
      </c>
      <c r="AA517" s="245">
        <f>INT($G517*Z517*100+0.5)/100</f>
        <v>636.77</v>
      </c>
      <c r="AB517" s="289">
        <f>AB287*0.67*1.8</f>
        <v>1628.1000000000001</v>
      </c>
      <c r="AC517" s="245">
        <f>INT($G517*AB517*100+0.5)/100</f>
        <v>5730.91</v>
      </c>
    </row>
    <row r="518" spans="1:29" ht="38.25">
      <c r="A518" s="250"/>
      <c r="B518" s="251"/>
      <c r="C518" s="526"/>
      <c r="D518" s="526" t="s">
        <v>2374</v>
      </c>
      <c r="E518" s="251"/>
      <c r="F518" s="735"/>
      <c r="G518" s="872"/>
      <c r="H518" s="261"/>
      <c r="I518" s="251"/>
      <c r="J518" s="872"/>
      <c r="K518" s="872"/>
      <c r="L518" s="872"/>
      <c r="M518" s="872"/>
      <c r="N518" s="258"/>
      <c r="O518" s="257"/>
      <c r="P518" s="258"/>
      <c r="Q518" s="257"/>
      <c r="R518" s="258"/>
      <c r="S518" s="257"/>
      <c r="T518" s="257"/>
      <c r="U518" s="257"/>
      <c r="V518" s="258"/>
      <c r="W518" s="257"/>
      <c r="X518" s="258"/>
      <c r="Y518" s="257"/>
      <c r="Z518" s="258"/>
      <c r="AA518" s="257"/>
      <c r="AB518" s="258"/>
      <c r="AC518" s="257"/>
    </row>
    <row r="519" spans="1:29" ht="15">
      <c r="A519" s="250"/>
      <c r="B519" s="251"/>
      <c r="C519" s="526"/>
      <c r="D519" s="292"/>
      <c r="E519" s="251"/>
      <c r="F519" s="735"/>
      <c r="G519" s="872"/>
      <c r="H519" s="261"/>
      <c r="I519" s="251"/>
      <c r="J519" s="872"/>
      <c r="K519" s="872"/>
      <c r="L519" s="872"/>
      <c r="M519" s="872"/>
      <c r="N519" s="258"/>
      <c r="O519" s="257"/>
      <c r="P519" s="258"/>
      <c r="Q519" s="257"/>
      <c r="R519" s="258"/>
      <c r="S519" s="257"/>
      <c r="T519" s="257"/>
      <c r="U519" s="257"/>
      <c r="V519" s="258"/>
      <c r="W519" s="257"/>
      <c r="X519" s="258"/>
      <c r="Y519" s="257"/>
      <c r="Z519" s="258"/>
      <c r="AA519" s="257"/>
      <c r="AB519" s="258"/>
      <c r="AC519" s="257"/>
    </row>
    <row r="520" spans="1:29" ht="15">
      <c r="A520" s="250">
        <f>A517+1</f>
        <v>118</v>
      </c>
      <c r="B520" s="251"/>
      <c r="C520" s="647" t="s">
        <v>2375</v>
      </c>
      <c r="D520" s="526" t="s">
        <v>2360</v>
      </c>
      <c r="E520" s="251" t="s">
        <v>591</v>
      </c>
      <c r="F520" s="735">
        <f>N520+R520+P520+T520+V520+X520+Z520+AB520</f>
        <v>3713.82</v>
      </c>
      <c r="G520" s="872">
        <v>1.66</v>
      </c>
      <c r="H520" s="261">
        <f>O520+S520+Q520+U520+W520+Y520+AA520+AC520</f>
        <v>6164.92</v>
      </c>
      <c r="I520" s="251" t="s">
        <v>591</v>
      </c>
      <c r="J520" s="872"/>
      <c r="K520" s="872"/>
      <c r="L520" s="872"/>
      <c r="M520" s="872"/>
      <c r="N520" s="289">
        <f>N287*0.33*1.7</f>
        <v>504.9</v>
      </c>
      <c r="O520" s="245">
        <f>INT($G520*N520*100+0.5)/100</f>
        <v>838.13</v>
      </c>
      <c r="P520" s="289">
        <f>P287*0.33*1.7</f>
        <v>762.96</v>
      </c>
      <c r="Q520" s="245">
        <f>INT($G520*P520*100+0.5)/100</f>
        <v>1266.51</v>
      </c>
      <c r="R520" s="289">
        <f>R287*0.33*1.7</f>
        <v>953.69999999999993</v>
      </c>
      <c r="S520" s="245">
        <f>INT($G520*R520*100+0.5)/100</f>
        <v>1583.14</v>
      </c>
      <c r="T520" s="289">
        <f>T287*0.33*1.7</f>
        <v>28.05</v>
      </c>
      <c r="U520" s="257">
        <f>INT($G520*T520*100+0.5)/100</f>
        <v>46.56</v>
      </c>
      <c r="V520" s="289">
        <f>V287*0.33*1.7</f>
        <v>224.4</v>
      </c>
      <c r="W520" s="245">
        <f>INT($G520*V520*100+0.5)/100</f>
        <v>372.5</v>
      </c>
      <c r="X520" s="289">
        <f>X287*0.33*1.7+X229*0.3*0.15*2.5*50/100</f>
        <v>398.31</v>
      </c>
      <c r="Y520" s="245">
        <f>INT($G520*X520*100+0.5)/100</f>
        <v>661.19</v>
      </c>
      <c r="Z520" s="289">
        <f>Z287*0.33*1.7</f>
        <v>84.149999999999991</v>
      </c>
      <c r="AA520" s="245">
        <f>INT($G520*Z520*100+0.5)/100</f>
        <v>139.69</v>
      </c>
      <c r="AB520" s="289">
        <f>AB287*0.33*1.7</f>
        <v>757.35</v>
      </c>
      <c r="AC520" s="245">
        <f>INT($G520*AB520*100+0.5)/100</f>
        <v>1257.2</v>
      </c>
    </row>
    <row r="521" spans="1:29" ht="38.25">
      <c r="A521" s="250"/>
      <c r="B521" s="251"/>
      <c r="C521" s="526"/>
      <c r="D521" s="526" t="s">
        <v>2377</v>
      </c>
      <c r="E521" s="251"/>
      <c r="F521" s="735"/>
      <c r="G521" s="872"/>
      <c r="H521" s="261"/>
      <c r="I521" s="251"/>
      <c r="J521" s="872"/>
      <c r="K521" s="872"/>
      <c r="L521" s="872"/>
      <c r="M521" s="872"/>
      <c r="N521" s="258"/>
      <c r="O521" s="257"/>
      <c r="P521" s="258"/>
      <c r="Q521" s="257"/>
      <c r="R521" s="258"/>
      <c r="S521" s="257"/>
      <c r="T521" s="257"/>
      <c r="U521" s="257"/>
      <c r="V521" s="258"/>
      <c r="W521" s="257"/>
      <c r="X521" s="258"/>
      <c r="Y521" s="257"/>
      <c r="Z521" s="258"/>
      <c r="AA521" s="257"/>
      <c r="AB521" s="258"/>
      <c r="AC521" s="257"/>
    </row>
    <row r="522" spans="1:29" ht="15">
      <c r="A522" s="250"/>
      <c r="B522" s="251"/>
      <c r="C522" s="526"/>
      <c r="D522" s="292"/>
      <c r="E522" s="251"/>
      <c r="F522" s="735"/>
      <c r="G522" s="872"/>
      <c r="H522" s="261"/>
      <c r="I522" s="251"/>
      <c r="J522" s="872"/>
      <c r="K522" s="872"/>
      <c r="L522" s="872"/>
      <c r="M522" s="872"/>
      <c r="N522" s="258"/>
      <c r="O522" s="257"/>
      <c r="P522" s="258"/>
      <c r="Q522" s="257"/>
      <c r="R522" s="258"/>
      <c r="S522" s="257"/>
      <c r="T522" s="257"/>
      <c r="U522" s="257"/>
      <c r="V522" s="258"/>
      <c r="W522" s="257"/>
      <c r="X522" s="258"/>
      <c r="Y522" s="257"/>
      <c r="Z522" s="258"/>
      <c r="AA522" s="257"/>
      <c r="AB522" s="258"/>
      <c r="AC522" s="257"/>
    </row>
    <row r="523" spans="1:29" ht="15">
      <c r="A523" s="250">
        <f>A520+1</f>
        <v>119</v>
      </c>
      <c r="B523" s="251"/>
      <c r="C523" s="647" t="s">
        <v>2376</v>
      </c>
      <c r="D523" s="678" t="s">
        <v>2361</v>
      </c>
      <c r="E523" s="251" t="s">
        <v>591</v>
      </c>
      <c r="F523" s="735">
        <f>N523+R523+P523+T523+V523+X523+Z523+AB523</f>
        <v>153</v>
      </c>
      <c r="G523" s="872">
        <v>7.53</v>
      </c>
      <c r="H523" s="261">
        <f>O523+S523+Q523+U523+W523+Y523+AA523+AC523</f>
        <v>1152.0899999999999</v>
      </c>
      <c r="I523" s="251" t="s">
        <v>591</v>
      </c>
      <c r="J523" s="872"/>
      <c r="K523" s="872"/>
      <c r="L523" s="872"/>
      <c r="M523" s="872"/>
      <c r="N523" s="289">
        <v>50</v>
      </c>
      <c r="O523" s="245">
        <f>INT($G523*N523*100+0.5)/100</f>
        <v>376.5</v>
      </c>
      <c r="P523" s="289">
        <v>25</v>
      </c>
      <c r="Q523" s="245">
        <f>INT($G523*P523*100+0.5)/100</f>
        <v>188.25</v>
      </c>
      <c r="R523" s="289">
        <v>60</v>
      </c>
      <c r="S523" s="245">
        <f>INT($G523*R523*100+0.5)/100</f>
        <v>451.8</v>
      </c>
      <c r="T523" s="258">
        <f>INT(SUM(T521:T522)*100+0.5)/100</f>
        <v>0</v>
      </c>
      <c r="U523" s="257">
        <f>INT($G523*T523*100+0.5)/100</f>
        <v>0</v>
      </c>
      <c r="V523" s="289">
        <v>0</v>
      </c>
      <c r="W523" s="245">
        <f>INT($G523*V523*100+0.5)/100</f>
        <v>0</v>
      </c>
      <c r="X523" s="289">
        <v>6</v>
      </c>
      <c r="Y523" s="245">
        <f>INT($G523*X523*100+0.5)/100</f>
        <v>45.18</v>
      </c>
      <c r="Z523" s="289">
        <v>0</v>
      </c>
      <c r="AA523" s="245">
        <f>INT($G523*Z523*100+0.5)/100</f>
        <v>0</v>
      </c>
      <c r="AB523" s="289">
        <v>12</v>
      </c>
      <c r="AC523" s="245">
        <f>INT($G523*AB523*100+0.5)/100</f>
        <v>90.36</v>
      </c>
    </row>
    <row r="524" spans="1:29" ht="38.25">
      <c r="A524" s="250"/>
      <c r="B524" s="251"/>
      <c r="C524" s="526"/>
      <c r="D524" s="526" t="s">
        <v>1949</v>
      </c>
      <c r="E524" s="251"/>
      <c r="F524" s="735"/>
      <c r="G524" s="872"/>
      <c r="H524" s="261"/>
      <c r="I524" s="251"/>
      <c r="J524" s="872"/>
      <c r="K524" s="872"/>
      <c r="L524" s="872"/>
      <c r="M524" s="872"/>
      <c r="N524" s="258"/>
      <c r="O524" s="257"/>
      <c r="P524" s="258"/>
      <c r="Q524" s="257"/>
      <c r="R524" s="258"/>
      <c r="S524" s="257"/>
      <c r="T524" s="257"/>
      <c r="U524" s="257"/>
      <c r="V524" s="258"/>
      <c r="W524" s="257"/>
      <c r="X524" s="258"/>
      <c r="Y524" s="257"/>
      <c r="Z524" s="258"/>
      <c r="AA524" s="257"/>
      <c r="AB524" s="258"/>
      <c r="AC524" s="257"/>
    </row>
    <row r="525" spans="1:29" s="247" customFormat="1" ht="15">
      <c r="A525" s="284"/>
      <c r="B525" s="237"/>
      <c r="C525" s="532"/>
      <c r="D525" s="238"/>
      <c r="E525" s="237"/>
      <c r="F525" s="733"/>
      <c r="G525" s="873"/>
      <c r="H525" s="243"/>
      <c r="I525" s="237"/>
      <c r="J525" s="873"/>
      <c r="K525" s="873"/>
      <c r="L525" s="873"/>
      <c r="M525" s="873"/>
      <c r="N525" s="289"/>
      <c r="O525" s="245"/>
      <c r="P525" s="289"/>
      <c r="Q525" s="245"/>
      <c r="R525" s="289"/>
      <c r="S525" s="245"/>
      <c r="T525" s="245"/>
      <c r="U525" s="245"/>
      <c r="V525" s="289"/>
      <c r="W525" s="245"/>
      <c r="X525" s="289"/>
      <c r="Y525" s="245"/>
      <c r="Z525" s="289"/>
      <c r="AA525" s="245"/>
      <c r="AB525" s="289"/>
      <c r="AC525" s="245"/>
    </row>
    <row r="526" spans="1:29" ht="15">
      <c r="A526" s="250">
        <f>A523+1</f>
        <v>120</v>
      </c>
      <c r="B526" s="251"/>
      <c r="C526" s="855" t="s">
        <v>1950</v>
      </c>
      <c r="D526" s="678" t="s">
        <v>2362</v>
      </c>
      <c r="E526" s="251" t="s">
        <v>591</v>
      </c>
      <c r="F526" s="735">
        <f>N526+R526+P526+T526+V526+X526+Z526+AB526</f>
        <v>1453.83</v>
      </c>
      <c r="G526" s="872">
        <v>8.61</v>
      </c>
      <c r="H526" s="261">
        <f>O526+S526+Q526+U526+W526+Y526+AA526+AC526</f>
        <v>12517.480000000001</v>
      </c>
      <c r="I526" s="251" t="s">
        <v>591</v>
      </c>
      <c r="J526" s="872"/>
      <c r="K526" s="872"/>
      <c r="L526" s="872"/>
      <c r="M526" s="872"/>
      <c r="N526" s="289">
        <f>N401*23*8/1000+N415*23*15/1000</f>
        <v>198.02999999999997</v>
      </c>
      <c r="O526" s="245">
        <f>INT($G526*N526*100+0.5)/100</f>
        <v>1705.04</v>
      </c>
      <c r="P526" s="289">
        <f>P401*23*8/1000+P415*23*15/1000</f>
        <v>265.64999999999998</v>
      </c>
      <c r="Q526" s="245">
        <f>INT($G526*P526*100+0.5)/100</f>
        <v>2287.25</v>
      </c>
      <c r="R526" s="289">
        <f>R401*23*8/1000+R415*23*15/1000</f>
        <v>247.48</v>
      </c>
      <c r="S526" s="245">
        <f>INT($G526*R526*100+0.5)/100</f>
        <v>2130.8000000000002</v>
      </c>
      <c r="T526" s="258">
        <f>T401*23*8/1000+T415*23*15/1000</f>
        <v>19.32</v>
      </c>
      <c r="U526" s="257">
        <f>INT($G526*T526*100+0.5)/100</f>
        <v>166.35</v>
      </c>
      <c r="V526" s="289">
        <f>V401*23*8/1000+V415*23*15/1000</f>
        <v>79.349999999999994</v>
      </c>
      <c r="W526" s="245">
        <f>INT($G526*V526*100+0.5)/100</f>
        <v>683.2</v>
      </c>
      <c r="X526" s="289">
        <f>X401*23*8/1000</f>
        <v>368</v>
      </c>
      <c r="Y526" s="245">
        <f>INT($G526*X526*100+0.5)/100</f>
        <v>3168.48</v>
      </c>
      <c r="Z526" s="289">
        <f>Z401*23*8/1000+Z415*23*15/1000</f>
        <v>0</v>
      </c>
      <c r="AA526" s="245">
        <f>INT($G526*Z526*100+0.5)/100</f>
        <v>0</v>
      </c>
      <c r="AB526" s="289">
        <f>AB401*23*8/1000+AB415*23*15/1000</f>
        <v>276</v>
      </c>
      <c r="AC526" s="245">
        <f>INT($G526*AB526*100+0.5)/100</f>
        <v>2376.36</v>
      </c>
    </row>
    <row r="527" spans="1:29" ht="25.5">
      <c r="A527" s="250"/>
      <c r="B527" s="251"/>
      <c r="C527" s="654"/>
      <c r="D527" s="526" t="s">
        <v>1951</v>
      </c>
      <c r="E527" s="251"/>
      <c r="F527" s="735"/>
      <c r="G527" s="872"/>
      <c r="H527" s="261"/>
      <c r="I527" s="251"/>
      <c r="J527" s="872"/>
      <c r="K527" s="872"/>
      <c r="L527" s="872"/>
      <c r="M527" s="872"/>
      <c r="N527" s="258"/>
      <c r="O527" s="257"/>
      <c r="P527" s="258"/>
      <c r="Q527" s="257"/>
      <c r="R527" s="258"/>
      <c r="S527" s="257"/>
      <c r="T527" s="257"/>
      <c r="U527" s="257"/>
      <c r="V527" s="258"/>
      <c r="W527" s="257"/>
      <c r="X527" s="258"/>
      <c r="Y527" s="257"/>
      <c r="Z527" s="258"/>
      <c r="AA527" s="257"/>
      <c r="AB527" s="258"/>
      <c r="AC527" s="257"/>
    </row>
    <row r="528" spans="1:29" s="247" customFormat="1" ht="15">
      <c r="A528" s="284"/>
      <c r="B528" s="237"/>
      <c r="D528" s="238"/>
      <c r="E528" s="237"/>
      <c r="F528" s="733"/>
      <c r="G528" s="873"/>
      <c r="H528" s="243"/>
      <c r="I528" s="237"/>
      <c r="J528" s="873"/>
      <c r="K528" s="873"/>
      <c r="L528" s="873"/>
      <c r="M528" s="873"/>
      <c r="N528" s="289"/>
      <c r="O528" s="245"/>
      <c r="P528" s="289"/>
      <c r="Q528" s="245"/>
      <c r="R528" s="289"/>
      <c r="S528" s="245"/>
      <c r="T528" s="245"/>
      <c r="U528" s="245"/>
      <c r="V528" s="289"/>
      <c r="W528" s="245"/>
      <c r="X528" s="289"/>
      <c r="Y528" s="245"/>
      <c r="Z528" s="289"/>
      <c r="AA528" s="245"/>
      <c r="AB528" s="289"/>
      <c r="AC528" s="245"/>
    </row>
    <row r="529" spans="1:29" ht="25.5">
      <c r="A529" s="250">
        <f>A526+1</f>
        <v>121</v>
      </c>
      <c r="B529" s="251"/>
      <c r="C529" s="855" t="s">
        <v>1952</v>
      </c>
      <c r="D529" s="526" t="s">
        <v>2363</v>
      </c>
      <c r="E529" s="251" t="s">
        <v>591</v>
      </c>
      <c r="F529" s="735">
        <f>N529+R529+P529+T529+V529+X529+Z529+AB529</f>
        <v>8.5</v>
      </c>
      <c r="G529" s="872">
        <v>42.8</v>
      </c>
      <c r="H529" s="261">
        <f>O529+S529+Q529+U529+W529+Y529+AA529+AC529</f>
        <v>363.79999999999995</v>
      </c>
      <c r="I529" s="251" t="s">
        <v>591</v>
      </c>
      <c r="J529" s="872"/>
      <c r="K529" s="872"/>
      <c r="L529" s="872"/>
      <c r="M529" s="872"/>
      <c r="N529" s="289">
        <v>2.5</v>
      </c>
      <c r="O529" s="245">
        <f>INT($G529*N529*100+0.5)/100</f>
        <v>107</v>
      </c>
      <c r="P529" s="289">
        <v>1</v>
      </c>
      <c r="Q529" s="245">
        <f>INT($G529*P529*100+0.5)/100</f>
        <v>42.8</v>
      </c>
      <c r="R529" s="289">
        <v>3</v>
      </c>
      <c r="S529" s="245">
        <f>INT($G529*R529*100+0.5)/100</f>
        <v>128.4</v>
      </c>
      <c r="T529" s="258">
        <f>INT(SUM(T527:T528)*100+0.5)/100</f>
        <v>0</v>
      </c>
      <c r="U529" s="257">
        <f>INT($G529*T529*100+0.5)/100</f>
        <v>0</v>
      </c>
      <c r="V529" s="289">
        <v>0</v>
      </c>
      <c r="W529" s="245">
        <f>INT($G529*V529*100+0.5)/100</f>
        <v>0</v>
      </c>
      <c r="X529" s="289">
        <v>0</v>
      </c>
      <c r="Y529" s="245">
        <f>INT($G529*X529*100+0.5)/100</f>
        <v>0</v>
      </c>
      <c r="Z529" s="289">
        <v>0</v>
      </c>
      <c r="AA529" s="245">
        <f>INT($G529*Z529*100+0.5)/100</f>
        <v>0</v>
      </c>
      <c r="AB529" s="289">
        <v>2</v>
      </c>
      <c r="AC529" s="245">
        <f>INT($G529*AB529*100+0.5)/100</f>
        <v>85.6</v>
      </c>
    </row>
    <row r="530" spans="1:29" ht="25.5">
      <c r="A530" s="250"/>
      <c r="B530" s="251"/>
      <c r="C530" s="855"/>
      <c r="D530" s="526" t="s">
        <v>1953</v>
      </c>
      <c r="E530" s="251"/>
      <c r="F530" s="735"/>
      <c r="G530" s="872"/>
      <c r="H530" s="261"/>
      <c r="I530" s="251"/>
      <c r="J530" s="872"/>
      <c r="K530" s="872"/>
      <c r="L530" s="872"/>
      <c r="M530" s="872"/>
      <c r="N530" s="258"/>
      <c r="O530" s="257"/>
      <c r="P530" s="258"/>
      <c r="Q530" s="257"/>
      <c r="R530" s="258"/>
      <c r="S530" s="257"/>
      <c r="T530" s="257"/>
      <c r="U530" s="257"/>
      <c r="V530" s="258"/>
      <c r="W530" s="257"/>
      <c r="X530" s="258"/>
      <c r="Y530" s="257"/>
      <c r="Z530" s="258"/>
      <c r="AA530" s="257"/>
      <c r="AB530" s="258"/>
      <c r="AC530" s="257"/>
    </row>
    <row r="531" spans="1:29" ht="15">
      <c r="A531" s="250"/>
      <c r="B531" s="251"/>
      <c r="C531" s="855"/>
      <c r="D531" s="292"/>
      <c r="E531" s="251"/>
      <c r="F531" s="735"/>
      <c r="G531" s="872"/>
      <c r="H531" s="261"/>
      <c r="I531" s="251"/>
      <c r="J531" s="872"/>
      <c r="K531" s="872"/>
      <c r="L531" s="872"/>
      <c r="M531" s="872"/>
      <c r="N531" s="258"/>
      <c r="O531" s="257"/>
      <c r="P531" s="258"/>
      <c r="Q531" s="257"/>
      <c r="R531" s="258"/>
      <c r="S531" s="257"/>
      <c r="T531" s="257"/>
      <c r="U531" s="257"/>
      <c r="V531" s="258"/>
      <c r="W531" s="257"/>
      <c r="X531" s="258"/>
      <c r="Y531" s="257"/>
      <c r="Z531" s="258"/>
      <c r="AA531" s="257"/>
      <c r="AB531" s="258"/>
      <c r="AC531" s="257"/>
    </row>
    <row r="532" spans="1:29" ht="25.5">
      <c r="A532" s="250">
        <f>A529+1</f>
        <v>122</v>
      </c>
      <c r="B532" s="251"/>
      <c r="C532" s="855" t="s">
        <v>1954</v>
      </c>
      <c r="D532" s="526" t="s">
        <v>2364</v>
      </c>
      <c r="E532" s="251" t="s">
        <v>591</v>
      </c>
      <c r="F532" s="735">
        <f>N532+R532+P532+T532+V532+X532+Z532+AB532</f>
        <v>8.5</v>
      </c>
      <c r="G532" s="872">
        <v>58.7</v>
      </c>
      <c r="H532" s="261">
        <f>O532+S532+Q532+U532+W532+Y532+AA532+AC532</f>
        <v>498.95000000000005</v>
      </c>
      <c r="I532" s="251" t="s">
        <v>591</v>
      </c>
      <c r="J532" s="872"/>
      <c r="K532" s="872"/>
      <c r="L532" s="872"/>
      <c r="M532" s="872"/>
      <c r="N532" s="289">
        <v>2.5</v>
      </c>
      <c r="O532" s="245">
        <f>INT($G532*N532*100+0.5)/100</f>
        <v>146.75</v>
      </c>
      <c r="P532" s="289">
        <v>1</v>
      </c>
      <c r="Q532" s="245">
        <f>INT($G532*P532*100+0.5)/100</f>
        <v>58.7</v>
      </c>
      <c r="R532" s="289">
        <v>3</v>
      </c>
      <c r="S532" s="245">
        <f>INT($G532*R532*100+0.5)/100</f>
        <v>176.1</v>
      </c>
      <c r="T532" s="258">
        <f>INT(SUM(T530:T531)*100+0.5)/100</f>
        <v>0</v>
      </c>
      <c r="U532" s="257">
        <f>INT($G532*T532*100+0.5)/100</f>
        <v>0</v>
      </c>
      <c r="V532" s="289">
        <v>0</v>
      </c>
      <c r="W532" s="245">
        <f>INT($G532*V532*100+0.5)/100</f>
        <v>0</v>
      </c>
      <c r="X532" s="289">
        <v>0</v>
      </c>
      <c r="Y532" s="245">
        <f>INT($G532*X532*100+0.5)/100</f>
        <v>0</v>
      </c>
      <c r="Z532" s="289">
        <v>0</v>
      </c>
      <c r="AA532" s="245">
        <f>INT($G532*Z532*100+0.5)/100</f>
        <v>0</v>
      </c>
      <c r="AB532" s="289">
        <v>2</v>
      </c>
      <c r="AC532" s="245">
        <f>INT($G532*AB532*100+0.5)/100</f>
        <v>117.4</v>
      </c>
    </row>
    <row r="533" spans="1:29" ht="25.5">
      <c r="A533" s="250"/>
      <c r="B533" s="251"/>
      <c r="C533" s="855"/>
      <c r="D533" s="526" t="s">
        <v>1955</v>
      </c>
      <c r="E533" s="251"/>
      <c r="F533" s="735"/>
      <c r="G533" s="872"/>
      <c r="H533" s="261"/>
      <c r="I533" s="251"/>
      <c r="J533" s="872"/>
      <c r="K533" s="872"/>
      <c r="L533" s="872"/>
      <c r="M533" s="872"/>
      <c r="N533" s="258"/>
      <c r="O533" s="257"/>
      <c r="P533" s="258"/>
      <c r="Q533" s="257"/>
      <c r="R533" s="258"/>
      <c r="S533" s="257"/>
      <c r="T533" s="257"/>
      <c r="U533" s="257"/>
      <c r="V533" s="258"/>
      <c r="W533" s="257"/>
      <c r="X533" s="258"/>
      <c r="Y533" s="257"/>
      <c r="Z533" s="258"/>
      <c r="AA533" s="257"/>
      <c r="AB533" s="258"/>
      <c r="AC533" s="257"/>
    </row>
    <row r="534" spans="1:29" ht="15">
      <c r="A534" s="250"/>
      <c r="B534" s="251"/>
      <c r="C534" s="855"/>
      <c r="D534" s="292"/>
      <c r="E534" s="251"/>
      <c r="F534" s="735"/>
      <c r="G534" s="872"/>
      <c r="H534" s="261"/>
      <c r="I534" s="251"/>
      <c r="J534" s="872"/>
      <c r="K534" s="872"/>
      <c r="L534" s="872"/>
      <c r="M534" s="872"/>
      <c r="N534" s="258"/>
      <c r="O534" s="257"/>
      <c r="P534" s="258"/>
      <c r="Q534" s="257"/>
      <c r="R534" s="258"/>
      <c r="S534" s="257"/>
      <c r="T534" s="257"/>
      <c r="U534" s="257"/>
      <c r="V534" s="258"/>
      <c r="W534" s="257"/>
      <c r="X534" s="258"/>
      <c r="Y534" s="257"/>
      <c r="Z534" s="258"/>
      <c r="AA534" s="257"/>
      <c r="AB534" s="258"/>
      <c r="AC534" s="257"/>
    </row>
    <row r="535" spans="1:29" ht="25.5">
      <c r="A535" s="250">
        <f>A532+1</f>
        <v>123</v>
      </c>
      <c r="B535" s="251"/>
      <c r="C535" s="855" t="s">
        <v>1956</v>
      </c>
      <c r="D535" s="526" t="s">
        <v>2365</v>
      </c>
      <c r="E535" s="251" t="s">
        <v>591</v>
      </c>
      <c r="F535" s="735">
        <f>N535+R535+P535+T535+V535+X535+Z535+AB535</f>
        <v>8.5</v>
      </c>
      <c r="G535" s="872">
        <v>192.48</v>
      </c>
      <c r="H535" s="261">
        <f>O535+S535+Q535+U535+W535+Y535+AA535+AC535</f>
        <v>1636.0800000000002</v>
      </c>
      <c r="I535" s="251" t="s">
        <v>591</v>
      </c>
      <c r="J535" s="872"/>
      <c r="K535" s="872"/>
      <c r="L535" s="872"/>
      <c r="M535" s="872"/>
      <c r="N535" s="289">
        <v>2.5</v>
      </c>
      <c r="O535" s="245">
        <f>INT($G535*N535*100+0.5)/100</f>
        <v>481.2</v>
      </c>
      <c r="P535" s="289">
        <v>1</v>
      </c>
      <c r="Q535" s="245">
        <f>INT($G535*P535*100+0.5)/100</f>
        <v>192.48</v>
      </c>
      <c r="R535" s="289">
        <v>3</v>
      </c>
      <c r="S535" s="245">
        <f>INT($G535*R535*100+0.5)/100</f>
        <v>577.44000000000005</v>
      </c>
      <c r="T535" s="258">
        <f>INT(SUM(T533:T534)*100+0.5)/100</f>
        <v>0</v>
      </c>
      <c r="U535" s="257">
        <f>INT($G535*T535*100+0.5)/100</f>
        <v>0</v>
      </c>
      <c r="V535" s="289">
        <v>0</v>
      </c>
      <c r="W535" s="245">
        <f>INT($G535*V535*100+0.5)/100</f>
        <v>0</v>
      </c>
      <c r="X535" s="289">
        <v>0</v>
      </c>
      <c r="Y535" s="245">
        <f>INT($G535*X535*100+0.5)/100</f>
        <v>0</v>
      </c>
      <c r="Z535" s="289">
        <v>0</v>
      </c>
      <c r="AA535" s="245">
        <f>INT($G535*Z535*100+0.5)/100</f>
        <v>0</v>
      </c>
      <c r="AB535" s="289">
        <v>2</v>
      </c>
      <c r="AC535" s="245">
        <f>INT($G535*AB535*100+0.5)/100</f>
        <v>384.96</v>
      </c>
    </row>
    <row r="536" spans="1:29" ht="38.25">
      <c r="A536" s="250"/>
      <c r="B536" s="251"/>
      <c r="C536" s="855"/>
      <c r="D536" s="526" t="s">
        <v>1957</v>
      </c>
      <c r="E536" s="251"/>
      <c r="F536" s="735"/>
      <c r="G536" s="872"/>
      <c r="H536" s="261"/>
      <c r="I536" s="251"/>
      <c r="J536" s="872"/>
      <c r="K536" s="872"/>
      <c r="L536" s="872"/>
      <c r="M536" s="872"/>
      <c r="N536" s="258"/>
      <c r="O536" s="257"/>
      <c r="P536" s="258"/>
      <c r="Q536" s="257"/>
      <c r="R536" s="258"/>
      <c r="S536" s="257"/>
      <c r="T536" s="257"/>
      <c r="U536" s="257"/>
      <c r="V536" s="258"/>
      <c r="W536" s="257"/>
      <c r="X536" s="258"/>
      <c r="Y536" s="257"/>
      <c r="Z536" s="258"/>
      <c r="AA536" s="257"/>
      <c r="AB536" s="258"/>
      <c r="AC536" s="257"/>
    </row>
    <row r="537" spans="1:29" ht="15">
      <c r="A537" s="250"/>
      <c r="B537" s="251"/>
      <c r="C537" s="855"/>
      <c r="D537" s="292"/>
      <c r="E537" s="251"/>
      <c r="F537" s="735"/>
      <c r="G537" s="872"/>
      <c r="H537" s="261"/>
      <c r="I537" s="251"/>
      <c r="J537" s="872"/>
      <c r="K537" s="872"/>
      <c r="L537" s="872"/>
      <c r="M537" s="872"/>
      <c r="N537" s="258"/>
      <c r="O537" s="257"/>
      <c r="P537" s="258"/>
      <c r="Q537" s="257"/>
      <c r="R537" s="258"/>
      <c r="S537" s="257"/>
      <c r="T537" s="257"/>
      <c r="U537" s="257"/>
      <c r="V537" s="258"/>
      <c r="W537" s="257"/>
      <c r="X537" s="258"/>
      <c r="Y537" s="257"/>
      <c r="Z537" s="258"/>
      <c r="AA537" s="257"/>
      <c r="AB537" s="258"/>
      <c r="AC537" s="257"/>
    </row>
    <row r="538" spans="1:29" ht="25.5">
      <c r="A538" s="250">
        <f>A535+1</f>
        <v>124</v>
      </c>
      <c r="B538" s="251"/>
      <c r="C538" s="855" t="s">
        <v>1958</v>
      </c>
      <c r="D538" s="526" t="s">
        <v>2366</v>
      </c>
      <c r="E538" s="251" t="s">
        <v>591</v>
      </c>
      <c r="F538" s="735">
        <f>N538+R538+P538+T538+V538+X538+Z538+AB538</f>
        <v>4</v>
      </c>
      <c r="G538" s="872">
        <v>136.96</v>
      </c>
      <c r="H538" s="261">
        <f>O538+S538+Q538+U538+W538+Y538+AA538+AC538</f>
        <v>547.84</v>
      </c>
      <c r="I538" s="251" t="s">
        <v>591</v>
      </c>
      <c r="J538" s="872"/>
      <c r="K538" s="872"/>
      <c r="L538" s="872"/>
      <c r="M538" s="872"/>
      <c r="N538" s="289">
        <v>1</v>
      </c>
      <c r="O538" s="245">
        <f>INT($G538*N538*100+0.5)/100</f>
        <v>136.96</v>
      </c>
      <c r="P538" s="289">
        <v>1</v>
      </c>
      <c r="Q538" s="245">
        <f>INT($G538*P538*100+0.5)/100</f>
        <v>136.96</v>
      </c>
      <c r="R538" s="289">
        <v>1</v>
      </c>
      <c r="S538" s="245">
        <f>INT($G538*R538*100+0.5)/100</f>
        <v>136.96</v>
      </c>
      <c r="T538" s="258">
        <f>INT(SUM(T536:T537)*100+0.5)/100</f>
        <v>0</v>
      </c>
      <c r="U538" s="257">
        <f>INT($G538*T538*100+0.5)/100</f>
        <v>0</v>
      </c>
      <c r="V538" s="289">
        <v>0</v>
      </c>
      <c r="W538" s="245">
        <f>INT($G538*V538*100+0.5)/100</f>
        <v>0</v>
      </c>
      <c r="X538" s="289">
        <v>0</v>
      </c>
      <c r="Y538" s="245">
        <f>INT($G538*X538*100+0.5)/100</f>
        <v>0</v>
      </c>
      <c r="Z538" s="289">
        <v>0</v>
      </c>
      <c r="AA538" s="245">
        <f>INT($G538*Z538*100+0.5)/100</f>
        <v>0</v>
      </c>
      <c r="AB538" s="289">
        <v>1</v>
      </c>
      <c r="AC538" s="245">
        <f>INT($G538*AB538*100+0.5)/100</f>
        <v>136.96</v>
      </c>
    </row>
    <row r="539" spans="1:29" ht="25.5">
      <c r="A539" s="250"/>
      <c r="B539" s="251"/>
      <c r="C539" s="855"/>
      <c r="D539" s="526" t="s">
        <v>1959</v>
      </c>
      <c r="E539" s="251"/>
      <c r="F539" s="735"/>
      <c r="G539" s="872"/>
      <c r="H539" s="261"/>
      <c r="I539" s="251"/>
      <c r="J539" s="872"/>
      <c r="K539" s="872"/>
      <c r="L539" s="872"/>
      <c r="M539" s="872"/>
      <c r="N539" s="258"/>
      <c r="O539" s="257"/>
      <c r="P539" s="258"/>
      <c r="Q539" s="257"/>
      <c r="R539" s="258"/>
      <c r="S539" s="257"/>
      <c r="T539" s="257"/>
      <c r="U539" s="257"/>
      <c r="V539" s="258"/>
      <c r="W539" s="257"/>
      <c r="X539" s="258"/>
      <c r="Y539" s="257"/>
      <c r="Z539" s="258"/>
      <c r="AA539" s="257"/>
      <c r="AB539" s="258"/>
      <c r="AC539" s="257"/>
    </row>
    <row r="540" spans="1:29" ht="15">
      <c r="A540" s="250"/>
      <c r="B540" s="251"/>
      <c r="C540" s="855"/>
      <c r="D540" s="292"/>
      <c r="E540" s="251"/>
      <c r="F540" s="735"/>
      <c r="G540" s="872"/>
      <c r="H540" s="261"/>
      <c r="I540" s="251"/>
      <c r="J540" s="872"/>
      <c r="K540" s="872"/>
      <c r="L540" s="872"/>
      <c r="M540" s="872"/>
      <c r="N540" s="258"/>
      <c r="O540" s="257"/>
      <c r="P540" s="258"/>
      <c r="Q540" s="257"/>
      <c r="R540" s="258"/>
      <c r="S540" s="257"/>
      <c r="T540" s="257"/>
      <c r="U540" s="257"/>
      <c r="V540" s="258"/>
      <c r="W540" s="257"/>
      <c r="X540" s="258"/>
      <c r="Y540" s="257"/>
      <c r="Z540" s="258"/>
      <c r="AA540" s="257"/>
      <c r="AB540" s="258"/>
      <c r="AC540" s="257"/>
    </row>
    <row r="541" spans="1:29" ht="25.5">
      <c r="A541" s="250">
        <f>A538+1</f>
        <v>125</v>
      </c>
      <c r="B541" s="251"/>
      <c r="C541" s="855" t="s">
        <v>1960</v>
      </c>
      <c r="D541" s="526" t="s">
        <v>2367</v>
      </c>
      <c r="E541" s="251" t="s">
        <v>591</v>
      </c>
      <c r="F541" s="735">
        <f>N541+R541+P541+T541+V541+X541+Z541+AB541</f>
        <v>3</v>
      </c>
      <c r="G541" s="872">
        <v>39.130000000000003</v>
      </c>
      <c r="H541" s="261">
        <f>O541+S541+Q541+U541+W541+Y541+AA541+AC541</f>
        <v>117.39000000000001</v>
      </c>
      <c r="I541" s="251" t="s">
        <v>591</v>
      </c>
      <c r="J541" s="872"/>
      <c r="K541" s="872"/>
      <c r="L541" s="872"/>
      <c r="M541" s="872"/>
      <c r="N541" s="289">
        <v>1</v>
      </c>
      <c r="O541" s="245">
        <f>INT($G541*N541*100+0.5)/100</f>
        <v>39.130000000000003</v>
      </c>
      <c r="P541" s="289">
        <v>1</v>
      </c>
      <c r="Q541" s="245">
        <f>INT($G541*P541*100+0.5)/100</f>
        <v>39.130000000000003</v>
      </c>
      <c r="R541" s="289">
        <v>1</v>
      </c>
      <c r="S541" s="245">
        <f>INT($G541*R541*100+0.5)/100</f>
        <v>39.130000000000003</v>
      </c>
      <c r="T541" s="258">
        <f>INT(SUM(T539:T540)*100+0.5)/100</f>
        <v>0</v>
      </c>
      <c r="U541" s="257">
        <f>INT($G541*T541*100+0.5)/100</f>
        <v>0</v>
      </c>
      <c r="V541" s="289">
        <v>0</v>
      </c>
      <c r="W541" s="245">
        <f>INT($G541*V541*100+0.5)/100</f>
        <v>0</v>
      </c>
      <c r="X541" s="289">
        <v>0</v>
      </c>
      <c r="Y541" s="245">
        <f>INT($G541*X541*100+0.5)/100</f>
        <v>0</v>
      </c>
      <c r="Z541" s="289">
        <v>0</v>
      </c>
      <c r="AA541" s="245">
        <f>INT($G541*Z541*100+0.5)/100</f>
        <v>0</v>
      </c>
      <c r="AB541" s="289">
        <v>0</v>
      </c>
      <c r="AC541" s="245">
        <f>INT($G541*AB541*100+0.5)/100</f>
        <v>0</v>
      </c>
    </row>
    <row r="542" spans="1:29" ht="38.25">
      <c r="A542" s="250"/>
      <c r="B542" s="251"/>
      <c r="C542" s="855"/>
      <c r="D542" s="526" t="s">
        <v>2503</v>
      </c>
      <c r="E542" s="251"/>
      <c r="F542" s="735"/>
      <c r="G542" s="872"/>
      <c r="H542" s="261"/>
      <c r="I542" s="251"/>
      <c r="J542" s="872"/>
      <c r="K542" s="872"/>
      <c r="L542" s="872"/>
      <c r="M542" s="872"/>
      <c r="N542" s="258"/>
      <c r="O542" s="257"/>
      <c r="P542" s="258"/>
      <c r="Q542" s="257"/>
      <c r="R542" s="258"/>
      <c r="S542" s="257"/>
      <c r="T542" s="257"/>
      <c r="U542" s="257"/>
      <c r="V542" s="258"/>
      <c r="W542" s="257"/>
      <c r="X542" s="258"/>
      <c r="Y542" s="257"/>
      <c r="Z542" s="258"/>
      <c r="AA542" s="257"/>
      <c r="AB542" s="258"/>
      <c r="AC542" s="257"/>
    </row>
    <row r="543" spans="1:29" ht="15">
      <c r="A543" s="250"/>
      <c r="B543" s="251"/>
      <c r="C543" s="855"/>
      <c r="D543" s="292"/>
      <c r="E543" s="251"/>
      <c r="F543" s="735"/>
      <c r="G543" s="872"/>
      <c r="H543" s="261"/>
      <c r="I543" s="251"/>
      <c r="J543" s="872"/>
      <c r="K543" s="872"/>
      <c r="L543" s="872"/>
      <c r="M543" s="872"/>
      <c r="N543" s="258"/>
      <c r="O543" s="257"/>
      <c r="P543" s="258"/>
      <c r="Q543" s="257"/>
      <c r="R543" s="258"/>
      <c r="S543" s="257"/>
      <c r="T543" s="257"/>
      <c r="U543" s="257"/>
      <c r="V543" s="258"/>
      <c r="W543" s="257"/>
      <c r="X543" s="258"/>
      <c r="Y543" s="257"/>
      <c r="Z543" s="258"/>
      <c r="AA543" s="257"/>
      <c r="AB543" s="258"/>
      <c r="AC543" s="257"/>
    </row>
    <row r="544" spans="1:29" ht="15">
      <c r="A544" s="250">
        <f>A541+1</f>
        <v>126</v>
      </c>
      <c r="B544" s="251"/>
      <c r="C544" s="855" t="s">
        <v>1962</v>
      </c>
      <c r="D544" s="526" t="s">
        <v>2368</v>
      </c>
      <c r="E544" s="251" t="s">
        <v>591</v>
      </c>
      <c r="F544" s="735">
        <f>N544+R544+P544+T544+V544+X544+Z544+AB544</f>
        <v>7</v>
      </c>
      <c r="G544" s="872">
        <v>0</v>
      </c>
      <c r="H544" s="261">
        <f>O544+S544+Q544+U544+W544+Y544+AA544+AC544</f>
        <v>0</v>
      </c>
      <c r="I544" s="251" t="s">
        <v>591</v>
      </c>
      <c r="J544" s="872"/>
      <c r="K544" s="872"/>
      <c r="L544" s="872"/>
      <c r="M544" s="872"/>
      <c r="N544" s="289">
        <v>2</v>
      </c>
      <c r="O544" s="245">
        <f>INT($G544*N544*100+0.5)/100</f>
        <v>0</v>
      </c>
      <c r="P544" s="289">
        <v>1</v>
      </c>
      <c r="Q544" s="245">
        <f>INT($G544*P544*100+0.5)/100</f>
        <v>0</v>
      </c>
      <c r="R544" s="289">
        <v>2</v>
      </c>
      <c r="S544" s="245">
        <f>INT($G544*R544*100+0.5)/100</f>
        <v>0</v>
      </c>
      <c r="T544" s="258">
        <v>1</v>
      </c>
      <c r="U544" s="257">
        <f>INT($G544*T544*100+0.5)/100</f>
        <v>0</v>
      </c>
      <c r="V544" s="289">
        <v>0</v>
      </c>
      <c r="W544" s="245">
        <f>INT($G544*V544*100+0.5)/100</f>
        <v>0</v>
      </c>
      <c r="X544" s="289">
        <v>0</v>
      </c>
      <c r="Y544" s="245">
        <f>INT($G544*X544*100+0.5)/100</f>
        <v>0</v>
      </c>
      <c r="Z544" s="289">
        <v>0</v>
      </c>
      <c r="AA544" s="245">
        <f>INT($G544*Z544*100+0.5)/100</f>
        <v>0</v>
      </c>
      <c r="AB544" s="289">
        <v>1</v>
      </c>
      <c r="AC544" s="245">
        <f>INT($G544*AB544*100+0.5)/100</f>
        <v>0</v>
      </c>
    </row>
    <row r="545" spans="1:29" ht="25.5">
      <c r="A545" s="250"/>
      <c r="B545" s="251"/>
      <c r="C545" s="855"/>
      <c r="D545" s="526" t="s">
        <v>1963</v>
      </c>
      <c r="E545" s="251"/>
      <c r="F545" s="735"/>
      <c r="G545" s="261"/>
      <c r="H545" s="261"/>
      <c r="I545" s="251"/>
      <c r="J545" s="261"/>
      <c r="K545" s="261"/>
      <c r="L545" s="261"/>
      <c r="M545" s="261"/>
      <c r="N545" s="258"/>
      <c r="O545" s="257"/>
      <c r="P545" s="258"/>
      <c r="Q545" s="257"/>
      <c r="R545" s="258"/>
      <c r="S545" s="257"/>
      <c r="T545" s="257"/>
      <c r="U545" s="257"/>
      <c r="V545" s="258"/>
      <c r="W545" s="257"/>
      <c r="X545" s="258"/>
      <c r="Y545" s="257"/>
      <c r="Z545" s="258"/>
      <c r="AA545" s="257"/>
      <c r="AB545" s="258"/>
      <c r="AC545" s="257"/>
    </row>
    <row r="546" spans="1:29" ht="15">
      <c r="A546" s="250"/>
      <c r="B546" s="251"/>
      <c r="C546" s="864"/>
      <c r="D546" s="292"/>
      <c r="E546" s="251"/>
      <c r="F546" s="735"/>
      <c r="G546" s="261"/>
      <c r="H546" s="261"/>
      <c r="I546" s="251"/>
      <c r="J546" s="261"/>
      <c r="K546" s="261"/>
      <c r="L546" s="261"/>
      <c r="M546" s="261"/>
      <c r="N546" s="258"/>
      <c r="O546" s="257"/>
      <c r="P546" s="258"/>
      <c r="Q546" s="257"/>
      <c r="R546" s="258"/>
      <c r="S546" s="257"/>
      <c r="T546" s="257"/>
      <c r="U546" s="257"/>
      <c r="V546" s="258"/>
      <c r="W546" s="257"/>
      <c r="X546" s="258"/>
      <c r="Y546" s="257"/>
      <c r="Z546" s="258"/>
      <c r="AA546" s="257"/>
      <c r="AB546" s="258"/>
      <c r="AC546" s="257"/>
    </row>
    <row r="547" spans="1:29" s="303" customFormat="1" ht="30">
      <c r="A547" s="298"/>
      <c r="B547" s="299"/>
      <c r="C547" s="858" t="s">
        <v>1448</v>
      </c>
      <c r="D547" s="333" t="s">
        <v>1449</v>
      </c>
      <c r="E547" s="299"/>
      <c r="F547" s="782"/>
      <c r="G547" s="271"/>
      <c r="H547" s="271">
        <f>O547+S547+Q547+U547+W547+Y547+AA547+AC547</f>
        <v>421760.08</v>
      </c>
      <c r="I547" s="299"/>
      <c r="J547" s="271"/>
      <c r="K547" s="271"/>
      <c r="L547" s="271"/>
      <c r="M547" s="271"/>
      <c r="N547" s="273"/>
      <c r="O547" s="273">
        <f>SUM(O275:O546)</f>
        <v>60004.279999999992</v>
      </c>
      <c r="P547" s="273"/>
      <c r="Q547" s="273">
        <f>SUM(Q275:Q546)</f>
        <v>81780.769999999975</v>
      </c>
      <c r="R547" s="273"/>
      <c r="S547" s="273">
        <f>SUM(S275:S546)</f>
        <v>119013.56000000001</v>
      </c>
      <c r="T547" s="273"/>
      <c r="U547" s="273">
        <f>SUM(U275:U546)</f>
        <v>5127.670000000001</v>
      </c>
      <c r="V547" s="273"/>
      <c r="W547" s="273">
        <f>SUM(W275:W546)</f>
        <v>31107.59</v>
      </c>
      <c r="X547" s="273"/>
      <c r="Y547" s="273">
        <f>SUM(Y275:Y546)</f>
        <v>46783.560000000012</v>
      </c>
      <c r="Z547" s="273"/>
      <c r="AA547" s="273">
        <f>SUM(AA275:AA546)</f>
        <v>8733.07</v>
      </c>
      <c r="AB547" s="273"/>
      <c r="AC547" s="273">
        <f>SUM(AC275:AC546)</f>
        <v>69209.58</v>
      </c>
    </row>
    <row r="548" spans="1:29" ht="15">
      <c r="A548" s="250"/>
      <c r="B548" s="251"/>
      <c r="C548" s="868"/>
      <c r="D548" s="330"/>
      <c r="E548" s="251"/>
      <c r="F548" s="735"/>
      <c r="G548" s="261"/>
      <c r="H548" s="737">
        <f>H547/'CompSolo Wolf'!I516</f>
        <v>0.82923515811696324</v>
      </c>
      <c r="I548" s="251"/>
      <c r="J548" s="261"/>
      <c r="K548" s="261"/>
      <c r="L548" s="261"/>
      <c r="M548" s="261"/>
      <c r="N548" s="258"/>
      <c r="O548" s="494">
        <f>O547/$O$1878</f>
        <v>0.35309783808728307</v>
      </c>
      <c r="P548" s="258"/>
      <c r="Q548" s="257"/>
      <c r="R548" s="258"/>
      <c r="S548" s="257"/>
      <c r="T548" s="257"/>
      <c r="U548" s="257"/>
      <c r="V548" s="258"/>
      <c r="W548" s="257"/>
      <c r="X548" s="258"/>
      <c r="Y548" s="257"/>
      <c r="Z548" s="258"/>
      <c r="AA548" s="257"/>
      <c r="AB548" s="258"/>
      <c r="AC548" s="257"/>
    </row>
    <row r="549" spans="1:29" ht="25.5">
      <c r="A549" s="250"/>
      <c r="B549" s="251"/>
      <c r="C549" s="859" t="s">
        <v>1450</v>
      </c>
      <c r="D549" s="747" t="s">
        <v>1451</v>
      </c>
      <c r="E549" s="251"/>
      <c r="F549" s="735"/>
      <c r="G549" s="261"/>
      <c r="H549" s="261"/>
      <c r="I549" s="251"/>
      <c r="J549" s="261"/>
      <c r="K549" s="261"/>
      <c r="L549" s="261"/>
      <c r="M549" s="261"/>
      <c r="N549" s="258"/>
      <c r="O549" s="257"/>
      <c r="P549" s="258"/>
      <c r="Q549" s="257"/>
      <c r="R549" s="258"/>
      <c r="S549" s="257"/>
      <c r="T549" s="257"/>
      <c r="U549" s="257"/>
      <c r="V549" s="258"/>
      <c r="W549" s="257"/>
      <c r="X549" s="258"/>
      <c r="Y549" s="257"/>
      <c r="Z549" s="258"/>
      <c r="AA549" s="257"/>
      <c r="AB549" s="258"/>
      <c r="AC549" s="257"/>
    </row>
    <row r="550" spans="1:29" ht="15">
      <c r="A550" s="250">
        <f>A544+1</f>
        <v>127</v>
      </c>
      <c r="B550" s="251"/>
      <c r="C550" s="855" t="s">
        <v>2369</v>
      </c>
      <c r="D550" s="526" t="s">
        <v>1795</v>
      </c>
      <c r="E550" s="251" t="s">
        <v>2475</v>
      </c>
      <c r="F550" s="735"/>
      <c r="G550" s="261"/>
      <c r="H550" s="261"/>
      <c r="I550" s="251" t="s">
        <v>2475</v>
      </c>
      <c r="J550" s="261"/>
      <c r="K550" s="261"/>
      <c r="L550" s="261"/>
      <c r="M550" s="261"/>
      <c r="N550" s="258"/>
      <c r="O550" s="257"/>
      <c r="P550" s="258"/>
      <c r="Q550" s="257"/>
      <c r="R550" s="258"/>
      <c r="S550" s="257"/>
      <c r="T550" s="257"/>
      <c r="U550" s="257"/>
      <c r="V550" s="258"/>
      <c r="W550" s="257"/>
      <c r="X550" s="258"/>
      <c r="Y550" s="257"/>
      <c r="Z550" s="258"/>
      <c r="AA550" s="257"/>
      <c r="AB550" s="258"/>
      <c r="AC550" s="257"/>
    </row>
    <row r="551" spans="1:29" ht="15">
      <c r="A551" s="250"/>
      <c r="B551" s="251"/>
      <c r="C551" s="860"/>
      <c r="D551" s="526" t="s">
        <v>1794</v>
      </c>
      <c r="E551" s="251"/>
      <c r="F551" s="735"/>
      <c r="G551" s="261"/>
      <c r="H551" s="261"/>
      <c r="I551" s="251"/>
      <c r="J551" s="261"/>
      <c r="K551" s="261"/>
      <c r="L551" s="261"/>
      <c r="M551" s="261"/>
      <c r="N551" s="258"/>
      <c r="O551" s="257"/>
      <c r="P551" s="258"/>
      <c r="Q551" s="257"/>
      <c r="R551" s="258"/>
      <c r="S551" s="257"/>
      <c r="T551" s="257"/>
      <c r="U551" s="257"/>
      <c r="V551" s="258"/>
      <c r="W551" s="257"/>
      <c r="X551" s="258"/>
      <c r="Y551" s="257"/>
      <c r="Z551" s="258"/>
      <c r="AA551" s="257"/>
      <c r="AB551" s="258"/>
      <c r="AC551" s="257"/>
    </row>
    <row r="552" spans="1:29" ht="15">
      <c r="A552" s="250"/>
      <c r="B552" s="251"/>
      <c r="C552" s="860"/>
      <c r="D552" s="830" t="s">
        <v>1964</v>
      </c>
      <c r="E552" s="251"/>
      <c r="F552" s="735">
        <f>N552+R552+P552+T552+V552+X552+Z552+AB552</f>
        <v>80</v>
      </c>
      <c r="G552" s="872">
        <v>19.100000000000001</v>
      </c>
      <c r="H552" s="261">
        <f>O552+S552+Q552+U552+W552+Y552+AA552+AC552</f>
        <v>1528</v>
      </c>
      <c r="I552" s="251"/>
      <c r="J552" s="872"/>
      <c r="K552" s="872"/>
      <c r="L552" s="872"/>
      <c r="M552" s="872"/>
      <c r="N552" s="258">
        <v>20</v>
      </c>
      <c r="O552" s="257">
        <f>INT($G552*N552*100+0.5)/100</f>
        <v>382</v>
      </c>
      <c r="P552" s="258">
        <v>20</v>
      </c>
      <c r="Q552" s="257">
        <f>INT($G552*P552*100+0.5)/100</f>
        <v>382</v>
      </c>
      <c r="R552" s="258">
        <v>20</v>
      </c>
      <c r="S552" s="257">
        <f>INT($G552*R552*100+0.5)/100</f>
        <v>382</v>
      </c>
      <c r="T552" s="257"/>
      <c r="U552" s="257"/>
      <c r="V552" s="258">
        <v>20</v>
      </c>
      <c r="W552" s="257">
        <f>INT($G552*V552*100+0.5)/100</f>
        <v>382</v>
      </c>
      <c r="X552" s="258">
        <v>0</v>
      </c>
      <c r="Y552" s="257">
        <f>INT($G552*X552*100+0.5)/100</f>
        <v>0</v>
      </c>
      <c r="Z552" s="258">
        <v>0</v>
      </c>
      <c r="AA552" s="257">
        <f>INT($G552*Z552*100+0.5)/100</f>
        <v>0</v>
      </c>
      <c r="AB552" s="258">
        <v>0</v>
      </c>
      <c r="AC552" s="257">
        <f>INT($G552*AB552*100+0.5)/100</f>
        <v>0</v>
      </c>
    </row>
    <row r="553" spans="1:29" ht="15">
      <c r="A553" s="250"/>
      <c r="B553" s="251"/>
      <c r="C553" s="860"/>
      <c r="D553" s="292"/>
      <c r="E553" s="251"/>
      <c r="F553" s="735"/>
      <c r="G553" s="872"/>
      <c r="H553" s="261"/>
      <c r="I553" s="251"/>
      <c r="J553" s="872"/>
      <c r="K553" s="872"/>
      <c r="L553" s="872"/>
      <c r="M553" s="872"/>
      <c r="N553" s="258"/>
      <c r="O553" s="257"/>
      <c r="P553" s="258"/>
      <c r="Q553" s="257"/>
      <c r="R553" s="258"/>
      <c r="S553" s="257"/>
      <c r="T553" s="257"/>
      <c r="U553" s="257"/>
      <c r="V553" s="258"/>
      <c r="W553" s="257"/>
      <c r="X553" s="258"/>
      <c r="Y553" s="257"/>
      <c r="Z553" s="258"/>
      <c r="AA553" s="257"/>
      <c r="AB553" s="258"/>
      <c r="AC553" s="257"/>
    </row>
    <row r="554" spans="1:29" ht="25.5">
      <c r="A554" s="250">
        <f>A550+1</f>
        <v>128</v>
      </c>
      <c r="B554" s="251"/>
      <c r="C554" s="855" t="s">
        <v>2371</v>
      </c>
      <c r="D554" s="526" t="s">
        <v>1965</v>
      </c>
      <c r="E554" s="251" t="s">
        <v>2475</v>
      </c>
      <c r="F554" s="735">
        <f>N554+R554+P554+T554+V554+X554+Z554+AB554</f>
        <v>493.5</v>
      </c>
      <c r="G554" s="872">
        <v>12.07</v>
      </c>
      <c r="H554" s="261">
        <f>O554+S554+Q554+U554+W554+Y554+AA554+AC554</f>
        <v>5956.55</v>
      </c>
      <c r="I554" s="251" t="s">
        <v>2475</v>
      </c>
      <c r="J554" s="872"/>
      <c r="K554" s="872"/>
      <c r="L554" s="872"/>
      <c r="M554" s="872"/>
      <c r="N554" s="258">
        <f>90+(132.5+10)+(23+136.5+101.5)</f>
        <v>493.5</v>
      </c>
      <c r="O554" s="257">
        <f>INT($G554*N554*100+0.5)/100</f>
        <v>5956.55</v>
      </c>
      <c r="P554" s="258">
        <v>0</v>
      </c>
      <c r="Q554" s="257">
        <f>INT($G554*P554*100+0.5)/100</f>
        <v>0</v>
      </c>
      <c r="R554" s="258">
        <v>0</v>
      </c>
      <c r="S554" s="257">
        <f>INT($G554*R554*100+0.5)/100</f>
        <v>0</v>
      </c>
      <c r="T554" s="257"/>
      <c r="U554" s="257"/>
      <c r="V554" s="258">
        <v>0</v>
      </c>
      <c r="W554" s="257">
        <f>INT($G554*V554*100+0.5)/100</f>
        <v>0</v>
      </c>
      <c r="X554" s="258">
        <v>0</v>
      </c>
      <c r="Y554" s="257">
        <f>INT($G554*X554*100+0.5)/100</f>
        <v>0</v>
      </c>
      <c r="Z554" s="258">
        <v>0</v>
      </c>
      <c r="AA554" s="257">
        <f>INT($G554*Z554*100+0.5)/100</f>
        <v>0</v>
      </c>
      <c r="AB554" s="258">
        <v>0</v>
      </c>
      <c r="AC554" s="257">
        <f>INT($G554*AB554*100+0.5)/100</f>
        <v>0</v>
      </c>
    </row>
    <row r="555" spans="1:29" ht="15">
      <c r="A555" s="250"/>
      <c r="B555" s="251"/>
      <c r="C555" s="855"/>
      <c r="D555" s="526" t="s">
        <v>1966</v>
      </c>
      <c r="E555" s="251"/>
      <c r="F555" s="735"/>
      <c r="G555" s="872"/>
      <c r="H555" s="261"/>
      <c r="I555" s="251"/>
      <c r="J555" s="872"/>
      <c r="K555" s="872"/>
      <c r="L555" s="872"/>
      <c r="M555" s="872"/>
      <c r="N555" s="258"/>
      <c r="O555" s="257"/>
      <c r="P555" s="258"/>
      <c r="Q555" s="257"/>
      <c r="R555" s="258"/>
      <c r="S555" s="257"/>
      <c r="T555" s="257"/>
      <c r="U555" s="257"/>
      <c r="V555" s="258"/>
      <c r="W555" s="257"/>
      <c r="X555" s="258"/>
      <c r="Y555" s="257"/>
      <c r="Z555" s="258"/>
      <c r="AA555" s="257"/>
      <c r="AB555" s="258"/>
      <c r="AC555" s="257"/>
    </row>
    <row r="556" spans="1:29" ht="15">
      <c r="A556" s="250"/>
      <c r="B556" s="251"/>
      <c r="C556" s="855"/>
      <c r="D556" s="292"/>
      <c r="E556" s="251"/>
      <c r="F556" s="735"/>
      <c r="G556" s="872"/>
      <c r="H556" s="261"/>
      <c r="I556" s="251"/>
      <c r="J556" s="872"/>
      <c r="K556" s="872"/>
      <c r="L556" s="872"/>
      <c r="M556" s="872"/>
      <c r="N556" s="258"/>
      <c r="O556" s="257"/>
      <c r="P556" s="258"/>
      <c r="Q556" s="257"/>
      <c r="R556" s="258"/>
      <c r="S556" s="257"/>
      <c r="T556" s="257"/>
      <c r="U556" s="257"/>
      <c r="V556" s="258"/>
      <c r="W556" s="257"/>
      <c r="X556" s="258"/>
      <c r="Y556" s="257"/>
      <c r="Z556" s="258"/>
      <c r="AA556" s="257"/>
      <c r="AB556" s="258"/>
      <c r="AC556" s="257"/>
    </row>
    <row r="557" spans="1:29" ht="25.5">
      <c r="A557" s="250">
        <f>A554+1</f>
        <v>129</v>
      </c>
      <c r="B557" s="251"/>
      <c r="C557" s="855" t="s">
        <v>2372</v>
      </c>
      <c r="D557" s="526" t="s">
        <v>465</v>
      </c>
      <c r="E557" s="251" t="s">
        <v>2475</v>
      </c>
      <c r="F557" s="735">
        <f>N557+R557+P557+T557+V557+X557+Z557+AB557</f>
        <v>232.5</v>
      </c>
      <c r="G557" s="872">
        <v>15.61</v>
      </c>
      <c r="H557" s="261">
        <f>O557+S557+Q557+U557+W557+Y557+AA557+AC557</f>
        <v>3629.33</v>
      </c>
      <c r="I557" s="251" t="s">
        <v>2475</v>
      </c>
      <c r="J557" s="872"/>
      <c r="K557" s="872"/>
      <c r="L557" s="872"/>
      <c r="M557" s="872"/>
      <c r="N557" s="258">
        <f>90+(132.5+10)</f>
        <v>232.5</v>
      </c>
      <c r="O557" s="257">
        <f>INT($G557*N557*100+0.5)/100</f>
        <v>3629.33</v>
      </c>
      <c r="P557" s="258">
        <v>0</v>
      </c>
      <c r="Q557" s="257">
        <f>INT($G557*P557*100+0.5)/100</f>
        <v>0</v>
      </c>
      <c r="R557" s="258">
        <v>0</v>
      </c>
      <c r="S557" s="257">
        <f>INT($G557*R557*100+0.5)/100</f>
        <v>0</v>
      </c>
      <c r="T557" s="257"/>
      <c r="U557" s="257"/>
      <c r="V557" s="258">
        <v>0</v>
      </c>
      <c r="W557" s="257">
        <f>INT($G557*V557*100+0.5)/100</f>
        <v>0</v>
      </c>
      <c r="X557" s="258">
        <v>0</v>
      </c>
      <c r="Y557" s="257">
        <f>INT($G557*X557*100+0.5)/100</f>
        <v>0</v>
      </c>
      <c r="Z557" s="258">
        <v>0</v>
      </c>
      <c r="AA557" s="257">
        <f>INT($G557*Z557*100+0.5)/100</f>
        <v>0</v>
      </c>
      <c r="AB557" s="258">
        <v>0</v>
      </c>
      <c r="AC557" s="257">
        <f>INT($G557*AB557*100+0.5)/100</f>
        <v>0</v>
      </c>
    </row>
    <row r="558" spans="1:29" ht="15">
      <c r="A558" s="250"/>
      <c r="B558" s="251"/>
      <c r="C558" s="855"/>
      <c r="D558" s="526" t="s">
        <v>464</v>
      </c>
      <c r="E558" s="251"/>
      <c r="F558" s="735"/>
      <c r="G558" s="872"/>
      <c r="H558" s="261"/>
      <c r="I558" s="251"/>
      <c r="J558" s="872"/>
      <c r="K558" s="872"/>
      <c r="L558" s="872"/>
      <c r="M558" s="872"/>
      <c r="N558" s="258"/>
      <c r="O558" s="257"/>
      <c r="P558" s="258"/>
      <c r="Q558" s="257"/>
      <c r="R558" s="258"/>
      <c r="S558" s="257"/>
      <c r="T558" s="257"/>
      <c r="U558" s="257"/>
      <c r="V558" s="258"/>
      <c r="W558" s="257"/>
      <c r="X558" s="258"/>
      <c r="Y558" s="257"/>
      <c r="Z558" s="258"/>
      <c r="AA558" s="257"/>
      <c r="AB558" s="258"/>
      <c r="AC558" s="257"/>
    </row>
    <row r="559" spans="1:29" ht="15">
      <c r="A559" s="250"/>
      <c r="B559" s="251"/>
      <c r="C559" s="855"/>
      <c r="D559" s="292"/>
      <c r="E559" s="251"/>
      <c r="F559" s="735"/>
      <c r="G559" s="872"/>
      <c r="H559" s="261"/>
      <c r="I559" s="251"/>
      <c r="J559" s="872"/>
      <c r="K559" s="872"/>
      <c r="L559" s="872"/>
      <c r="M559" s="872"/>
      <c r="N559" s="258"/>
      <c r="O559" s="257"/>
      <c r="P559" s="258"/>
      <c r="Q559" s="257"/>
      <c r="R559" s="258"/>
      <c r="S559" s="257"/>
      <c r="T559" s="257"/>
      <c r="U559" s="257"/>
      <c r="V559" s="258"/>
      <c r="W559" s="257"/>
      <c r="X559" s="258"/>
      <c r="Y559" s="257"/>
      <c r="Z559" s="258"/>
      <c r="AA559" s="257"/>
      <c r="AB559" s="258"/>
      <c r="AC559" s="257"/>
    </row>
    <row r="560" spans="1:29" ht="25.5">
      <c r="A560" s="250">
        <f>A557+1</f>
        <v>130</v>
      </c>
      <c r="B560" s="251"/>
      <c r="C560" s="855" t="s">
        <v>2373</v>
      </c>
      <c r="D560" s="526" t="s">
        <v>1967</v>
      </c>
      <c r="E560" s="251" t="s">
        <v>2475</v>
      </c>
      <c r="F560" s="735">
        <f>N560+R560+P560+T560+V560+X560+Z560+AB560</f>
        <v>10</v>
      </c>
      <c r="G560" s="872">
        <v>23.08</v>
      </c>
      <c r="H560" s="261">
        <f>O560+S560+Q560+U560+W560+Y560+AA560+AC560</f>
        <v>230.8</v>
      </c>
      <c r="I560" s="251" t="s">
        <v>2475</v>
      </c>
      <c r="J560" s="872"/>
      <c r="K560" s="872"/>
      <c r="L560" s="872"/>
      <c r="M560" s="872"/>
      <c r="N560" s="258">
        <v>10</v>
      </c>
      <c r="O560" s="257">
        <f>INT($G560*N560*100+0.5)/100</f>
        <v>230.8</v>
      </c>
      <c r="P560" s="258">
        <v>0</v>
      </c>
      <c r="Q560" s="257">
        <f>INT($G560*P560*100+0.5)/100</f>
        <v>0</v>
      </c>
      <c r="R560" s="258">
        <v>0</v>
      </c>
      <c r="S560" s="257">
        <f>INT($G560*R560*100+0.5)/100</f>
        <v>0</v>
      </c>
      <c r="T560" s="257"/>
      <c r="U560" s="257"/>
      <c r="V560" s="258">
        <v>0</v>
      </c>
      <c r="W560" s="257">
        <f>INT($G560*V560*100+0.5)/100</f>
        <v>0</v>
      </c>
      <c r="X560" s="258">
        <v>0</v>
      </c>
      <c r="Y560" s="257">
        <f>INT($G560*X560*100+0.5)/100</f>
        <v>0</v>
      </c>
      <c r="Z560" s="258">
        <v>0</v>
      </c>
      <c r="AA560" s="257">
        <f>INT($G560*Z560*100+0.5)/100</f>
        <v>0</v>
      </c>
      <c r="AB560" s="258">
        <v>0</v>
      </c>
      <c r="AC560" s="257">
        <f>INT($G560*AB560*100+0.5)/100</f>
        <v>0</v>
      </c>
    </row>
    <row r="561" spans="1:29" ht="15">
      <c r="A561" s="250"/>
      <c r="B561" s="251"/>
      <c r="C561" s="855"/>
      <c r="D561" s="526" t="s">
        <v>1968</v>
      </c>
      <c r="E561" s="251"/>
      <c r="F561" s="735"/>
      <c r="G561" s="261"/>
      <c r="H561" s="261"/>
      <c r="I561" s="251"/>
      <c r="J561" s="261"/>
      <c r="K561" s="261"/>
      <c r="L561" s="261"/>
      <c r="M561" s="261"/>
      <c r="N561" s="258"/>
      <c r="O561" s="257"/>
      <c r="P561" s="258"/>
      <c r="Q561" s="257"/>
      <c r="R561" s="258"/>
      <c r="S561" s="257"/>
      <c r="T561" s="257"/>
      <c r="U561" s="257"/>
      <c r="V561" s="258"/>
      <c r="W561" s="257"/>
      <c r="X561" s="258"/>
      <c r="Y561" s="257"/>
      <c r="Z561" s="258"/>
      <c r="AA561" s="257"/>
      <c r="AB561" s="258"/>
      <c r="AC561" s="257"/>
    </row>
    <row r="562" spans="1:29" ht="15">
      <c r="A562" s="250"/>
      <c r="B562" s="251"/>
      <c r="C562" s="855"/>
      <c r="D562" s="526"/>
      <c r="E562" s="251"/>
      <c r="F562" s="735"/>
      <c r="G562" s="261"/>
      <c r="H562" s="261"/>
      <c r="I562" s="251"/>
      <c r="J562" s="261"/>
      <c r="K562" s="261"/>
      <c r="L562" s="261"/>
      <c r="M562" s="261"/>
      <c r="N562" s="258"/>
      <c r="O562" s="257"/>
      <c r="P562" s="258"/>
      <c r="Q562" s="257"/>
      <c r="R562" s="258"/>
      <c r="S562" s="257"/>
      <c r="T562" s="257"/>
      <c r="U562" s="257"/>
      <c r="V562" s="258"/>
      <c r="W562" s="257"/>
      <c r="X562" s="258"/>
      <c r="Y562" s="257"/>
      <c r="Z562" s="258"/>
      <c r="AA562" s="257"/>
      <c r="AB562" s="258"/>
      <c r="AC562" s="257"/>
    </row>
    <row r="563" spans="1:29" s="303" customFormat="1" ht="30">
      <c r="A563" s="298"/>
      <c r="B563" s="299"/>
      <c r="C563" s="858" t="s">
        <v>1450</v>
      </c>
      <c r="D563" s="333" t="s">
        <v>1451</v>
      </c>
      <c r="E563" s="299"/>
      <c r="F563" s="782"/>
      <c r="G563" s="271"/>
      <c r="H563" s="271">
        <f>O563+S563+Q563+U563+W563+Y563+AA563+AC563</f>
        <v>11344.68</v>
      </c>
      <c r="I563" s="299"/>
      <c r="J563" s="271"/>
      <c r="K563" s="271"/>
      <c r="L563" s="271"/>
      <c r="M563" s="271"/>
      <c r="N563" s="273"/>
      <c r="O563" s="273">
        <f>SUM(O550:O562)</f>
        <v>10198.68</v>
      </c>
      <c r="P563" s="273"/>
      <c r="Q563" s="273">
        <f>SUM(Q550:Q562)</f>
        <v>382</v>
      </c>
      <c r="R563" s="273"/>
      <c r="S563" s="273">
        <f>SUM(S550:S562)</f>
        <v>382</v>
      </c>
      <c r="T563" s="273"/>
      <c r="U563" s="273">
        <f>SUM(U550:U562)</f>
        <v>0</v>
      </c>
      <c r="V563" s="273"/>
      <c r="W563" s="273">
        <f>SUM(W550:W562)</f>
        <v>382</v>
      </c>
      <c r="X563" s="273"/>
      <c r="Y563" s="273">
        <f>SUM(Y550:Y562)</f>
        <v>0</v>
      </c>
      <c r="Z563" s="273"/>
      <c r="AA563" s="273">
        <f>SUM(AA550:AA562)</f>
        <v>0</v>
      </c>
      <c r="AB563" s="273"/>
      <c r="AC563" s="273">
        <f>SUM(AC550:AC562)</f>
        <v>0</v>
      </c>
    </row>
    <row r="564" spans="1:29" ht="15">
      <c r="A564" s="250"/>
      <c r="B564" s="251"/>
      <c r="C564" s="868"/>
      <c r="D564" s="330"/>
      <c r="E564" s="251"/>
      <c r="F564" s="735"/>
      <c r="G564" s="261"/>
      <c r="H564" s="737"/>
      <c r="I564" s="251"/>
      <c r="J564" s="261"/>
      <c r="K564" s="261"/>
      <c r="L564" s="261"/>
      <c r="M564" s="261"/>
      <c r="N564" s="258"/>
      <c r="O564" s="494"/>
      <c r="P564" s="258"/>
      <c r="Q564" s="257"/>
      <c r="R564" s="258"/>
      <c r="S564" s="257"/>
      <c r="T564" s="257"/>
      <c r="U564" s="257"/>
      <c r="V564" s="258"/>
      <c r="W564" s="257"/>
      <c r="X564" s="258"/>
      <c r="Y564" s="257"/>
      <c r="Z564" s="258"/>
      <c r="AA564" s="257"/>
      <c r="AB564" s="258"/>
      <c r="AC564" s="257"/>
    </row>
    <row r="565" spans="1:29" ht="39.6" hidden="1" customHeight="1">
      <c r="A565" s="250"/>
      <c r="B565" s="251"/>
      <c r="C565" s="859" t="s">
        <v>1452</v>
      </c>
      <c r="D565" s="747" t="s">
        <v>1552</v>
      </c>
      <c r="E565" s="251"/>
      <c r="F565" s="735"/>
      <c r="G565" s="261"/>
      <c r="H565" s="261"/>
      <c r="I565" s="251"/>
      <c r="J565" s="261"/>
      <c r="K565" s="261"/>
      <c r="L565" s="261"/>
      <c r="M565" s="261"/>
      <c r="N565" s="258"/>
      <c r="O565" s="257"/>
      <c r="P565" s="258"/>
      <c r="Q565" s="257"/>
      <c r="R565" s="258"/>
      <c r="S565" s="257"/>
      <c r="T565" s="257"/>
      <c r="U565" s="257"/>
      <c r="V565" s="258"/>
      <c r="W565" s="257"/>
      <c r="X565" s="258"/>
      <c r="Y565" s="257"/>
      <c r="Z565" s="258"/>
      <c r="AA565" s="257"/>
      <c r="AB565" s="258"/>
      <c r="AC565" s="257"/>
    </row>
    <row r="566" spans="1:29" ht="26.45" hidden="1" customHeight="1">
      <c r="A566" s="750" t="s">
        <v>2510</v>
      </c>
      <c r="B566" s="251"/>
      <c r="C566" s="869" t="s">
        <v>684</v>
      </c>
      <c r="D566" s="532" t="s">
        <v>685</v>
      </c>
      <c r="E566" s="251" t="s">
        <v>2657</v>
      </c>
      <c r="F566" s="735">
        <f>N566+R566+P566+T566+V566+X566+Z566+AB566</f>
        <v>0</v>
      </c>
      <c r="G566" s="261">
        <v>2500</v>
      </c>
      <c r="H566" s="261">
        <f>O566+S566+Q566+U566+W566+Y566+AA566+AC566</f>
        <v>0</v>
      </c>
      <c r="I566" s="251" t="s">
        <v>2657</v>
      </c>
      <c r="J566" s="261"/>
      <c r="K566" s="261"/>
      <c r="L566" s="261"/>
      <c r="M566" s="261"/>
      <c r="N566" s="258">
        <v>0</v>
      </c>
      <c r="O566" s="257">
        <f>INT($G566*N566*100+0.5)/100</f>
        <v>0</v>
      </c>
      <c r="P566" s="258">
        <v>0</v>
      </c>
      <c r="Q566" s="257">
        <f>INT($G566*P566*100+0.5)/100</f>
        <v>0</v>
      </c>
      <c r="R566" s="258">
        <v>0</v>
      </c>
      <c r="S566" s="257">
        <f>INT($G566*R566*100+0.5)/100</f>
        <v>0</v>
      </c>
      <c r="T566" s="257"/>
      <c r="U566" s="257"/>
      <c r="V566" s="258">
        <v>0</v>
      </c>
      <c r="W566" s="257">
        <f>INT($G566*V566*100+0.5)/100</f>
        <v>0</v>
      </c>
      <c r="X566" s="258">
        <v>0</v>
      </c>
      <c r="Y566" s="257">
        <f>INT($G566*X566*100+0.5)/100</f>
        <v>0</v>
      </c>
      <c r="Z566" s="258">
        <v>0</v>
      </c>
      <c r="AA566" s="257">
        <f>INT($G566*Z566*100+0.5)/100</f>
        <v>0</v>
      </c>
      <c r="AB566" s="258">
        <v>0</v>
      </c>
      <c r="AC566" s="257">
        <f>INT($G566*AB566*100+0.5)/100</f>
        <v>0</v>
      </c>
    </row>
    <row r="567" spans="1:29" ht="26.45" hidden="1" customHeight="1">
      <c r="A567" s="250"/>
      <c r="B567" s="251"/>
      <c r="C567" s="869"/>
      <c r="D567" s="678" t="s">
        <v>686</v>
      </c>
      <c r="E567" s="251"/>
      <c r="F567" s="735"/>
      <c r="G567" s="261"/>
      <c r="H567" s="261"/>
      <c r="I567" s="251"/>
      <c r="J567" s="261"/>
      <c r="K567" s="261"/>
      <c r="L567" s="261"/>
      <c r="M567" s="261"/>
      <c r="N567" s="258"/>
      <c r="O567" s="257"/>
      <c r="P567" s="258"/>
      <c r="Q567" s="257"/>
      <c r="R567" s="258"/>
      <c r="S567" s="257"/>
      <c r="T567" s="257"/>
      <c r="U567" s="257"/>
      <c r="V567" s="258"/>
      <c r="W567" s="257"/>
      <c r="X567" s="258"/>
      <c r="Y567" s="257"/>
      <c r="Z567" s="258"/>
      <c r="AA567" s="257"/>
      <c r="AB567" s="258"/>
      <c r="AC567" s="257"/>
    </row>
    <row r="568" spans="1:29" ht="15.6" hidden="1" customHeight="1">
      <c r="A568" s="250"/>
      <c r="B568" s="251"/>
      <c r="C568" s="869"/>
      <c r="D568" s="292"/>
      <c r="E568" s="251"/>
      <c r="F568" s="735"/>
      <c r="G568" s="261"/>
      <c r="H568" s="261"/>
      <c r="I568" s="251"/>
      <c r="J568" s="261"/>
      <c r="K568" s="261"/>
      <c r="L568" s="261"/>
      <c r="M568" s="261"/>
      <c r="N568" s="258"/>
      <c r="O568" s="257"/>
      <c r="P568" s="258"/>
      <c r="Q568" s="257"/>
      <c r="R568" s="258"/>
      <c r="S568" s="257"/>
      <c r="T568" s="257"/>
      <c r="U568" s="257"/>
      <c r="V568" s="258"/>
      <c r="W568" s="257"/>
      <c r="X568" s="258"/>
      <c r="Y568" s="257"/>
      <c r="Z568" s="258"/>
      <c r="AA568" s="257"/>
      <c r="AB568" s="258"/>
      <c r="AC568" s="257"/>
    </row>
    <row r="569" spans="1:29" ht="15.6" hidden="1" customHeight="1">
      <c r="A569" s="250" t="e">
        <f>A566+1</f>
        <v>#VALUE!</v>
      </c>
      <c r="B569" s="251"/>
      <c r="C569" s="869" t="s">
        <v>687</v>
      </c>
      <c r="D569" s="532" t="s">
        <v>1853</v>
      </c>
      <c r="E569" s="251" t="s">
        <v>2475</v>
      </c>
      <c r="F569" s="735">
        <f>N569+R569+P569+T569+V569+X569+Z569+AB569</f>
        <v>0</v>
      </c>
      <c r="G569" s="261">
        <v>63</v>
      </c>
      <c r="H569" s="261">
        <f>O569+S569+Q569+U569+W569+Y569+AA569+AC569</f>
        <v>0</v>
      </c>
      <c r="I569" s="251" t="s">
        <v>2475</v>
      </c>
      <c r="J569" s="261"/>
      <c r="K569" s="261"/>
      <c r="L569" s="261"/>
      <c r="M569" s="261"/>
      <c r="N569" s="258">
        <v>0</v>
      </c>
      <c r="O569" s="257">
        <f>INT($G569*N569*100+0.5)/100</f>
        <v>0</v>
      </c>
      <c r="P569" s="258">
        <v>0</v>
      </c>
      <c r="Q569" s="257">
        <f>INT($G569*P569*100+0.5)/100</f>
        <v>0</v>
      </c>
      <c r="R569" s="258">
        <v>0</v>
      </c>
      <c r="S569" s="257">
        <f>INT($G569*R569*100+0.5)/100</f>
        <v>0</v>
      </c>
      <c r="T569" s="257"/>
      <c r="U569" s="257"/>
      <c r="V569" s="258">
        <v>0</v>
      </c>
      <c r="W569" s="257">
        <f>INT($G569*V569*100+0.5)/100</f>
        <v>0</v>
      </c>
      <c r="X569" s="258">
        <v>0</v>
      </c>
      <c r="Y569" s="257">
        <f>INT($G569*X569*100+0.5)/100</f>
        <v>0</v>
      </c>
      <c r="Z569" s="258">
        <v>0</v>
      </c>
      <c r="AA569" s="257">
        <f>INT($G569*Z569*100+0.5)/100</f>
        <v>0</v>
      </c>
      <c r="AB569" s="258">
        <v>0</v>
      </c>
      <c r="AC569" s="257">
        <f>INT($G569*AB569*100+0.5)/100</f>
        <v>0</v>
      </c>
    </row>
    <row r="570" spans="1:29" ht="15.6" hidden="1" customHeight="1">
      <c r="A570" s="250"/>
      <c r="B570" s="251"/>
      <c r="C570" s="869"/>
      <c r="D570" s="532" t="s">
        <v>1852</v>
      </c>
      <c r="E570" s="251"/>
      <c r="F570" s="735"/>
      <c r="G570" s="261"/>
      <c r="H570" s="261"/>
      <c r="I570" s="251"/>
      <c r="J570" s="261"/>
      <c r="K570" s="261"/>
      <c r="L570" s="261"/>
      <c r="M570" s="261"/>
      <c r="N570" s="258"/>
      <c r="O570" s="257"/>
      <c r="P570" s="258"/>
      <c r="Q570" s="257"/>
      <c r="R570" s="258"/>
      <c r="S570" s="257"/>
      <c r="T570" s="257"/>
      <c r="U570" s="257"/>
      <c r="V570" s="258"/>
      <c r="W570" s="257"/>
      <c r="X570" s="258"/>
      <c r="Y570" s="257"/>
      <c r="Z570" s="258"/>
      <c r="AA570" s="257"/>
      <c r="AB570" s="258"/>
      <c r="AC570" s="257"/>
    </row>
    <row r="571" spans="1:29" ht="15.6" hidden="1" customHeight="1">
      <c r="A571" s="250"/>
      <c r="B571" s="251"/>
      <c r="C571" s="869"/>
      <c r="D571" s="292"/>
      <c r="E571" s="251"/>
      <c r="F571" s="735"/>
      <c r="G571" s="261"/>
      <c r="H571" s="261"/>
      <c r="I571" s="251"/>
      <c r="J571" s="261"/>
      <c r="K571" s="261"/>
      <c r="L571" s="261"/>
      <c r="M571" s="261"/>
      <c r="N571" s="258"/>
      <c r="O571" s="257"/>
      <c r="P571" s="258"/>
      <c r="Q571" s="257"/>
      <c r="R571" s="258"/>
      <c r="S571" s="257"/>
      <c r="T571" s="257"/>
      <c r="U571" s="257"/>
      <c r="V571" s="258"/>
      <c r="W571" s="257"/>
      <c r="X571" s="258"/>
      <c r="Y571" s="257"/>
      <c r="Z571" s="258"/>
      <c r="AA571" s="257"/>
      <c r="AB571" s="258"/>
      <c r="AC571" s="257"/>
    </row>
    <row r="572" spans="1:29" ht="15.6" hidden="1" customHeight="1">
      <c r="A572" s="250" t="e">
        <f>A569+1</f>
        <v>#VALUE!</v>
      </c>
      <c r="B572" s="251"/>
      <c r="C572" s="869" t="s">
        <v>688</v>
      </c>
      <c r="D572" s="532" t="s">
        <v>1857</v>
      </c>
      <c r="E572" s="251" t="s">
        <v>2461</v>
      </c>
      <c r="F572" s="735">
        <f>N572+R572+P572+T572+V572+X572+Z572+AB572</f>
        <v>0</v>
      </c>
      <c r="G572" s="261">
        <v>192.3</v>
      </c>
      <c r="H572" s="261">
        <f>O572+S572+Q572+U572+W572+Y572+AA572+AC572</f>
        <v>0</v>
      </c>
      <c r="I572" s="251" t="s">
        <v>2461</v>
      </c>
      <c r="J572" s="261"/>
      <c r="K572" s="261"/>
      <c r="L572" s="261"/>
      <c r="M572" s="261"/>
      <c r="N572" s="258">
        <v>0</v>
      </c>
      <c r="O572" s="257">
        <f>INT($G572*N572*100+0.5)/100</f>
        <v>0</v>
      </c>
      <c r="P572" s="258">
        <v>0</v>
      </c>
      <c r="Q572" s="257">
        <f>INT($G572*P572*100+0.5)/100</f>
        <v>0</v>
      </c>
      <c r="R572" s="258">
        <v>0</v>
      </c>
      <c r="S572" s="257">
        <f>INT($G572*R572*100+0.5)/100</f>
        <v>0</v>
      </c>
      <c r="T572" s="257"/>
      <c r="U572" s="257"/>
      <c r="V572" s="258">
        <v>0</v>
      </c>
      <c r="W572" s="257">
        <f>INT($G572*V572*100+0.5)/100</f>
        <v>0</v>
      </c>
      <c r="X572" s="258">
        <v>0</v>
      </c>
      <c r="Y572" s="257">
        <f>INT($G572*X572*100+0.5)/100</f>
        <v>0</v>
      </c>
      <c r="Z572" s="258">
        <v>0</v>
      </c>
      <c r="AA572" s="257">
        <f>INT($G572*Z572*100+0.5)/100</f>
        <v>0</v>
      </c>
      <c r="AB572" s="258">
        <v>0</v>
      </c>
      <c r="AC572" s="257">
        <f>INT($G572*AB572*100+0.5)/100</f>
        <v>0</v>
      </c>
    </row>
    <row r="573" spans="1:29" ht="15.6" hidden="1" customHeight="1">
      <c r="A573" s="250"/>
      <c r="B573" s="251"/>
      <c r="C573" s="869"/>
      <c r="D573" s="532" t="s">
        <v>1856</v>
      </c>
      <c r="E573" s="251"/>
      <c r="F573" s="735"/>
      <c r="G573" s="261"/>
      <c r="H573" s="261"/>
      <c r="I573" s="251"/>
      <c r="J573" s="261"/>
      <c r="K573" s="261"/>
      <c r="L573" s="261"/>
      <c r="M573" s="261"/>
      <c r="N573" s="258"/>
      <c r="O573" s="257"/>
      <c r="P573" s="258"/>
      <c r="Q573" s="257"/>
      <c r="R573" s="258"/>
      <c r="S573" s="257"/>
      <c r="T573" s="257"/>
      <c r="U573" s="257"/>
      <c r="V573" s="258"/>
      <c r="W573" s="257"/>
      <c r="X573" s="258"/>
      <c r="Y573" s="257"/>
      <c r="Z573" s="258"/>
      <c r="AA573" s="257"/>
      <c r="AB573" s="258"/>
      <c r="AC573" s="257"/>
    </row>
    <row r="574" spans="1:29" ht="15.6" hidden="1" customHeight="1">
      <c r="A574" s="250"/>
      <c r="B574" s="251"/>
      <c r="C574" s="869"/>
      <c r="D574" s="292"/>
      <c r="E574" s="251"/>
      <c r="F574" s="735"/>
      <c r="G574" s="261"/>
      <c r="H574" s="261"/>
      <c r="I574" s="251"/>
      <c r="J574" s="261"/>
      <c r="K574" s="261"/>
      <c r="L574" s="261"/>
      <c r="M574" s="261"/>
      <c r="N574" s="258"/>
      <c r="O574" s="257"/>
      <c r="P574" s="258"/>
      <c r="Q574" s="257"/>
      <c r="R574" s="258"/>
      <c r="S574" s="257"/>
      <c r="T574" s="257"/>
      <c r="U574" s="257"/>
      <c r="V574" s="258"/>
      <c r="W574" s="257"/>
      <c r="X574" s="258"/>
      <c r="Y574" s="257"/>
      <c r="Z574" s="258"/>
      <c r="AA574" s="257"/>
      <c r="AB574" s="258"/>
      <c r="AC574" s="257"/>
    </row>
    <row r="575" spans="1:29" ht="15.6" hidden="1" customHeight="1">
      <c r="A575" s="250" t="e">
        <f>A572+1</f>
        <v>#VALUE!</v>
      </c>
      <c r="B575" s="251"/>
      <c r="C575" s="869" t="s">
        <v>689</v>
      </c>
      <c r="D575" s="532" t="s">
        <v>1855</v>
      </c>
      <c r="E575" s="251" t="s">
        <v>1439</v>
      </c>
      <c r="F575" s="735">
        <f>N575+R575+P575+T575+V575+X575+Z575+AB575</f>
        <v>0</v>
      </c>
      <c r="G575" s="261">
        <v>1.65</v>
      </c>
      <c r="H575" s="261">
        <f>O575+S575+Q575+U575+W575+Y575+AA575+AC575</f>
        <v>0</v>
      </c>
      <c r="I575" s="251" t="s">
        <v>1439</v>
      </c>
      <c r="J575" s="261"/>
      <c r="K575" s="261"/>
      <c r="L575" s="261"/>
      <c r="M575" s="261"/>
      <c r="N575" s="258">
        <v>0</v>
      </c>
      <c r="O575" s="257">
        <f>INT($G575*N575*100+0.5)/100</f>
        <v>0</v>
      </c>
      <c r="P575" s="258">
        <v>0</v>
      </c>
      <c r="Q575" s="257">
        <f>INT($G575*P575*100+0.5)/100</f>
        <v>0</v>
      </c>
      <c r="R575" s="258">
        <v>0</v>
      </c>
      <c r="S575" s="257">
        <f>INT($G575*R575*100+0.5)/100</f>
        <v>0</v>
      </c>
      <c r="T575" s="257"/>
      <c r="U575" s="257"/>
      <c r="V575" s="258">
        <v>0</v>
      </c>
      <c r="W575" s="257">
        <f>INT($G575*V575*100+0.5)/100</f>
        <v>0</v>
      </c>
      <c r="X575" s="258">
        <v>0</v>
      </c>
      <c r="Y575" s="257">
        <f>INT($G575*X575*100+0.5)/100</f>
        <v>0</v>
      </c>
      <c r="Z575" s="258">
        <v>0</v>
      </c>
      <c r="AA575" s="257">
        <f>INT($G575*Z575*100+0.5)/100</f>
        <v>0</v>
      </c>
      <c r="AB575" s="258">
        <v>0</v>
      </c>
      <c r="AC575" s="257">
        <f>INT($G575*AB575*100+0.5)/100</f>
        <v>0</v>
      </c>
    </row>
    <row r="576" spans="1:29" ht="15.6" hidden="1" customHeight="1">
      <c r="A576" s="250"/>
      <c r="B576" s="251"/>
      <c r="C576" s="869"/>
      <c r="D576" s="532" t="s">
        <v>1854</v>
      </c>
      <c r="E576" s="251"/>
      <c r="F576" s="735"/>
      <c r="G576" s="261"/>
      <c r="H576" s="261"/>
      <c r="I576" s="251"/>
      <c r="J576" s="261"/>
      <c r="K576" s="261"/>
      <c r="L576" s="261"/>
      <c r="M576" s="261"/>
      <c r="N576" s="258"/>
      <c r="O576" s="257"/>
      <c r="P576" s="258"/>
      <c r="Q576" s="257"/>
      <c r="R576" s="258"/>
      <c r="S576" s="257"/>
      <c r="T576" s="257"/>
      <c r="U576" s="257"/>
      <c r="V576" s="258"/>
      <c r="W576" s="257"/>
      <c r="X576" s="258"/>
      <c r="Y576" s="257"/>
      <c r="Z576" s="258"/>
      <c r="AA576" s="257"/>
      <c r="AB576" s="258"/>
      <c r="AC576" s="257"/>
    </row>
    <row r="577" spans="1:29" ht="15.6" hidden="1" customHeight="1">
      <c r="A577" s="250"/>
      <c r="B577" s="251"/>
      <c r="C577" s="869"/>
      <c r="D577" s="292"/>
      <c r="E577" s="251"/>
      <c r="F577" s="735"/>
      <c r="G577" s="261"/>
      <c r="H577" s="261"/>
      <c r="I577" s="251"/>
      <c r="J577" s="261"/>
      <c r="K577" s="261"/>
      <c r="L577" s="261"/>
      <c r="M577" s="261"/>
      <c r="N577" s="258"/>
      <c r="O577" s="257"/>
      <c r="P577" s="258"/>
      <c r="Q577" s="257"/>
      <c r="R577" s="258"/>
      <c r="S577" s="257"/>
      <c r="T577" s="257"/>
      <c r="U577" s="257"/>
      <c r="V577" s="258"/>
      <c r="W577" s="257"/>
      <c r="X577" s="258"/>
      <c r="Y577" s="257"/>
      <c r="Z577" s="258"/>
      <c r="AA577" s="257"/>
      <c r="AB577" s="258"/>
      <c r="AC577" s="257"/>
    </row>
    <row r="578" spans="1:29" ht="15.6" hidden="1" customHeight="1">
      <c r="A578" s="250" t="e">
        <f>A575+1</f>
        <v>#VALUE!</v>
      </c>
      <c r="B578" s="251"/>
      <c r="C578" s="869" t="s">
        <v>690</v>
      </c>
      <c r="D578" s="532" t="s">
        <v>1052</v>
      </c>
      <c r="E578" s="251" t="s">
        <v>2461</v>
      </c>
      <c r="F578" s="735">
        <f>N578+R578+P578+T578+V578+X578+Z578+AB578</f>
        <v>0</v>
      </c>
      <c r="G578" s="261">
        <v>205.25</v>
      </c>
      <c r="H578" s="261">
        <f>O578+S578+Q578+U578+W578+Y578+AA578+AC578</f>
        <v>0</v>
      </c>
      <c r="I578" s="251" t="s">
        <v>2461</v>
      </c>
      <c r="J578" s="261"/>
      <c r="K578" s="261"/>
      <c r="L578" s="261"/>
      <c r="M578" s="261"/>
      <c r="N578" s="258">
        <v>0</v>
      </c>
      <c r="O578" s="257">
        <f>INT($G578*N578*100+0.5)/100</f>
        <v>0</v>
      </c>
      <c r="P578" s="258">
        <v>0</v>
      </c>
      <c r="Q578" s="257">
        <f>INT($G578*P578*100+0.5)/100</f>
        <v>0</v>
      </c>
      <c r="R578" s="258">
        <v>0</v>
      </c>
      <c r="S578" s="257">
        <f>INT($G578*R578*100+0.5)/100</f>
        <v>0</v>
      </c>
      <c r="T578" s="257"/>
      <c r="U578" s="257"/>
      <c r="V578" s="258">
        <v>0</v>
      </c>
      <c r="W578" s="257">
        <f>INT($G578*V578*100+0.5)/100</f>
        <v>0</v>
      </c>
      <c r="X578" s="258">
        <v>0</v>
      </c>
      <c r="Y578" s="257">
        <f>INT($G578*X578*100+0.5)/100</f>
        <v>0</v>
      </c>
      <c r="Z578" s="258">
        <v>0</v>
      </c>
      <c r="AA578" s="257">
        <f>INT($G578*Z578*100+0.5)/100</f>
        <v>0</v>
      </c>
      <c r="AB578" s="258">
        <v>0</v>
      </c>
      <c r="AC578" s="257">
        <f>INT($G578*AB578*100+0.5)/100</f>
        <v>0</v>
      </c>
    </row>
    <row r="579" spans="1:29" ht="15.6" hidden="1" customHeight="1">
      <c r="A579" s="250"/>
      <c r="B579" s="251"/>
      <c r="C579" s="869"/>
      <c r="D579" s="532" t="s">
        <v>1053</v>
      </c>
      <c r="E579" s="251"/>
      <c r="F579" s="735"/>
      <c r="G579" s="261"/>
      <c r="H579" s="261"/>
      <c r="I579" s="251"/>
      <c r="J579" s="261"/>
      <c r="K579" s="261"/>
      <c r="L579" s="261"/>
      <c r="M579" s="261"/>
      <c r="N579" s="258"/>
      <c r="O579" s="257"/>
      <c r="P579" s="258"/>
      <c r="Q579" s="257"/>
      <c r="R579" s="258"/>
      <c r="S579" s="257"/>
      <c r="T579" s="257"/>
      <c r="U579" s="257"/>
      <c r="V579" s="258"/>
      <c r="W579" s="257"/>
      <c r="X579" s="258"/>
      <c r="Y579" s="257"/>
      <c r="Z579" s="258"/>
      <c r="AA579" s="257"/>
      <c r="AB579" s="258"/>
      <c r="AC579" s="257"/>
    </row>
    <row r="580" spans="1:29" ht="15.6" hidden="1" customHeight="1">
      <c r="A580" s="250"/>
      <c r="B580" s="251"/>
      <c r="C580" s="869"/>
      <c r="D580" s="532"/>
      <c r="E580" s="251"/>
      <c r="F580" s="735"/>
      <c r="G580" s="261"/>
      <c r="H580" s="260"/>
      <c r="I580" s="251"/>
      <c r="J580" s="261"/>
      <c r="K580" s="261"/>
      <c r="L580" s="261"/>
      <c r="M580" s="261"/>
      <c r="N580" s="258"/>
      <c r="O580" s="257"/>
      <c r="P580" s="258"/>
      <c r="Q580" s="257"/>
      <c r="R580" s="258"/>
      <c r="S580" s="257"/>
      <c r="T580" s="257"/>
      <c r="U580" s="257"/>
      <c r="V580" s="258"/>
      <c r="W580" s="257"/>
      <c r="X580" s="258"/>
      <c r="Y580" s="257"/>
      <c r="Z580" s="258"/>
      <c r="AA580" s="257"/>
      <c r="AB580" s="258"/>
      <c r="AC580" s="257"/>
    </row>
    <row r="581" spans="1:29" s="303" customFormat="1" ht="41.45" hidden="1" customHeight="1">
      <c r="A581" s="298"/>
      <c r="B581" s="299"/>
      <c r="C581" s="858" t="s">
        <v>1452</v>
      </c>
      <c r="D581" s="333" t="s">
        <v>1552</v>
      </c>
      <c r="E581" s="299"/>
      <c r="F581" s="782"/>
      <c r="G581" s="271"/>
      <c r="H581" s="271">
        <f>O581+S581+Q581+U581+W581+Y581+AA581+AC581</f>
        <v>0</v>
      </c>
      <c r="I581" s="299"/>
      <c r="J581" s="271"/>
      <c r="K581" s="271"/>
      <c r="L581" s="271"/>
      <c r="M581" s="271"/>
      <c r="N581" s="273"/>
      <c r="O581" s="273">
        <f>SUM(O569:O580)</f>
        <v>0</v>
      </c>
      <c r="P581" s="273"/>
      <c r="Q581" s="273">
        <f>SUM(Q569:Q580)</f>
        <v>0</v>
      </c>
      <c r="R581" s="273"/>
      <c r="S581" s="273">
        <f>SUM(S569:S580)</f>
        <v>0</v>
      </c>
      <c r="T581" s="273"/>
      <c r="U581" s="273">
        <f>SUM(U569:U580)</f>
        <v>0</v>
      </c>
      <c r="V581" s="273"/>
      <c r="W581" s="273">
        <f>SUM(W569:W580)</f>
        <v>0</v>
      </c>
      <c r="X581" s="273"/>
      <c r="Y581" s="273">
        <f>SUM(Y569:Y580)</f>
        <v>0</v>
      </c>
      <c r="Z581" s="273"/>
      <c r="AA581" s="273">
        <f>SUM(AA569:AA580)</f>
        <v>0</v>
      </c>
      <c r="AB581" s="273"/>
      <c r="AC581" s="273">
        <f>SUM(AC569:AC580)</f>
        <v>0</v>
      </c>
    </row>
    <row r="582" spans="1:29" ht="15.6" hidden="1" customHeight="1">
      <c r="A582" s="250"/>
      <c r="B582" s="251"/>
      <c r="C582" s="868"/>
      <c r="D582" s="330"/>
      <c r="E582" s="251"/>
      <c r="F582" s="735"/>
      <c r="G582" s="261"/>
      <c r="H582" s="738"/>
      <c r="I582" s="251"/>
      <c r="J582" s="261"/>
      <c r="K582" s="261"/>
      <c r="L582" s="261"/>
      <c r="M582" s="261"/>
      <c r="N582" s="258"/>
      <c r="O582" s="494">
        <f>O581/$O$1878</f>
        <v>0</v>
      </c>
      <c r="P582" s="258"/>
      <c r="Q582" s="257"/>
      <c r="R582" s="258"/>
      <c r="S582" s="257"/>
      <c r="T582" s="257"/>
      <c r="U582" s="257"/>
      <c r="V582" s="258"/>
      <c r="W582" s="257"/>
      <c r="X582" s="258"/>
      <c r="Y582" s="257"/>
      <c r="Z582" s="258"/>
      <c r="AA582" s="257"/>
      <c r="AB582" s="258"/>
      <c r="AC582" s="257"/>
    </row>
    <row r="583" spans="1:29" ht="25.5">
      <c r="A583" s="250"/>
      <c r="B583" s="251"/>
      <c r="C583" s="870" t="s">
        <v>2032</v>
      </c>
      <c r="D583" s="747" t="s">
        <v>1553</v>
      </c>
      <c r="E583" s="251"/>
      <c r="F583" s="735"/>
      <c r="G583" s="261"/>
      <c r="H583" s="260"/>
      <c r="I583" s="251"/>
      <c r="J583" s="261"/>
      <c r="K583" s="261"/>
      <c r="L583" s="261"/>
      <c r="M583" s="261"/>
      <c r="N583" s="258"/>
      <c r="O583" s="257"/>
      <c r="P583" s="258"/>
      <c r="Q583" s="257"/>
      <c r="R583" s="258"/>
      <c r="S583" s="257"/>
      <c r="T583" s="257"/>
      <c r="U583" s="257"/>
      <c r="V583" s="258"/>
      <c r="W583" s="257"/>
      <c r="X583" s="258"/>
      <c r="Y583" s="257"/>
      <c r="Z583" s="258"/>
      <c r="AA583" s="257"/>
      <c r="AB583" s="258"/>
      <c r="AC583" s="257"/>
    </row>
    <row r="584" spans="1:29" ht="25.5">
      <c r="A584" s="250">
        <f>A560+1</f>
        <v>131</v>
      </c>
      <c r="B584" s="251"/>
      <c r="C584" s="869" t="s">
        <v>3329</v>
      </c>
      <c r="D584" s="529" t="s">
        <v>3327</v>
      </c>
      <c r="E584" s="251" t="s">
        <v>1898</v>
      </c>
      <c r="F584" s="735">
        <f>N584+R584+P584+T584+V584+X584+Z584+AB584</f>
        <v>60</v>
      </c>
      <c r="G584" s="872">
        <v>13.93</v>
      </c>
      <c r="H584" s="261">
        <f>O584+S584+Q584+U584+W584+Y584+AA584+AC584</f>
        <v>835.8</v>
      </c>
      <c r="I584" s="251" t="s">
        <v>1898</v>
      </c>
      <c r="J584" s="872"/>
      <c r="K584" s="872"/>
      <c r="L584" s="872"/>
      <c r="M584" s="872"/>
      <c r="N584" s="258">
        <v>0</v>
      </c>
      <c r="O584" s="257">
        <f>INT($G584*N584*100+0.5)/100</f>
        <v>0</v>
      </c>
      <c r="P584" s="258">
        <v>0</v>
      </c>
      <c r="Q584" s="257">
        <f>INT($G584*P584*100+0.5)/100</f>
        <v>0</v>
      </c>
      <c r="R584" s="258">
        <v>0</v>
      </c>
      <c r="S584" s="257">
        <f>INT($G584*R584*100+0.5)/100</f>
        <v>0</v>
      </c>
      <c r="T584" s="257"/>
      <c r="U584" s="257"/>
      <c r="V584" s="258">
        <v>0</v>
      </c>
      <c r="W584" s="257">
        <f>INT($G584*V584*100+0.5)/100</f>
        <v>0</v>
      </c>
      <c r="X584" s="258">
        <f>120*0.5</f>
        <v>60</v>
      </c>
      <c r="Y584" s="257">
        <f>INT($G584*X584*100+0.5)/100</f>
        <v>835.8</v>
      </c>
      <c r="Z584" s="258">
        <v>0</v>
      </c>
      <c r="AA584" s="257">
        <f>INT($G584*Z584*100+0.5)/100</f>
        <v>0</v>
      </c>
      <c r="AB584" s="258">
        <v>0</v>
      </c>
      <c r="AC584" s="257">
        <f>INT($G584*AB584*100+0.5)/100</f>
        <v>0</v>
      </c>
    </row>
    <row r="585" spans="1:29" ht="15">
      <c r="A585" s="250"/>
      <c r="B585" s="251"/>
      <c r="C585" s="869"/>
      <c r="D585" s="532" t="s">
        <v>3328</v>
      </c>
      <c r="E585" s="251"/>
      <c r="F585" s="735"/>
      <c r="G585" s="872"/>
      <c r="H585" s="261"/>
      <c r="I585" s="251"/>
      <c r="J585" s="872"/>
      <c r="K585" s="872"/>
      <c r="L585" s="872"/>
      <c r="M585" s="872"/>
      <c r="N585" s="258"/>
      <c r="O585" s="257"/>
      <c r="P585" s="258"/>
      <c r="Q585" s="257"/>
      <c r="R585" s="258"/>
      <c r="S585" s="257"/>
      <c r="T585" s="257"/>
      <c r="U585" s="257"/>
      <c r="V585" s="258"/>
      <c r="W585" s="257"/>
      <c r="X585" s="258"/>
      <c r="Y585" s="257"/>
      <c r="Z585" s="258"/>
      <c r="AA585" s="257"/>
      <c r="AB585" s="258"/>
      <c r="AC585" s="257"/>
    </row>
    <row r="586" spans="1:29" ht="15">
      <c r="A586" s="250"/>
      <c r="B586" s="251"/>
      <c r="C586" s="869"/>
      <c r="D586" s="532"/>
      <c r="E586" s="251"/>
      <c r="F586" s="735"/>
      <c r="G586" s="872"/>
      <c r="H586" s="261"/>
      <c r="I586" s="251"/>
      <c r="J586" s="872"/>
      <c r="K586" s="872"/>
      <c r="L586" s="872"/>
      <c r="M586" s="872"/>
      <c r="N586" s="258"/>
      <c r="O586" s="257"/>
      <c r="P586" s="258"/>
      <c r="Q586" s="257"/>
      <c r="R586" s="258"/>
      <c r="S586" s="257"/>
      <c r="T586" s="257"/>
      <c r="U586" s="257"/>
      <c r="V586" s="258"/>
      <c r="W586" s="257"/>
      <c r="X586" s="258"/>
      <c r="Y586" s="257"/>
      <c r="Z586" s="258"/>
      <c r="AA586" s="257"/>
      <c r="AB586" s="258"/>
      <c r="AC586" s="257"/>
    </row>
    <row r="587" spans="1:29" ht="15">
      <c r="A587" s="250">
        <f>A584+1</f>
        <v>132</v>
      </c>
      <c r="B587" s="251"/>
      <c r="C587" s="869" t="s">
        <v>692</v>
      </c>
      <c r="D587" s="529" t="s">
        <v>3194</v>
      </c>
      <c r="E587" s="251" t="s">
        <v>1898</v>
      </c>
      <c r="F587" s="735">
        <f>N587+R587+P587+T587+V587+X587+Z587+AB587</f>
        <v>100</v>
      </c>
      <c r="G587" s="872">
        <v>17.61</v>
      </c>
      <c r="H587" s="261">
        <f>O587+S587+Q587+U587+W587+Y587+AA587+AC587</f>
        <v>1761</v>
      </c>
      <c r="I587" s="251" t="s">
        <v>1898</v>
      </c>
      <c r="J587" s="872"/>
      <c r="K587" s="872"/>
      <c r="L587" s="872"/>
      <c r="M587" s="872"/>
      <c r="N587" s="258">
        <v>40</v>
      </c>
      <c r="O587" s="257">
        <f>INT($G587*N587*100+0.5)/100</f>
        <v>704.4</v>
      </c>
      <c r="P587" s="258">
        <v>0</v>
      </c>
      <c r="Q587" s="257">
        <f>INT($G587*P587*100+0.5)/100</f>
        <v>0</v>
      </c>
      <c r="R587" s="258">
        <v>0</v>
      </c>
      <c r="S587" s="257">
        <f>INT($G587*R587*100+0.5)/100</f>
        <v>0</v>
      </c>
      <c r="T587" s="257"/>
      <c r="U587" s="257"/>
      <c r="V587" s="258">
        <v>0</v>
      </c>
      <c r="W587" s="257">
        <f>INT($G587*V587*100+0.5)/100</f>
        <v>0</v>
      </c>
      <c r="X587" s="258">
        <v>60</v>
      </c>
      <c r="Y587" s="257">
        <f>INT($G587*X587*100+0.5)/100</f>
        <v>1056.5999999999999</v>
      </c>
      <c r="Z587" s="258">
        <v>0</v>
      </c>
      <c r="AA587" s="257">
        <f>INT($G587*Z587*100+0.5)/100</f>
        <v>0</v>
      </c>
      <c r="AB587" s="258">
        <v>0</v>
      </c>
      <c r="AC587" s="257">
        <f>INT($G587*AB587*100+0.5)/100</f>
        <v>0</v>
      </c>
    </row>
    <row r="588" spans="1:29" ht="25.5">
      <c r="A588" s="250"/>
      <c r="B588" s="251"/>
      <c r="C588" s="869"/>
      <c r="D588" s="532" t="s">
        <v>1969</v>
      </c>
      <c r="E588" s="251"/>
      <c r="F588" s="735"/>
      <c r="G588" s="872"/>
      <c r="H588" s="261"/>
      <c r="I588" s="251"/>
      <c r="J588" s="872"/>
      <c r="K588" s="872"/>
      <c r="L588" s="872"/>
      <c r="M588" s="872"/>
      <c r="N588" s="258"/>
      <c r="O588" s="257"/>
      <c r="P588" s="258"/>
      <c r="Q588" s="257"/>
      <c r="R588" s="258"/>
      <c r="S588" s="257"/>
      <c r="T588" s="257"/>
      <c r="U588" s="257"/>
      <c r="V588" s="258"/>
      <c r="W588" s="257"/>
      <c r="X588" s="258"/>
      <c r="Y588" s="257"/>
      <c r="Z588" s="258"/>
      <c r="AA588" s="257"/>
      <c r="AB588" s="258"/>
      <c r="AC588" s="257"/>
    </row>
    <row r="589" spans="1:29" ht="15">
      <c r="A589" s="250"/>
      <c r="B589" s="251"/>
      <c r="C589" s="869"/>
      <c r="D589" s="532"/>
      <c r="E589" s="251"/>
      <c r="F589" s="735"/>
      <c r="G589" s="872"/>
      <c r="H589" s="261"/>
      <c r="I589" s="251"/>
      <c r="J589" s="872"/>
      <c r="K589" s="872"/>
      <c r="L589" s="872"/>
      <c r="M589" s="872"/>
      <c r="N589" s="258"/>
      <c r="O589" s="257"/>
      <c r="P589" s="258"/>
      <c r="Q589" s="257"/>
      <c r="R589" s="258"/>
      <c r="S589" s="257"/>
      <c r="T589" s="257"/>
      <c r="U589" s="257"/>
      <c r="V589" s="258"/>
      <c r="W589" s="257"/>
      <c r="X589" s="258"/>
      <c r="Y589" s="257"/>
      <c r="Z589" s="258"/>
      <c r="AA589" s="257"/>
      <c r="AB589" s="258"/>
      <c r="AC589" s="257"/>
    </row>
    <row r="590" spans="1:29" ht="15">
      <c r="A590" s="250">
        <f>A587+1</f>
        <v>133</v>
      </c>
      <c r="B590" s="251"/>
      <c r="C590" s="855" t="s">
        <v>696</v>
      </c>
      <c r="D590" s="526" t="s">
        <v>2505</v>
      </c>
      <c r="E590" s="251" t="s">
        <v>2461</v>
      </c>
      <c r="F590" s="735"/>
      <c r="G590" s="872"/>
      <c r="H590" s="261"/>
      <c r="I590" s="251" t="s">
        <v>2461</v>
      </c>
      <c r="J590" s="872"/>
      <c r="K590" s="872"/>
      <c r="L590" s="872"/>
      <c r="M590" s="872"/>
      <c r="N590" s="258"/>
      <c r="O590" s="257"/>
      <c r="P590" s="258"/>
      <c r="Q590" s="257"/>
      <c r="R590" s="258"/>
      <c r="S590" s="257"/>
      <c r="T590" s="257"/>
      <c r="U590" s="257"/>
      <c r="V590" s="258"/>
      <c r="W590" s="257"/>
      <c r="X590" s="258"/>
      <c r="Y590" s="257"/>
      <c r="Z590" s="258"/>
      <c r="AA590" s="257"/>
      <c r="AB590" s="258"/>
      <c r="AC590" s="257"/>
    </row>
    <row r="591" spans="1:29" ht="25.5">
      <c r="A591" s="250"/>
      <c r="B591" s="251"/>
      <c r="C591" s="855"/>
      <c r="D591" s="526" t="s">
        <v>326</v>
      </c>
      <c r="E591" s="251"/>
      <c r="F591" s="735"/>
      <c r="G591" s="872"/>
      <c r="H591" s="261"/>
      <c r="I591" s="251"/>
      <c r="J591" s="872"/>
      <c r="K591" s="872"/>
      <c r="L591" s="872"/>
      <c r="M591" s="872"/>
      <c r="N591" s="258"/>
      <c r="O591" s="257"/>
      <c r="P591" s="258"/>
      <c r="Q591" s="257"/>
      <c r="R591" s="258"/>
      <c r="S591" s="257"/>
      <c r="T591" s="257"/>
      <c r="U591" s="257"/>
      <c r="V591" s="258"/>
      <c r="W591" s="257"/>
      <c r="X591" s="258"/>
      <c r="Y591" s="257"/>
      <c r="Z591" s="258"/>
      <c r="AA591" s="257"/>
      <c r="AB591" s="258"/>
      <c r="AC591" s="257"/>
    </row>
    <row r="592" spans="1:29" ht="15">
      <c r="A592" s="250"/>
      <c r="B592" s="251"/>
      <c r="C592" s="855"/>
      <c r="D592" s="774" t="s">
        <v>3017</v>
      </c>
      <c r="E592" s="251"/>
      <c r="F592" s="735"/>
      <c r="G592" s="872"/>
      <c r="H592" s="261"/>
      <c r="I592" s="251"/>
      <c r="J592" s="872"/>
      <c r="K592" s="872"/>
      <c r="L592" s="872"/>
      <c r="M592" s="872"/>
      <c r="N592" s="258"/>
      <c r="O592" s="257"/>
      <c r="P592" s="257">
        <f>90*0.5*0.1</f>
        <v>4.5</v>
      </c>
      <c r="Q592" s="257"/>
      <c r="R592" s="258"/>
      <c r="S592" s="257"/>
      <c r="T592" s="257"/>
      <c r="U592" s="257"/>
      <c r="V592" s="258"/>
      <c r="W592" s="257"/>
      <c r="X592" s="258"/>
      <c r="Y592" s="257"/>
      <c r="Z592" s="258"/>
      <c r="AA592" s="257"/>
      <c r="AB592" s="258"/>
      <c r="AC592" s="257"/>
    </row>
    <row r="593" spans="1:29" ht="15">
      <c r="A593" s="250"/>
      <c r="B593" s="251"/>
      <c r="C593" s="855"/>
      <c r="D593" s="774" t="s">
        <v>3014</v>
      </c>
      <c r="E593" s="251"/>
      <c r="F593" s="735"/>
      <c r="G593" s="872"/>
      <c r="H593" s="261"/>
      <c r="I593" s="251"/>
      <c r="J593" s="872"/>
      <c r="K593" s="872"/>
      <c r="L593" s="872"/>
      <c r="M593" s="872"/>
      <c r="N593" s="258"/>
      <c r="O593" s="257"/>
      <c r="P593" s="257">
        <f>(132.5+10)*0.9*0.1</f>
        <v>12.825000000000001</v>
      </c>
      <c r="Q593" s="257"/>
      <c r="R593" s="258"/>
      <c r="S593" s="257"/>
      <c r="T593" s="257"/>
      <c r="U593" s="257"/>
      <c r="V593" s="258"/>
      <c r="W593" s="257"/>
      <c r="X593" s="258"/>
      <c r="Y593" s="257"/>
      <c r="Z593" s="258"/>
      <c r="AA593" s="257"/>
      <c r="AB593" s="258"/>
      <c r="AC593" s="257"/>
    </row>
    <row r="594" spans="1:29" ht="15">
      <c r="A594" s="250"/>
      <c r="B594" s="251"/>
      <c r="C594" s="855"/>
      <c r="D594" s="774" t="s">
        <v>3013</v>
      </c>
      <c r="E594" s="251"/>
      <c r="F594" s="735"/>
      <c r="G594" s="872"/>
      <c r="H594" s="261"/>
      <c r="I594" s="251"/>
      <c r="J594" s="872"/>
      <c r="K594" s="872"/>
      <c r="L594" s="872"/>
      <c r="M594" s="872"/>
      <c r="N594" s="258"/>
      <c r="O594" s="257"/>
      <c r="P594" s="257">
        <f>(7*5+7*1)*(0.4+0.5)*0.1</f>
        <v>3.7800000000000007</v>
      </c>
      <c r="Q594" s="257"/>
      <c r="R594" s="258"/>
      <c r="S594" s="257"/>
      <c r="T594" s="257"/>
      <c r="U594" s="257"/>
      <c r="V594" s="258"/>
      <c r="W594" s="257"/>
      <c r="X594" s="258"/>
      <c r="Y594" s="257"/>
      <c r="Z594" s="258"/>
      <c r="AA594" s="257"/>
      <c r="AB594" s="258"/>
      <c r="AC594" s="257"/>
    </row>
    <row r="595" spans="1:29" ht="15">
      <c r="A595" s="250"/>
      <c r="B595" s="251"/>
      <c r="C595" s="855"/>
      <c r="D595" s="774" t="s">
        <v>3016</v>
      </c>
      <c r="E595" s="251"/>
      <c r="F595" s="735"/>
      <c r="G595" s="872"/>
      <c r="H595" s="261"/>
      <c r="I595" s="251"/>
      <c r="J595" s="872"/>
      <c r="K595" s="872"/>
      <c r="L595" s="872"/>
      <c r="M595" s="872"/>
      <c r="N595" s="258"/>
      <c r="O595" s="257"/>
      <c r="P595" s="257">
        <f>(101.5+136.5+23)*0.9*0.1</f>
        <v>23.490000000000002</v>
      </c>
      <c r="Q595" s="257"/>
      <c r="R595" s="258"/>
      <c r="S595" s="257"/>
      <c r="T595" s="257"/>
      <c r="U595" s="257"/>
      <c r="V595" s="258"/>
      <c r="W595" s="257"/>
      <c r="X595" s="258"/>
      <c r="Y595" s="257"/>
      <c r="Z595" s="258"/>
      <c r="AA595" s="257"/>
      <c r="AB595" s="258"/>
      <c r="AC595" s="257"/>
    </row>
    <row r="596" spans="1:29" ht="15">
      <c r="A596" s="250"/>
      <c r="B596" s="251"/>
      <c r="C596" s="855"/>
      <c r="D596" s="774" t="s">
        <v>3015</v>
      </c>
      <c r="E596" s="251"/>
      <c r="F596" s="735"/>
      <c r="G596" s="872"/>
      <c r="H596" s="261"/>
      <c r="I596" s="251"/>
      <c r="J596" s="872"/>
      <c r="K596" s="872"/>
      <c r="L596" s="872"/>
      <c r="M596" s="872"/>
      <c r="N596" s="258"/>
      <c r="O596" s="257"/>
      <c r="P596" s="257">
        <f>(13*5+13*1)*(0.4+0.5)*0.1</f>
        <v>7.0200000000000005</v>
      </c>
      <c r="Q596" s="257"/>
      <c r="R596" s="258"/>
      <c r="S596" s="257"/>
      <c r="T596" s="257"/>
      <c r="U596" s="257"/>
      <c r="V596" s="258"/>
      <c r="W596" s="257"/>
      <c r="X596" s="258"/>
      <c r="Y596" s="257"/>
      <c r="Z596" s="258"/>
      <c r="AA596" s="257"/>
      <c r="AB596" s="258"/>
      <c r="AC596" s="257"/>
    </row>
    <row r="597" spans="1:29" ht="15">
      <c r="A597" s="250"/>
      <c r="B597" s="251"/>
      <c r="C597" s="855"/>
      <c r="D597" s="830" t="s">
        <v>3012</v>
      </c>
      <c r="E597" s="251"/>
      <c r="F597" s="735"/>
      <c r="G597" s="872"/>
      <c r="H597" s="261"/>
      <c r="I597" s="251"/>
      <c r="J597" s="872"/>
      <c r="K597" s="872"/>
      <c r="L597" s="872"/>
      <c r="M597" s="872"/>
      <c r="N597" s="258"/>
      <c r="O597" s="257"/>
      <c r="P597" s="257">
        <f>(14+26)*0.6*0.8*0.1</f>
        <v>1.9200000000000004</v>
      </c>
      <c r="Q597" s="257"/>
      <c r="R597" s="258"/>
      <c r="S597" s="257"/>
      <c r="T597" s="257"/>
      <c r="U597" s="257"/>
      <c r="V597" s="258"/>
      <c r="W597" s="257"/>
      <c r="X597" s="258"/>
      <c r="Y597" s="257"/>
      <c r="Z597" s="258"/>
      <c r="AA597" s="257"/>
      <c r="AB597" s="258"/>
      <c r="AC597" s="257"/>
    </row>
    <row r="598" spans="1:29" ht="15">
      <c r="A598" s="250"/>
      <c r="B598" s="251"/>
      <c r="C598" s="855"/>
      <c r="D598" s="833" t="s">
        <v>1899</v>
      </c>
      <c r="E598" s="251"/>
      <c r="F598" s="735"/>
      <c r="G598" s="872"/>
      <c r="H598" s="261"/>
      <c r="I598" s="251"/>
      <c r="J598" s="872"/>
      <c r="K598" s="872"/>
      <c r="L598" s="872"/>
      <c r="M598" s="872"/>
      <c r="N598" s="293"/>
      <c r="O598" s="294"/>
      <c r="P598" s="294">
        <v>6.46</v>
      </c>
      <c r="Q598" s="294"/>
      <c r="R598" s="293"/>
      <c r="S598" s="294"/>
      <c r="T598" s="294"/>
      <c r="U598" s="294"/>
      <c r="V598" s="294">
        <v>0</v>
      </c>
      <c r="W598" s="294"/>
      <c r="X598" s="294">
        <v>0</v>
      </c>
      <c r="Y598" s="294"/>
      <c r="Z598" s="294">
        <v>0</v>
      </c>
      <c r="AA598" s="294"/>
      <c r="AB598" s="294">
        <v>0</v>
      </c>
      <c r="AC598" s="294"/>
    </row>
    <row r="599" spans="1:29" ht="15">
      <c r="A599" s="250"/>
      <c r="B599" s="251"/>
      <c r="C599" s="855"/>
      <c r="D599" s="830" t="s">
        <v>575</v>
      </c>
      <c r="E599" s="251"/>
      <c r="F599" s="735">
        <f>N599+R599+P599+T599+V599+X599+Z599+AB599</f>
        <v>59.995000000000012</v>
      </c>
      <c r="G599" s="872">
        <v>104.19</v>
      </c>
      <c r="H599" s="261">
        <f>O599+S599+Q599+U599+W599+Y599+AA599+AC599</f>
        <v>6250.88</v>
      </c>
      <c r="I599" s="251"/>
      <c r="J599" s="872"/>
      <c r="K599" s="872"/>
      <c r="L599" s="872"/>
      <c r="M599" s="872"/>
      <c r="N599" s="258">
        <f>INT(SUM(N597:N598)*100+0.5)/100</f>
        <v>0</v>
      </c>
      <c r="O599" s="257">
        <f>INT($G599*N599*100+0.5)/100</f>
        <v>0</v>
      </c>
      <c r="P599" s="258">
        <f>SUM(P592:P598)</f>
        <v>59.995000000000012</v>
      </c>
      <c r="Q599" s="257">
        <f>INT($G599*P599*100+0.5)/100</f>
        <v>6250.88</v>
      </c>
      <c r="R599" s="258">
        <f>INT(SUM(R597:R598)*100+0.5)/100</f>
        <v>0</v>
      </c>
      <c r="S599" s="257">
        <f>INT($G599*R599*100+0.5)/100</f>
        <v>0</v>
      </c>
      <c r="T599" s="257"/>
      <c r="U599" s="257"/>
      <c r="V599" s="258">
        <f>INT(SUM(V597:V598)*100+0.5)/100</f>
        <v>0</v>
      </c>
      <c r="W599" s="257">
        <f>INT($G599*V599*100+0.5)/100</f>
        <v>0</v>
      </c>
      <c r="X599" s="258">
        <f>INT(SUM(X597:X598)*100+0.5)/100</f>
        <v>0</v>
      </c>
      <c r="Y599" s="257">
        <f>INT($G599*X599*100+0.5)/100</f>
        <v>0</v>
      </c>
      <c r="Z599" s="258">
        <f>INT(SUM(Z597:Z598)*100+0.5)/100</f>
        <v>0</v>
      </c>
      <c r="AA599" s="257">
        <f>INT($G599*Z599*100+0.5)/100</f>
        <v>0</v>
      </c>
      <c r="AB599" s="258">
        <f>INT(SUM(AB597:AB598)*100+0.5)/100</f>
        <v>0</v>
      </c>
      <c r="AC599" s="257">
        <f>INT($G599*AB599*100+0.5)/100</f>
        <v>0</v>
      </c>
    </row>
    <row r="600" spans="1:29" ht="15">
      <c r="A600" s="250"/>
      <c r="B600" s="251"/>
      <c r="C600" s="855"/>
      <c r="D600" s="292"/>
      <c r="E600" s="251"/>
      <c r="F600" s="735"/>
      <c r="G600" s="872"/>
      <c r="H600" s="261"/>
      <c r="I600" s="251"/>
      <c r="J600" s="872"/>
      <c r="K600" s="872"/>
      <c r="L600" s="872"/>
      <c r="M600" s="872"/>
      <c r="N600" s="258"/>
      <c r="O600" s="257"/>
      <c r="P600" s="258"/>
      <c r="Q600" s="257"/>
      <c r="R600" s="258"/>
      <c r="S600" s="257"/>
      <c r="T600" s="257"/>
      <c r="U600" s="257"/>
      <c r="V600" s="258"/>
      <c r="W600" s="257"/>
      <c r="X600" s="258"/>
      <c r="Y600" s="257"/>
      <c r="Z600" s="258"/>
      <c r="AA600" s="257"/>
      <c r="AB600" s="258"/>
      <c r="AC600" s="257"/>
    </row>
    <row r="601" spans="1:29" ht="15">
      <c r="A601" s="250">
        <f>A590+1</f>
        <v>134</v>
      </c>
      <c r="B601" s="251"/>
      <c r="C601" s="855" t="s">
        <v>697</v>
      </c>
      <c r="D601" s="526" t="s">
        <v>2504</v>
      </c>
      <c r="E601" s="251" t="s">
        <v>2461</v>
      </c>
      <c r="F601" s="735"/>
      <c r="G601" s="872"/>
      <c r="H601" s="261"/>
      <c r="I601" s="251" t="s">
        <v>2461</v>
      </c>
      <c r="J601" s="872"/>
      <c r="K601" s="872"/>
      <c r="L601" s="872"/>
      <c r="M601" s="872"/>
      <c r="N601" s="258"/>
      <c r="O601" s="257"/>
      <c r="P601" s="258"/>
      <c r="Q601" s="257"/>
      <c r="R601" s="258"/>
      <c r="S601" s="257"/>
      <c r="T601" s="257"/>
      <c r="U601" s="257"/>
      <c r="V601" s="258"/>
      <c r="W601" s="257"/>
      <c r="X601" s="258"/>
      <c r="Y601" s="257"/>
      <c r="Z601" s="258"/>
      <c r="AA601" s="257"/>
      <c r="AB601" s="258"/>
      <c r="AC601" s="257"/>
    </row>
    <row r="602" spans="1:29" ht="15">
      <c r="A602" s="250"/>
      <c r="B602" s="251"/>
      <c r="C602" s="855"/>
      <c r="D602" s="526" t="s">
        <v>325</v>
      </c>
      <c r="E602" s="251"/>
      <c r="F602" s="735"/>
      <c r="G602" s="872"/>
      <c r="H602" s="261"/>
      <c r="I602" s="251"/>
      <c r="J602" s="872"/>
      <c r="K602" s="872"/>
      <c r="L602" s="872"/>
      <c r="M602" s="872"/>
      <c r="N602" s="258"/>
      <c r="O602" s="257"/>
      <c r="P602" s="258"/>
      <c r="Q602" s="257"/>
      <c r="R602" s="258"/>
      <c r="S602" s="257"/>
      <c r="T602" s="257"/>
      <c r="U602" s="257"/>
      <c r="V602" s="258"/>
      <c r="W602" s="257"/>
      <c r="X602" s="258"/>
      <c r="Y602" s="257"/>
      <c r="Z602" s="258"/>
      <c r="AA602" s="257"/>
      <c r="AB602" s="258"/>
      <c r="AC602" s="257"/>
    </row>
    <row r="603" spans="1:29" ht="25.5">
      <c r="A603" s="250"/>
      <c r="B603" s="251"/>
      <c r="C603" s="855"/>
      <c r="D603" s="831" t="s">
        <v>3018</v>
      </c>
      <c r="E603" s="251"/>
      <c r="F603" s="735"/>
      <c r="G603" s="872"/>
      <c r="H603" s="261"/>
      <c r="I603" s="251"/>
      <c r="J603" s="872"/>
      <c r="K603" s="872"/>
      <c r="L603" s="872"/>
      <c r="M603" s="872"/>
      <c r="N603" s="294">
        <v>5</v>
      </c>
      <c r="O603" s="294"/>
      <c r="P603" s="294">
        <v>0</v>
      </c>
      <c r="Q603" s="294"/>
      <c r="R603" s="294">
        <v>5</v>
      </c>
      <c r="S603" s="294"/>
      <c r="T603" s="294"/>
      <c r="U603" s="294"/>
      <c r="V603" s="294">
        <v>0</v>
      </c>
      <c r="W603" s="294"/>
      <c r="X603" s="294">
        <v>5</v>
      </c>
      <c r="Y603" s="294"/>
      <c r="Z603" s="294">
        <v>0</v>
      </c>
      <c r="AA603" s="294"/>
      <c r="AB603" s="294">
        <v>0</v>
      </c>
      <c r="AC603" s="294"/>
    </row>
    <row r="604" spans="1:29" ht="15">
      <c r="A604" s="250"/>
      <c r="B604" s="251"/>
      <c r="C604" s="855"/>
      <c r="D604" s="830" t="s">
        <v>575</v>
      </c>
      <c r="E604" s="251"/>
      <c r="F604" s="735">
        <f>N604+R604+P604+T604+V604+X604+Z604+AB604</f>
        <v>15</v>
      </c>
      <c r="G604" s="872">
        <v>122.29</v>
      </c>
      <c r="H604" s="261">
        <f>O604+S604+Q604+U604+W604+Y604+AA604+AC604</f>
        <v>1834.3500000000001</v>
      </c>
      <c r="I604" s="251"/>
      <c r="J604" s="872"/>
      <c r="K604" s="872"/>
      <c r="L604" s="872"/>
      <c r="M604" s="872"/>
      <c r="N604" s="258">
        <f>INT(SUM(N603:N603)*100+0.5)/100</f>
        <v>5</v>
      </c>
      <c r="O604" s="257">
        <f>INT($G604*N604*100+0.5)/100</f>
        <v>611.45000000000005</v>
      </c>
      <c r="P604" s="258">
        <f>INT(SUM(P603:P603)*100+0.5)/100</f>
        <v>0</v>
      </c>
      <c r="Q604" s="257">
        <f>INT($G604*P604*100+0.5)/100</f>
        <v>0</v>
      </c>
      <c r="R604" s="258">
        <f>INT(SUM(R603:R603)*100+0.5)/100</f>
        <v>5</v>
      </c>
      <c r="S604" s="257">
        <f>INT($G604*R604*100+0.5)/100</f>
        <v>611.45000000000005</v>
      </c>
      <c r="T604" s="257"/>
      <c r="U604" s="257"/>
      <c r="V604" s="258">
        <f>INT(SUM(V603:V603)*100+0.5)/100</f>
        <v>0</v>
      </c>
      <c r="W604" s="257">
        <f>INT($G604*V604*100+0.5)/100</f>
        <v>0</v>
      </c>
      <c r="X604" s="258">
        <f>INT(SUM(X603:X603)*100+0.5)/100</f>
        <v>5</v>
      </c>
      <c r="Y604" s="257">
        <f>INT($G604*X604*100+0.5)/100</f>
        <v>611.45000000000005</v>
      </c>
      <c r="Z604" s="258">
        <f>INT(SUM(Z603:Z603)*100+0.5)/100</f>
        <v>0</v>
      </c>
      <c r="AA604" s="257">
        <f>INT($G604*Z604*100+0.5)/100</f>
        <v>0</v>
      </c>
      <c r="AB604" s="258">
        <f>INT(SUM(AB603:AB603)*100+0.5)/100</f>
        <v>0</v>
      </c>
      <c r="AC604" s="257">
        <f>INT($G604*AB604*100+0.5)/100</f>
        <v>0</v>
      </c>
    </row>
    <row r="605" spans="1:29" ht="15">
      <c r="A605" s="250"/>
      <c r="B605" s="251"/>
      <c r="C605" s="855"/>
      <c r="D605" s="292"/>
      <c r="E605" s="251"/>
      <c r="F605" s="735"/>
      <c r="G605" s="872"/>
      <c r="H605" s="261"/>
      <c r="I605" s="251"/>
      <c r="J605" s="872"/>
      <c r="K605" s="872"/>
      <c r="L605" s="872"/>
      <c r="M605" s="872"/>
      <c r="N605" s="258"/>
      <c r="O605" s="257"/>
      <c r="P605" s="258"/>
      <c r="Q605" s="257"/>
      <c r="R605" s="258"/>
      <c r="S605" s="257"/>
      <c r="T605" s="257"/>
      <c r="U605" s="257"/>
      <c r="V605" s="258"/>
      <c r="W605" s="257"/>
      <c r="X605" s="258"/>
      <c r="Y605" s="257"/>
      <c r="Z605" s="258"/>
      <c r="AA605" s="257"/>
      <c r="AB605" s="258"/>
      <c r="AC605" s="257"/>
    </row>
    <row r="606" spans="1:29" ht="26.45" hidden="1" customHeight="1">
      <c r="A606" s="750" t="s">
        <v>2510</v>
      </c>
      <c r="B606" s="251"/>
      <c r="C606" s="867" t="s">
        <v>698</v>
      </c>
      <c r="D606" s="532" t="s">
        <v>1811</v>
      </c>
      <c r="E606" s="251" t="s">
        <v>2461</v>
      </c>
      <c r="F606" s="735">
        <f>N606+R606+P606+T606+V606+X606+Z606+AB606</f>
        <v>0</v>
      </c>
      <c r="G606" s="872">
        <v>4.2</v>
      </c>
      <c r="H606" s="261">
        <f>O606+S606+Q606+U606+W606+Y606+AA606+AC606</f>
        <v>0</v>
      </c>
      <c r="I606" s="251" t="s">
        <v>2461</v>
      </c>
      <c r="J606" s="872"/>
      <c r="K606" s="872"/>
      <c r="L606" s="872"/>
      <c r="M606" s="872"/>
      <c r="N606" s="258">
        <v>0</v>
      </c>
      <c r="O606" s="257">
        <f>INT($G606*N606*100+0.5)/100</f>
        <v>0</v>
      </c>
      <c r="P606" s="258">
        <v>0</v>
      </c>
      <c r="Q606" s="257">
        <f>INT($G606*P606*100+0.5)/100</f>
        <v>0</v>
      </c>
      <c r="R606" s="258">
        <v>0</v>
      </c>
      <c r="S606" s="257">
        <f>INT($G606*R606*100+0.5)/100</f>
        <v>0</v>
      </c>
      <c r="T606" s="257"/>
      <c r="U606" s="257"/>
      <c r="V606" s="258">
        <v>0</v>
      </c>
      <c r="W606" s="257">
        <f>INT($G606*V606*100+0.5)/100</f>
        <v>0</v>
      </c>
      <c r="X606" s="258">
        <v>0</v>
      </c>
      <c r="Y606" s="257">
        <f>INT($G606*X606*100+0.5)/100</f>
        <v>0</v>
      </c>
      <c r="Z606" s="258">
        <v>0</v>
      </c>
      <c r="AA606" s="257">
        <f>INT($G606*Z606*100+0.5)/100</f>
        <v>0</v>
      </c>
      <c r="AB606" s="258">
        <v>0</v>
      </c>
      <c r="AC606" s="257">
        <f>INT($G606*AB606*100+0.5)/100</f>
        <v>0</v>
      </c>
    </row>
    <row r="607" spans="1:29" ht="26.45" hidden="1" customHeight="1">
      <c r="A607" s="250"/>
      <c r="B607" s="251"/>
      <c r="C607" s="855"/>
      <c r="D607" s="532" t="s">
        <v>1810</v>
      </c>
      <c r="E607" s="251"/>
      <c r="F607" s="735"/>
      <c r="G607" s="872"/>
      <c r="H607" s="261"/>
      <c r="I607" s="251"/>
      <c r="J607" s="876"/>
      <c r="K607" s="876"/>
      <c r="L607" s="876"/>
      <c r="M607" s="876"/>
      <c r="N607" s="316"/>
      <c r="O607" s="259"/>
      <c r="P607" s="316"/>
      <c r="Q607" s="259"/>
      <c r="R607" s="316"/>
      <c r="S607" s="259"/>
      <c r="T607" s="259"/>
      <c r="U607" s="259"/>
      <c r="V607" s="316"/>
      <c r="W607" s="257"/>
      <c r="X607" s="316"/>
      <c r="Y607" s="257"/>
      <c r="Z607" s="316"/>
      <c r="AA607" s="257"/>
      <c r="AB607" s="316"/>
      <c r="AC607" s="257"/>
    </row>
    <row r="608" spans="1:29" ht="15.6" hidden="1" customHeight="1">
      <c r="A608" s="250"/>
      <c r="B608" s="251"/>
      <c r="C608" s="855"/>
      <c r="D608" s="292"/>
      <c r="E608" s="251"/>
      <c r="F608" s="735"/>
      <c r="G608" s="872"/>
      <c r="H608" s="261"/>
      <c r="I608" s="251"/>
      <c r="J608" s="876"/>
      <c r="K608" s="876"/>
      <c r="L608" s="876"/>
      <c r="M608" s="876"/>
      <c r="N608" s="316"/>
      <c r="O608" s="259"/>
      <c r="P608" s="316"/>
      <c r="Q608" s="259"/>
      <c r="R608" s="316"/>
      <c r="S608" s="259"/>
      <c r="T608" s="259"/>
      <c r="U608" s="259"/>
      <c r="V608" s="316"/>
      <c r="W608" s="257"/>
      <c r="X608" s="316"/>
      <c r="Y608" s="257"/>
      <c r="Z608" s="316"/>
      <c r="AA608" s="257"/>
      <c r="AB608" s="316"/>
      <c r="AC608" s="257"/>
    </row>
    <row r="609" spans="1:29" ht="15.6" hidden="1" customHeight="1">
      <c r="A609" s="250" t="e">
        <f>A606+1</f>
        <v>#VALUE!</v>
      </c>
      <c r="B609" s="251"/>
      <c r="C609" s="867" t="s">
        <v>1554</v>
      </c>
      <c r="D609" s="532" t="s">
        <v>1872</v>
      </c>
      <c r="E609" s="251" t="s">
        <v>1898</v>
      </c>
      <c r="F609" s="735">
        <f>N609+R609+P609+T609+V609+X609+Z609+AB609</f>
        <v>0</v>
      </c>
      <c r="G609" s="872">
        <v>18.899999999999999</v>
      </c>
      <c r="H609" s="261">
        <f>O609+S609+Q609+U609+W609+Y609+AA609+AC609</f>
        <v>0</v>
      </c>
      <c r="I609" s="251" t="s">
        <v>1898</v>
      </c>
      <c r="J609" s="876"/>
      <c r="K609" s="876"/>
      <c r="L609" s="876"/>
      <c r="M609" s="876"/>
      <c r="N609" s="316">
        <v>0</v>
      </c>
      <c r="O609" s="259">
        <f>INT($G609*N609*100+0.5)/100</f>
        <v>0</v>
      </c>
      <c r="P609" s="316">
        <v>0</v>
      </c>
      <c r="Q609" s="259">
        <f>INT($G609*P609*100+0.5)/100</f>
        <v>0</v>
      </c>
      <c r="R609" s="316">
        <v>0</v>
      </c>
      <c r="S609" s="259">
        <f>INT($G609*R609*100+0.5)/100</f>
        <v>0</v>
      </c>
      <c r="T609" s="259"/>
      <c r="U609" s="259"/>
      <c r="V609" s="316">
        <v>0</v>
      </c>
      <c r="W609" s="257">
        <f>INT($G609*V609*100+0.5)/100</f>
        <v>0</v>
      </c>
      <c r="X609" s="316">
        <v>0</v>
      </c>
      <c r="Y609" s="257">
        <f>INT($G609*X609*100+0.5)/100</f>
        <v>0</v>
      </c>
      <c r="Z609" s="316">
        <v>0</v>
      </c>
      <c r="AA609" s="257">
        <f>INT($G609*Z609*100+0.5)/100</f>
        <v>0</v>
      </c>
      <c r="AB609" s="316">
        <v>0</v>
      </c>
      <c r="AC609" s="257">
        <f>INT($G609*AB609*100+0.5)/100</f>
        <v>0</v>
      </c>
    </row>
    <row r="610" spans="1:29" ht="15.6" hidden="1" customHeight="1">
      <c r="A610" s="250"/>
      <c r="B610" s="251"/>
      <c r="C610" s="855"/>
      <c r="D610" s="532" t="s">
        <v>1871</v>
      </c>
      <c r="E610" s="251"/>
      <c r="F610" s="735"/>
      <c r="G610" s="872"/>
      <c r="H610" s="261"/>
      <c r="I610" s="251"/>
      <c r="J610" s="876"/>
      <c r="K610" s="876"/>
      <c r="L610" s="876"/>
      <c r="M610" s="876"/>
      <c r="N610" s="316"/>
      <c r="O610" s="259"/>
      <c r="P610" s="316"/>
      <c r="Q610" s="259"/>
      <c r="R610" s="316"/>
      <c r="S610" s="259"/>
      <c r="T610" s="259"/>
      <c r="U610" s="259"/>
      <c r="V610" s="316"/>
      <c r="W610" s="257"/>
      <c r="X610" s="316"/>
      <c r="Y610" s="257"/>
      <c r="Z610" s="316"/>
      <c r="AA610" s="257"/>
      <c r="AB610" s="316"/>
      <c r="AC610" s="257"/>
    </row>
    <row r="611" spans="1:29" ht="15.6" hidden="1" customHeight="1">
      <c r="A611" s="250"/>
      <c r="B611" s="251"/>
      <c r="C611" s="855"/>
      <c r="D611" s="292"/>
      <c r="E611" s="251"/>
      <c r="F611" s="735"/>
      <c r="G611" s="872"/>
      <c r="H611" s="261"/>
      <c r="I611" s="251"/>
      <c r="J611" s="876"/>
      <c r="K611" s="876"/>
      <c r="L611" s="876"/>
      <c r="M611" s="876"/>
      <c r="N611" s="316"/>
      <c r="O611" s="259"/>
      <c r="P611" s="316"/>
      <c r="Q611" s="259"/>
      <c r="R611" s="316"/>
      <c r="S611" s="259"/>
      <c r="T611" s="259"/>
      <c r="U611" s="259"/>
      <c r="V611" s="316"/>
      <c r="W611" s="257"/>
      <c r="X611" s="316"/>
      <c r="Y611" s="257"/>
      <c r="Z611" s="316"/>
      <c r="AA611" s="257"/>
      <c r="AB611" s="316"/>
      <c r="AC611" s="257"/>
    </row>
    <row r="612" spans="1:29" ht="15">
      <c r="A612" s="250">
        <f>A601+1</f>
        <v>135</v>
      </c>
      <c r="B612" s="251"/>
      <c r="C612" s="855" t="s">
        <v>699</v>
      </c>
      <c r="D612" s="526" t="s">
        <v>290</v>
      </c>
      <c r="E612" s="251" t="s">
        <v>1439</v>
      </c>
      <c r="F612" s="735"/>
      <c r="G612" s="872"/>
      <c r="H612" s="261"/>
      <c r="I612" s="251" t="s">
        <v>1439</v>
      </c>
      <c r="J612" s="876"/>
      <c r="K612" s="876"/>
      <c r="L612" s="876"/>
      <c r="M612" s="876"/>
      <c r="N612" s="316"/>
      <c r="O612" s="259"/>
      <c r="P612" s="316"/>
      <c r="Q612" s="259"/>
      <c r="R612" s="316"/>
      <c r="S612" s="259"/>
      <c r="T612" s="259"/>
      <c r="U612" s="259"/>
      <c r="V612" s="316"/>
      <c r="W612" s="257"/>
      <c r="X612" s="316"/>
      <c r="Y612" s="257"/>
      <c r="Z612" s="316"/>
      <c r="AA612" s="257"/>
      <c r="AB612" s="316"/>
      <c r="AC612" s="257"/>
    </row>
    <row r="613" spans="1:29" ht="15">
      <c r="A613" s="250"/>
      <c r="B613" s="251"/>
      <c r="C613" s="855"/>
      <c r="D613" s="526" t="s">
        <v>291</v>
      </c>
      <c r="E613" s="251"/>
      <c r="F613" s="735"/>
      <c r="G613" s="872"/>
      <c r="H613" s="261"/>
      <c r="I613" s="251"/>
      <c r="J613" s="876"/>
      <c r="K613" s="876"/>
      <c r="L613" s="876"/>
      <c r="M613" s="876"/>
      <c r="N613" s="316"/>
      <c r="O613" s="259"/>
      <c r="P613" s="316"/>
      <c r="Q613" s="259"/>
      <c r="R613" s="316"/>
      <c r="S613" s="259"/>
      <c r="T613" s="259"/>
      <c r="U613" s="259"/>
      <c r="V613" s="316"/>
      <c r="W613" s="257"/>
      <c r="X613" s="316"/>
      <c r="Y613" s="257"/>
      <c r="Z613" s="316"/>
      <c r="AA613" s="257"/>
      <c r="AB613" s="316"/>
      <c r="AC613" s="257"/>
    </row>
    <row r="614" spans="1:29" ht="15">
      <c r="A614" s="250"/>
      <c r="B614" s="251"/>
      <c r="C614" s="855"/>
      <c r="D614" s="830" t="s">
        <v>2268</v>
      </c>
      <c r="E614" s="251"/>
      <c r="F614" s="735">
        <f>N614+R614+P614+T614+V614+X614+Z614+AB614</f>
        <v>500</v>
      </c>
      <c r="G614" s="872">
        <v>0.97</v>
      </c>
      <c r="H614" s="261">
        <f>O614+S614+Q614+U614+W614+Y614+AA614+AC614</f>
        <v>485</v>
      </c>
      <c r="I614" s="251"/>
      <c r="J614" s="876"/>
      <c r="K614" s="876"/>
      <c r="L614" s="876"/>
      <c r="M614" s="876"/>
      <c r="N614" s="316">
        <v>100</v>
      </c>
      <c r="O614" s="257">
        <f>INT($G614*N614*100+0.5)/100</f>
        <v>97</v>
      </c>
      <c r="P614" s="258">
        <v>100</v>
      </c>
      <c r="Q614" s="257">
        <f>INT($G614*P614*100+0.5)/100</f>
        <v>97</v>
      </c>
      <c r="R614" s="258">
        <v>100</v>
      </c>
      <c r="S614" s="257">
        <f>INT($G614*R614*100+0.5)/100</f>
        <v>97</v>
      </c>
      <c r="T614" s="257"/>
      <c r="U614" s="257"/>
      <c r="V614" s="258">
        <v>0</v>
      </c>
      <c r="W614" s="257">
        <f>INT($G614*V614*100+0.5)/100</f>
        <v>0</v>
      </c>
      <c r="X614" s="258">
        <v>200</v>
      </c>
      <c r="Y614" s="257">
        <f>INT($G614*X614*100+0.5)/100</f>
        <v>194</v>
      </c>
      <c r="Z614" s="258">
        <v>0</v>
      </c>
      <c r="AA614" s="257">
        <f>INT($G614*Z614*100+0.5)/100</f>
        <v>0</v>
      </c>
      <c r="AB614" s="258">
        <v>0</v>
      </c>
      <c r="AC614" s="257">
        <f>INT($G614*AB614*100+0.5)/100</f>
        <v>0</v>
      </c>
    </row>
    <row r="615" spans="1:29" ht="15">
      <c r="A615" s="250"/>
      <c r="B615" s="251"/>
      <c r="C615" s="855"/>
      <c r="D615" s="292"/>
      <c r="E615" s="251"/>
      <c r="F615" s="735"/>
      <c r="G615" s="872"/>
      <c r="H615" s="261"/>
      <c r="I615" s="251"/>
      <c r="J615" s="872"/>
      <c r="K615" s="872"/>
      <c r="L615" s="872"/>
      <c r="M615" s="872"/>
      <c r="N615" s="258"/>
      <c r="O615" s="257"/>
      <c r="P615" s="258"/>
      <c r="Q615" s="257"/>
      <c r="R615" s="258"/>
      <c r="S615" s="257"/>
      <c r="T615" s="257"/>
      <c r="U615" s="257"/>
      <c r="V615" s="258"/>
      <c r="W615" s="257"/>
      <c r="X615" s="258"/>
      <c r="Y615" s="257"/>
      <c r="Z615" s="258"/>
      <c r="AA615" s="257"/>
      <c r="AB615" s="258"/>
      <c r="AC615" s="257"/>
    </row>
    <row r="616" spans="1:29" ht="15">
      <c r="A616" s="250">
        <f>A612+1</f>
        <v>136</v>
      </c>
      <c r="B616" s="251"/>
      <c r="C616" s="855" t="s">
        <v>700</v>
      </c>
      <c r="D616" s="526" t="s">
        <v>1947</v>
      </c>
      <c r="E616" s="251" t="s">
        <v>1439</v>
      </c>
      <c r="F616" s="735"/>
      <c r="G616" s="872"/>
      <c r="H616" s="261"/>
      <c r="I616" s="251" t="s">
        <v>1439</v>
      </c>
      <c r="J616" s="876"/>
      <c r="K616" s="876"/>
      <c r="L616" s="876"/>
      <c r="M616" s="876"/>
      <c r="N616" s="316"/>
      <c r="O616" s="259"/>
      <c r="P616" s="316"/>
      <c r="Q616" s="259"/>
      <c r="R616" s="316"/>
      <c r="S616" s="259"/>
      <c r="T616" s="259"/>
      <c r="U616" s="259"/>
      <c r="V616" s="316"/>
      <c r="W616" s="257"/>
      <c r="X616" s="316"/>
      <c r="Y616" s="257"/>
      <c r="Z616" s="316"/>
      <c r="AA616" s="257"/>
      <c r="AB616" s="316"/>
      <c r="AC616" s="257"/>
    </row>
    <row r="617" spans="1:29" ht="15">
      <c r="A617" s="250"/>
      <c r="B617" s="251"/>
      <c r="C617" s="855"/>
      <c r="D617" s="526" t="s">
        <v>1054</v>
      </c>
      <c r="E617" s="251"/>
      <c r="F617" s="735"/>
      <c r="G617" s="872"/>
      <c r="H617" s="261"/>
      <c r="I617" s="251"/>
      <c r="J617" s="876"/>
      <c r="K617" s="876"/>
      <c r="L617" s="876"/>
      <c r="M617" s="876"/>
      <c r="N617" s="316"/>
      <c r="O617" s="259"/>
      <c r="P617" s="316"/>
      <c r="Q617" s="259"/>
      <c r="R617" s="316"/>
      <c r="S617" s="259"/>
      <c r="T617" s="259"/>
      <c r="U617" s="259"/>
      <c r="V617" s="316"/>
      <c r="W617" s="257"/>
      <c r="X617" s="316"/>
      <c r="Y617" s="257"/>
      <c r="Z617" s="316"/>
      <c r="AA617" s="257"/>
      <c r="AB617" s="316"/>
      <c r="AC617" s="257"/>
    </row>
    <row r="618" spans="1:29" ht="15">
      <c r="A618" s="250"/>
      <c r="B618" s="251"/>
      <c r="C618" s="855"/>
      <c r="D618" s="774" t="s">
        <v>3173</v>
      </c>
      <c r="E618" s="251"/>
      <c r="F618" s="735"/>
      <c r="G618" s="872"/>
      <c r="H618" s="261"/>
      <c r="I618" s="251"/>
      <c r="J618" s="872"/>
      <c r="K618" s="872"/>
      <c r="L618" s="872"/>
      <c r="M618" s="872"/>
      <c r="N618" s="258"/>
      <c r="O618" s="257"/>
      <c r="P618" s="257">
        <f>90*0.5*5.3</f>
        <v>238.5</v>
      </c>
      <c r="Q618" s="257"/>
      <c r="R618" s="258"/>
      <c r="S618" s="257"/>
      <c r="T618" s="257"/>
      <c r="U618" s="257"/>
      <c r="V618" s="258"/>
      <c r="W618" s="257"/>
      <c r="X618" s="258"/>
      <c r="Y618" s="257"/>
      <c r="Z618" s="258"/>
      <c r="AA618" s="257"/>
      <c r="AB618" s="258"/>
      <c r="AC618" s="257"/>
    </row>
    <row r="619" spans="1:29" ht="15">
      <c r="A619" s="250"/>
      <c r="B619" s="251"/>
      <c r="C619" s="855"/>
      <c r="D619" s="774" t="s">
        <v>3014</v>
      </c>
      <c r="E619" s="251"/>
      <c r="F619" s="735"/>
      <c r="G619" s="872"/>
      <c r="H619" s="261"/>
      <c r="I619" s="251"/>
      <c r="J619" s="872"/>
      <c r="K619" s="872"/>
      <c r="L619" s="872"/>
      <c r="M619" s="872"/>
      <c r="N619" s="258"/>
      <c r="O619" s="257"/>
      <c r="P619" s="257">
        <f>(132.5+10)*0.9*5.3</f>
        <v>679.72500000000002</v>
      </c>
      <c r="Q619" s="257"/>
      <c r="R619" s="258"/>
      <c r="S619" s="257"/>
      <c r="T619" s="257"/>
      <c r="U619" s="257"/>
      <c r="V619" s="258"/>
      <c r="W619" s="257"/>
      <c r="X619" s="258"/>
      <c r="Y619" s="257"/>
      <c r="Z619" s="258"/>
      <c r="AA619" s="257"/>
      <c r="AB619" s="258"/>
      <c r="AC619" s="257"/>
    </row>
    <row r="620" spans="1:29" ht="15">
      <c r="A620" s="250"/>
      <c r="B620" s="251"/>
      <c r="C620" s="855"/>
      <c r="D620" s="774" t="s">
        <v>3013</v>
      </c>
      <c r="E620" s="251"/>
      <c r="F620" s="735"/>
      <c r="G620" s="872"/>
      <c r="H620" s="261"/>
      <c r="I620" s="251"/>
      <c r="J620" s="872"/>
      <c r="K620" s="872"/>
      <c r="L620" s="872"/>
      <c r="M620" s="872"/>
      <c r="N620" s="258"/>
      <c r="O620" s="257"/>
      <c r="P620" s="257">
        <f>(7*5+7*1)*(0.4+0.5)*5.3</f>
        <v>200.34</v>
      </c>
      <c r="Q620" s="257"/>
      <c r="R620" s="258"/>
      <c r="S620" s="257"/>
      <c r="T620" s="257"/>
      <c r="U620" s="257"/>
      <c r="V620" s="258"/>
      <c r="W620" s="257"/>
      <c r="X620" s="258"/>
      <c r="Y620" s="257"/>
      <c r="Z620" s="258"/>
      <c r="AA620" s="257"/>
      <c r="AB620" s="258"/>
      <c r="AC620" s="257"/>
    </row>
    <row r="621" spans="1:29" ht="15">
      <c r="A621" s="250"/>
      <c r="B621" s="251"/>
      <c r="C621" s="855"/>
      <c r="D621" s="774" t="s">
        <v>3016</v>
      </c>
      <c r="E621" s="251"/>
      <c r="F621" s="735"/>
      <c r="G621" s="872"/>
      <c r="H621" s="261"/>
      <c r="I621" s="251"/>
      <c r="J621" s="872"/>
      <c r="K621" s="872"/>
      <c r="L621" s="872"/>
      <c r="M621" s="872"/>
      <c r="N621" s="258"/>
      <c r="O621" s="257"/>
      <c r="P621" s="257">
        <f>(101.5+136.5+23)*0.9*5.3</f>
        <v>1244.97</v>
      </c>
      <c r="Q621" s="257"/>
      <c r="R621" s="258"/>
      <c r="S621" s="257"/>
      <c r="T621" s="257"/>
      <c r="U621" s="257"/>
      <c r="V621" s="258"/>
      <c r="W621" s="257"/>
      <c r="X621" s="258"/>
      <c r="Y621" s="257"/>
      <c r="Z621" s="258"/>
      <c r="AA621" s="257"/>
      <c r="AB621" s="258"/>
      <c r="AC621" s="257"/>
    </row>
    <row r="622" spans="1:29" ht="15">
      <c r="A622" s="250"/>
      <c r="B622" s="251"/>
      <c r="C622" s="855"/>
      <c r="D622" s="774" t="s">
        <v>3015</v>
      </c>
      <c r="E622" s="251"/>
      <c r="F622" s="735"/>
      <c r="G622" s="872"/>
      <c r="H622" s="261"/>
      <c r="I622" s="251"/>
      <c r="J622" s="872"/>
      <c r="K622" s="872"/>
      <c r="L622" s="872"/>
      <c r="M622" s="872"/>
      <c r="N622" s="258"/>
      <c r="O622" s="257"/>
      <c r="P622" s="257">
        <f>(13*5+13*1)*(0.4+0.5)*5.3</f>
        <v>372.06</v>
      </c>
      <c r="Q622" s="257"/>
      <c r="R622" s="258"/>
      <c r="S622" s="257"/>
      <c r="T622" s="257"/>
      <c r="U622" s="257"/>
      <c r="V622" s="258"/>
      <c r="W622" s="257"/>
      <c r="X622" s="258"/>
      <c r="Y622" s="257"/>
      <c r="Z622" s="258"/>
      <c r="AA622" s="257"/>
      <c r="AB622" s="258"/>
      <c r="AC622" s="257"/>
    </row>
    <row r="623" spans="1:29" ht="15">
      <c r="A623" s="250"/>
      <c r="B623" s="251"/>
      <c r="C623" s="855"/>
      <c r="D623" s="830" t="s">
        <v>3012</v>
      </c>
      <c r="E623" s="251"/>
      <c r="F623" s="735"/>
      <c r="G623" s="872"/>
      <c r="H623" s="261"/>
      <c r="I623" s="251"/>
      <c r="J623" s="872"/>
      <c r="K623" s="872"/>
      <c r="L623" s="872"/>
      <c r="M623" s="872"/>
      <c r="N623" s="258"/>
      <c r="O623" s="257"/>
      <c r="P623" s="257">
        <f>(14+26)*0.6*0.8*5.3</f>
        <v>101.76</v>
      </c>
      <c r="Q623" s="257"/>
      <c r="R623" s="258"/>
      <c r="S623" s="257"/>
      <c r="T623" s="257"/>
      <c r="U623" s="257"/>
      <c r="V623" s="258"/>
      <c r="W623" s="257"/>
      <c r="X623" s="258"/>
      <c r="Y623" s="257"/>
      <c r="Z623" s="258"/>
      <c r="AA623" s="257"/>
      <c r="AB623" s="258"/>
      <c r="AC623" s="257"/>
    </row>
    <row r="624" spans="1:29" ht="25.5">
      <c r="A624" s="250"/>
      <c r="B624" s="251"/>
      <c r="C624" s="855"/>
      <c r="D624" s="833" t="s">
        <v>3018</v>
      </c>
      <c r="E624" s="251"/>
      <c r="F624" s="735"/>
      <c r="G624" s="872"/>
      <c r="H624" s="261"/>
      <c r="I624" s="251"/>
      <c r="J624" s="872"/>
      <c r="K624" s="872"/>
      <c r="L624" s="872"/>
      <c r="M624" s="872"/>
      <c r="N624" s="294">
        <v>0</v>
      </c>
      <c r="O624" s="294"/>
      <c r="P624" s="294">
        <v>162.63999999999999</v>
      </c>
      <c r="Q624" s="294"/>
      <c r="R624" s="294">
        <v>0</v>
      </c>
      <c r="S624" s="294"/>
      <c r="T624" s="294"/>
      <c r="U624" s="294"/>
      <c r="V624" s="294">
        <v>0</v>
      </c>
      <c r="W624" s="294"/>
      <c r="X624" s="294">
        <v>18</v>
      </c>
      <c r="Y624" s="294"/>
      <c r="Z624" s="294">
        <v>0</v>
      </c>
      <c r="AA624" s="294"/>
      <c r="AB624" s="294">
        <v>0</v>
      </c>
      <c r="AC624" s="294"/>
    </row>
    <row r="625" spans="1:29" ht="15">
      <c r="A625" s="250"/>
      <c r="B625" s="251"/>
      <c r="C625" s="855"/>
      <c r="D625" s="830" t="s">
        <v>1900</v>
      </c>
      <c r="E625" s="251"/>
      <c r="F625" s="735">
        <f>N625+R625+P625+T625+V625+X625+Z625+AB625</f>
        <v>3419.9949999999999</v>
      </c>
      <c r="G625" s="872">
        <v>0.94</v>
      </c>
      <c r="H625" s="261">
        <f>O625+S625+Q625+U625+W625+Y625+AA625+AC625</f>
        <v>3214.8</v>
      </c>
      <c r="I625" s="251"/>
      <c r="J625" s="876"/>
      <c r="K625" s="876"/>
      <c r="L625" s="876"/>
      <c r="M625" s="876"/>
      <c r="N625" s="316">
        <v>120</v>
      </c>
      <c r="O625" s="257">
        <f>INT($G625*N625*100+0.5)/100</f>
        <v>112.8</v>
      </c>
      <c r="P625" s="258">
        <f>SUM(P618:P624)</f>
        <v>2999.9949999999999</v>
      </c>
      <c r="Q625" s="257">
        <f>INT($G625*P625*100+0.5)/100</f>
        <v>2820</v>
      </c>
      <c r="R625" s="258">
        <v>0</v>
      </c>
      <c r="S625" s="257">
        <f>INT($G625*R625*100+0.5)/100</f>
        <v>0</v>
      </c>
      <c r="T625" s="257"/>
      <c r="U625" s="257"/>
      <c r="V625" s="258">
        <v>0</v>
      </c>
      <c r="W625" s="257">
        <f>INT($G625*V625*100+0.5)/100</f>
        <v>0</v>
      </c>
      <c r="X625" s="258">
        <f>X604*60</f>
        <v>300</v>
      </c>
      <c r="Y625" s="257">
        <f>INT($G625*X625*100+0.5)/100</f>
        <v>282</v>
      </c>
      <c r="Z625" s="258">
        <v>0</v>
      </c>
      <c r="AA625" s="257">
        <f>INT($G625*Z625*100+0.5)/100</f>
        <v>0</v>
      </c>
      <c r="AB625" s="258">
        <v>0</v>
      </c>
      <c r="AC625" s="257">
        <f>INT($G625*AB625*100+0.5)/100</f>
        <v>0</v>
      </c>
    </row>
    <row r="626" spans="1:29" ht="15">
      <c r="A626" s="250"/>
      <c r="B626" s="251"/>
      <c r="C626" s="855"/>
      <c r="D626" s="292"/>
      <c r="E626" s="251"/>
      <c r="F626" s="735"/>
      <c r="G626" s="261"/>
      <c r="H626" s="261"/>
      <c r="I626" s="251"/>
      <c r="J626" s="253"/>
      <c r="K626" s="253"/>
      <c r="L626" s="253"/>
      <c r="M626" s="253"/>
      <c r="N626" s="316"/>
      <c r="O626" s="257"/>
      <c r="P626" s="258"/>
      <c r="Q626" s="257"/>
      <c r="R626" s="258"/>
      <c r="S626" s="257"/>
      <c r="T626" s="257"/>
      <c r="U626" s="257"/>
      <c r="V626" s="258"/>
      <c r="W626" s="257"/>
      <c r="X626" s="258"/>
      <c r="Y626" s="257"/>
      <c r="Z626" s="258"/>
      <c r="AA626" s="257"/>
      <c r="AB626" s="258"/>
      <c r="AC626" s="257"/>
    </row>
    <row r="627" spans="1:29" s="325" customFormat="1" ht="30">
      <c r="A627" s="318"/>
      <c r="B627" s="319"/>
      <c r="C627" s="886" t="s">
        <v>2032</v>
      </c>
      <c r="D627" s="421" t="s">
        <v>1553</v>
      </c>
      <c r="E627" s="319"/>
      <c r="F627" s="784"/>
      <c r="G627" s="324"/>
      <c r="H627" s="271">
        <f>O627+S627+Q627+U627+W627+Y627+AA627+AC627</f>
        <v>14381.830000000002</v>
      </c>
      <c r="I627" s="319"/>
      <c r="J627" s="324"/>
      <c r="K627" s="324"/>
      <c r="L627" s="324"/>
      <c r="M627" s="324"/>
      <c r="N627" s="323"/>
      <c r="O627" s="323">
        <f>SUM(O584:O626)</f>
        <v>1525.6499999999999</v>
      </c>
      <c r="P627" s="323"/>
      <c r="Q627" s="323">
        <f>SUM(Q584:Q626)</f>
        <v>9167.880000000001</v>
      </c>
      <c r="R627" s="323"/>
      <c r="S627" s="323">
        <f>SUM(S584:S626)</f>
        <v>708.45</v>
      </c>
      <c r="T627" s="323"/>
      <c r="U627" s="323">
        <f>SUM(U584:U626)</f>
        <v>0</v>
      </c>
      <c r="V627" s="323"/>
      <c r="W627" s="323">
        <f>SUM(W584:W626)</f>
        <v>0</v>
      </c>
      <c r="X627" s="323"/>
      <c r="Y627" s="323">
        <f>SUM(Y584:Y626)</f>
        <v>2979.85</v>
      </c>
      <c r="Z627" s="323"/>
      <c r="AA627" s="323">
        <f>SUM(AA584:AA626)</f>
        <v>0</v>
      </c>
      <c r="AB627" s="323"/>
      <c r="AC627" s="323">
        <f>SUM(AC584:AC626)</f>
        <v>0</v>
      </c>
    </row>
    <row r="628" spans="1:29" ht="15">
      <c r="A628" s="250"/>
      <c r="B628" s="251"/>
      <c r="C628" s="871"/>
      <c r="D628" s="330"/>
      <c r="E628" s="251"/>
      <c r="F628" s="735"/>
      <c r="G628" s="261"/>
      <c r="H628" s="737"/>
      <c r="I628" s="251"/>
      <c r="J628" s="261"/>
      <c r="K628" s="261"/>
      <c r="L628" s="261"/>
      <c r="M628" s="261"/>
      <c r="N628" s="258"/>
      <c r="O628" s="494"/>
      <c r="P628" s="258"/>
      <c r="Q628" s="257"/>
      <c r="R628" s="258"/>
      <c r="S628" s="257"/>
      <c r="T628" s="257"/>
      <c r="U628" s="257"/>
      <c r="V628" s="258"/>
      <c r="W628" s="257"/>
      <c r="X628" s="258"/>
      <c r="Y628" s="257"/>
      <c r="Z628" s="258"/>
      <c r="AA628" s="257"/>
      <c r="AB628" s="258"/>
      <c r="AC628" s="257"/>
    </row>
    <row r="629" spans="1:29" ht="25.5">
      <c r="A629" s="250"/>
      <c r="B629" s="251"/>
      <c r="C629" s="859" t="s">
        <v>1555</v>
      </c>
      <c r="D629" s="747" t="s">
        <v>1556</v>
      </c>
      <c r="E629" s="251"/>
      <c r="F629" s="735"/>
      <c r="G629" s="261"/>
      <c r="H629" s="261"/>
      <c r="I629" s="251"/>
      <c r="J629" s="261"/>
      <c r="K629" s="261"/>
      <c r="L629" s="261"/>
      <c r="M629" s="261"/>
      <c r="N629" s="258"/>
      <c r="O629" s="257"/>
      <c r="P629" s="258"/>
      <c r="Q629" s="257"/>
      <c r="R629" s="258"/>
      <c r="S629" s="257"/>
      <c r="T629" s="257"/>
      <c r="U629" s="257"/>
      <c r="V629" s="258"/>
      <c r="W629" s="257"/>
      <c r="X629" s="258"/>
      <c r="Y629" s="257"/>
      <c r="Z629" s="258"/>
      <c r="AA629" s="257"/>
      <c r="AB629" s="258"/>
      <c r="AC629" s="257"/>
    </row>
    <row r="630" spans="1:29" ht="26.45" hidden="1" customHeight="1">
      <c r="A630" s="750" t="s">
        <v>2510</v>
      </c>
      <c r="B630" s="251"/>
      <c r="C630" s="855" t="s">
        <v>701</v>
      </c>
      <c r="D630" s="526" t="s">
        <v>1797</v>
      </c>
      <c r="E630" s="251" t="s">
        <v>2461</v>
      </c>
      <c r="F630" s="735">
        <f>N630+R630+P630+T630+V630+X630+Z630+AB630</f>
        <v>0</v>
      </c>
      <c r="G630" s="261">
        <v>283.70999999999998</v>
      </c>
      <c r="H630" s="261">
        <f>O630+S630+Q630+U630+W630+Y630+AA630+AC630</f>
        <v>0</v>
      </c>
      <c r="I630" s="251" t="s">
        <v>2461</v>
      </c>
      <c r="J630" s="261"/>
      <c r="K630" s="261"/>
      <c r="L630" s="261"/>
      <c r="M630" s="261"/>
      <c r="N630" s="258">
        <v>0</v>
      </c>
      <c r="O630" s="257">
        <f>INT($G630*N630*100+0.5)/100</f>
        <v>0</v>
      </c>
      <c r="P630" s="258">
        <v>0</v>
      </c>
      <c r="Q630" s="257">
        <f>INT($G630*P630*100+0.5)/100</f>
        <v>0</v>
      </c>
      <c r="R630" s="258">
        <v>0</v>
      </c>
      <c r="S630" s="257">
        <f>INT($G630*R630*100+0.5)/100</f>
        <v>0</v>
      </c>
      <c r="T630" s="257"/>
      <c r="U630" s="257"/>
      <c r="V630" s="258">
        <v>0</v>
      </c>
      <c r="W630" s="257">
        <f>INT($G630*V630*100+0.5)/100</f>
        <v>0</v>
      </c>
      <c r="X630" s="258">
        <v>0</v>
      </c>
      <c r="Y630" s="257">
        <f>INT($G630*X630*100+0.5)/100</f>
        <v>0</v>
      </c>
      <c r="Z630" s="258">
        <v>0</v>
      </c>
      <c r="AA630" s="257">
        <f>INT($G630*Z630*100+0.5)/100</f>
        <v>0</v>
      </c>
      <c r="AB630" s="258">
        <v>0</v>
      </c>
      <c r="AC630" s="257">
        <f>INT($G630*AB630*100+0.5)/100</f>
        <v>0</v>
      </c>
    </row>
    <row r="631" spans="1:29" ht="26.45" hidden="1" customHeight="1">
      <c r="A631" s="250"/>
      <c r="B631" s="251"/>
      <c r="C631" s="855"/>
      <c r="D631" s="526" t="s">
        <v>1796</v>
      </c>
      <c r="E631" s="251"/>
      <c r="F631" s="735"/>
      <c r="G631" s="261"/>
      <c r="H631" s="261"/>
      <c r="I631" s="251"/>
      <c r="J631" s="261"/>
      <c r="K631" s="261"/>
      <c r="L631" s="261"/>
      <c r="M631" s="261"/>
      <c r="N631" s="258"/>
      <c r="O631" s="257"/>
      <c r="P631" s="258"/>
      <c r="Q631" s="257"/>
      <c r="R631" s="258"/>
      <c r="S631" s="257"/>
      <c r="T631" s="257"/>
      <c r="U631" s="257"/>
      <c r="V631" s="258"/>
      <c r="W631" s="257"/>
      <c r="X631" s="258"/>
      <c r="Y631" s="257"/>
      <c r="Z631" s="258"/>
      <c r="AA631" s="257"/>
      <c r="AB631" s="258"/>
      <c r="AC631" s="257"/>
    </row>
    <row r="632" spans="1:29" ht="15.6" hidden="1" customHeight="1">
      <c r="A632" s="250"/>
      <c r="B632" s="251"/>
      <c r="C632" s="855"/>
      <c r="D632" s="292"/>
      <c r="E632" s="251"/>
      <c r="F632" s="735"/>
      <c r="G632" s="261"/>
      <c r="H632" s="261"/>
      <c r="I632" s="251"/>
      <c r="J632" s="261"/>
      <c r="K632" s="261"/>
      <c r="L632" s="261"/>
      <c r="M632" s="261"/>
      <c r="N632" s="258"/>
      <c r="O632" s="257"/>
      <c r="P632" s="258"/>
      <c r="Q632" s="257"/>
      <c r="R632" s="258"/>
      <c r="S632" s="257"/>
      <c r="T632" s="257"/>
      <c r="U632" s="257"/>
      <c r="V632" s="258"/>
      <c r="W632" s="257"/>
      <c r="X632" s="258"/>
      <c r="Y632" s="257"/>
      <c r="Z632" s="258"/>
      <c r="AA632" s="257"/>
      <c r="AB632" s="258"/>
      <c r="AC632" s="257"/>
    </row>
    <row r="633" spans="1:29" ht="15.6" hidden="1" customHeight="1">
      <c r="A633" s="750" t="s">
        <v>2510</v>
      </c>
      <c r="B633" s="251"/>
      <c r="C633" s="855" t="s">
        <v>702</v>
      </c>
      <c r="D633" s="526" t="s">
        <v>1799</v>
      </c>
      <c r="E633" s="251" t="s">
        <v>2461</v>
      </c>
      <c r="F633" s="735"/>
      <c r="G633" s="261"/>
      <c r="H633" s="261"/>
      <c r="I633" s="251" t="s">
        <v>2461</v>
      </c>
      <c r="J633" s="261"/>
      <c r="K633" s="261"/>
      <c r="L633" s="261"/>
      <c r="M633" s="261"/>
      <c r="N633" s="258"/>
      <c r="O633" s="257"/>
      <c r="P633" s="258"/>
      <c r="Q633" s="257"/>
      <c r="R633" s="258"/>
      <c r="S633" s="257"/>
      <c r="T633" s="257"/>
      <c r="U633" s="257"/>
      <c r="V633" s="258"/>
      <c r="W633" s="257"/>
      <c r="X633" s="258"/>
      <c r="Y633" s="257"/>
      <c r="Z633" s="258"/>
      <c r="AA633" s="257"/>
      <c r="AB633" s="258"/>
      <c r="AC633" s="257"/>
    </row>
    <row r="634" spans="1:29" ht="15.6" hidden="1" customHeight="1">
      <c r="A634" s="250"/>
      <c r="B634" s="251"/>
      <c r="C634" s="855"/>
      <c r="D634" s="526" t="s">
        <v>1798</v>
      </c>
      <c r="E634" s="251"/>
      <c r="F634" s="735"/>
      <c r="G634" s="261"/>
      <c r="H634" s="261"/>
      <c r="I634" s="251"/>
      <c r="J634" s="261"/>
      <c r="K634" s="261"/>
      <c r="L634" s="261"/>
      <c r="M634" s="261"/>
      <c r="N634" s="258"/>
      <c r="O634" s="257"/>
      <c r="P634" s="258"/>
      <c r="Q634" s="257"/>
      <c r="R634" s="258"/>
      <c r="S634" s="257"/>
      <c r="T634" s="257"/>
      <c r="U634" s="257"/>
      <c r="V634" s="258"/>
      <c r="W634" s="257"/>
      <c r="X634" s="258"/>
      <c r="Y634" s="257"/>
      <c r="Z634" s="258"/>
      <c r="AA634" s="257"/>
      <c r="AB634" s="258"/>
      <c r="AC634" s="257"/>
    </row>
    <row r="635" spans="1:29" ht="15.6" hidden="1" customHeight="1">
      <c r="A635" s="250"/>
      <c r="B635" s="251"/>
      <c r="C635" s="855"/>
      <c r="D635" s="292" t="s">
        <v>589</v>
      </c>
      <c r="E635" s="251"/>
      <c r="F635" s="735"/>
      <c r="G635" s="261"/>
      <c r="H635" s="261"/>
      <c r="I635" s="251"/>
      <c r="J635" s="261"/>
      <c r="K635" s="261"/>
      <c r="L635" s="261"/>
      <c r="M635" s="261"/>
      <c r="N635" s="258"/>
      <c r="O635" s="257"/>
      <c r="P635" s="258"/>
      <c r="Q635" s="257"/>
      <c r="R635" s="258"/>
      <c r="S635" s="257"/>
      <c r="T635" s="257"/>
      <c r="U635" s="257"/>
      <c r="V635" s="258"/>
      <c r="W635" s="257"/>
      <c r="X635" s="258"/>
      <c r="Y635" s="257"/>
      <c r="Z635" s="258"/>
      <c r="AA635" s="257"/>
      <c r="AB635" s="258"/>
      <c r="AC635" s="257"/>
    </row>
    <row r="636" spans="1:29" ht="15.6" hidden="1" customHeight="1">
      <c r="A636" s="250"/>
      <c r="B636" s="251"/>
      <c r="C636" s="855"/>
      <c r="D636" s="292" t="s">
        <v>385</v>
      </c>
      <c r="E636" s="251"/>
      <c r="F636" s="735"/>
      <c r="G636" s="261"/>
      <c r="H636" s="261"/>
      <c r="I636" s="251"/>
      <c r="J636" s="261"/>
      <c r="K636" s="261"/>
      <c r="L636" s="261"/>
      <c r="M636" s="261"/>
      <c r="N636" s="293"/>
      <c r="O636" s="294"/>
      <c r="P636" s="293"/>
      <c r="Q636" s="294"/>
      <c r="R636" s="293"/>
      <c r="S636" s="294"/>
      <c r="T636" s="294"/>
      <c r="U636" s="294"/>
      <c r="V636" s="293"/>
      <c r="W636" s="294"/>
      <c r="X636" s="293"/>
      <c r="Y636" s="294"/>
      <c r="Z636" s="293"/>
      <c r="AA636" s="294"/>
      <c r="AB636" s="293"/>
      <c r="AC636" s="294"/>
    </row>
    <row r="637" spans="1:29" ht="15.6" hidden="1" customHeight="1">
      <c r="A637" s="250"/>
      <c r="B637" s="251"/>
      <c r="C637" s="855"/>
      <c r="D637" s="292" t="s">
        <v>1900</v>
      </c>
      <c r="E637" s="251"/>
      <c r="F637" s="735">
        <f>N637+R637+P637+T637+V637+X637+Z637+AB637</f>
        <v>0</v>
      </c>
      <c r="G637" s="261">
        <v>74.69</v>
      </c>
      <c r="H637" s="261">
        <f>O637+S637+Q637+U637+W637+Y637+AA637+AC637</f>
        <v>0</v>
      </c>
      <c r="I637" s="251"/>
      <c r="J637" s="261"/>
      <c r="K637" s="261"/>
      <c r="L637" s="261"/>
      <c r="M637" s="261"/>
      <c r="N637" s="258">
        <f>SUM(N635:N636)</f>
        <v>0</v>
      </c>
      <c r="O637" s="257">
        <f>INT($G637*N637*100+0.5)/100</f>
        <v>0</v>
      </c>
      <c r="P637" s="258">
        <f>SUM(P635:P636)</f>
        <v>0</v>
      </c>
      <c r="Q637" s="257">
        <f>INT($G637*P637*100+0.5)/100</f>
        <v>0</v>
      </c>
      <c r="R637" s="258">
        <f>SUM(R635:R636)</f>
        <v>0</v>
      </c>
      <c r="S637" s="257">
        <f>INT($G637*R637*100+0.5)/100</f>
        <v>0</v>
      </c>
      <c r="T637" s="257"/>
      <c r="U637" s="257"/>
      <c r="V637" s="258">
        <f>SUM(V635:V636)</f>
        <v>0</v>
      </c>
      <c r="W637" s="257">
        <f>INT($G637*V637*100+0.5)/100</f>
        <v>0</v>
      </c>
      <c r="X637" s="258">
        <f>SUM(X635:X636)</f>
        <v>0</v>
      </c>
      <c r="Y637" s="257">
        <f>INT($G637*X637*100+0.5)/100</f>
        <v>0</v>
      </c>
      <c r="Z637" s="258">
        <f>SUM(Z635:Z636)</f>
        <v>0</v>
      </c>
      <c r="AA637" s="257">
        <f>INT($G637*Z637*100+0.5)/100</f>
        <v>0</v>
      </c>
      <c r="AB637" s="258">
        <f>SUM(AB635:AB636)</f>
        <v>0</v>
      </c>
      <c r="AC637" s="257">
        <f>INT($G637*AB637*100+0.5)/100</f>
        <v>0</v>
      </c>
    </row>
    <row r="638" spans="1:29" ht="15.6" hidden="1" customHeight="1">
      <c r="A638" s="250"/>
      <c r="B638" s="251"/>
      <c r="C638" s="855"/>
      <c r="D638" s="292"/>
      <c r="E638" s="251"/>
      <c r="F638" s="735"/>
      <c r="G638" s="261"/>
      <c r="H638" s="261"/>
      <c r="I638" s="251"/>
      <c r="J638" s="261"/>
      <c r="K638" s="261"/>
      <c r="L638" s="261"/>
      <c r="M638" s="261"/>
      <c r="N638" s="258"/>
      <c r="O638" s="257"/>
      <c r="P638" s="258"/>
      <c r="Q638" s="257"/>
      <c r="R638" s="258"/>
      <c r="S638" s="257"/>
      <c r="T638" s="257"/>
      <c r="U638" s="257"/>
      <c r="V638" s="258"/>
      <c r="W638" s="257"/>
      <c r="X638" s="258"/>
      <c r="Y638" s="257"/>
      <c r="Z638" s="258"/>
      <c r="AA638" s="257"/>
      <c r="AB638" s="258"/>
      <c r="AC638" s="257"/>
    </row>
    <row r="639" spans="1:29" ht="26.45" hidden="1" customHeight="1">
      <c r="A639" s="250" t="e">
        <f>A633+1</f>
        <v>#VALUE!</v>
      </c>
      <c r="B639" s="251"/>
      <c r="C639" s="864" t="s">
        <v>703</v>
      </c>
      <c r="D639" s="532" t="s">
        <v>1055</v>
      </c>
      <c r="E639" s="251" t="s">
        <v>2461</v>
      </c>
      <c r="F639" s="735">
        <f>N639+R639+P639+T639+V639+X639+Z639+AB639</f>
        <v>0</v>
      </c>
      <c r="G639" s="261">
        <v>249.59</v>
      </c>
      <c r="H639" s="261">
        <f>O639+S639+Q639+U639+W639+Y639+AA639+AC639</f>
        <v>0</v>
      </c>
      <c r="I639" s="251" t="s">
        <v>2461</v>
      </c>
      <c r="J639" s="261"/>
      <c r="K639" s="261"/>
      <c r="L639" s="261"/>
      <c r="M639" s="261"/>
      <c r="N639" s="258">
        <v>0</v>
      </c>
      <c r="O639" s="257">
        <f>INT($G639*N639*100+0.5)/100</f>
        <v>0</v>
      </c>
      <c r="P639" s="258">
        <v>0</v>
      </c>
      <c r="Q639" s="257">
        <f>INT($G639*P639*100+0.5)/100</f>
        <v>0</v>
      </c>
      <c r="R639" s="258">
        <v>0</v>
      </c>
      <c r="S639" s="257">
        <f>INT($G639*R639*100+0.5)/100</f>
        <v>0</v>
      </c>
      <c r="T639" s="257"/>
      <c r="U639" s="257"/>
      <c r="V639" s="258">
        <v>0</v>
      </c>
      <c r="W639" s="257">
        <f>INT($G639*V639*100+0.5)/100</f>
        <v>0</v>
      </c>
      <c r="X639" s="258">
        <v>0</v>
      </c>
      <c r="Y639" s="257">
        <f>INT($G639*X639*100+0.5)/100</f>
        <v>0</v>
      </c>
      <c r="Z639" s="258">
        <v>0</v>
      </c>
      <c r="AA639" s="257">
        <f>INT($G639*Z639*100+0.5)/100</f>
        <v>0</v>
      </c>
      <c r="AB639" s="258">
        <v>0</v>
      </c>
      <c r="AC639" s="257">
        <f>INT($G639*AB639*100+0.5)/100</f>
        <v>0</v>
      </c>
    </row>
    <row r="640" spans="1:29" ht="26.45" hidden="1" customHeight="1">
      <c r="A640" s="250"/>
      <c r="B640" s="251"/>
      <c r="C640" s="855"/>
      <c r="D640" s="532" t="s">
        <v>1165</v>
      </c>
      <c r="E640" s="251"/>
      <c r="F640" s="735"/>
      <c r="G640" s="261"/>
      <c r="H640" s="261"/>
      <c r="I640" s="251"/>
      <c r="J640" s="261"/>
      <c r="K640" s="261"/>
      <c r="L640" s="261"/>
      <c r="M640" s="261"/>
      <c r="N640" s="258"/>
      <c r="O640" s="257"/>
      <c r="P640" s="258"/>
      <c r="Q640" s="257"/>
      <c r="R640" s="258"/>
      <c r="S640" s="257"/>
      <c r="T640" s="257"/>
      <c r="U640" s="257"/>
      <c r="V640" s="258"/>
      <c r="W640" s="257"/>
      <c r="X640" s="258"/>
      <c r="Y640" s="257"/>
      <c r="Z640" s="258"/>
      <c r="AA640" s="257"/>
      <c r="AB640" s="258"/>
      <c r="AC640" s="257"/>
    </row>
    <row r="641" spans="1:29" ht="15.6" hidden="1" customHeight="1">
      <c r="A641" s="250"/>
      <c r="B641" s="251"/>
      <c r="C641" s="855"/>
      <c r="D641" s="292"/>
      <c r="E641" s="251"/>
      <c r="F641" s="735"/>
      <c r="G641" s="261"/>
      <c r="H641" s="261"/>
      <c r="I641" s="251"/>
      <c r="J641" s="261"/>
      <c r="K641" s="261"/>
      <c r="L641" s="261"/>
      <c r="M641" s="261"/>
      <c r="N641" s="258"/>
      <c r="O641" s="257"/>
      <c r="P641" s="258"/>
      <c r="Q641" s="257"/>
      <c r="R641" s="258"/>
      <c r="S641" s="257"/>
      <c r="T641" s="257"/>
      <c r="U641" s="257"/>
      <c r="V641" s="258"/>
      <c r="W641" s="257"/>
      <c r="X641" s="258"/>
      <c r="Y641" s="257"/>
      <c r="Z641" s="258"/>
      <c r="AA641" s="257"/>
      <c r="AB641" s="258"/>
      <c r="AC641" s="257"/>
    </row>
    <row r="642" spans="1:29" ht="26.45" hidden="1" customHeight="1">
      <c r="A642" s="250" t="e">
        <f>A639+1</f>
        <v>#VALUE!</v>
      </c>
      <c r="B642" s="251"/>
      <c r="C642" s="864" t="s">
        <v>704</v>
      </c>
      <c r="D642" s="532" t="s">
        <v>1163</v>
      </c>
      <c r="E642" s="251" t="s">
        <v>2461</v>
      </c>
      <c r="F642" s="735">
        <f>N642+R642+P642+T642+V642+X642+Z642+AB642</f>
        <v>0</v>
      </c>
      <c r="G642" s="261">
        <v>234.74</v>
      </c>
      <c r="H642" s="261">
        <f>O642+S642+Q642+U642+W642+Y642+AA642+AC642</f>
        <v>0</v>
      </c>
      <c r="I642" s="251" t="s">
        <v>2461</v>
      </c>
      <c r="J642" s="261"/>
      <c r="K642" s="261"/>
      <c r="L642" s="261"/>
      <c r="M642" s="261"/>
      <c r="N642" s="258">
        <v>0</v>
      </c>
      <c r="O642" s="257">
        <f>INT($G642*N642*100+0.5)/100</f>
        <v>0</v>
      </c>
      <c r="P642" s="258">
        <v>0</v>
      </c>
      <c r="Q642" s="257">
        <f>INT($G642*P642*100+0.5)/100</f>
        <v>0</v>
      </c>
      <c r="R642" s="258">
        <v>0</v>
      </c>
      <c r="S642" s="257">
        <f>INT($G642*R642*100+0.5)/100</f>
        <v>0</v>
      </c>
      <c r="T642" s="257"/>
      <c r="U642" s="257"/>
      <c r="V642" s="258">
        <v>0</v>
      </c>
      <c r="W642" s="257">
        <f>INT($G642*V642*100+0.5)/100</f>
        <v>0</v>
      </c>
      <c r="X642" s="258">
        <v>0</v>
      </c>
      <c r="Y642" s="257">
        <f>INT($G642*X642*100+0.5)/100</f>
        <v>0</v>
      </c>
      <c r="Z642" s="258">
        <v>0</v>
      </c>
      <c r="AA642" s="257">
        <f>INT($G642*Z642*100+0.5)/100</f>
        <v>0</v>
      </c>
      <c r="AB642" s="258">
        <v>0</v>
      </c>
      <c r="AC642" s="257">
        <f>INT($G642*AB642*100+0.5)/100</f>
        <v>0</v>
      </c>
    </row>
    <row r="643" spans="1:29" ht="26.45" hidden="1" customHeight="1">
      <c r="A643" s="250"/>
      <c r="B643" s="251"/>
      <c r="C643" s="855"/>
      <c r="D643" s="532" t="s">
        <v>1164</v>
      </c>
      <c r="E643" s="251"/>
      <c r="F643" s="735"/>
      <c r="G643" s="261"/>
      <c r="H643" s="261"/>
      <c r="I643" s="251"/>
      <c r="J643" s="261"/>
      <c r="K643" s="261"/>
      <c r="L643" s="261"/>
      <c r="M643" s="261"/>
      <c r="N643" s="258"/>
      <c r="O643" s="257"/>
      <c r="P643" s="258"/>
      <c r="Q643" s="257"/>
      <c r="R643" s="258"/>
      <c r="S643" s="257"/>
      <c r="T643" s="257"/>
      <c r="U643" s="257"/>
      <c r="V643" s="258"/>
      <c r="W643" s="257"/>
      <c r="X643" s="258"/>
      <c r="Y643" s="257"/>
      <c r="Z643" s="258"/>
      <c r="AA643" s="257"/>
      <c r="AB643" s="258"/>
      <c r="AC643" s="257"/>
    </row>
    <row r="644" spans="1:29" ht="15.6" hidden="1" customHeight="1">
      <c r="A644" s="250"/>
      <c r="B644" s="251"/>
      <c r="C644" s="855"/>
      <c r="D644" s="292"/>
      <c r="E644" s="251"/>
      <c r="F644" s="735"/>
      <c r="G644" s="261"/>
      <c r="H644" s="261"/>
      <c r="I644" s="251"/>
      <c r="J644" s="261"/>
      <c r="K644" s="261"/>
      <c r="L644" s="261"/>
      <c r="M644" s="261"/>
      <c r="N644" s="258"/>
      <c r="O644" s="257"/>
      <c r="P644" s="258"/>
      <c r="Q644" s="257"/>
      <c r="R644" s="258"/>
      <c r="S644" s="257"/>
      <c r="T644" s="257"/>
      <c r="U644" s="257"/>
      <c r="V644" s="258"/>
      <c r="W644" s="257"/>
      <c r="X644" s="258"/>
      <c r="Y644" s="257"/>
      <c r="Z644" s="258"/>
      <c r="AA644" s="257"/>
      <c r="AB644" s="258"/>
      <c r="AC644" s="257"/>
    </row>
    <row r="645" spans="1:29" ht="26.45" hidden="1" customHeight="1">
      <c r="A645" s="250" t="e">
        <f>A642+1</f>
        <v>#VALUE!</v>
      </c>
      <c r="B645" s="251"/>
      <c r="C645" s="855" t="s">
        <v>705</v>
      </c>
      <c r="D645" s="526" t="s">
        <v>2269</v>
      </c>
      <c r="E645" s="251" t="s">
        <v>2461</v>
      </c>
      <c r="F645" s="735">
        <f>N645+R645+P645+T645+V645+X645+Z645+AB645</f>
        <v>0</v>
      </c>
      <c r="G645" s="261">
        <v>216.19</v>
      </c>
      <c r="H645" s="261">
        <f>O645+S645+Q645+U645+W645+Y645+AA645+AC645</f>
        <v>0</v>
      </c>
      <c r="I645" s="251" t="s">
        <v>2461</v>
      </c>
      <c r="J645" s="261"/>
      <c r="K645" s="261"/>
      <c r="L645" s="261"/>
      <c r="M645" s="261"/>
      <c r="N645" s="258">
        <v>0</v>
      </c>
      <c r="O645" s="257">
        <f>INT($G645*N645*100+0.5)/100</f>
        <v>0</v>
      </c>
      <c r="P645" s="258">
        <v>0</v>
      </c>
      <c r="Q645" s="257">
        <f>INT($G645*P645*100+0.5)/100</f>
        <v>0</v>
      </c>
      <c r="R645" s="258">
        <v>0</v>
      </c>
      <c r="S645" s="257">
        <f>INT($G645*R645*100+0.5)/100</f>
        <v>0</v>
      </c>
      <c r="T645" s="257"/>
      <c r="U645" s="257"/>
      <c r="V645" s="258">
        <v>0</v>
      </c>
      <c r="W645" s="257">
        <f>INT($G645*V645*100+0.5)/100</f>
        <v>0</v>
      </c>
      <c r="X645" s="258">
        <v>0</v>
      </c>
      <c r="Y645" s="257">
        <f>INT($G645*X645*100+0.5)/100</f>
        <v>0</v>
      </c>
      <c r="Z645" s="258">
        <v>0</v>
      </c>
      <c r="AA645" s="257">
        <f>INT($G645*Z645*100+0.5)/100</f>
        <v>0</v>
      </c>
      <c r="AB645" s="258">
        <v>0</v>
      </c>
      <c r="AC645" s="257">
        <f>INT($G645*AB645*100+0.5)/100</f>
        <v>0</v>
      </c>
    </row>
    <row r="646" spans="1:29" ht="26.45" hidden="1" customHeight="1">
      <c r="A646" s="250"/>
      <c r="B646" s="251"/>
      <c r="C646" s="855"/>
      <c r="D646" s="526" t="s">
        <v>2270</v>
      </c>
      <c r="E646" s="251"/>
      <c r="F646" s="735"/>
      <c r="G646" s="261"/>
      <c r="H646" s="261"/>
      <c r="I646" s="251"/>
      <c r="J646" s="261"/>
      <c r="K646" s="261"/>
      <c r="L646" s="261"/>
      <c r="M646" s="261"/>
      <c r="N646" s="258"/>
      <c r="O646" s="257"/>
      <c r="P646" s="258"/>
      <c r="Q646" s="257"/>
      <c r="R646" s="258"/>
      <c r="S646" s="257"/>
      <c r="T646" s="257"/>
      <c r="U646" s="257"/>
      <c r="V646" s="258"/>
      <c r="W646" s="257"/>
      <c r="X646" s="258"/>
      <c r="Y646" s="257"/>
      <c r="Z646" s="258"/>
      <c r="AA646" s="257"/>
      <c r="AB646" s="258"/>
      <c r="AC646" s="257"/>
    </row>
    <row r="647" spans="1:29" ht="15.6" hidden="1" customHeight="1">
      <c r="A647" s="250"/>
      <c r="B647" s="251"/>
      <c r="C647" s="855"/>
      <c r="D647" s="292"/>
      <c r="E647" s="251"/>
      <c r="F647" s="735"/>
      <c r="G647" s="261"/>
      <c r="H647" s="261"/>
      <c r="I647" s="251"/>
      <c r="J647" s="261"/>
      <c r="K647" s="261"/>
      <c r="L647" s="261"/>
      <c r="M647" s="261"/>
      <c r="N647" s="258"/>
      <c r="O647" s="257"/>
      <c r="P647" s="258"/>
      <c r="Q647" s="257"/>
      <c r="R647" s="258"/>
      <c r="S647" s="257"/>
      <c r="T647" s="257"/>
      <c r="U647" s="257"/>
      <c r="V647" s="258"/>
      <c r="W647" s="257"/>
      <c r="X647" s="258"/>
      <c r="Y647" s="257"/>
      <c r="Z647" s="258"/>
      <c r="AA647" s="257"/>
      <c r="AB647" s="258"/>
      <c r="AC647" s="257"/>
    </row>
    <row r="648" spans="1:29" ht="26.45" hidden="1" customHeight="1">
      <c r="A648" s="250" t="e">
        <f>A645+1</f>
        <v>#VALUE!</v>
      </c>
      <c r="B648" s="251"/>
      <c r="C648" s="855" t="s">
        <v>706</v>
      </c>
      <c r="D648" s="526" t="s">
        <v>2271</v>
      </c>
      <c r="E648" s="251" t="s">
        <v>2461</v>
      </c>
      <c r="F648" s="735">
        <f>N648+R648+P648+T648+V648+X648+Z648+AB648</f>
        <v>0</v>
      </c>
      <c r="G648" s="261">
        <v>206.28</v>
      </c>
      <c r="H648" s="261">
        <f>O648+S648+Q648+U648+W648+Y648+AA648+AC648</f>
        <v>0</v>
      </c>
      <c r="I648" s="251" t="s">
        <v>2461</v>
      </c>
      <c r="J648" s="261"/>
      <c r="K648" s="261"/>
      <c r="L648" s="261"/>
      <c r="M648" s="261"/>
      <c r="N648" s="258">
        <v>0</v>
      </c>
      <c r="O648" s="257">
        <f>INT($G648*N648*100+0.5)/100</f>
        <v>0</v>
      </c>
      <c r="P648" s="258">
        <v>0</v>
      </c>
      <c r="Q648" s="257">
        <f>INT($G648*P648*100+0.5)/100</f>
        <v>0</v>
      </c>
      <c r="R648" s="258">
        <v>0</v>
      </c>
      <c r="S648" s="257">
        <f>INT($G648*R648*100+0.5)/100</f>
        <v>0</v>
      </c>
      <c r="T648" s="257"/>
      <c r="U648" s="257"/>
      <c r="V648" s="258">
        <v>0</v>
      </c>
      <c r="W648" s="257">
        <f>INT($G648*V648*100+0.5)/100</f>
        <v>0</v>
      </c>
      <c r="X648" s="258">
        <v>0</v>
      </c>
      <c r="Y648" s="257">
        <f>INT($G648*X648*100+0.5)/100</f>
        <v>0</v>
      </c>
      <c r="Z648" s="258">
        <v>0</v>
      </c>
      <c r="AA648" s="257">
        <f>INT($G648*Z648*100+0.5)/100</f>
        <v>0</v>
      </c>
      <c r="AB648" s="258">
        <v>0</v>
      </c>
      <c r="AC648" s="257">
        <f>INT($G648*AB648*100+0.5)/100</f>
        <v>0</v>
      </c>
    </row>
    <row r="649" spans="1:29" ht="26.45" hidden="1" customHeight="1">
      <c r="A649" s="250"/>
      <c r="B649" s="251"/>
      <c r="C649" s="855"/>
      <c r="D649" s="526" t="s">
        <v>2272</v>
      </c>
      <c r="E649" s="251"/>
      <c r="F649" s="735"/>
      <c r="G649" s="261"/>
      <c r="H649" s="261"/>
      <c r="I649" s="251"/>
      <c r="J649" s="261"/>
      <c r="K649" s="261"/>
      <c r="L649" s="261"/>
      <c r="M649" s="261"/>
      <c r="N649" s="258"/>
      <c r="O649" s="257"/>
      <c r="P649" s="258"/>
      <c r="Q649" s="257"/>
      <c r="R649" s="258"/>
      <c r="S649" s="257"/>
      <c r="T649" s="257"/>
      <c r="U649" s="257"/>
      <c r="V649" s="258"/>
      <c r="W649" s="257"/>
      <c r="X649" s="258"/>
      <c r="Y649" s="257"/>
      <c r="Z649" s="258"/>
      <c r="AA649" s="257"/>
      <c r="AB649" s="258"/>
      <c r="AC649" s="257"/>
    </row>
    <row r="650" spans="1:29" ht="15.6" hidden="1" customHeight="1">
      <c r="A650" s="250"/>
      <c r="B650" s="251"/>
      <c r="C650" s="855"/>
      <c r="D650" s="526"/>
      <c r="E650" s="251"/>
      <c r="F650" s="735"/>
      <c r="G650" s="261"/>
      <c r="H650" s="261"/>
      <c r="I650" s="251"/>
      <c r="J650" s="261"/>
      <c r="K650" s="261"/>
      <c r="L650" s="261"/>
      <c r="M650" s="261"/>
      <c r="N650" s="258"/>
      <c r="O650" s="257"/>
      <c r="P650" s="258"/>
      <c r="Q650" s="257"/>
      <c r="R650" s="258"/>
      <c r="S650" s="257"/>
      <c r="T650" s="257"/>
      <c r="U650" s="257"/>
      <c r="V650" s="258"/>
      <c r="W650" s="257"/>
      <c r="X650" s="258"/>
      <c r="Y650" s="257"/>
      <c r="Z650" s="258"/>
      <c r="AA650" s="257"/>
      <c r="AB650" s="258"/>
      <c r="AC650" s="257"/>
    </row>
    <row r="651" spans="1:29" ht="25.5">
      <c r="A651" s="250">
        <f>A616+1</f>
        <v>137</v>
      </c>
      <c r="B651" s="251"/>
      <c r="C651" s="855" t="s">
        <v>707</v>
      </c>
      <c r="D651" s="526" t="s">
        <v>2273</v>
      </c>
      <c r="E651" s="251" t="s">
        <v>2461</v>
      </c>
      <c r="F651" s="735">
        <f>N651+R651+P651+T651+V651+X651+Z651+AB651</f>
        <v>3</v>
      </c>
      <c r="G651" s="872">
        <v>356.69</v>
      </c>
      <c r="H651" s="261">
        <f>O651+S651+Q651+U651+W651+Y651+AA651+AC651</f>
        <v>1070.07</v>
      </c>
      <c r="I651" s="251" t="s">
        <v>2461</v>
      </c>
      <c r="J651" s="872"/>
      <c r="K651" s="872"/>
      <c r="L651" s="872"/>
      <c r="M651" s="872"/>
      <c r="N651" s="258">
        <v>1</v>
      </c>
      <c r="O651" s="257">
        <f>INT($G651*N651*100+0.5)/100</f>
        <v>356.69</v>
      </c>
      <c r="P651" s="258">
        <v>0</v>
      </c>
      <c r="Q651" s="257">
        <f>INT($G651*P651*100+0.5)/100</f>
        <v>0</v>
      </c>
      <c r="R651" s="258">
        <v>1</v>
      </c>
      <c r="S651" s="257">
        <f>INT($G651*R651*100+0.5)/100</f>
        <v>356.69</v>
      </c>
      <c r="T651" s="257"/>
      <c r="U651" s="257"/>
      <c r="V651" s="258">
        <v>0</v>
      </c>
      <c r="W651" s="257">
        <f>INT($G651*V651*100+0.5)/100</f>
        <v>0</v>
      </c>
      <c r="X651" s="258">
        <v>1</v>
      </c>
      <c r="Y651" s="257">
        <f>INT($G651*X651*100+0.5)/100</f>
        <v>356.69</v>
      </c>
      <c r="Z651" s="258">
        <v>0</v>
      </c>
      <c r="AA651" s="257">
        <f>INT($G651*Z651*100+0.5)/100</f>
        <v>0</v>
      </c>
      <c r="AB651" s="258">
        <v>0</v>
      </c>
      <c r="AC651" s="257">
        <f>INT($G651*AB651*100+0.5)/100</f>
        <v>0</v>
      </c>
    </row>
    <row r="652" spans="1:29" ht="38.25">
      <c r="A652" s="250"/>
      <c r="B652" s="251"/>
      <c r="C652" s="855"/>
      <c r="D652" s="526" t="s">
        <v>2274</v>
      </c>
      <c r="E652" s="251"/>
      <c r="F652" s="735"/>
      <c r="G652" s="872"/>
      <c r="H652" s="261"/>
      <c r="I652" s="251"/>
      <c r="J652" s="872"/>
      <c r="K652" s="872"/>
      <c r="L652" s="872"/>
      <c r="M652" s="872"/>
      <c r="N652" s="258"/>
      <c r="O652" s="257"/>
      <c r="P652" s="258"/>
      <c r="Q652" s="257"/>
      <c r="R652" s="258"/>
      <c r="S652" s="257"/>
      <c r="T652" s="257"/>
      <c r="U652" s="257"/>
      <c r="V652" s="258"/>
      <c r="W652" s="257"/>
      <c r="X652" s="258"/>
      <c r="Y652" s="257"/>
      <c r="Z652" s="258"/>
      <c r="AA652" s="257"/>
      <c r="AB652" s="258"/>
      <c r="AC652" s="257"/>
    </row>
    <row r="653" spans="1:29" ht="15">
      <c r="A653" s="250"/>
      <c r="B653" s="251"/>
      <c r="C653" s="855"/>
      <c r="D653" s="292"/>
      <c r="E653" s="251"/>
      <c r="F653" s="735"/>
      <c r="G653" s="872"/>
      <c r="H653" s="261"/>
      <c r="I653" s="251"/>
      <c r="J653" s="872"/>
      <c r="K653" s="872"/>
      <c r="L653" s="872"/>
      <c r="M653" s="872"/>
      <c r="N653" s="258"/>
      <c r="O653" s="257"/>
      <c r="P653" s="258"/>
      <c r="Q653" s="257"/>
      <c r="R653" s="258"/>
      <c r="S653" s="257"/>
      <c r="T653" s="257"/>
      <c r="U653" s="257"/>
      <c r="V653" s="258"/>
      <c r="W653" s="257"/>
      <c r="X653" s="258"/>
      <c r="Y653" s="257"/>
      <c r="Z653" s="258"/>
      <c r="AA653" s="257"/>
      <c r="AB653" s="258"/>
      <c r="AC653" s="257"/>
    </row>
    <row r="654" spans="1:29" ht="25.5">
      <c r="A654" s="250">
        <f>A651+1</f>
        <v>138</v>
      </c>
      <c r="B654" s="251"/>
      <c r="C654" s="855" t="s">
        <v>708</v>
      </c>
      <c r="D654" s="526" t="s">
        <v>2275</v>
      </c>
      <c r="E654" s="251" t="s">
        <v>2461</v>
      </c>
      <c r="F654" s="735">
        <f>N654+R654+P654+T654+V654+X654+Z654+AB654</f>
        <v>3</v>
      </c>
      <c r="G654" s="872">
        <v>345.89</v>
      </c>
      <c r="H654" s="261">
        <f>O654+S654+Q654+U654+W654+Y654+AA654+AC654</f>
        <v>1037.67</v>
      </c>
      <c r="I654" s="251" t="s">
        <v>2461</v>
      </c>
      <c r="J654" s="872"/>
      <c r="K654" s="872"/>
      <c r="L654" s="872"/>
      <c r="M654" s="872"/>
      <c r="N654" s="258">
        <v>1</v>
      </c>
      <c r="O654" s="257">
        <f>INT($G654*N654*100+0.5)/100</f>
        <v>345.89</v>
      </c>
      <c r="P654" s="258">
        <v>0</v>
      </c>
      <c r="Q654" s="257">
        <f>INT($G654*P654*100+0.5)/100</f>
        <v>0</v>
      </c>
      <c r="R654" s="258">
        <v>1</v>
      </c>
      <c r="S654" s="257">
        <f>INT($G654*R654*100+0.5)/100</f>
        <v>345.89</v>
      </c>
      <c r="T654" s="257"/>
      <c r="U654" s="257"/>
      <c r="V654" s="258">
        <v>0</v>
      </c>
      <c r="W654" s="257">
        <f>INT($G654*V654*100+0.5)/100</f>
        <v>0</v>
      </c>
      <c r="X654" s="258">
        <v>1</v>
      </c>
      <c r="Y654" s="257">
        <f>INT($G654*X654*100+0.5)/100</f>
        <v>345.89</v>
      </c>
      <c r="Z654" s="258">
        <v>0</v>
      </c>
      <c r="AA654" s="257">
        <f>INT($G654*Z654*100+0.5)/100</f>
        <v>0</v>
      </c>
      <c r="AB654" s="258">
        <v>0</v>
      </c>
      <c r="AC654" s="257">
        <f>INT($G654*AB654*100+0.5)/100</f>
        <v>0</v>
      </c>
    </row>
    <row r="655" spans="1:29" ht="38.25">
      <c r="A655" s="250"/>
      <c r="B655" s="251"/>
      <c r="C655" s="855"/>
      <c r="D655" s="526" t="s">
        <v>2276</v>
      </c>
      <c r="E655" s="251"/>
      <c r="F655" s="735"/>
      <c r="G655" s="261"/>
      <c r="H655" s="261"/>
      <c r="I655" s="251"/>
      <c r="J655" s="261"/>
      <c r="K655" s="261"/>
      <c r="L655" s="261"/>
      <c r="M655" s="261"/>
      <c r="N655" s="258"/>
      <c r="O655" s="257"/>
      <c r="P655" s="258"/>
      <c r="Q655" s="257"/>
      <c r="R655" s="258"/>
      <c r="S655" s="257"/>
      <c r="T655" s="257"/>
      <c r="U655" s="257"/>
      <c r="V655" s="258"/>
      <c r="W655" s="257"/>
      <c r="X655" s="258"/>
      <c r="Y655" s="257"/>
      <c r="Z655" s="258"/>
      <c r="AA655" s="257"/>
      <c r="AB655" s="258"/>
      <c r="AC655" s="257"/>
    </row>
    <row r="656" spans="1:29" ht="15">
      <c r="A656" s="250"/>
      <c r="B656" s="251"/>
      <c r="C656" s="855"/>
      <c r="D656" s="526"/>
      <c r="E656" s="251"/>
      <c r="F656" s="735"/>
      <c r="G656" s="261"/>
      <c r="H656" s="261"/>
      <c r="I656" s="251"/>
      <c r="J656" s="261"/>
      <c r="K656" s="261"/>
      <c r="L656" s="261"/>
      <c r="M656" s="261"/>
      <c r="N656" s="258"/>
      <c r="O656" s="257"/>
      <c r="P656" s="258"/>
      <c r="Q656" s="257"/>
      <c r="R656" s="258"/>
      <c r="S656" s="257"/>
      <c r="T656" s="257"/>
      <c r="U656" s="257"/>
      <c r="V656" s="258"/>
      <c r="W656" s="257"/>
      <c r="X656" s="258"/>
      <c r="Y656" s="257"/>
      <c r="Z656" s="258"/>
      <c r="AA656" s="257"/>
      <c r="AB656" s="258"/>
      <c r="AC656" s="257"/>
    </row>
    <row r="657" spans="1:29" s="303" customFormat="1" ht="30">
      <c r="A657" s="298"/>
      <c r="B657" s="299"/>
      <c r="C657" s="858" t="s">
        <v>1555</v>
      </c>
      <c r="D657" s="333" t="s">
        <v>1556</v>
      </c>
      <c r="E657" s="299"/>
      <c r="F657" s="782"/>
      <c r="G657" s="271"/>
      <c r="H657" s="271">
        <f>O657+S657+Q657+U657+W657+Y657+AA657+AC657</f>
        <v>2107.7399999999998</v>
      </c>
      <c r="I657" s="299"/>
      <c r="J657" s="271"/>
      <c r="K657" s="271"/>
      <c r="L657" s="271"/>
      <c r="M657" s="271"/>
      <c r="N657" s="273"/>
      <c r="O657" s="273">
        <f>SUM(O630:O656)</f>
        <v>702.57999999999993</v>
      </c>
      <c r="P657" s="273"/>
      <c r="Q657" s="273">
        <f>SUM(Q630:Q656)</f>
        <v>0</v>
      </c>
      <c r="R657" s="273"/>
      <c r="S657" s="273">
        <f>SUM(S630:S656)</f>
        <v>702.57999999999993</v>
      </c>
      <c r="T657" s="273"/>
      <c r="U657" s="273">
        <f>SUM(U630:U656)</f>
        <v>0</v>
      </c>
      <c r="V657" s="273"/>
      <c r="W657" s="273">
        <f>SUM(W630:W656)</f>
        <v>0</v>
      </c>
      <c r="X657" s="273"/>
      <c r="Y657" s="273">
        <f>SUM(Y630:Y656)</f>
        <v>702.57999999999993</v>
      </c>
      <c r="Z657" s="273"/>
      <c r="AA657" s="273">
        <f>SUM(AA630:AA656)</f>
        <v>0</v>
      </c>
      <c r="AB657" s="273"/>
      <c r="AC657" s="273">
        <f>SUM(AC630:AC656)</f>
        <v>0</v>
      </c>
    </row>
    <row r="658" spans="1:29" ht="15">
      <c r="A658" s="250"/>
      <c r="B658" s="251"/>
      <c r="C658" s="868"/>
      <c r="D658" s="330"/>
      <c r="E658" s="251"/>
      <c r="F658" s="735"/>
      <c r="G658" s="261"/>
      <c r="H658" s="737"/>
      <c r="I658" s="251"/>
      <c r="J658" s="261"/>
      <c r="K658" s="261"/>
      <c r="L658" s="261"/>
      <c r="M658" s="261"/>
      <c r="N658" s="258"/>
      <c r="O658" s="494"/>
      <c r="P658" s="258"/>
      <c r="Q658" s="257"/>
      <c r="R658" s="258"/>
      <c r="S658" s="257"/>
      <c r="T658" s="257"/>
      <c r="U658" s="257"/>
      <c r="V658" s="258"/>
      <c r="W658" s="257"/>
      <c r="X658" s="258"/>
      <c r="Y658" s="257"/>
      <c r="Z658" s="258"/>
      <c r="AA658" s="257"/>
      <c r="AB658" s="258"/>
      <c r="AC658" s="257"/>
    </row>
    <row r="659" spans="1:29" ht="25.5">
      <c r="A659" s="250"/>
      <c r="B659" s="251"/>
      <c r="C659" s="859" t="s">
        <v>1557</v>
      </c>
      <c r="D659" s="747" t="s">
        <v>1560</v>
      </c>
      <c r="E659" s="251"/>
      <c r="F659" s="735"/>
      <c r="G659" s="261"/>
      <c r="H659" s="261"/>
      <c r="I659" s="251"/>
      <c r="J659" s="261"/>
      <c r="K659" s="261"/>
      <c r="L659" s="261"/>
      <c r="M659" s="261"/>
      <c r="N659" s="258"/>
      <c r="O659" s="257"/>
      <c r="P659" s="258"/>
      <c r="Q659" s="257"/>
      <c r="R659" s="258"/>
      <c r="S659" s="257"/>
      <c r="T659" s="257"/>
      <c r="U659" s="257"/>
      <c r="V659" s="258"/>
      <c r="W659" s="257"/>
      <c r="X659" s="258"/>
      <c r="Y659" s="257"/>
      <c r="Z659" s="258"/>
      <c r="AA659" s="257"/>
      <c r="AB659" s="258"/>
      <c r="AC659" s="257"/>
    </row>
    <row r="660" spans="1:29" ht="25.5">
      <c r="A660" s="250">
        <f>A654+1</f>
        <v>139</v>
      </c>
      <c r="B660" s="251"/>
      <c r="C660" s="864" t="s">
        <v>709</v>
      </c>
      <c r="D660" s="526" t="s">
        <v>1558</v>
      </c>
      <c r="E660" s="251" t="s">
        <v>1898</v>
      </c>
      <c r="F660" s="735"/>
      <c r="G660" s="261"/>
      <c r="H660" s="261"/>
      <c r="I660" s="251" t="s">
        <v>1898</v>
      </c>
      <c r="J660" s="261"/>
      <c r="K660" s="261"/>
      <c r="L660" s="261"/>
      <c r="M660" s="261"/>
      <c r="N660" s="258"/>
      <c r="O660" s="257"/>
      <c r="P660" s="258"/>
      <c r="Q660" s="257"/>
      <c r="R660" s="258"/>
      <c r="S660" s="257"/>
      <c r="T660" s="257"/>
      <c r="U660" s="257"/>
      <c r="V660" s="258"/>
      <c r="W660" s="257"/>
      <c r="X660" s="258"/>
      <c r="Y660" s="257"/>
      <c r="Z660" s="258"/>
      <c r="AA660" s="257"/>
      <c r="AB660" s="258"/>
      <c r="AC660" s="257"/>
    </row>
    <row r="661" spans="1:29" ht="25.5">
      <c r="A661" s="250"/>
      <c r="B661" s="251"/>
      <c r="C661" s="855"/>
      <c r="D661" s="532" t="s">
        <v>1559</v>
      </c>
      <c r="E661" s="251"/>
      <c r="F661" s="735"/>
      <c r="G661" s="872"/>
      <c r="H661" s="261"/>
      <c r="I661" s="251"/>
      <c r="J661" s="872"/>
      <c r="K661" s="872"/>
      <c r="L661" s="872"/>
      <c r="M661" s="872"/>
      <c r="N661" s="258"/>
      <c r="O661" s="257"/>
      <c r="P661" s="258"/>
      <c r="Q661" s="257"/>
      <c r="R661" s="258"/>
      <c r="S661" s="257"/>
      <c r="T661" s="257"/>
      <c r="U661" s="257"/>
      <c r="V661" s="258"/>
      <c r="W661" s="257"/>
      <c r="X661" s="258"/>
      <c r="Y661" s="257"/>
      <c r="Z661" s="258"/>
      <c r="AA661" s="257"/>
      <c r="AB661" s="258"/>
      <c r="AC661" s="257"/>
    </row>
    <row r="662" spans="1:29" ht="15">
      <c r="A662" s="250"/>
      <c r="B662" s="251"/>
      <c r="C662" s="855"/>
      <c r="D662" s="292" t="s">
        <v>3020</v>
      </c>
      <c r="E662" s="251"/>
      <c r="F662" s="735">
        <f>N662+R662+P662+T662+V662+X662+Z662+AB662</f>
        <v>200</v>
      </c>
      <c r="G662" s="872">
        <v>16.579999999999998</v>
      </c>
      <c r="H662" s="261">
        <f>O662+S662+Q662+U662+W662+Y662+AA662+AC662</f>
        <v>3316</v>
      </c>
      <c r="I662" s="251"/>
      <c r="J662" s="872"/>
      <c r="K662" s="872"/>
      <c r="L662" s="872"/>
      <c r="M662" s="872"/>
      <c r="N662" s="258">
        <v>50</v>
      </c>
      <c r="O662" s="257">
        <f>INT($G662*N662*100+0.5)/100</f>
        <v>829</v>
      </c>
      <c r="P662" s="258">
        <v>0</v>
      </c>
      <c r="Q662" s="257">
        <f>INT($G662*P662*100+0.5)/100</f>
        <v>0</v>
      </c>
      <c r="R662" s="258">
        <v>50</v>
      </c>
      <c r="S662" s="257">
        <f>INT($G662*R662*100+0.5)/100</f>
        <v>829</v>
      </c>
      <c r="T662" s="257"/>
      <c r="U662" s="257"/>
      <c r="V662" s="258">
        <v>0</v>
      </c>
      <c r="W662" s="257">
        <f>INT($G662*V662*100+0.5)/100</f>
        <v>0</v>
      </c>
      <c r="X662" s="258">
        <v>100</v>
      </c>
      <c r="Y662" s="257">
        <f>INT($G662*X662*100+0.5)/100</f>
        <v>1658</v>
      </c>
      <c r="Z662" s="258">
        <v>0</v>
      </c>
      <c r="AA662" s="257">
        <f>INT($G662*Z662*100+0.5)/100</f>
        <v>0</v>
      </c>
      <c r="AB662" s="258">
        <v>0</v>
      </c>
      <c r="AC662" s="257">
        <f>INT($G662*AB662*100+0.5)/100</f>
        <v>0</v>
      </c>
    </row>
    <row r="663" spans="1:29" ht="15">
      <c r="A663" s="250"/>
      <c r="B663" s="251"/>
      <c r="C663" s="855"/>
      <c r="D663" s="292"/>
      <c r="E663" s="251"/>
      <c r="F663" s="735"/>
      <c r="G663" s="872"/>
      <c r="H663" s="261"/>
      <c r="I663" s="251"/>
      <c r="J663" s="872"/>
      <c r="K663" s="872"/>
      <c r="L663" s="872"/>
      <c r="M663" s="872"/>
      <c r="N663" s="258"/>
      <c r="O663" s="257"/>
      <c r="P663" s="258"/>
      <c r="Q663" s="257"/>
      <c r="R663" s="258"/>
      <c r="S663" s="257"/>
      <c r="T663" s="257"/>
      <c r="U663" s="257"/>
      <c r="V663" s="258"/>
      <c r="W663" s="257"/>
      <c r="X663" s="258"/>
      <c r="Y663" s="257"/>
      <c r="Z663" s="258"/>
      <c r="AA663" s="257"/>
      <c r="AB663" s="258"/>
      <c r="AC663" s="257"/>
    </row>
    <row r="664" spans="1:29" ht="15">
      <c r="A664" s="250">
        <f>A660+1</f>
        <v>140</v>
      </c>
      <c r="B664" s="251"/>
      <c r="C664" s="864" t="s">
        <v>3330</v>
      </c>
      <c r="D664" s="532" t="s">
        <v>712</v>
      </c>
      <c r="E664" s="251" t="s">
        <v>1898</v>
      </c>
      <c r="F664" s="735"/>
      <c r="G664" s="872"/>
      <c r="H664" s="261"/>
      <c r="I664" s="251" t="s">
        <v>1898</v>
      </c>
      <c r="J664" s="872"/>
      <c r="K664" s="872"/>
      <c r="L664" s="872"/>
      <c r="M664" s="872"/>
      <c r="N664" s="258"/>
      <c r="O664" s="257"/>
      <c r="P664" s="258"/>
      <c r="Q664" s="257"/>
      <c r="R664" s="258"/>
      <c r="S664" s="257"/>
      <c r="T664" s="257"/>
      <c r="U664" s="257"/>
      <c r="V664" s="258"/>
      <c r="W664" s="257"/>
      <c r="X664" s="258"/>
      <c r="Y664" s="257"/>
      <c r="Z664" s="258"/>
      <c r="AA664" s="257"/>
      <c r="AB664" s="258"/>
      <c r="AC664" s="257"/>
    </row>
    <row r="665" spans="1:29" ht="15">
      <c r="A665" s="250"/>
      <c r="B665" s="251"/>
      <c r="C665" s="647"/>
      <c r="D665" s="532" t="s">
        <v>713</v>
      </c>
      <c r="E665" s="251"/>
      <c r="F665" s="735"/>
      <c r="G665" s="872"/>
      <c r="H665" s="261"/>
      <c r="I665" s="251"/>
      <c r="J665" s="872"/>
      <c r="K665" s="872"/>
      <c r="L665" s="872"/>
      <c r="M665" s="872"/>
      <c r="N665" s="258"/>
      <c r="O665" s="257"/>
      <c r="P665" s="258"/>
      <c r="Q665" s="257"/>
      <c r="R665" s="258"/>
      <c r="S665" s="257"/>
      <c r="T665" s="257"/>
      <c r="U665" s="257"/>
      <c r="V665" s="258"/>
      <c r="W665" s="257"/>
      <c r="X665" s="258"/>
      <c r="Y665" s="257"/>
      <c r="Z665" s="258"/>
      <c r="AA665" s="257"/>
      <c r="AB665" s="258"/>
      <c r="AC665" s="257"/>
    </row>
    <row r="666" spans="1:29" ht="15">
      <c r="A666" s="250"/>
      <c r="B666" s="251"/>
      <c r="C666" s="647"/>
      <c r="D666" s="292" t="s">
        <v>3020</v>
      </c>
      <c r="E666" s="251"/>
      <c r="F666" s="735">
        <f>N666+R666+P666+T666+V666+X666+Z666+AB666</f>
        <v>150</v>
      </c>
      <c r="G666" s="872">
        <v>5.9</v>
      </c>
      <c r="H666" s="261">
        <f>O666+S666+Q666+U666+W666+Y666+AA666+AC666</f>
        <v>885</v>
      </c>
      <c r="I666" s="251"/>
      <c r="J666" s="872"/>
      <c r="K666" s="872"/>
      <c r="L666" s="872"/>
      <c r="M666" s="872"/>
      <c r="N666" s="258">
        <v>25</v>
      </c>
      <c r="O666" s="257">
        <f>INT($G666*N666*100+0.5)/100</f>
        <v>147.5</v>
      </c>
      <c r="P666" s="258">
        <v>0</v>
      </c>
      <c r="Q666" s="257">
        <f>INT($G666*P666*100+0.5)/100</f>
        <v>0</v>
      </c>
      <c r="R666" s="258">
        <v>25</v>
      </c>
      <c r="S666" s="257">
        <f>INT($G666*R666*100+0.5)/100</f>
        <v>147.5</v>
      </c>
      <c r="T666" s="257"/>
      <c r="U666" s="257"/>
      <c r="V666" s="258">
        <v>0</v>
      </c>
      <c r="W666" s="257">
        <f>INT($G666*V666*100+0.5)/100</f>
        <v>0</v>
      </c>
      <c r="X666" s="258">
        <v>100</v>
      </c>
      <c r="Y666" s="257">
        <f>INT($G666*X666*100+0.5)/100</f>
        <v>590</v>
      </c>
      <c r="Z666" s="258">
        <v>0</v>
      </c>
      <c r="AA666" s="257">
        <f>INT($G666*Z666*100+0.5)/100</f>
        <v>0</v>
      </c>
      <c r="AB666" s="258">
        <v>0</v>
      </c>
      <c r="AC666" s="257">
        <f>INT($G666*AB666*100+0.5)/100</f>
        <v>0</v>
      </c>
    </row>
    <row r="667" spans="1:29" ht="15">
      <c r="A667" s="250"/>
      <c r="B667" s="251"/>
      <c r="C667" s="647"/>
      <c r="D667" s="292"/>
      <c r="E667" s="251"/>
      <c r="F667" s="735"/>
      <c r="G667" s="261"/>
      <c r="H667" s="261"/>
      <c r="I667" s="251"/>
      <c r="J667" s="261"/>
      <c r="K667" s="261"/>
      <c r="L667" s="261"/>
      <c r="M667" s="261"/>
      <c r="N667" s="258"/>
      <c r="O667" s="257"/>
      <c r="P667" s="258"/>
      <c r="Q667" s="257"/>
      <c r="R667" s="258"/>
      <c r="S667" s="257"/>
      <c r="T667" s="257"/>
      <c r="U667" s="257"/>
      <c r="V667" s="258"/>
      <c r="W667" s="257"/>
      <c r="X667" s="258"/>
      <c r="Y667" s="257"/>
      <c r="Z667" s="258"/>
      <c r="AA667" s="257"/>
      <c r="AB667" s="258"/>
      <c r="AC667" s="257"/>
    </row>
    <row r="668" spans="1:29" ht="15">
      <c r="A668" s="250">
        <f>A664+1</f>
        <v>141</v>
      </c>
      <c r="B668" s="251"/>
      <c r="C668" s="532" t="s">
        <v>710</v>
      </c>
      <c r="D668" s="532" t="s">
        <v>1815</v>
      </c>
      <c r="E668" s="251" t="s">
        <v>1898</v>
      </c>
      <c r="F668" s="735">
        <f>N668+R668+P668+T668+V668+X668+Z668+AB668</f>
        <v>50</v>
      </c>
      <c r="G668" s="261">
        <v>3.53</v>
      </c>
      <c r="H668" s="261">
        <f>O668+S668+Q668+U668+W668+Y668+AA668+AC668</f>
        <v>176.5</v>
      </c>
      <c r="I668" s="251" t="s">
        <v>1898</v>
      </c>
      <c r="J668" s="261"/>
      <c r="K668" s="261"/>
      <c r="L668" s="261"/>
      <c r="M668" s="261"/>
      <c r="N668" s="258">
        <v>25</v>
      </c>
      <c r="O668" s="257">
        <f>INT($G668*N668*100+0.5)/100</f>
        <v>88.25</v>
      </c>
      <c r="P668" s="258">
        <v>0</v>
      </c>
      <c r="Q668" s="257">
        <f>INT($G668*P668*100+0.5)/100</f>
        <v>0</v>
      </c>
      <c r="R668" s="258">
        <v>25</v>
      </c>
      <c r="S668" s="257">
        <f>INT($G668*R668*100+0.5)/100</f>
        <v>88.25</v>
      </c>
      <c r="T668" s="257"/>
      <c r="U668" s="257"/>
      <c r="V668" s="258">
        <v>0</v>
      </c>
      <c r="W668" s="257">
        <f>INT($G668*V668*100+0.5)/100</f>
        <v>0</v>
      </c>
      <c r="X668" s="258">
        <v>0</v>
      </c>
      <c r="Y668" s="257">
        <f>INT($G668*X668*100+0.5)/100</f>
        <v>0</v>
      </c>
      <c r="Z668" s="258">
        <v>0</v>
      </c>
      <c r="AA668" s="257">
        <f>INT($G668*Z668*100+0.5)/100</f>
        <v>0</v>
      </c>
      <c r="AB668" s="258">
        <v>0</v>
      </c>
      <c r="AC668" s="257">
        <f>INT($G668*AB668*100+0.5)/100</f>
        <v>0</v>
      </c>
    </row>
    <row r="669" spans="1:29" ht="15">
      <c r="A669" s="250"/>
      <c r="B669" s="251"/>
      <c r="C669" s="526"/>
      <c r="D669" s="532" t="s">
        <v>1814</v>
      </c>
      <c r="E669" s="251"/>
      <c r="F669" s="735"/>
      <c r="G669" s="261"/>
      <c r="H669" s="261"/>
      <c r="I669" s="251"/>
      <c r="J669" s="261"/>
      <c r="K669" s="261"/>
      <c r="L669" s="261"/>
      <c r="M669" s="261"/>
      <c r="N669" s="258"/>
      <c r="O669" s="257"/>
      <c r="P669" s="258"/>
      <c r="Q669" s="257"/>
      <c r="R669" s="258"/>
      <c r="S669" s="257"/>
      <c r="T669" s="257"/>
      <c r="U669" s="257"/>
      <c r="V669" s="258"/>
      <c r="W669" s="257"/>
      <c r="X669" s="258"/>
      <c r="Y669" s="257"/>
      <c r="Z669" s="258"/>
      <c r="AA669" s="257"/>
      <c r="AB669" s="258"/>
      <c r="AC669" s="257"/>
    </row>
    <row r="670" spans="1:29" ht="15">
      <c r="A670" s="250"/>
      <c r="B670" s="251"/>
      <c r="C670" s="526"/>
      <c r="D670" s="292"/>
      <c r="E670" s="251"/>
      <c r="F670" s="735"/>
      <c r="G670" s="261"/>
      <c r="H670" s="261"/>
      <c r="I670" s="251"/>
      <c r="J670" s="261"/>
      <c r="K670" s="261"/>
      <c r="L670" s="261"/>
      <c r="M670" s="261"/>
      <c r="N670" s="258"/>
      <c r="O670" s="257"/>
      <c r="P670" s="258"/>
      <c r="Q670" s="257"/>
      <c r="R670" s="258"/>
      <c r="S670" s="257"/>
      <c r="T670" s="257"/>
      <c r="U670" s="257"/>
      <c r="V670" s="258"/>
      <c r="W670" s="257"/>
      <c r="X670" s="258"/>
      <c r="Y670" s="257"/>
      <c r="Z670" s="258"/>
      <c r="AA670" s="257"/>
      <c r="AB670" s="258"/>
      <c r="AC670" s="257"/>
    </row>
    <row r="671" spans="1:29" s="303" customFormat="1" ht="30">
      <c r="A671" s="298"/>
      <c r="B671" s="299"/>
      <c r="C671" s="858" t="s">
        <v>1557</v>
      </c>
      <c r="D671" s="333" t="s">
        <v>1560</v>
      </c>
      <c r="E671" s="299"/>
      <c r="F671" s="782"/>
      <c r="G671" s="271"/>
      <c r="H671" s="271">
        <f>O671+S671+Q671+U671+W671+Y671+AA671+AC671</f>
        <v>4377.5</v>
      </c>
      <c r="I671" s="299"/>
      <c r="J671" s="271"/>
      <c r="K671" s="271"/>
      <c r="L671" s="271"/>
      <c r="M671" s="271"/>
      <c r="N671" s="273"/>
      <c r="O671" s="273">
        <f>SUM(O662:O670)</f>
        <v>1064.75</v>
      </c>
      <c r="P671" s="273"/>
      <c r="Q671" s="273">
        <f>SUM(Q662:Q670)</f>
        <v>0</v>
      </c>
      <c r="R671" s="273"/>
      <c r="S671" s="273">
        <f>SUM(S662:S670)</f>
        <v>1064.75</v>
      </c>
      <c r="T671" s="273"/>
      <c r="U671" s="273">
        <f>SUM(U662:U670)</f>
        <v>0</v>
      </c>
      <c r="V671" s="273"/>
      <c r="W671" s="273">
        <f>SUM(W662:W670)</f>
        <v>0</v>
      </c>
      <c r="X671" s="273"/>
      <c r="Y671" s="273">
        <f>SUM(Y662:Y670)</f>
        <v>2248</v>
      </c>
      <c r="Z671" s="273"/>
      <c r="AA671" s="273">
        <f>SUM(AA662:AA670)</f>
        <v>0</v>
      </c>
      <c r="AB671" s="273"/>
      <c r="AC671" s="273">
        <f>SUM(AC662:AC670)</f>
        <v>0</v>
      </c>
    </row>
    <row r="672" spans="1:29" ht="15">
      <c r="A672" s="250"/>
      <c r="B672" s="251"/>
      <c r="C672" s="868"/>
      <c r="D672" s="330"/>
      <c r="E672" s="251"/>
      <c r="F672" s="735"/>
      <c r="G672" s="261"/>
      <c r="H672" s="261"/>
      <c r="I672" s="251"/>
      <c r="J672" s="261"/>
      <c r="K672" s="261"/>
      <c r="L672" s="261"/>
      <c r="M672" s="261"/>
      <c r="N672" s="258"/>
      <c r="O672" s="494"/>
      <c r="P672" s="258"/>
      <c r="Q672" s="257"/>
      <c r="R672" s="258"/>
      <c r="S672" s="257"/>
      <c r="T672" s="257"/>
      <c r="U672" s="257"/>
      <c r="V672" s="258"/>
      <c r="W672" s="257"/>
      <c r="X672" s="258"/>
      <c r="Y672" s="257"/>
      <c r="Z672" s="258"/>
      <c r="AA672" s="257"/>
      <c r="AB672" s="258"/>
      <c r="AC672" s="257"/>
    </row>
    <row r="673" spans="1:30" ht="25.5">
      <c r="A673" s="250"/>
      <c r="B673" s="251"/>
      <c r="C673" s="859" t="s">
        <v>1572</v>
      </c>
      <c r="D673" s="747" t="s">
        <v>1573</v>
      </c>
      <c r="E673" s="251"/>
      <c r="F673" s="735"/>
      <c r="G673" s="261"/>
      <c r="H673" s="261"/>
      <c r="I673" s="251"/>
      <c r="J673" s="261"/>
      <c r="K673" s="261"/>
      <c r="L673" s="261"/>
      <c r="M673" s="261"/>
      <c r="N673" s="289"/>
      <c r="O673" s="245"/>
      <c r="P673" s="258"/>
      <c r="Q673" s="257"/>
      <c r="R673" s="258"/>
      <c r="S673" s="257"/>
      <c r="T673" s="257"/>
      <c r="U673" s="257"/>
      <c r="V673" s="258"/>
      <c r="W673" s="257"/>
      <c r="X673" s="258"/>
      <c r="Y673" s="257"/>
      <c r="Z673" s="258"/>
      <c r="AA673" s="257"/>
      <c r="AB673" s="258"/>
      <c r="AC673" s="257"/>
    </row>
    <row r="674" spans="1:30" ht="25.5">
      <c r="A674" s="250">
        <f>A668+1</f>
        <v>142</v>
      </c>
      <c r="B674" s="251"/>
      <c r="C674" s="526" t="s">
        <v>3198</v>
      </c>
      <c r="D674" s="526" t="s">
        <v>3242</v>
      </c>
      <c r="E674" s="251"/>
      <c r="F674" s="735"/>
      <c r="G674" s="261"/>
      <c r="H674" s="261"/>
      <c r="I674" s="251"/>
      <c r="J674" s="261"/>
      <c r="K674" s="261"/>
      <c r="L674" s="261"/>
      <c r="M674" s="261"/>
      <c r="N674" s="289"/>
      <c r="O674" s="245"/>
      <c r="P674" s="258"/>
      <c r="Q674" s="257"/>
      <c r="R674" s="258"/>
      <c r="S674" s="257"/>
      <c r="T674" s="257"/>
      <c r="U674" s="257"/>
      <c r="V674" s="258"/>
      <c r="W674" s="257"/>
      <c r="X674" s="258"/>
      <c r="Y674" s="257"/>
      <c r="Z674" s="258"/>
      <c r="AA674" s="257"/>
      <c r="AB674" s="258"/>
      <c r="AC674" s="257"/>
    </row>
    <row r="675" spans="1:30" ht="25.5">
      <c r="A675" s="250"/>
      <c r="B675" s="251"/>
      <c r="C675" s="855"/>
      <c r="D675" s="526" t="s">
        <v>3243</v>
      </c>
      <c r="E675" s="251"/>
      <c r="F675" s="735"/>
      <c r="G675" s="261"/>
      <c r="H675" s="261"/>
      <c r="I675" s="251"/>
      <c r="J675" s="261"/>
      <c r="K675" s="261"/>
      <c r="L675" s="261"/>
      <c r="M675" s="261"/>
      <c r="N675" s="289"/>
      <c r="O675" s="245"/>
      <c r="P675" s="258"/>
      <c r="Q675" s="257"/>
      <c r="R675" s="258"/>
      <c r="S675" s="257"/>
      <c r="T675" s="257"/>
      <c r="U675" s="257"/>
      <c r="V675" s="258"/>
      <c r="W675" s="257"/>
      <c r="X675" s="258"/>
      <c r="Y675" s="257"/>
      <c r="Z675" s="258"/>
      <c r="AA675" s="257"/>
      <c r="AB675" s="258"/>
      <c r="AC675" s="257"/>
    </row>
    <row r="676" spans="1:30" ht="15">
      <c r="A676" s="250" t="s">
        <v>726</v>
      </c>
      <c r="B676" s="251"/>
      <c r="C676" s="532" t="s">
        <v>830</v>
      </c>
      <c r="D676" s="526" t="s">
        <v>2176</v>
      </c>
      <c r="E676" s="251" t="s">
        <v>2475</v>
      </c>
      <c r="F676" s="735">
        <f>N676+R676+P676+T676+V676+X676+Z676+AB676</f>
        <v>40</v>
      </c>
      <c r="G676" s="261">
        <f>(60.75-45.49)</f>
        <v>15.259999999999998</v>
      </c>
      <c r="H676" s="261">
        <f>O676+S676+Q676+U676+W676+Y676+AA676+AC676</f>
        <v>610.4</v>
      </c>
      <c r="I676" s="251" t="s">
        <v>2475</v>
      </c>
      <c r="J676" s="261"/>
      <c r="K676" s="261"/>
      <c r="L676" s="261"/>
      <c r="M676" s="261"/>
      <c r="N676" s="289">
        <f>5*8</f>
        <v>40</v>
      </c>
      <c r="O676" s="245">
        <f>INT($G676*N676*100+0.5)/100</f>
        <v>610.4</v>
      </c>
      <c r="P676" s="258">
        <v>0</v>
      </c>
      <c r="Q676" s="257">
        <f>INT($G676*P676*100+0.5)/100</f>
        <v>0</v>
      </c>
      <c r="R676" s="258">
        <v>0</v>
      </c>
      <c r="S676" s="257">
        <f>INT($G676*R676*100+0.5)/100</f>
        <v>0</v>
      </c>
      <c r="T676" s="257"/>
      <c r="U676" s="257"/>
      <c r="V676" s="258">
        <v>0</v>
      </c>
      <c r="W676" s="257">
        <f>INT($G676*V676*100+0.5)/100</f>
        <v>0</v>
      </c>
      <c r="X676" s="258">
        <v>0</v>
      </c>
      <c r="Y676" s="257">
        <f>INT($G676*X676*100+0.5)/100</f>
        <v>0</v>
      </c>
      <c r="Z676" s="258">
        <v>0</v>
      </c>
      <c r="AA676" s="257">
        <f>INT($G676*Z676*100+0.5)/100</f>
        <v>0</v>
      </c>
      <c r="AB676" s="258">
        <v>0</v>
      </c>
      <c r="AC676" s="257">
        <f>INT($G676*AB676*100+0.5)/100</f>
        <v>0</v>
      </c>
    </row>
    <row r="677" spans="1:30" ht="15">
      <c r="A677" s="250" t="s">
        <v>727</v>
      </c>
      <c r="B677" s="251"/>
      <c r="C677" s="532" t="s">
        <v>831</v>
      </c>
      <c r="D677" s="292" t="s">
        <v>2177</v>
      </c>
      <c r="E677" s="251" t="s">
        <v>2475</v>
      </c>
      <c r="F677" s="735">
        <f>N677+R677+P677+T677+V677+X677+Z677+AB677</f>
        <v>100</v>
      </c>
      <c r="G677" s="261">
        <f>(69.28-50.96)</f>
        <v>18.32</v>
      </c>
      <c r="H677" s="261">
        <f>O677+S677+Q677+U677+W677+Y677+AA677+AC677</f>
        <v>1832</v>
      </c>
      <c r="I677" s="251" t="s">
        <v>2475</v>
      </c>
      <c r="J677" s="261"/>
      <c r="K677" s="261"/>
      <c r="L677" s="261"/>
      <c r="M677" s="261"/>
      <c r="N677" s="289">
        <f>90+10</f>
        <v>100</v>
      </c>
      <c r="O677" s="245">
        <f>INT($G677*N677*100+0.5)/100</f>
        <v>1832</v>
      </c>
      <c r="P677" s="258">
        <v>0</v>
      </c>
      <c r="Q677" s="257">
        <f>INT($G677*P677*100+0.5)/100</f>
        <v>0</v>
      </c>
      <c r="R677" s="258">
        <v>0</v>
      </c>
      <c r="S677" s="257">
        <f>INT($G677*R677*100+0.5)/100</f>
        <v>0</v>
      </c>
      <c r="T677" s="257"/>
      <c r="U677" s="257"/>
      <c r="V677" s="258">
        <v>0</v>
      </c>
      <c r="W677" s="257">
        <f>INT($G677*V677*100+0.5)/100</f>
        <v>0</v>
      </c>
      <c r="X677" s="258">
        <v>0</v>
      </c>
      <c r="Y677" s="257">
        <f>INT($G677*X677*100+0.5)/100</f>
        <v>0</v>
      </c>
      <c r="Z677" s="258">
        <v>0</v>
      </c>
      <c r="AA677" s="257">
        <f>INT($G677*Z677*100+0.5)/100</f>
        <v>0</v>
      </c>
      <c r="AB677" s="258">
        <v>0</v>
      </c>
      <c r="AC677" s="257">
        <f>INT($G677*AB677*100+0.5)/100</f>
        <v>0</v>
      </c>
    </row>
    <row r="678" spans="1:30" ht="15">
      <c r="A678" s="250" t="s">
        <v>728</v>
      </c>
      <c r="B678" s="251"/>
      <c r="C678" s="532" t="s">
        <v>832</v>
      </c>
      <c r="D678" s="292" t="s">
        <v>2174</v>
      </c>
      <c r="E678" s="251" t="s">
        <v>2475</v>
      </c>
      <c r="F678" s="735">
        <f>N678+R678+P678+T678+V678+X678+Z678+AB678</f>
        <v>10</v>
      </c>
      <c r="G678" s="261">
        <f>(85.92-60.65)</f>
        <v>25.270000000000003</v>
      </c>
      <c r="H678" s="261">
        <f>O678+S678+Q678+U678+W678+Y678+AA678+AC678</f>
        <v>252.7</v>
      </c>
      <c r="I678" s="251" t="s">
        <v>2475</v>
      </c>
      <c r="J678" s="261"/>
      <c r="K678" s="261"/>
      <c r="L678" s="261"/>
      <c r="M678" s="261"/>
      <c r="N678" s="289">
        <v>10</v>
      </c>
      <c r="O678" s="245">
        <f>INT($G678*N678*100+0.5)/100</f>
        <v>252.7</v>
      </c>
      <c r="P678" s="258">
        <v>0</v>
      </c>
      <c r="Q678" s="257">
        <f>INT($G678*P678*100+0.5)/100</f>
        <v>0</v>
      </c>
      <c r="R678" s="258">
        <v>0</v>
      </c>
      <c r="S678" s="257">
        <f>INT($G678*R678*100+0.5)/100</f>
        <v>0</v>
      </c>
      <c r="T678" s="257"/>
      <c r="U678" s="257"/>
      <c r="V678" s="258">
        <v>0</v>
      </c>
      <c r="W678" s="257">
        <f>INT($G678*V678*100+0.5)/100</f>
        <v>0</v>
      </c>
      <c r="X678" s="258">
        <v>0</v>
      </c>
      <c r="Y678" s="257">
        <f>INT($G678*X678*100+0.5)/100</f>
        <v>0</v>
      </c>
      <c r="Z678" s="258">
        <v>0</v>
      </c>
      <c r="AA678" s="257">
        <f>INT($G678*Z678*100+0.5)/100</f>
        <v>0</v>
      </c>
      <c r="AB678" s="258">
        <v>0</v>
      </c>
      <c r="AC678" s="257">
        <f>INT($G678*AB678*100+0.5)/100</f>
        <v>0</v>
      </c>
    </row>
    <row r="679" spans="1:30" ht="15">
      <c r="A679" s="250" t="s">
        <v>732</v>
      </c>
      <c r="B679" s="251"/>
      <c r="C679" s="532" t="s">
        <v>833</v>
      </c>
      <c r="D679" s="292" t="s">
        <v>1774</v>
      </c>
      <c r="E679" s="251" t="s">
        <v>2475</v>
      </c>
      <c r="F679" s="735">
        <f>N679+R679+P679+T679+V679+X679+Z679+AB679</f>
        <v>403.5</v>
      </c>
      <c r="G679" s="261">
        <f>(105.25-70.7)</f>
        <v>34.549999999999997</v>
      </c>
      <c r="H679" s="261">
        <f>O679+S679+Q679+U679+W679+Y679+AA679+AC679</f>
        <v>13940.93</v>
      </c>
      <c r="I679" s="251" t="s">
        <v>2475</v>
      </c>
      <c r="J679" s="261"/>
      <c r="K679" s="261"/>
      <c r="L679" s="261"/>
      <c r="M679" s="261"/>
      <c r="N679" s="289">
        <f>23+136.5+101.5+132.5+10</f>
        <v>403.5</v>
      </c>
      <c r="O679" s="245">
        <f>INT($G679*N679*100+0.5)/100</f>
        <v>13940.93</v>
      </c>
      <c r="P679" s="258">
        <v>0</v>
      </c>
      <c r="Q679" s="257">
        <f>INT($G679*P679*100+0.5)/100</f>
        <v>0</v>
      </c>
      <c r="R679" s="258">
        <v>0</v>
      </c>
      <c r="S679" s="257">
        <f>INT($G679*R679*100+0.5)/100</f>
        <v>0</v>
      </c>
      <c r="T679" s="257"/>
      <c r="U679" s="257"/>
      <c r="V679" s="258">
        <v>0</v>
      </c>
      <c r="W679" s="257">
        <f>INT($G679*V679*100+0.5)/100</f>
        <v>0</v>
      </c>
      <c r="X679" s="258">
        <v>0</v>
      </c>
      <c r="Y679" s="257">
        <f>INT($G679*X679*100+0.5)/100</f>
        <v>0</v>
      </c>
      <c r="Z679" s="258">
        <v>0</v>
      </c>
      <c r="AA679" s="257">
        <f>INT($G679*Z679*100+0.5)/100</f>
        <v>0</v>
      </c>
      <c r="AB679" s="258">
        <v>0</v>
      </c>
      <c r="AC679" s="257">
        <f>INT($G679*AB679*100+0.5)/100</f>
        <v>0</v>
      </c>
    </row>
    <row r="680" spans="1:30" ht="15">
      <c r="A680" s="250"/>
      <c r="B680" s="251"/>
      <c r="C680" s="526"/>
      <c r="D680" s="292"/>
      <c r="E680" s="251"/>
      <c r="F680" s="735"/>
      <c r="G680" s="261"/>
      <c r="H680" s="261"/>
      <c r="I680" s="251"/>
      <c r="J680" s="261"/>
      <c r="K680" s="261"/>
      <c r="L680" s="261"/>
      <c r="M680" s="261"/>
      <c r="N680" s="289"/>
      <c r="O680" s="245"/>
      <c r="P680" s="258"/>
      <c r="Q680" s="257"/>
      <c r="R680" s="258"/>
      <c r="S680" s="257"/>
      <c r="T680" s="257"/>
      <c r="U680" s="257"/>
      <c r="V680" s="258"/>
      <c r="W680" s="257"/>
      <c r="X680" s="258"/>
      <c r="Y680" s="257"/>
      <c r="Z680" s="258"/>
      <c r="AA680" s="257"/>
      <c r="AB680" s="258"/>
      <c r="AC680" s="257"/>
    </row>
    <row r="681" spans="1:30" ht="25.5">
      <c r="A681" s="250">
        <f>A674+1</f>
        <v>143</v>
      </c>
      <c r="B681" s="251"/>
      <c r="C681" s="526" t="s">
        <v>3199</v>
      </c>
      <c r="D681" s="526" t="s">
        <v>3246</v>
      </c>
      <c r="E681" s="251"/>
      <c r="F681" s="735"/>
      <c r="G681" s="261"/>
      <c r="H681" s="261"/>
      <c r="I681" s="251"/>
      <c r="J681" s="261"/>
      <c r="K681" s="261"/>
      <c r="L681" s="261"/>
      <c r="M681" s="261"/>
      <c r="N681" s="289"/>
      <c r="O681" s="245"/>
      <c r="P681" s="258"/>
      <c r="Q681" s="257"/>
      <c r="R681" s="258"/>
      <c r="S681" s="257"/>
      <c r="T681" s="257"/>
      <c r="U681" s="257"/>
      <c r="V681" s="258"/>
      <c r="W681" s="257"/>
      <c r="X681" s="258"/>
      <c r="Y681" s="257"/>
      <c r="Z681" s="258"/>
      <c r="AA681" s="257"/>
      <c r="AB681" s="258"/>
      <c r="AC681" s="257"/>
    </row>
    <row r="682" spans="1:30" ht="27.75" customHeight="1">
      <c r="A682" s="250"/>
      <c r="B682" s="251"/>
      <c r="C682" s="526"/>
      <c r="D682" s="526" t="s">
        <v>3247</v>
      </c>
      <c r="E682" s="251"/>
      <c r="F682" s="735"/>
      <c r="G682" s="261"/>
      <c r="H682" s="261"/>
      <c r="I682" s="251"/>
      <c r="J682" s="261"/>
      <c r="K682" s="261"/>
      <c r="L682" s="261"/>
      <c r="M682" s="261"/>
      <c r="N682" s="289"/>
      <c r="O682" s="245"/>
      <c r="P682" s="258"/>
      <c r="Q682" s="257"/>
      <c r="R682" s="258"/>
      <c r="S682" s="257"/>
      <c r="T682" s="257"/>
      <c r="U682" s="257"/>
      <c r="V682" s="258"/>
      <c r="W682" s="257"/>
      <c r="X682" s="258"/>
      <c r="Y682" s="257"/>
      <c r="Z682" s="258"/>
      <c r="AA682" s="257"/>
      <c r="AB682" s="258"/>
      <c r="AC682" s="257"/>
    </row>
    <row r="683" spans="1:30" ht="15">
      <c r="A683" s="250" t="s">
        <v>726</v>
      </c>
      <c r="B683" s="251"/>
      <c r="C683" s="532" t="s">
        <v>3238</v>
      </c>
      <c r="D683" s="556" t="s">
        <v>223</v>
      </c>
      <c r="E683" s="251" t="s">
        <v>1901</v>
      </c>
      <c r="F683" s="735">
        <f>N683+R683+P683+T683+V683+X683+Z683+AB683</f>
        <v>1</v>
      </c>
      <c r="G683" s="261">
        <f>151.37-139.18</f>
        <v>12.189999999999998</v>
      </c>
      <c r="H683" s="261">
        <f>O683+S683+Q683+U683+W683+Y683+AA683+AC683</f>
        <v>12.19</v>
      </c>
      <c r="I683" s="251" t="s">
        <v>1901</v>
      </c>
      <c r="J683" s="261"/>
      <c r="K683" s="261"/>
      <c r="L683" s="261"/>
      <c r="M683" s="261"/>
      <c r="N683" s="289">
        <v>1</v>
      </c>
      <c r="O683" s="245">
        <f>INT($G683*N683*100+0.5)/100</f>
        <v>12.19</v>
      </c>
      <c r="P683" s="258">
        <v>0</v>
      </c>
      <c r="Q683" s="257">
        <f>INT($G683*P683*100+0.5)/100</f>
        <v>0</v>
      </c>
      <c r="R683" s="258">
        <v>0</v>
      </c>
      <c r="S683" s="257">
        <f>INT($G683*R683*100+0.5)/100</f>
        <v>0</v>
      </c>
      <c r="T683" s="257"/>
      <c r="U683" s="257"/>
      <c r="V683" s="258">
        <v>0</v>
      </c>
      <c r="W683" s="257">
        <f>INT($G683*V683*100+0.5)/100</f>
        <v>0</v>
      </c>
      <c r="X683" s="258">
        <v>0</v>
      </c>
      <c r="Y683" s="257">
        <f>INT($G683*X683*100+0.5)/100</f>
        <v>0</v>
      </c>
      <c r="Z683" s="258">
        <v>0</v>
      </c>
      <c r="AA683" s="257">
        <f>INT($G683*Z683*100+0.5)/100</f>
        <v>0</v>
      </c>
      <c r="AB683" s="258">
        <v>0</v>
      </c>
      <c r="AC683" s="257">
        <f>INT($G683*AB683*100+0.5)/100</f>
        <v>0</v>
      </c>
    </row>
    <row r="684" spans="1:30" ht="15">
      <c r="A684" s="250" t="s">
        <v>727</v>
      </c>
      <c r="B684" s="251"/>
      <c r="C684" s="532" t="s">
        <v>3239</v>
      </c>
      <c r="D684" s="556" t="s">
        <v>224</v>
      </c>
      <c r="E684" s="251" t="s">
        <v>1901</v>
      </c>
      <c r="F684" s="735">
        <f>N684+R684+P684+T684+V684+X684+Z684+AB684</f>
        <v>1</v>
      </c>
      <c r="G684" s="261">
        <f>171.25-159.05</f>
        <v>12.199999999999989</v>
      </c>
      <c r="H684" s="261">
        <f>O684+S684+Q684+U684+W684+Y684+AA684+AC684</f>
        <v>12.2</v>
      </c>
      <c r="I684" s="251" t="s">
        <v>1901</v>
      </c>
      <c r="J684" s="261"/>
      <c r="K684" s="261"/>
      <c r="L684" s="261"/>
      <c r="M684" s="261"/>
      <c r="N684" s="289">
        <v>1</v>
      </c>
      <c r="O684" s="245">
        <f>INT($G684*N684*100+0.5)/100</f>
        <v>12.2</v>
      </c>
      <c r="P684" s="258">
        <v>0</v>
      </c>
      <c r="Q684" s="257">
        <f>INT($G684*P684*100+0.5)/100</f>
        <v>0</v>
      </c>
      <c r="R684" s="258">
        <v>0</v>
      </c>
      <c r="S684" s="257">
        <f>INT($G684*R684*100+0.5)/100</f>
        <v>0</v>
      </c>
      <c r="T684" s="257"/>
      <c r="U684" s="257"/>
      <c r="V684" s="258">
        <v>0</v>
      </c>
      <c r="W684" s="257">
        <f>INT($G684*V684*100+0.5)/100</f>
        <v>0</v>
      </c>
      <c r="X684" s="258">
        <v>0</v>
      </c>
      <c r="Y684" s="257">
        <f>INT($G684*X684*100+0.5)/100</f>
        <v>0</v>
      </c>
      <c r="Z684" s="258">
        <v>0</v>
      </c>
      <c r="AA684" s="257">
        <f>INT($G684*Z684*100+0.5)/100</f>
        <v>0</v>
      </c>
      <c r="AB684" s="258">
        <v>0</v>
      </c>
      <c r="AC684" s="257">
        <f>INT($G684*AB684*100+0.5)/100</f>
        <v>0</v>
      </c>
    </row>
    <row r="685" spans="1:30" ht="15">
      <c r="A685" s="250" t="s">
        <v>728</v>
      </c>
      <c r="B685" s="251"/>
      <c r="C685" s="532" t="s">
        <v>3240</v>
      </c>
      <c r="D685" s="556" t="s">
        <v>235</v>
      </c>
      <c r="E685" s="251" t="s">
        <v>1901</v>
      </c>
      <c r="F685" s="735">
        <f>N685+R685+P685+T685+V685+X685+Z685+AB685</f>
        <v>1</v>
      </c>
      <c r="G685" s="261">
        <f>228.08-215.88</f>
        <v>12.200000000000017</v>
      </c>
      <c r="H685" s="261">
        <f>O685+S685+Q685+U685+W685+Y685+AA685+AC685</f>
        <v>12.2</v>
      </c>
      <c r="I685" s="251" t="s">
        <v>1901</v>
      </c>
      <c r="J685" s="261"/>
      <c r="K685" s="261"/>
      <c r="L685" s="261"/>
      <c r="M685" s="261"/>
      <c r="N685" s="289">
        <v>1</v>
      </c>
      <c r="O685" s="245">
        <f>INT($G685*N685*100+0.5)/100</f>
        <v>12.2</v>
      </c>
      <c r="P685" s="258">
        <v>0</v>
      </c>
      <c r="Q685" s="257">
        <f>INT($G685*P685*100+0.5)/100</f>
        <v>0</v>
      </c>
      <c r="R685" s="258">
        <v>0</v>
      </c>
      <c r="S685" s="257">
        <f>INT($G685*R685*100+0.5)/100</f>
        <v>0</v>
      </c>
      <c r="T685" s="257"/>
      <c r="U685" s="257"/>
      <c r="V685" s="258">
        <v>0</v>
      </c>
      <c r="W685" s="257">
        <f>INT($G685*V685*100+0.5)/100</f>
        <v>0</v>
      </c>
      <c r="X685" s="258">
        <v>0</v>
      </c>
      <c r="Y685" s="257">
        <f>INT($G685*X685*100+0.5)/100</f>
        <v>0</v>
      </c>
      <c r="Z685" s="258">
        <v>0</v>
      </c>
      <c r="AA685" s="257">
        <f>INT($G685*Z685*100+0.5)/100</f>
        <v>0</v>
      </c>
      <c r="AB685" s="258">
        <v>0</v>
      </c>
      <c r="AC685" s="257">
        <f>INT($G685*AB685*100+0.5)/100</f>
        <v>0</v>
      </c>
    </row>
    <row r="686" spans="1:30" ht="15">
      <c r="A686" s="250" t="s">
        <v>732</v>
      </c>
      <c r="B686" s="251"/>
      <c r="C686" s="532" t="s">
        <v>3241</v>
      </c>
      <c r="D686" s="556" t="s">
        <v>236</v>
      </c>
      <c r="E686" s="251" t="s">
        <v>1901</v>
      </c>
      <c r="F686" s="735">
        <f>N686+R686+P686+T686+V686+X686+Z686+AB686</f>
        <v>3</v>
      </c>
      <c r="G686" s="261">
        <f>262.72-250.52</f>
        <v>12.200000000000017</v>
      </c>
      <c r="H686" s="261">
        <f>O686+S686+Q686+U686+W686+Y686+AA686+AC686</f>
        <v>36.6</v>
      </c>
      <c r="I686" s="251" t="s">
        <v>1901</v>
      </c>
      <c r="J686" s="261"/>
      <c r="K686" s="261"/>
      <c r="L686" s="261"/>
      <c r="M686" s="261"/>
      <c r="N686" s="289">
        <v>3</v>
      </c>
      <c r="O686" s="245">
        <f>INT($G686*N686*100+0.5)/100</f>
        <v>36.6</v>
      </c>
      <c r="P686" s="258">
        <v>0</v>
      </c>
      <c r="Q686" s="257">
        <f>INT($G686*P686*100+0.5)/100</f>
        <v>0</v>
      </c>
      <c r="R686" s="258">
        <v>0</v>
      </c>
      <c r="S686" s="257">
        <f>INT($G686*R686*100+0.5)/100</f>
        <v>0</v>
      </c>
      <c r="T686" s="257"/>
      <c r="U686" s="257"/>
      <c r="V686" s="258">
        <v>0</v>
      </c>
      <c r="W686" s="257">
        <f>INT($G686*V686*100+0.5)/100</f>
        <v>0</v>
      </c>
      <c r="X686" s="258">
        <v>0</v>
      </c>
      <c r="Y686" s="257">
        <f>INT($G686*X686*100+0.5)/100</f>
        <v>0</v>
      </c>
      <c r="Z686" s="258">
        <v>0</v>
      </c>
      <c r="AA686" s="257">
        <f>INT($G686*Z686*100+0.5)/100</f>
        <v>0</v>
      </c>
      <c r="AB686" s="258">
        <v>0</v>
      </c>
      <c r="AC686" s="257">
        <f>INT($G686*AB686*100+0.5)/100</f>
        <v>0</v>
      </c>
      <c r="AD686" s="245" t="e">
        <f>#REF!*#REF!</f>
        <v>#REF!</v>
      </c>
    </row>
    <row r="687" spans="1:30" ht="15">
      <c r="A687" s="250"/>
      <c r="B687" s="251"/>
      <c r="C687" s="890"/>
      <c r="D687" s="556"/>
      <c r="E687" s="251"/>
      <c r="F687" s="735"/>
      <c r="G687" s="261"/>
      <c r="H687" s="261"/>
      <c r="I687" s="251"/>
      <c r="J687" s="261"/>
      <c r="K687" s="261"/>
      <c r="L687" s="261"/>
      <c r="M687" s="261"/>
      <c r="N687" s="289"/>
      <c r="O687" s="245"/>
      <c r="P687" s="258"/>
      <c r="Q687" s="257"/>
      <c r="R687" s="258"/>
      <c r="S687" s="257"/>
      <c r="T687" s="257"/>
      <c r="U687" s="257"/>
      <c r="V687" s="258"/>
      <c r="W687" s="257"/>
      <c r="X687" s="258"/>
      <c r="Y687" s="257"/>
      <c r="Z687" s="258"/>
      <c r="AA687" s="257"/>
      <c r="AB687" s="258"/>
      <c r="AC687" s="257"/>
      <c r="AD687" s="245"/>
    </row>
    <row r="688" spans="1:30" ht="38.25">
      <c r="A688" s="250">
        <f>A681+1</f>
        <v>144</v>
      </c>
      <c r="B688" s="251"/>
      <c r="C688" s="563" t="s">
        <v>3250</v>
      </c>
      <c r="D688" s="526" t="s">
        <v>3244</v>
      </c>
      <c r="E688" s="251"/>
      <c r="F688" s="735"/>
      <c r="G688" s="261"/>
      <c r="H688" s="261"/>
      <c r="I688" s="251"/>
      <c r="J688" s="261"/>
      <c r="K688" s="261"/>
      <c r="L688" s="261"/>
      <c r="M688" s="261"/>
      <c r="N688" s="289"/>
      <c r="O688" s="245"/>
      <c r="P688" s="258"/>
      <c r="Q688" s="257"/>
      <c r="R688" s="258"/>
      <c r="S688" s="257"/>
      <c r="T688" s="257"/>
      <c r="U688" s="257"/>
      <c r="V688" s="258"/>
      <c r="W688" s="257"/>
      <c r="X688" s="258"/>
      <c r="Y688" s="257"/>
      <c r="Z688" s="258"/>
      <c r="AA688" s="257"/>
      <c r="AB688" s="258"/>
      <c r="AC688" s="257"/>
      <c r="AD688" s="245"/>
    </row>
    <row r="689" spans="1:30" ht="25.5">
      <c r="A689" s="250"/>
      <c r="B689" s="251"/>
      <c r="C689" s="556"/>
      <c r="D689" s="526" t="s">
        <v>3245</v>
      </c>
      <c r="E689" s="251"/>
      <c r="F689" s="735"/>
      <c r="G689" s="261"/>
      <c r="H689" s="261"/>
      <c r="I689" s="251"/>
      <c r="J689" s="261"/>
      <c r="K689" s="261"/>
      <c r="L689" s="261"/>
      <c r="M689" s="261"/>
      <c r="N689" s="289"/>
      <c r="O689" s="245"/>
      <c r="P689" s="258"/>
      <c r="Q689" s="257"/>
      <c r="R689" s="258"/>
      <c r="S689" s="257"/>
      <c r="T689" s="257"/>
      <c r="U689" s="257"/>
      <c r="V689" s="258"/>
      <c r="W689" s="257"/>
      <c r="X689" s="258"/>
      <c r="Y689" s="257"/>
      <c r="Z689" s="258"/>
      <c r="AA689" s="257"/>
      <c r="AB689" s="258"/>
      <c r="AC689" s="257"/>
      <c r="AD689" s="245"/>
    </row>
    <row r="690" spans="1:30" ht="15">
      <c r="A690" s="250" t="s">
        <v>726</v>
      </c>
      <c r="B690" s="251"/>
      <c r="C690" s="556" t="s">
        <v>3251</v>
      </c>
      <c r="D690" s="556" t="s">
        <v>223</v>
      </c>
      <c r="E690" s="251" t="s">
        <v>1901</v>
      </c>
      <c r="F690" s="735">
        <f>N690+R690+P690+T690+V690+X690+Z690+AB690</f>
        <v>1</v>
      </c>
      <c r="G690" s="261">
        <f>157.91-145.71</f>
        <v>12.199999999999989</v>
      </c>
      <c r="H690" s="261">
        <f>O690+S690+Q690+U690+W690+Y690+AA690+AC690</f>
        <v>12.2</v>
      </c>
      <c r="I690" s="251" t="s">
        <v>1901</v>
      </c>
      <c r="J690" s="261"/>
      <c r="K690" s="261"/>
      <c r="L690" s="261"/>
      <c r="M690" s="261"/>
      <c r="N690" s="289">
        <v>1</v>
      </c>
      <c r="O690" s="245">
        <f>INT($G690*N690*100+0.5)/100</f>
        <v>12.2</v>
      </c>
      <c r="P690" s="258">
        <v>0</v>
      </c>
      <c r="Q690" s="257">
        <f>INT($G690*P690*100+0.5)/100</f>
        <v>0</v>
      </c>
      <c r="R690" s="258">
        <v>0</v>
      </c>
      <c r="S690" s="257">
        <f>INT($G690*R690*100+0.5)/100</f>
        <v>0</v>
      </c>
      <c r="T690" s="257"/>
      <c r="U690" s="257"/>
      <c r="V690" s="258">
        <v>0</v>
      </c>
      <c r="W690" s="257">
        <f>INT($G690*V690*100+0.5)/100</f>
        <v>0</v>
      </c>
      <c r="X690" s="258">
        <v>0</v>
      </c>
      <c r="Y690" s="257">
        <f>INT($G690*X690*100+0.5)/100</f>
        <v>0</v>
      </c>
      <c r="Z690" s="258">
        <v>0</v>
      </c>
      <c r="AA690" s="257">
        <f>INT($G690*Z690*100+0.5)/100</f>
        <v>0</v>
      </c>
      <c r="AB690" s="258">
        <v>0</v>
      </c>
      <c r="AC690" s="257">
        <f>INT($G690*AB690*100+0.5)/100</f>
        <v>0</v>
      </c>
      <c r="AD690" s="245" t="e">
        <f>#REF!*#REF!</f>
        <v>#REF!</v>
      </c>
    </row>
    <row r="691" spans="1:30" ht="15">
      <c r="A691" s="250" t="s">
        <v>727</v>
      </c>
      <c r="B691" s="251"/>
      <c r="C691" s="556" t="s">
        <v>3252</v>
      </c>
      <c r="D691" s="556" t="s">
        <v>224</v>
      </c>
      <c r="E691" s="251" t="s">
        <v>1901</v>
      </c>
      <c r="F691" s="735">
        <f>N691+R691+P691+T691+V691+X691+Z691+AB691</f>
        <v>1</v>
      </c>
      <c r="G691" s="261">
        <f>181.04-168.85</f>
        <v>12.189999999999998</v>
      </c>
      <c r="H691" s="261">
        <f>O691+S691+Q691+U691+W691+Y691+AA691+AC691</f>
        <v>12.19</v>
      </c>
      <c r="I691" s="251" t="s">
        <v>1901</v>
      </c>
      <c r="J691" s="261"/>
      <c r="K691" s="261"/>
      <c r="L691" s="261"/>
      <c r="M691" s="261"/>
      <c r="N691" s="289">
        <v>1</v>
      </c>
      <c r="O691" s="245">
        <f>INT($G691*N691*100+0.5)/100</f>
        <v>12.19</v>
      </c>
      <c r="P691" s="258">
        <v>0</v>
      </c>
      <c r="Q691" s="257">
        <f>INT($G691*P691*100+0.5)/100</f>
        <v>0</v>
      </c>
      <c r="R691" s="258">
        <v>0</v>
      </c>
      <c r="S691" s="257">
        <f>INT($G691*R691*100+0.5)/100</f>
        <v>0</v>
      </c>
      <c r="T691" s="257"/>
      <c r="U691" s="257"/>
      <c r="V691" s="258">
        <v>0</v>
      </c>
      <c r="W691" s="257">
        <f>INT($G691*V691*100+0.5)/100</f>
        <v>0</v>
      </c>
      <c r="X691" s="258">
        <v>0</v>
      </c>
      <c r="Y691" s="257">
        <f>INT($G691*X691*100+0.5)/100</f>
        <v>0</v>
      </c>
      <c r="Z691" s="258">
        <v>0</v>
      </c>
      <c r="AA691" s="257">
        <f>INT($G691*Z691*100+0.5)/100</f>
        <v>0</v>
      </c>
      <c r="AB691" s="258">
        <v>0</v>
      </c>
      <c r="AC691" s="257">
        <f>INT($G691*AB691*100+0.5)/100</f>
        <v>0</v>
      </c>
      <c r="AD691" s="245" t="e">
        <f>#REF!*#REF!</f>
        <v>#REF!</v>
      </c>
    </row>
    <row r="692" spans="1:30" ht="15">
      <c r="A692" s="250" t="s">
        <v>728</v>
      </c>
      <c r="B692" s="251"/>
      <c r="C692" s="556" t="s">
        <v>3253</v>
      </c>
      <c r="D692" s="556" t="s">
        <v>235</v>
      </c>
      <c r="E692" s="251" t="s">
        <v>1901</v>
      </c>
      <c r="F692" s="735">
        <f>N692+R692+P692+T692+V692+X692+Z692+AB692</f>
        <v>1</v>
      </c>
      <c r="G692" s="261">
        <f>238.8-226.61</f>
        <v>12.189999999999998</v>
      </c>
      <c r="H692" s="261">
        <f>O692+S692+Q692+U692+W692+Y692+AA692+AC692</f>
        <v>12.19</v>
      </c>
      <c r="I692" s="251" t="s">
        <v>1901</v>
      </c>
      <c r="J692" s="261"/>
      <c r="K692" s="261"/>
      <c r="L692" s="261"/>
      <c r="M692" s="261"/>
      <c r="N692" s="289">
        <v>1</v>
      </c>
      <c r="O692" s="245">
        <f>INT($G692*N692*100+0.5)/100</f>
        <v>12.19</v>
      </c>
      <c r="P692" s="258">
        <v>0</v>
      </c>
      <c r="Q692" s="257">
        <f>INT($G692*P692*100+0.5)/100</f>
        <v>0</v>
      </c>
      <c r="R692" s="258">
        <v>0</v>
      </c>
      <c r="S692" s="257">
        <f>INT($G692*R692*100+0.5)/100</f>
        <v>0</v>
      </c>
      <c r="T692" s="257"/>
      <c r="U692" s="257"/>
      <c r="V692" s="258">
        <v>0</v>
      </c>
      <c r="W692" s="257">
        <f>INT($G692*V692*100+0.5)/100</f>
        <v>0</v>
      </c>
      <c r="X692" s="258">
        <v>0</v>
      </c>
      <c r="Y692" s="257">
        <f>INT($G692*X692*100+0.5)/100</f>
        <v>0</v>
      </c>
      <c r="Z692" s="258">
        <v>0</v>
      </c>
      <c r="AA692" s="257">
        <f>INT($G692*Z692*100+0.5)/100</f>
        <v>0</v>
      </c>
      <c r="AB692" s="258">
        <v>0</v>
      </c>
      <c r="AC692" s="257">
        <f>INT($G692*AB692*100+0.5)/100</f>
        <v>0</v>
      </c>
      <c r="AD692" s="245" t="e">
        <f>#REF!*#REF!</f>
        <v>#REF!</v>
      </c>
    </row>
    <row r="693" spans="1:30" ht="15">
      <c r="A693" s="250" t="s">
        <v>732</v>
      </c>
      <c r="B693" s="251"/>
      <c r="C693" s="556" t="s">
        <v>3254</v>
      </c>
      <c r="D693" s="556" t="s">
        <v>236</v>
      </c>
      <c r="E693" s="251" t="s">
        <v>1901</v>
      </c>
      <c r="F693" s="735">
        <f>N693+R693+P693+T693+V693+X693+Z693+AB693</f>
        <v>3</v>
      </c>
      <c r="G693" s="261">
        <f>281.32-269.12</f>
        <v>12.199999999999989</v>
      </c>
      <c r="H693" s="261">
        <f>O693+S693+Q693+U693+W693+Y693+AA693+AC693</f>
        <v>36.6</v>
      </c>
      <c r="I693" s="251" t="s">
        <v>1901</v>
      </c>
      <c r="J693" s="261"/>
      <c r="K693" s="261"/>
      <c r="L693" s="261"/>
      <c r="M693" s="261"/>
      <c r="N693" s="289">
        <v>3</v>
      </c>
      <c r="O693" s="245">
        <f>INT($G693*N693*100+0.5)/100</f>
        <v>36.6</v>
      </c>
      <c r="P693" s="258">
        <v>0</v>
      </c>
      <c r="Q693" s="257">
        <f>INT($G693*P693*100+0.5)/100</f>
        <v>0</v>
      </c>
      <c r="R693" s="258">
        <v>0</v>
      </c>
      <c r="S693" s="257">
        <f>INT($G693*R693*100+0.5)/100</f>
        <v>0</v>
      </c>
      <c r="T693" s="257"/>
      <c r="U693" s="257"/>
      <c r="V693" s="258">
        <v>0</v>
      </c>
      <c r="W693" s="257">
        <f>INT($G693*V693*100+0.5)/100</f>
        <v>0</v>
      </c>
      <c r="X693" s="258">
        <v>0</v>
      </c>
      <c r="Y693" s="257">
        <f>INT($G693*X693*100+0.5)/100</f>
        <v>0</v>
      </c>
      <c r="Z693" s="258">
        <v>0</v>
      </c>
      <c r="AA693" s="257">
        <f>INT($G693*Z693*100+0.5)/100</f>
        <v>0</v>
      </c>
      <c r="AB693" s="258">
        <v>0</v>
      </c>
      <c r="AC693" s="257">
        <f>INT($G693*AB693*100+0.5)/100</f>
        <v>0</v>
      </c>
      <c r="AD693" s="245" t="e">
        <f>#REF!*#REF!</f>
        <v>#REF!</v>
      </c>
    </row>
    <row r="694" spans="1:30" ht="15">
      <c r="A694" s="250"/>
      <c r="B694" s="251"/>
      <c r="C694" s="890"/>
      <c r="D694" s="556"/>
      <c r="E694" s="251"/>
      <c r="F694" s="735"/>
      <c r="G694" s="261"/>
      <c r="H694" s="261"/>
      <c r="I694" s="251"/>
      <c r="J694" s="261"/>
      <c r="K694" s="261"/>
      <c r="L694" s="261"/>
      <c r="M694" s="261"/>
      <c r="N694" s="289"/>
      <c r="O694" s="245"/>
      <c r="P694" s="258"/>
      <c r="Q694" s="257"/>
      <c r="R694" s="258"/>
      <c r="S694" s="257"/>
      <c r="T694" s="257"/>
      <c r="U694" s="257"/>
      <c r="V694" s="258"/>
      <c r="W694" s="257"/>
      <c r="X694" s="258"/>
      <c r="Y694" s="257"/>
      <c r="Z694" s="258"/>
      <c r="AA694" s="257"/>
      <c r="AB694" s="258"/>
      <c r="AC694" s="257"/>
      <c r="AD694" s="245"/>
    </row>
    <row r="695" spans="1:30" ht="25.5">
      <c r="A695" s="250">
        <f>A688+1</f>
        <v>145</v>
      </c>
      <c r="B695" s="251"/>
      <c r="C695" s="563" t="s">
        <v>3255</v>
      </c>
      <c r="D695" s="526" t="s">
        <v>3249</v>
      </c>
      <c r="E695" s="251"/>
      <c r="F695" s="735"/>
      <c r="G695" s="261"/>
      <c r="H695" s="261"/>
      <c r="I695" s="251"/>
      <c r="J695" s="261"/>
      <c r="K695" s="261"/>
      <c r="L695" s="261"/>
      <c r="M695" s="261"/>
      <c r="N695" s="289"/>
      <c r="O695" s="245"/>
      <c r="P695" s="258"/>
      <c r="Q695" s="257"/>
      <c r="R695" s="258"/>
      <c r="S695" s="257"/>
      <c r="T695" s="257"/>
      <c r="U695" s="257"/>
      <c r="V695" s="258"/>
      <c r="W695" s="257"/>
      <c r="X695" s="258"/>
      <c r="Y695" s="257"/>
      <c r="Z695" s="258"/>
      <c r="AA695" s="257"/>
      <c r="AB695" s="258"/>
      <c r="AC695" s="257"/>
      <c r="AD695" s="245"/>
    </row>
    <row r="696" spans="1:30" ht="25.5">
      <c r="A696" s="250"/>
      <c r="B696" s="251"/>
      <c r="C696" s="556"/>
      <c r="D696" s="526" t="s">
        <v>3248</v>
      </c>
      <c r="E696" s="251"/>
      <c r="F696" s="735"/>
      <c r="G696" s="261"/>
      <c r="H696" s="261"/>
      <c r="I696" s="251"/>
      <c r="J696" s="261"/>
      <c r="K696" s="261"/>
      <c r="L696" s="261"/>
      <c r="M696" s="261"/>
      <c r="N696" s="289"/>
      <c r="O696" s="245"/>
      <c r="P696" s="258"/>
      <c r="Q696" s="257"/>
      <c r="R696" s="258"/>
      <c r="S696" s="257"/>
      <c r="T696" s="257"/>
      <c r="U696" s="257"/>
      <c r="V696" s="258"/>
      <c r="W696" s="257"/>
      <c r="X696" s="258"/>
      <c r="Y696" s="257"/>
      <c r="Z696" s="258"/>
      <c r="AA696" s="257"/>
      <c r="AB696" s="258"/>
      <c r="AC696" s="257"/>
      <c r="AD696" s="245"/>
    </row>
    <row r="697" spans="1:30" ht="15">
      <c r="A697" s="250" t="s">
        <v>726</v>
      </c>
      <c r="B697" s="251"/>
      <c r="C697" s="556" t="s">
        <v>3256</v>
      </c>
      <c r="D697" s="556" t="s">
        <v>223</v>
      </c>
      <c r="E697" s="251" t="s">
        <v>1901</v>
      </c>
      <c r="F697" s="735">
        <f>N697+R697+P697+T697+V697+X697+Z697+AB697</f>
        <v>1</v>
      </c>
      <c r="G697" s="261">
        <f>162.6-150.4</f>
        <v>12.199999999999989</v>
      </c>
      <c r="H697" s="261">
        <f>O697+S697+Q697+U697+W697+Y697+AA697+AC697</f>
        <v>12.2</v>
      </c>
      <c r="I697" s="251" t="s">
        <v>1901</v>
      </c>
      <c r="J697" s="261"/>
      <c r="K697" s="261"/>
      <c r="L697" s="261"/>
      <c r="M697" s="261"/>
      <c r="N697" s="289">
        <v>1</v>
      </c>
      <c r="O697" s="245">
        <f>INT($G697*N697*100+0.5)/100</f>
        <v>12.2</v>
      </c>
      <c r="P697" s="258">
        <v>0</v>
      </c>
      <c r="Q697" s="257">
        <f>INT($G697*P697*100+0.5)/100</f>
        <v>0</v>
      </c>
      <c r="R697" s="258">
        <v>0</v>
      </c>
      <c r="S697" s="257">
        <f>INT($G697*R697*100+0.5)/100</f>
        <v>0</v>
      </c>
      <c r="T697" s="257"/>
      <c r="U697" s="257"/>
      <c r="V697" s="258">
        <v>0</v>
      </c>
      <c r="W697" s="257">
        <f>INT($G697*V697*100+0.5)/100</f>
        <v>0</v>
      </c>
      <c r="X697" s="258">
        <v>0</v>
      </c>
      <c r="Y697" s="257">
        <f>INT($G697*X697*100+0.5)/100</f>
        <v>0</v>
      </c>
      <c r="Z697" s="258">
        <v>0</v>
      </c>
      <c r="AA697" s="257">
        <f>INT($G697*Z697*100+0.5)/100</f>
        <v>0</v>
      </c>
      <c r="AB697" s="258">
        <v>0</v>
      </c>
      <c r="AC697" s="257">
        <f>INT($G697*AB697*100+0.5)/100</f>
        <v>0</v>
      </c>
      <c r="AD697" s="245" t="e">
        <f>#REF!*#REF!</f>
        <v>#REF!</v>
      </c>
    </row>
    <row r="698" spans="1:30" ht="15">
      <c r="A698" s="250" t="s">
        <v>727</v>
      </c>
      <c r="B698" s="251"/>
      <c r="C698" s="556" t="s">
        <v>3257</v>
      </c>
      <c r="D698" s="556" t="s">
        <v>224</v>
      </c>
      <c r="E698" s="251" t="s">
        <v>1901</v>
      </c>
      <c r="F698" s="735">
        <f>N698+R698+P698+T698+V698+X698+Z698+AB698</f>
        <v>1</v>
      </c>
      <c r="G698" s="261">
        <f>183.02-170.82</f>
        <v>12.200000000000017</v>
      </c>
      <c r="H698" s="261">
        <f>O698+S698+Q698+U698+W698+Y698+AA698+AC698</f>
        <v>12.2</v>
      </c>
      <c r="I698" s="251" t="s">
        <v>1901</v>
      </c>
      <c r="J698" s="261"/>
      <c r="K698" s="261"/>
      <c r="L698" s="261"/>
      <c r="M698" s="261"/>
      <c r="N698" s="289">
        <v>1</v>
      </c>
      <c r="O698" s="245">
        <f>INT($G698*N698*100+0.5)/100</f>
        <v>12.2</v>
      </c>
      <c r="P698" s="258">
        <v>0</v>
      </c>
      <c r="Q698" s="257">
        <f>INT($G698*P698*100+0.5)/100</f>
        <v>0</v>
      </c>
      <c r="R698" s="258">
        <v>0</v>
      </c>
      <c r="S698" s="257">
        <f>INT($G698*R698*100+0.5)/100</f>
        <v>0</v>
      </c>
      <c r="T698" s="257"/>
      <c r="U698" s="257"/>
      <c r="V698" s="258">
        <v>0</v>
      </c>
      <c r="W698" s="257">
        <f>INT($G698*V698*100+0.5)/100</f>
        <v>0</v>
      </c>
      <c r="X698" s="258">
        <v>0</v>
      </c>
      <c r="Y698" s="257">
        <f>INT($G698*X698*100+0.5)/100</f>
        <v>0</v>
      </c>
      <c r="Z698" s="258">
        <v>0</v>
      </c>
      <c r="AA698" s="257">
        <f>INT($G698*Z698*100+0.5)/100</f>
        <v>0</v>
      </c>
      <c r="AB698" s="258">
        <v>0</v>
      </c>
      <c r="AC698" s="257">
        <f>INT($G698*AB698*100+0.5)/100</f>
        <v>0</v>
      </c>
      <c r="AD698" s="245" t="e">
        <f>#REF!*#REF!</f>
        <v>#REF!</v>
      </c>
    </row>
    <row r="699" spans="1:30" ht="15">
      <c r="A699" s="250" t="s">
        <v>728</v>
      </c>
      <c r="B699" s="251"/>
      <c r="C699" s="556" t="s">
        <v>3258</v>
      </c>
      <c r="D699" s="556" t="s">
        <v>235</v>
      </c>
      <c r="E699" s="251" t="s">
        <v>1901</v>
      </c>
      <c r="F699" s="735">
        <f>N699+R699+P699+T699+V699+X699+Z699+AB699</f>
        <v>1</v>
      </c>
      <c r="G699" s="261">
        <f>245.74-233.55</f>
        <v>12.189999999999998</v>
      </c>
      <c r="H699" s="261">
        <f>O699+S699+Q699+U699+W699+Y699+AA699+AC699</f>
        <v>12.19</v>
      </c>
      <c r="I699" s="251" t="s">
        <v>1901</v>
      </c>
      <c r="J699" s="261"/>
      <c r="K699" s="261"/>
      <c r="L699" s="261"/>
      <c r="M699" s="261"/>
      <c r="N699" s="289">
        <v>1</v>
      </c>
      <c r="O699" s="245">
        <f>INT($G699*N699*100+0.5)/100</f>
        <v>12.19</v>
      </c>
      <c r="P699" s="258">
        <v>0</v>
      </c>
      <c r="Q699" s="257">
        <f>INT($G699*P699*100+0.5)/100</f>
        <v>0</v>
      </c>
      <c r="R699" s="258">
        <v>0</v>
      </c>
      <c r="S699" s="257">
        <f>INT($G699*R699*100+0.5)/100</f>
        <v>0</v>
      </c>
      <c r="T699" s="257"/>
      <c r="U699" s="257"/>
      <c r="V699" s="258">
        <v>0</v>
      </c>
      <c r="W699" s="257">
        <f>INT($G699*V699*100+0.5)/100</f>
        <v>0</v>
      </c>
      <c r="X699" s="258">
        <v>0</v>
      </c>
      <c r="Y699" s="257">
        <f>INT($G699*X699*100+0.5)/100</f>
        <v>0</v>
      </c>
      <c r="Z699" s="258">
        <v>0</v>
      </c>
      <c r="AA699" s="257">
        <f>INT($G699*Z699*100+0.5)/100</f>
        <v>0</v>
      </c>
      <c r="AB699" s="258">
        <v>0</v>
      </c>
      <c r="AC699" s="257">
        <f>INT($G699*AB699*100+0.5)/100</f>
        <v>0</v>
      </c>
      <c r="AD699" s="245" t="e">
        <f>#REF!*#REF!</f>
        <v>#REF!</v>
      </c>
    </row>
    <row r="700" spans="1:30" ht="15">
      <c r="A700" s="250" t="s">
        <v>732</v>
      </c>
      <c r="B700" s="251"/>
      <c r="C700" s="556" t="s">
        <v>3259</v>
      </c>
      <c r="D700" s="556" t="s">
        <v>236</v>
      </c>
      <c r="E700" s="251" t="s">
        <v>1901</v>
      </c>
      <c r="F700" s="735">
        <f>N700+R700+P700+T700+V700+X700+Z700+AB700</f>
        <v>3</v>
      </c>
      <c r="G700" s="261">
        <f>296.69-284.5</f>
        <v>12.189999999999998</v>
      </c>
      <c r="H700" s="261">
        <f>O700+S700+Q700+U700+W700+Y700+AA700+AC700</f>
        <v>36.57</v>
      </c>
      <c r="I700" s="251" t="s">
        <v>1901</v>
      </c>
      <c r="J700" s="261"/>
      <c r="K700" s="261"/>
      <c r="L700" s="261"/>
      <c r="M700" s="261"/>
      <c r="N700" s="289">
        <v>3</v>
      </c>
      <c r="O700" s="245">
        <f>INT($G700*N700*100+0.5)/100</f>
        <v>36.57</v>
      </c>
      <c r="P700" s="258">
        <v>0</v>
      </c>
      <c r="Q700" s="257">
        <f>INT($G700*P700*100+0.5)/100</f>
        <v>0</v>
      </c>
      <c r="R700" s="258">
        <v>0</v>
      </c>
      <c r="S700" s="257">
        <f>INT($G700*R700*100+0.5)/100</f>
        <v>0</v>
      </c>
      <c r="T700" s="257"/>
      <c r="U700" s="257"/>
      <c r="V700" s="258">
        <v>0</v>
      </c>
      <c r="W700" s="257">
        <f>INT($G700*V700*100+0.5)/100</f>
        <v>0</v>
      </c>
      <c r="X700" s="258">
        <v>0</v>
      </c>
      <c r="Y700" s="257">
        <f>INT($G700*X700*100+0.5)/100</f>
        <v>0</v>
      </c>
      <c r="Z700" s="258">
        <v>0</v>
      </c>
      <c r="AA700" s="257">
        <f>INT($G700*Z700*100+0.5)/100</f>
        <v>0</v>
      </c>
      <c r="AB700" s="258">
        <v>0</v>
      </c>
      <c r="AC700" s="257">
        <f>INT($G700*AB700*100+0.5)/100</f>
        <v>0</v>
      </c>
      <c r="AD700" s="245" t="e">
        <f>#REF!*#REF!</f>
        <v>#REF!</v>
      </c>
    </row>
    <row r="701" spans="1:30" ht="15">
      <c r="A701" s="250"/>
      <c r="B701" s="251"/>
      <c r="C701" s="890"/>
      <c r="D701" s="556"/>
      <c r="E701" s="251"/>
      <c r="F701" s="735"/>
      <c r="G701" s="261"/>
      <c r="H701" s="261"/>
      <c r="I701" s="251"/>
      <c r="J701" s="261"/>
      <c r="K701" s="261"/>
      <c r="L701" s="261"/>
      <c r="M701" s="261"/>
      <c r="N701" s="289"/>
      <c r="O701" s="245"/>
      <c r="P701" s="258"/>
      <c r="Q701" s="257"/>
      <c r="R701" s="258"/>
      <c r="S701" s="257"/>
      <c r="T701" s="257"/>
      <c r="U701" s="257"/>
      <c r="V701" s="258"/>
      <c r="W701" s="257"/>
      <c r="X701" s="258"/>
      <c r="Y701" s="257"/>
      <c r="Z701" s="258"/>
      <c r="AA701" s="257"/>
      <c r="AB701" s="258"/>
      <c r="AC701" s="257"/>
      <c r="AD701" s="245"/>
    </row>
    <row r="702" spans="1:30" ht="25.5">
      <c r="A702" s="250">
        <f>A695+1</f>
        <v>146</v>
      </c>
      <c r="B702" s="251"/>
      <c r="C702" s="563" t="s">
        <v>3262</v>
      </c>
      <c r="D702" s="526" t="s">
        <v>3261</v>
      </c>
      <c r="E702" s="251"/>
      <c r="F702" s="735"/>
      <c r="G702" s="261"/>
      <c r="H702" s="261"/>
      <c r="I702" s="251"/>
      <c r="J702" s="261"/>
      <c r="K702" s="261"/>
      <c r="L702" s="261"/>
      <c r="M702" s="261"/>
      <c r="N702" s="289"/>
      <c r="O702" s="245"/>
      <c r="P702" s="258"/>
      <c r="Q702" s="257"/>
      <c r="R702" s="258"/>
      <c r="S702" s="257"/>
      <c r="T702" s="257"/>
      <c r="U702" s="257"/>
      <c r="V702" s="258"/>
      <c r="W702" s="257"/>
      <c r="X702" s="258"/>
      <c r="Y702" s="257"/>
      <c r="Z702" s="258"/>
      <c r="AA702" s="257"/>
      <c r="AB702" s="258"/>
      <c r="AC702" s="257"/>
      <c r="AD702" s="245"/>
    </row>
    <row r="703" spans="1:30" ht="25.5">
      <c r="A703" s="250"/>
      <c r="B703" s="251"/>
      <c r="C703" s="556"/>
      <c r="D703" s="526" t="s">
        <v>3260</v>
      </c>
      <c r="E703" s="251"/>
      <c r="F703" s="735"/>
      <c r="G703" s="261"/>
      <c r="H703" s="261"/>
      <c r="I703" s="251"/>
      <c r="J703" s="261"/>
      <c r="K703" s="261"/>
      <c r="L703" s="261"/>
      <c r="M703" s="261"/>
      <c r="N703" s="289"/>
      <c r="O703" s="245"/>
      <c r="P703" s="258"/>
      <c r="Q703" s="257"/>
      <c r="R703" s="258"/>
      <c r="S703" s="257"/>
      <c r="T703" s="257"/>
      <c r="U703" s="257"/>
      <c r="V703" s="258"/>
      <c r="W703" s="257"/>
      <c r="X703" s="258"/>
      <c r="Y703" s="257"/>
      <c r="Z703" s="258"/>
      <c r="AA703" s="257"/>
      <c r="AB703" s="258"/>
      <c r="AC703" s="257"/>
      <c r="AD703" s="245"/>
    </row>
    <row r="704" spans="1:30" ht="15">
      <c r="A704" s="250" t="s">
        <v>726</v>
      </c>
      <c r="B704" s="251"/>
      <c r="C704" s="556" t="s">
        <v>3263</v>
      </c>
      <c r="D704" s="556" t="s">
        <v>223</v>
      </c>
      <c r="E704" s="251" t="s">
        <v>1901</v>
      </c>
      <c r="F704" s="735">
        <f>N704+R704+P704+T704+V704+X704+Z704+AB704</f>
        <v>1</v>
      </c>
      <c r="G704" s="261">
        <f>168.38-156.18</f>
        <v>12.199999999999989</v>
      </c>
      <c r="H704" s="261">
        <f>O704+S704+Q704+U704+W704+Y704+AA704+AC704</f>
        <v>12.2</v>
      </c>
      <c r="I704" s="251" t="s">
        <v>1901</v>
      </c>
      <c r="J704" s="261"/>
      <c r="K704" s="261"/>
      <c r="L704" s="261"/>
      <c r="M704" s="261"/>
      <c r="N704" s="289">
        <v>1</v>
      </c>
      <c r="O704" s="245">
        <f>INT($G704*N704*100+0.5)/100</f>
        <v>12.2</v>
      </c>
      <c r="P704" s="258">
        <v>0</v>
      </c>
      <c r="Q704" s="257">
        <f>INT($G704*P704*100+0.5)/100</f>
        <v>0</v>
      </c>
      <c r="R704" s="258">
        <v>0</v>
      </c>
      <c r="S704" s="257">
        <f>INT($G704*R704*100+0.5)/100</f>
        <v>0</v>
      </c>
      <c r="T704" s="257"/>
      <c r="U704" s="257"/>
      <c r="V704" s="258">
        <v>0</v>
      </c>
      <c r="W704" s="257">
        <f>INT($G704*V704*100+0.5)/100</f>
        <v>0</v>
      </c>
      <c r="X704" s="258">
        <v>0</v>
      </c>
      <c r="Y704" s="257">
        <f>INT($G704*X704*100+0.5)/100</f>
        <v>0</v>
      </c>
      <c r="Z704" s="258">
        <v>0</v>
      </c>
      <c r="AA704" s="257">
        <f>INT($G704*Z704*100+0.5)/100</f>
        <v>0</v>
      </c>
      <c r="AB704" s="258">
        <v>0</v>
      </c>
      <c r="AC704" s="257">
        <f>INT($G704*AB704*100+0.5)/100</f>
        <v>0</v>
      </c>
      <c r="AD704" s="245" t="e">
        <f>#REF!*#REF!</f>
        <v>#REF!</v>
      </c>
    </row>
    <row r="705" spans="1:30" ht="15">
      <c r="A705" s="250" t="s">
        <v>727</v>
      </c>
      <c r="B705" s="251"/>
      <c r="C705" s="556" t="s">
        <v>3264</v>
      </c>
      <c r="D705" s="556" t="s">
        <v>224</v>
      </c>
      <c r="E705" s="251" t="s">
        <v>1901</v>
      </c>
      <c r="F705" s="735">
        <f>N705+R705+P705+T705+V705+X705+Z705+AB705</f>
        <v>1</v>
      </c>
      <c r="G705" s="261">
        <f>190.69-178.49</f>
        <v>12.199999999999989</v>
      </c>
      <c r="H705" s="261">
        <f>O705+S705+Q705+U705+W705+Y705+AA705+AC705</f>
        <v>12.2</v>
      </c>
      <c r="I705" s="251" t="s">
        <v>1901</v>
      </c>
      <c r="J705" s="261"/>
      <c r="K705" s="261"/>
      <c r="L705" s="261"/>
      <c r="M705" s="261"/>
      <c r="N705" s="289">
        <v>1</v>
      </c>
      <c r="O705" s="245">
        <f>INT($G705*N705*100+0.5)/100</f>
        <v>12.2</v>
      </c>
      <c r="P705" s="258">
        <v>0</v>
      </c>
      <c r="Q705" s="257">
        <f>INT($G705*P705*100+0.5)/100</f>
        <v>0</v>
      </c>
      <c r="R705" s="258">
        <v>0</v>
      </c>
      <c r="S705" s="257">
        <f>INT($G705*R705*100+0.5)/100</f>
        <v>0</v>
      </c>
      <c r="T705" s="257"/>
      <c r="U705" s="257"/>
      <c r="V705" s="258">
        <v>0</v>
      </c>
      <c r="W705" s="257">
        <f>INT($G705*V705*100+0.5)/100</f>
        <v>0</v>
      </c>
      <c r="X705" s="258">
        <v>0</v>
      </c>
      <c r="Y705" s="257">
        <f>INT($G705*X705*100+0.5)/100</f>
        <v>0</v>
      </c>
      <c r="Z705" s="258">
        <v>0</v>
      </c>
      <c r="AA705" s="257">
        <f>INT($G705*Z705*100+0.5)/100</f>
        <v>0</v>
      </c>
      <c r="AB705" s="258">
        <v>0</v>
      </c>
      <c r="AC705" s="257">
        <f>INT($G705*AB705*100+0.5)/100</f>
        <v>0</v>
      </c>
      <c r="AD705" s="245" t="e">
        <f>#REF!*#REF!</f>
        <v>#REF!</v>
      </c>
    </row>
    <row r="706" spans="1:30" ht="15">
      <c r="A706" s="250" t="s">
        <v>728</v>
      </c>
      <c r="B706" s="251"/>
      <c r="C706" s="556" t="s">
        <v>3265</v>
      </c>
      <c r="D706" s="556" t="s">
        <v>235</v>
      </c>
      <c r="E706" s="251" t="s">
        <v>1901</v>
      </c>
      <c r="F706" s="735">
        <f>N706+R706+P706+T706+V706+X706+Z706+AB706</f>
        <v>1</v>
      </c>
      <c r="G706" s="261">
        <f>257.4-245.2</f>
        <v>12.199999999999989</v>
      </c>
      <c r="H706" s="261">
        <f>O706+S706+Q706+U706+W706+Y706+AA706+AC706</f>
        <v>12.2</v>
      </c>
      <c r="I706" s="251" t="s">
        <v>1901</v>
      </c>
      <c r="J706" s="261"/>
      <c r="K706" s="261"/>
      <c r="L706" s="261"/>
      <c r="M706" s="261"/>
      <c r="N706" s="289">
        <v>1</v>
      </c>
      <c r="O706" s="245">
        <f>INT($G706*N706*100+0.5)/100</f>
        <v>12.2</v>
      </c>
      <c r="P706" s="258">
        <v>0</v>
      </c>
      <c r="Q706" s="257">
        <f>INT($G706*P706*100+0.5)/100</f>
        <v>0</v>
      </c>
      <c r="R706" s="258">
        <v>0</v>
      </c>
      <c r="S706" s="257">
        <f>INT($G706*R706*100+0.5)/100</f>
        <v>0</v>
      </c>
      <c r="T706" s="257"/>
      <c r="U706" s="257"/>
      <c r="V706" s="258">
        <v>0</v>
      </c>
      <c r="W706" s="257">
        <f>INT($G706*V706*100+0.5)/100</f>
        <v>0</v>
      </c>
      <c r="X706" s="258">
        <v>0</v>
      </c>
      <c r="Y706" s="257">
        <f>INT($G706*X706*100+0.5)/100</f>
        <v>0</v>
      </c>
      <c r="Z706" s="258">
        <v>0</v>
      </c>
      <c r="AA706" s="257">
        <f>INT($G706*Z706*100+0.5)/100</f>
        <v>0</v>
      </c>
      <c r="AB706" s="258">
        <v>0</v>
      </c>
      <c r="AC706" s="257">
        <f>INT($G706*AB706*100+0.5)/100</f>
        <v>0</v>
      </c>
      <c r="AD706" s="245" t="e">
        <f>#REF!*#REF!</f>
        <v>#REF!</v>
      </c>
    </row>
    <row r="707" spans="1:30" ht="15">
      <c r="A707" s="250" t="s">
        <v>732</v>
      </c>
      <c r="B707" s="251"/>
      <c r="C707" s="556" t="s">
        <v>3266</v>
      </c>
      <c r="D707" s="556" t="s">
        <v>236</v>
      </c>
      <c r="E707" s="251" t="s">
        <v>1901</v>
      </c>
      <c r="F707" s="735">
        <f>N707+R707+P707+T707+V707+X707+Z707+AB707</f>
        <v>8</v>
      </c>
      <c r="G707" s="261">
        <f>311.66-299.46</f>
        <v>12.200000000000045</v>
      </c>
      <c r="H707" s="261">
        <f>O707+S707+Q707+U707+W707+Y707+AA707+AC707</f>
        <v>97.6</v>
      </c>
      <c r="I707" s="251" t="s">
        <v>1901</v>
      </c>
      <c r="J707" s="261"/>
      <c r="K707" s="261"/>
      <c r="L707" s="261"/>
      <c r="M707" s="261"/>
      <c r="N707" s="289">
        <v>8</v>
      </c>
      <c r="O707" s="245">
        <f>INT($G707*N707*100+0.5)/100</f>
        <v>97.6</v>
      </c>
      <c r="P707" s="258">
        <v>0</v>
      </c>
      <c r="Q707" s="257">
        <f>INT($G707*P707*100+0.5)/100</f>
        <v>0</v>
      </c>
      <c r="R707" s="258">
        <v>0</v>
      </c>
      <c r="S707" s="257">
        <f>INT($G707*R707*100+0.5)/100</f>
        <v>0</v>
      </c>
      <c r="T707" s="257"/>
      <c r="U707" s="257"/>
      <c r="V707" s="258">
        <v>0</v>
      </c>
      <c r="W707" s="257">
        <f>INT($G707*V707*100+0.5)/100</f>
        <v>0</v>
      </c>
      <c r="X707" s="258">
        <v>0</v>
      </c>
      <c r="Y707" s="257">
        <f>INT($G707*X707*100+0.5)/100</f>
        <v>0</v>
      </c>
      <c r="Z707" s="258">
        <v>0</v>
      </c>
      <c r="AA707" s="257">
        <f>INT($G707*Z707*100+0.5)/100</f>
        <v>0</v>
      </c>
      <c r="AB707" s="258">
        <v>0</v>
      </c>
      <c r="AC707" s="257">
        <f>INT($G707*AB707*100+0.5)/100</f>
        <v>0</v>
      </c>
      <c r="AD707" s="245" t="e">
        <f>#REF!*#REF!</f>
        <v>#REF!</v>
      </c>
    </row>
    <row r="708" spans="1:30" ht="15">
      <c r="A708" s="250"/>
      <c r="B708" s="251"/>
      <c r="C708" s="890"/>
      <c r="D708" s="556"/>
      <c r="E708" s="251"/>
      <c r="F708" s="735"/>
      <c r="G708" s="261"/>
      <c r="H708" s="261"/>
      <c r="I708" s="251"/>
      <c r="J708" s="261"/>
      <c r="K708" s="261"/>
      <c r="L708" s="261"/>
      <c r="M708" s="261"/>
      <c r="N708" s="289"/>
      <c r="O708" s="245"/>
      <c r="P708" s="258"/>
      <c r="Q708" s="257"/>
      <c r="R708" s="258"/>
      <c r="S708" s="257"/>
      <c r="T708" s="257"/>
      <c r="U708" s="257"/>
      <c r="V708" s="258"/>
      <c r="W708" s="257"/>
      <c r="X708" s="258"/>
      <c r="Y708" s="257"/>
      <c r="Z708" s="258"/>
      <c r="AA708" s="257"/>
      <c r="AB708" s="258"/>
      <c r="AC708" s="257"/>
      <c r="AD708" s="245"/>
    </row>
    <row r="709" spans="1:30" ht="25.5">
      <c r="A709" s="250">
        <f>A702+1</f>
        <v>147</v>
      </c>
      <c r="B709" s="251"/>
      <c r="C709" s="563" t="s">
        <v>3267</v>
      </c>
      <c r="D709" s="526" t="s">
        <v>3272</v>
      </c>
      <c r="E709" s="251"/>
      <c r="F709" s="735"/>
      <c r="G709" s="261"/>
      <c r="H709" s="261"/>
      <c r="I709" s="251"/>
      <c r="J709" s="261"/>
      <c r="K709" s="261"/>
      <c r="L709" s="261"/>
      <c r="M709" s="261"/>
      <c r="N709" s="289"/>
      <c r="O709" s="245"/>
      <c r="P709" s="258"/>
      <c r="Q709" s="257"/>
      <c r="R709" s="258"/>
      <c r="S709" s="257"/>
      <c r="T709" s="257"/>
      <c r="U709" s="257"/>
      <c r="V709" s="258"/>
      <c r="W709" s="257"/>
      <c r="X709" s="258"/>
      <c r="Y709" s="257"/>
      <c r="Z709" s="258"/>
      <c r="AA709" s="257"/>
      <c r="AB709" s="258"/>
      <c r="AC709" s="257"/>
      <c r="AD709" s="245"/>
    </row>
    <row r="710" spans="1:30" ht="25.5">
      <c r="A710" s="250"/>
      <c r="B710" s="251"/>
      <c r="C710" s="556"/>
      <c r="D710" s="526" t="s">
        <v>3273</v>
      </c>
      <c r="E710" s="251"/>
      <c r="F710" s="735"/>
      <c r="G710" s="261"/>
      <c r="H710" s="261"/>
      <c r="I710" s="251"/>
      <c r="J710" s="261"/>
      <c r="K710" s="261"/>
      <c r="L710" s="261"/>
      <c r="M710" s="261"/>
      <c r="N710" s="289"/>
      <c r="O710" s="245"/>
      <c r="P710" s="258"/>
      <c r="Q710" s="257"/>
      <c r="R710" s="258"/>
      <c r="S710" s="257"/>
      <c r="T710" s="257"/>
      <c r="U710" s="257"/>
      <c r="V710" s="258"/>
      <c r="W710" s="257"/>
      <c r="X710" s="258"/>
      <c r="Y710" s="257"/>
      <c r="Z710" s="258"/>
      <c r="AA710" s="257"/>
      <c r="AB710" s="258"/>
      <c r="AC710" s="257"/>
      <c r="AD710" s="245"/>
    </row>
    <row r="711" spans="1:30" ht="15">
      <c r="A711" s="250" t="s">
        <v>726</v>
      </c>
      <c r="B711" s="251"/>
      <c r="C711" s="556" t="s">
        <v>3268</v>
      </c>
      <c r="D711" s="556" t="s">
        <v>223</v>
      </c>
      <c r="E711" s="251" t="s">
        <v>1901</v>
      </c>
      <c r="F711" s="735">
        <f>N711+R711+P711+T711+V711+X711+Z711+AB711</f>
        <v>1</v>
      </c>
      <c r="G711" s="261">
        <f>172.04-159.85</f>
        <v>12.189999999999998</v>
      </c>
      <c r="H711" s="261">
        <f>O711+S711+Q711+U711+W711+Y711+AA711+AC711</f>
        <v>12.19</v>
      </c>
      <c r="I711" s="251" t="s">
        <v>1901</v>
      </c>
      <c r="J711" s="261"/>
      <c r="K711" s="261"/>
      <c r="L711" s="261"/>
      <c r="M711" s="261"/>
      <c r="N711" s="289">
        <v>1</v>
      </c>
      <c r="O711" s="245">
        <f>INT($G711*N711*100+0.5)/100</f>
        <v>12.19</v>
      </c>
      <c r="P711" s="258">
        <v>0</v>
      </c>
      <c r="Q711" s="257">
        <f>INT($G711*P711*100+0.5)/100</f>
        <v>0</v>
      </c>
      <c r="R711" s="258">
        <v>0</v>
      </c>
      <c r="S711" s="257">
        <f>INT($G711*R711*100+0.5)/100</f>
        <v>0</v>
      </c>
      <c r="T711" s="257"/>
      <c r="U711" s="257"/>
      <c r="V711" s="258">
        <v>0</v>
      </c>
      <c r="W711" s="257">
        <f>INT($G711*V711*100+0.5)/100</f>
        <v>0</v>
      </c>
      <c r="X711" s="258">
        <v>0</v>
      </c>
      <c r="Y711" s="257">
        <f>INT($G711*X711*100+0.5)/100</f>
        <v>0</v>
      </c>
      <c r="Z711" s="258">
        <v>0</v>
      </c>
      <c r="AA711" s="257">
        <f>INT($G711*Z711*100+0.5)/100</f>
        <v>0</v>
      </c>
      <c r="AB711" s="258">
        <v>0</v>
      </c>
      <c r="AC711" s="257">
        <f>INT($G711*AB711*100+0.5)/100</f>
        <v>0</v>
      </c>
      <c r="AD711" s="245" t="e">
        <f>#REF!*#REF!</f>
        <v>#REF!</v>
      </c>
    </row>
    <row r="712" spans="1:30" ht="15">
      <c r="A712" s="250" t="s">
        <v>727</v>
      </c>
      <c r="B712" s="251"/>
      <c r="C712" s="556" t="s">
        <v>3269</v>
      </c>
      <c r="D712" s="556" t="s">
        <v>224</v>
      </c>
      <c r="E712" s="251" t="s">
        <v>1901</v>
      </c>
      <c r="F712" s="735">
        <f>N712+R712+P712+T712+V712+X712+Z712+AB712</f>
        <v>1</v>
      </c>
      <c r="G712" s="261">
        <f>198.69-186.5</f>
        <v>12.189999999999998</v>
      </c>
      <c r="H712" s="261">
        <f>O712+S712+Q712+U712+W712+Y712+AA712+AC712</f>
        <v>12.19</v>
      </c>
      <c r="I712" s="251" t="s">
        <v>1901</v>
      </c>
      <c r="J712" s="261"/>
      <c r="K712" s="261"/>
      <c r="L712" s="261"/>
      <c r="M712" s="261"/>
      <c r="N712" s="289">
        <v>1</v>
      </c>
      <c r="O712" s="245">
        <f>INT($G712*N712*100+0.5)/100</f>
        <v>12.19</v>
      </c>
      <c r="P712" s="258">
        <v>0</v>
      </c>
      <c r="Q712" s="257">
        <f>INT($G712*P712*100+0.5)/100</f>
        <v>0</v>
      </c>
      <c r="R712" s="258">
        <v>0</v>
      </c>
      <c r="S712" s="257">
        <f>INT($G712*R712*100+0.5)/100</f>
        <v>0</v>
      </c>
      <c r="T712" s="257"/>
      <c r="U712" s="257"/>
      <c r="V712" s="258">
        <v>0</v>
      </c>
      <c r="W712" s="257">
        <f>INT($G712*V712*100+0.5)/100</f>
        <v>0</v>
      </c>
      <c r="X712" s="258">
        <v>0</v>
      </c>
      <c r="Y712" s="257">
        <f>INT($G712*X712*100+0.5)/100</f>
        <v>0</v>
      </c>
      <c r="Z712" s="258">
        <v>0</v>
      </c>
      <c r="AA712" s="257">
        <f>INT($G712*Z712*100+0.5)/100</f>
        <v>0</v>
      </c>
      <c r="AB712" s="258">
        <v>0</v>
      </c>
      <c r="AC712" s="257">
        <f>INT($G712*AB712*100+0.5)/100</f>
        <v>0</v>
      </c>
      <c r="AD712" s="245" t="e">
        <f>#REF!*#REF!</f>
        <v>#REF!</v>
      </c>
    </row>
    <row r="713" spans="1:30" ht="15">
      <c r="A713" s="250" t="s">
        <v>728</v>
      </c>
      <c r="B713" s="251"/>
      <c r="C713" s="556" t="s">
        <v>3270</v>
      </c>
      <c r="D713" s="556" t="s">
        <v>235</v>
      </c>
      <c r="E713" s="251" t="s">
        <v>1901</v>
      </c>
      <c r="F713" s="735">
        <f>N713+R713+P713+T713+V713+X713+Z713+AB713</f>
        <v>1</v>
      </c>
      <c r="G713" s="261">
        <f>260.96-248.76</f>
        <v>12.199999999999989</v>
      </c>
      <c r="H713" s="261">
        <f>O713+S713+Q713+U713+W713+Y713+AA713+AC713</f>
        <v>12.2</v>
      </c>
      <c r="I713" s="251" t="s">
        <v>1901</v>
      </c>
      <c r="J713" s="261"/>
      <c r="K713" s="261"/>
      <c r="L713" s="261"/>
      <c r="M713" s="261"/>
      <c r="N713" s="289">
        <v>1</v>
      </c>
      <c r="O713" s="245">
        <f>INT($G713*N713*100+0.5)/100</f>
        <v>12.2</v>
      </c>
      <c r="P713" s="258">
        <v>0</v>
      </c>
      <c r="Q713" s="257">
        <f>INT($G713*P713*100+0.5)/100</f>
        <v>0</v>
      </c>
      <c r="R713" s="258">
        <v>0</v>
      </c>
      <c r="S713" s="257">
        <f>INT($G713*R713*100+0.5)/100</f>
        <v>0</v>
      </c>
      <c r="T713" s="257"/>
      <c r="U713" s="257"/>
      <c r="V713" s="258">
        <v>0</v>
      </c>
      <c r="W713" s="257">
        <f>INT($G713*V713*100+0.5)/100</f>
        <v>0</v>
      </c>
      <c r="X713" s="258">
        <v>0</v>
      </c>
      <c r="Y713" s="257">
        <f>INT($G713*X713*100+0.5)/100</f>
        <v>0</v>
      </c>
      <c r="Z713" s="258">
        <v>0</v>
      </c>
      <c r="AA713" s="257">
        <f>INT($G713*Z713*100+0.5)/100</f>
        <v>0</v>
      </c>
      <c r="AB713" s="258">
        <v>0</v>
      </c>
      <c r="AC713" s="257">
        <f>INT($G713*AB713*100+0.5)/100</f>
        <v>0</v>
      </c>
      <c r="AD713" s="245" t="e">
        <f>#REF!*#REF!</f>
        <v>#REF!</v>
      </c>
    </row>
    <row r="714" spans="1:30" ht="15">
      <c r="A714" s="250" t="s">
        <v>732</v>
      </c>
      <c r="B714" s="251"/>
      <c r="C714" s="556" t="s">
        <v>3271</v>
      </c>
      <c r="D714" s="556" t="s">
        <v>236</v>
      </c>
      <c r="E714" s="251" t="s">
        <v>1901</v>
      </c>
      <c r="F714" s="735">
        <f>N714+R714+P714+T714+V714+X714+Z714+AB714</f>
        <v>2</v>
      </c>
      <c r="G714" s="261">
        <f>325.18-312.99</f>
        <v>12.189999999999998</v>
      </c>
      <c r="H714" s="261">
        <f>O714+S714+Q714+U714+W714+Y714+AA714+AC714</f>
        <v>24.38</v>
      </c>
      <c r="I714" s="251" t="s">
        <v>1901</v>
      </c>
      <c r="J714" s="261"/>
      <c r="K714" s="261"/>
      <c r="L714" s="261"/>
      <c r="M714" s="261"/>
      <c r="N714" s="289">
        <v>2</v>
      </c>
      <c r="O714" s="245">
        <f>INT($G714*N714*100+0.5)/100</f>
        <v>24.38</v>
      </c>
      <c r="P714" s="258">
        <v>0</v>
      </c>
      <c r="Q714" s="257">
        <f>INT($G714*P714*100+0.5)/100</f>
        <v>0</v>
      </c>
      <c r="R714" s="258">
        <v>0</v>
      </c>
      <c r="S714" s="257">
        <f>INT($G714*R714*100+0.5)/100</f>
        <v>0</v>
      </c>
      <c r="T714" s="257"/>
      <c r="U714" s="257"/>
      <c r="V714" s="258">
        <v>0</v>
      </c>
      <c r="W714" s="257">
        <f>INT($G714*V714*100+0.5)/100</f>
        <v>0</v>
      </c>
      <c r="X714" s="258">
        <v>0</v>
      </c>
      <c r="Y714" s="257">
        <f>INT($G714*X714*100+0.5)/100</f>
        <v>0</v>
      </c>
      <c r="Z714" s="258">
        <v>0</v>
      </c>
      <c r="AA714" s="257">
        <f>INT($G714*Z714*100+0.5)/100</f>
        <v>0</v>
      </c>
      <c r="AB714" s="258">
        <v>0</v>
      </c>
      <c r="AC714" s="257">
        <f>INT($G714*AB714*100+0.5)/100</f>
        <v>0</v>
      </c>
      <c r="AD714" s="245" t="e">
        <f>#REF!*#REF!</f>
        <v>#REF!</v>
      </c>
    </row>
    <row r="715" spans="1:30" ht="15">
      <c r="A715" s="250"/>
      <c r="B715" s="251"/>
      <c r="C715" s="890"/>
      <c r="D715" s="556"/>
      <c r="E715" s="251"/>
      <c r="F715" s="735"/>
      <c r="G715" s="261"/>
      <c r="H715" s="261"/>
      <c r="I715" s="251"/>
      <c r="J715" s="261"/>
      <c r="K715" s="261"/>
      <c r="L715" s="261"/>
      <c r="M715" s="261"/>
      <c r="N715" s="289"/>
      <c r="O715" s="245"/>
      <c r="P715" s="258"/>
      <c r="Q715" s="257"/>
      <c r="R715" s="258"/>
      <c r="S715" s="257"/>
      <c r="T715" s="257"/>
      <c r="U715" s="257"/>
      <c r="V715" s="258"/>
      <c r="W715" s="257"/>
      <c r="X715" s="258"/>
      <c r="Y715" s="257"/>
      <c r="Z715" s="258"/>
      <c r="AA715" s="257"/>
      <c r="AB715" s="258"/>
      <c r="AC715" s="257"/>
      <c r="AD715" s="245"/>
    </row>
    <row r="716" spans="1:30" ht="38.25">
      <c r="A716" s="250">
        <f>A709+1</f>
        <v>148</v>
      </c>
      <c r="B716" s="251"/>
      <c r="C716" s="563" t="s">
        <v>3274</v>
      </c>
      <c r="D716" s="526" t="s">
        <v>3280</v>
      </c>
      <c r="E716" s="251"/>
      <c r="F716" s="735"/>
      <c r="G716" s="261"/>
      <c r="H716" s="261"/>
      <c r="I716" s="251"/>
      <c r="J716" s="261"/>
      <c r="K716" s="261"/>
      <c r="L716" s="261"/>
      <c r="M716" s="261"/>
      <c r="N716" s="289"/>
      <c r="O716" s="245"/>
      <c r="P716" s="258"/>
      <c r="Q716" s="257"/>
      <c r="R716" s="258"/>
      <c r="S716" s="257"/>
      <c r="T716" s="257"/>
      <c r="U716" s="257"/>
      <c r="V716" s="258"/>
      <c r="W716" s="257"/>
      <c r="X716" s="258"/>
      <c r="Y716" s="257"/>
      <c r="Z716" s="258"/>
      <c r="AA716" s="257"/>
      <c r="AB716" s="258"/>
      <c r="AC716" s="257"/>
      <c r="AD716" s="245"/>
    </row>
    <row r="717" spans="1:30" ht="25.5">
      <c r="A717" s="250"/>
      <c r="B717" s="251"/>
      <c r="C717" s="556"/>
      <c r="D717" s="526" t="s">
        <v>3279</v>
      </c>
      <c r="E717" s="251"/>
      <c r="F717" s="735"/>
      <c r="G717" s="261"/>
      <c r="H717" s="261"/>
      <c r="I717" s="251"/>
      <c r="J717" s="261"/>
      <c r="K717" s="261"/>
      <c r="L717" s="261"/>
      <c r="M717" s="261"/>
      <c r="N717" s="289"/>
      <c r="O717" s="245"/>
      <c r="P717" s="258"/>
      <c r="Q717" s="257"/>
      <c r="R717" s="258"/>
      <c r="S717" s="257"/>
      <c r="T717" s="257"/>
      <c r="U717" s="257"/>
      <c r="V717" s="258"/>
      <c r="W717" s="257"/>
      <c r="X717" s="258"/>
      <c r="Y717" s="257"/>
      <c r="Z717" s="258"/>
      <c r="AA717" s="257"/>
      <c r="AB717" s="258"/>
      <c r="AC717" s="257"/>
      <c r="AD717" s="245"/>
    </row>
    <row r="718" spans="1:30" ht="15">
      <c r="A718" s="250" t="s">
        <v>726</v>
      </c>
      <c r="B718" s="251"/>
      <c r="C718" s="556" t="s">
        <v>3275</v>
      </c>
      <c r="D718" s="556" t="s">
        <v>223</v>
      </c>
      <c r="E718" s="251" t="s">
        <v>1901</v>
      </c>
      <c r="F718" s="735">
        <f>N718+R718+P718+T718+V718+X718+Z718+AB718</f>
        <v>1</v>
      </c>
      <c r="G718" s="261">
        <f>169.09-156.89</f>
        <v>12.200000000000017</v>
      </c>
      <c r="H718" s="261">
        <f>O718+S718+Q718+U718+W718+Y718+AA718+AC718</f>
        <v>12.2</v>
      </c>
      <c r="I718" s="251" t="s">
        <v>1901</v>
      </c>
      <c r="J718" s="261"/>
      <c r="K718" s="261"/>
      <c r="L718" s="261"/>
      <c r="M718" s="261"/>
      <c r="N718" s="289">
        <v>1</v>
      </c>
      <c r="O718" s="245">
        <f>INT($G718*N718*100+0.5)/100</f>
        <v>12.2</v>
      </c>
      <c r="P718" s="258">
        <v>0</v>
      </c>
      <c r="Q718" s="257">
        <f>INT($G718*P718*100+0.5)/100</f>
        <v>0</v>
      </c>
      <c r="R718" s="258">
        <v>0</v>
      </c>
      <c r="S718" s="257">
        <f>INT($G718*R718*100+0.5)/100</f>
        <v>0</v>
      </c>
      <c r="T718" s="257"/>
      <c r="U718" s="257"/>
      <c r="V718" s="258">
        <v>0</v>
      </c>
      <c r="W718" s="257">
        <f>INT($G718*V718*100+0.5)/100</f>
        <v>0</v>
      </c>
      <c r="X718" s="258">
        <v>0</v>
      </c>
      <c r="Y718" s="257">
        <f>INT($G718*X718*100+0.5)/100</f>
        <v>0</v>
      </c>
      <c r="Z718" s="258">
        <v>0</v>
      </c>
      <c r="AA718" s="257">
        <f>INT($G718*Z718*100+0.5)/100</f>
        <v>0</v>
      </c>
      <c r="AB718" s="258">
        <v>0</v>
      </c>
      <c r="AC718" s="257">
        <f>INT($G718*AB718*100+0.5)/100</f>
        <v>0</v>
      </c>
      <c r="AD718" s="245" t="e">
        <f>#REF!*#REF!</f>
        <v>#REF!</v>
      </c>
    </row>
    <row r="719" spans="1:30" ht="15">
      <c r="A719" s="250" t="s">
        <v>727</v>
      </c>
      <c r="B719" s="251"/>
      <c r="C719" s="556" t="s">
        <v>3276</v>
      </c>
      <c r="D719" s="556" t="s">
        <v>224</v>
      </c>
      <c r="E719" s="251" t="s">
        <v>1901</v>
      </c>
      <c r="F719" s="735">
        <f>N719+R719+P719+T719+V719+X719+Z719+AB719</f>
        <v>1</v>
      </c>
      <c r="G719" s="261">
        <f>248.57-236.38</f>
        <v>12.189999999999998</v>
      </c>
      <c r="H719" s="261">
        <f>O719+S719+Q719+U719+W719+Y719+AA719+AC719</f>
        <v>12.19</v>
      </c>
      <c r="I719" s="251" t="s">
        <v>1901</v>
      </c>
      <c r="J719" s="261"/>
      <c r="K719" s="261"/>
      <c r="L719" s="261"/>
      <c r="M719" s="261"/>
      <c r="N719" s="289">
        <v>1</v>
      </c>
      <c r="O719" s="245">
        <f>INT($G719*N719*100+0.5)/100</f>
        <v>12.19</v>
      </c>
      <c r="P719" s="258">
        <v>0</v>
      </c>
      <c r="Q719" s="257">
        <f>INT($G719*P719*100+0.5)/100</f>
        <v>0</v>
      </c>
      <c r="R719" s="258">
        <v>0</v>
      </c>
      <c r="S719" s="257">
        <f>INT($G719*R719*100+0.5)/100</f>
        <v>0</v>
      </c>
      <c r="T719" s="257"/>
      <c r="U719" s="257"/>
      <c r="V719" s="258">
        <v>0</v>
      </c>
      <c r="W719" s="257">
        <f>INT($G719*V719*100+0.5)/100</f>
        <v>0</v>
      </c>
      <c r="X719" s="258">
        <v>0</v>
      </c>
      <c r="Y719" s="257">
        <f>INT($G719*X719*100+0.5)/100</f>
        <v>0</v>
      </c>
      <c r="Z719" s="258">
        <v>0</v>
      </c>
      <c r="AA719" s="257">
        <f>INT($G719*Z719*100+0.5)/100</f>
        <v>0</v>
      </c>
      <c r="AB719" s="258">
        <v>0</v>
      </c>
      <c r="AC719" s="257">
        <f>INT($G719*AB719*100+0.5)/100</f>
        <v>0</v>
      </c>
      <c r="AD719" s="245" t="e">
        <f>#REF!*#REF!</f>
        <v>#REF!</v>
      </c>
    </row>
    <row r="720" spans="1:30" ht="15">
      <c r="A720" s="250" t="s">
        <v>728</v>
      </c>
      <c r="B720" s="251"/>
      <c r="C720" s="556" t="s">
        <v>3277</v>
      </c>
      <c r="D720" s="556" t="s">
        <v>235</v>
      </c>
      <c r="E720" s="251" t="s">
        <v>1901</v>
      </c>
      <c r="F720" s="735">
        <f>N720+R720+P720+T720+V720+X720+Z720+AB720</f>
        <v>1</v>
      </c>
      <c r="G720" s="261">
        <f>281.22-269.02</f>
        <v>12.200000000000045</v>
      </c>
      <c r="H720" s="261">
        <f>O720+S720+Q720+U720+W720+Y720+AA720+AC720</f>
        <v>12.2</v>
      </c>
      <c r="I720" s="251" t="s">
        <v>1901</v>
      </c>
      <c r="J720" s="261"/>
      <c r="K720" s="261"/>
      <c r="L720" s="261"/>
      <c r="M720" s="261"/>
      <c r="N720" s="289">
        <v>1</v>
      </c>
      <c r="O720" s="245">
        <f>INT($G720*N720*100+0.5)/100</f>
        <v>12.2</v>
      </c>
      <c r="P720" s="258">
        <v>0</v>
      </c>
      <c r="Q720" s="257">
        <f>INT($G720*P720*100+0.5)/100</f>
        <v>0</v>
      </c>
      <c r="R720" s="258">
        <v>0</v>
      </c>
      <c r="S720" s="257">
        <f>INT($G720*R720*100+0.5)/100</f>
        <v>0</v>
      </c>
      <c r="T720" s="257"/>
      <c r="U720" s="257"/>
      <c r="V720" s="258">
        <v>0</v>
      </c>
      <c r="W720" s="257">
        <f>INT($G720*V720*100+0.5)/100</f>
        <v>0</v>
      </c>
      <c r="X720" s="258">
        <v>0</v>
      </c>
      <c r="Y720" s="257">
        <f>INT($G720*X720*100+0.5)/100</f>
        <v>0</v>
      </c>
      <c r="Z720" s="258">
        <v>0</v>
      </c>
      <c r="AA720" s="257">
        <f>INT($G720*Z720*100+0.5)/100</f>
        <v>0</v>
      </c>
      <c r="AB720" s="258">
        <v>0</v>
      </c>
      <c r="AC720" s="257">
        <f>INT($G720*AB720*100+0.5)/100</f>
        <v>0</v>
      </c>
      <c r="AD720" s="245" t="e">
        <f>#REF!*#REF!</f>
        <v>#REF!</v>
      </c>
    </row>
    <row r="721" spans="1:30" ht="15">
      <c r="A721" s="250" t="s">
        <v>732</v>
      </c>
      <c r="B721" s="251"/>
      <c r="C721" s="556" t="s">
        <v>3278</v>
      </c>
      <c r="D721" s="556" t="s">
        <v>236</v>
      </c>
      <c r="E721" s="251" t="s">
        <v>1901</v>
      </c>
      <c r="F721" s="735">
        <f>N721+R721+P721+T721+V721+X721+Z721+AB721</f>
        <v>17</v>
      </c>
      <c r="G721" s="261">
        <f>397.45-385.25</f>
        <v>12.199999999999989</v>
      </c>
      <c r="H721" s="261">
        <f>O721+S721+Q721+U721+W721+Y721+AA721+AC721</f>
        <v>207.4</v>
      </c>
      <c r="I721" s="251" t="s">
        <v>1901</v>
      </c>
      <c r="J721" s="261"/>
      <c r="K721" s="261"/>
      <c r="L721" s="261"/>
      <c r="M721" s="261"/>
      <c r="N721" s="289">
        <f>(3+3+3+3+3+2)</f>
        <v>17</v>
      </c>
      <c r="O721" s="245">
        <f>INT($G721*N721*100+0.5)/100</f>
        <v>207.4</v>
      </c>
      <c r="P721" s="258">
        <v>0</v>
      </c>
      <c r="Q721" s="257">
        <f>INT($G721*P721*100+0.5)/100</f>
        <v>0</v>
      </c>
      <c r="R721" s="258">
        <v>0</v>
      </c>
      <c r="S721" s="257">
        <f>INT($G721*R721*100+0.5)/100</f>
        <v>0</v>
      </c>
      <c r="T721" s="257"/>
      <c r="U721" s="257"/>
      <c r="V721" s="258">
        <v>0</v>
      </c>
      <c r="W721" s="257">
        <f>INT($G721*V721*100+0.5)/100</f>
        <v>0</v>
      </c>
      <c r="X721" s="258">
        <v>0</v>
      </c>
      <c r="Y721" s="257">
        <f>INT($G721*X721*100+0.5)/100</f>
        <v>0</v>
      </c>
      <c r="Z721" s="258">
        <v>0</v>
      </c>
      <c r="AA721" s="257">
        <f>INT($G721*Z721*100+0.5)/100</f>
        <v>0</v>
      </c>
      <c r="AB721" s="258">
        <v>0</v>
      </c>
      <c r="AC721" s="257">
        <f>INT($G721*AB721*100+0.5)/100</f>
        <v>0</v>
      </c>
      <c r="AD721" s="245" t="e">
        <f>#REF!*#REF!</f>
        <v>#REF!</v>
      </c>
    </row>
    <row r="722" spans="1:30" ht="15">
      <c r="A722" s="250"/>
      <c r="B722" s="251"/>
      <c r="C722" s="890"/>
      <c r="D722" s="556"/>
      <c r="E722" s="251"/>
      <c r="F722" s="735"/>
      <c r="G722" s="261"/>
      <c r="H722" s="261"/>
      <c r="I722" s="251"/>
      <c r="J722" s="261"/>
      <c r="K722" s="261"/>
      <c r="L722" s="261"/>
      <c r="M722" s="261"/>
      <c r="N722" s="289"/>
      <c r="O722" s="245"/>
      <c r="P722" s="258"/>
      <c r="Q722" s="257"/>
      <c r="R722" s="258"/>
      <c r="S722" s="257"/>
      <c r="T722" s="257"/>
      <c r="U722" s="257"/>
      <c r="V722" s="258"/>
      <c r="W722" s="257"/>
      <c r="X722" s="258"/>
      <c r="Y722" s="257"/>
      <c r="Z722" s="258"/>
      <c r="AA722" s="257"/>
      <c r="AB722" s="258"/>
      <c r="AC722" s="257"/>
      <c r="AD722" s="245"/>
    </row>
    <row r="723" spans="1:30" ht="15">
      <c r="A723" s="250">
        <f>A716+1</f>
        <v>149</v>
      </c>
      <c r="B723" s="251"/>
      <c r="C723" s="563" t="s">
        <v>3315</v>
      </c>
      <c r="D723" s="526" t="s">
        <v>951</v>
      </c>
      <c r="E723" s="251"/>
      <c r="F723" s="735"/>
      <c r="G723" s="261"/>
      <c r="H723" s="261"/>
      <c r="I723" s="251"/>
      <c r="J723" s="261"/>
      <c r="K723" s="261"/>
      <c r="L723" s="261"/>
      <c r="M723" s="261"/>
      <c r="N723" s="289"/>
      <c r="O723" s="245"/>
      <c r="P723" s="258"/>
      <c r="Q723" s="257"/>
      <c r="R723" s="258"/>
      <c r="S723" s="257"/>
      <c r="T723" s="257"/>
      <c r="U723" s="257"/>
      <c r="V723" s="258"/>
      <c r="W723" s="257"/>
      <c r="X723" s="258"/>
      <c r="Y723" s="257"/>
      <c r="Z723" s="258"/>
      <c r="AA723" s="257"/>
      <c r="AB723" s="258"/>
      <c r="AC723" s="257"/>
      <c r="AD723" s="245"/>
    </row>
    <row r="724" spans="1:30" ht="25.5">
      <c r="A724" s="250"/>
      <c r="B724" s="251"/>
      <c r="C724" s="556"/>
      <c r="D724" s="526" t="s">
        <v>3281</v>
      </c>
      <c r="E724" s="251"/>
      <c r="F724" s="735"/>
      <c r="G724" s="261"/>
      <c r="H724" s="261"/>
      <c r="I724" s="251"/>
      <c r="J724" s="261"/>
      <c r="K724" s="261"/>
      <c r="L724" s="261"/>
      <c r="M724" s="261"/>
      <c r="N724" s="289"/>
      <c r="O724" s="245"/>
      <c r="P724" s="258"/>
      <c r="Q724" s="257"/>
      <c r="R724" s="258"/>
      <c r="S724" s="257"/>
      <c r="T724" s="257"/>
      <c r="U724" s="257"/>
      <c r="V724" s="258"/>
      <c r="W724" s="257"/>
      <c r="X724" s="258"/>
      <c r="Y724" s="257"/>
      <c r="Z724" s="258"/>
      <c r="AA724" s="257"/>
      <c r="AB724" s="258"/>
      <c r="AC724" s="257"/>
      <c r="AD724" s="245"/>
    </row>
    <row r="725" spans="1:30" ht="15">
      <c r="A725" s="250" t="s">
        <v>726</v>
      </c>
      <c r="B725" s="251"/>
      <c r="C725" s="556" t="s">
        <v>3316</v>
      </c>
      <c r="D725" s="556" t="s">
        <v>223</v>
      </c>
      <c r="E725" s="251" t="s">
        <v>1901</v>
      </c>
      <c r="F725" s="735">
        <f>N725+R725+P725+T725+V725+X725+Z725+AB725</f>
        <v>1</v>
      </c>
      <c r="G725" s="243">
        <f>244.47-117.55</f>
        <v>126.92</v>
      </c>
      <c r="H725" s="261">
        <f>O725+S725+Q725+U725+W725+Y725+AA725+AC725</f>
        <v>126.92</v>
      </c>
      <c r="I725" s="251" t="s">
        <v>1901</v>
      </c>
      <c r="J725" s="243"/>
      <c r="K725" s="243"/>
      <c r="L725" s="243"/>
      <c r="M725" s="243"/>
      <c r="N725" s="289">
        <v>1</v>
      </c>
      <c r="O725" s="245">
        <f>INT($G725*N725*100+0.5)/100</f>
        <v>126.92</v>
      </c>
      <c r="P725" s="258">
        <v>0</v>
      </c>
      <c r="Q725" s="257">
        <f>INT($G725*P725*100+0.5)/100</f>
        <v>0</v>
      </c>
      <c r="R725" s="258">
        <v>0</v>
      </c>
      <c r="S725" s="257">
        <f>INT($G725*R725*100+0.5)/100</f>
        <v>0</v>
      </c>
      <c r="T725" s="257"/>
      <c r="U725" s="257"/>
      <c r="V725" s="258">
        <v>0</v>
      </c>
      <c r="W725" s="257">
        <f>INT($G725*V725*100+0.5)/100</f>
        <v>0</v>
      </c>
      <c r="X725" s="258">
        <v>0</v>
      </c>
      <c r="Y725" s="257">
        <f>INT($G725*X725*100+0.5)/100</f>
        <v>0</v>
      </c>
      <c r="Z725" s="258">
        <v>0</v>
      </c>
      <c r="AA725" s="257">
        <f>INT($G725*Z725*100+0.5)/100</f>
        <v>0</v>
      </c>
      <c r="AB725" s="258">
        <v>0</v>
      </c>
      <c r="AC725" s="257">
        <f>INT($G725*AB725*100+0.5)/100</f>
        <v>0</v>
      </c>
      <c r="AD725" s="245" t="e">
        <f>#REF!*#REF!</f>
        <v>#REF!</v>
      </c>
    </row>
    <row r="726" spans="1:30" ht="15">
      <c r="A726" s="250" t="s">
        <v>727</v>
      </c>
      <c r="B726" s="251"/>
      <c r="C726" s="556" t="s">
        <v>3317</v>
      </c>
      <c r="D726" s="556" t="s">
        <v>224</v>
      </c>
      <c r="E726" s="251" t="s">
        <v>1901</v>
      </c>
      <c r="F726" s="735">
        <f>N726+R726+P726+T726+V726+X726+Z726+AB726</f>
        <v>1</v>
      </c>
      <c r="G726" s="243">
        <f>290.76-155.61</f>
        <v>135.14999999999998</v>
      </c>
      <c r="H726" s="261">
        <f>O726+S726+Q726+U726+W726+Y726+AA726+AC726</f>
        <v>135.15</v>
      </c>
      <c r="I726" s="251" t="s">
        <v>1901</v>
      </c>
      <c r="J726" s="243"/>
      <c r="K726" s="243"/>
      <c r="L726" s="243"/>
      <c r="M726" s="243"/>
      <c r="N726" s="289">
        <v>1</v>
      </c>
      <c r="O726" s="245">
        <f>INT($G726*N726*100+0.5)/100</f>
        <v>135.15</v>
      </c>
      <c r="P726" s="258">
        <v>0</v>
      </c>
      <c r="Q726" s="257">
        <f>INT($G726*P726*100+0.5)/100</f>
        <v>0</v>
      </c>
      <c r="R726" s="258">
        <v>0</v>
      </c>
      <c r="S726" s="257">
        <f>INT($G726*R726*100+0.5)/100</f>
        <v>0</v>
      </c>
      <c r="T726" s="257"/>
      <c r="U726" s="257"/>
      <c r="V726" s="258">
        <v>0</v>
      </c>
      <c r="W726" s="257">
        <f>INT($G726*V726*100+0.5)/100</f>
        <v>0</v>
      </c>
      <c r="X726" s="258">
        <v>0</v>
      </c>
      <c r="Y726" s="257">
        <f>INT($G726*X726*100+0.5)/100</f>
        <v>0</v>
      </c>
      <c r="Z726" s="258">
        <v>0</v>
      </c>
      <c r="AA726" s="257">
        <f>INT($G726*Z726*100+0.5)/100</f>
        <v>0</v>
      </c>
      <c r="AB726" s="258">
        <v>0</v>
      </c>
      <c r="AC726" s="257">
        <f>INT($G726*AB726*100+0.5)/100</f>
        <v>0</v>
      </c>
      <c r="AD726" s="245" t="e">
        <f>#REF!*#REF!</f>
        <v>#REF!</v>
      </c>
    </row>
    <row r="727" spans="1:30" ht="15">
      <c r="A727" s="250" t="s">
        <v>728</v>
      </c>
      <c r="B727" s="251"/>
      <c r="C727" s="556" t="s">
        <v>3318</v>
      </c>
      <c r="D727" s="556" t="s">
        <v>235</v>
      </c>
      <c r="E727" s="251" t="s">
        <v>1901</v>
      </c>
      <c r="F727" s="735">
        <f>N727+R727+P727+T727+V727+X727+Z727+AB727</f>
        <v>1</v>
      </c>
      <c r="G727" s="243">
        <f>356.01-210.71</f>
        <v>145.29999999999998</v>
      </c>
      <c r="H727" s="261">
        <f>O727+S727+Q727+U727+W727+Y727+AA727+AC727</f>
        <v>145.30000000000001</v>
      </c>
      <c r="I727" s="251" t="s">
        <v>1901</v>
      </c>
      <c r="J727" s="243"/>
      <c r="K727" s="243"/>
      <c r="L727" s="243"/>
      <c r="M727" s="243"/>
      <c r="N727" s="289">
        <v>1</v>
      </c>
      <c r="O727" s="245">
        <f>INT($G727*N727*100+0.5)/100</f>
        <v>145.30000000000001</v>
      </c>
      <c r="P727" s="258">
        <v>0</v>
      </c>
      <c r="Q727" s="257">
        <f>INT($G727*P727*100+0.5)/100</f>
        <v>0</v>
      </c>
      <c r="R727" s="258">
        <v>0</v>
      </c>
      <c r="S727" s="257">
        <f>INT($G727*R727*100+0.5)/100</f>
        <v>0</v>
      </c>
      <c r="T727" s="257"/>
      <c r="U727" s="257"/>
      <c r="V727" s="258">
        <v>0</v>
      </c>
      <c r="W727" s="257">
        <f>INT($G727*V727*100+0.5)/100</f>
        <v>0</v>
      </c>
      <c r="X727" s="258">
        <v>0</v>
      </c>
      <c r="Y727" s="257">
        <f>INT($G727*X727*100+0.5)/100</f>
        <v>0</v>
      </c>
      <c r="Z727" s="258">
        <v>0</v>
      </c>
      <c r="AA727" s="257">
        <f>INT($G727*Z727*100+0.5)/100</f>
        <v>0</v>
      </c>
      <c r="AB727" s="258">
        <v>0</v>
      </c>
      <c r="AC727" s="257">
        <f>INT($G727*AB727*100+0.5)/100</f>
        <v>0</v>
      </c>
      <c r="AD727" s="245" t="e">
        <f>#REF!*#REF!</f>
        <v>#REF!</v>
      </c>
    </row>
    <row r="728" spans="1:30" ht="15">
      <c r="A728" s="250" t="s">
        <v>732</v>
      </c>
      <c r="B728" s="251"/>
      <c r="C728" s="556" t="s">
        <v>3319</v>
      </c>
      <c r="D728" s="556" t="s">
        <v>236</v>
      </c>
      <c r="E728" s="251" t="s">
        <v>1901</v>
      </c>
      <c r="F728" s="735">
        <f>N728+R728+P728+T728+V728+X728+Z728+AB728</f>
        <v>3</v>
      </c>
      <c r="G728" s="243">
        <f>411.66-258.8</f>
        <v>152.86000000000001</v>
      </c>
      <c r="H728" s="261">
        <f>O728+S728+Q728+U728+W728+Y728+AA728+AC728</f>
        <v>458.58</v>
      </c>
      <c r="I728" s="251" t="s">
        <v>1901</v>
      </c>
      <c r="J728" s="243"/>
      <c r="K728" s="243"/>
      <c r="L728" s="243"/>
      <c r="M728" s="243"/>
      <c r="N728" s="289">
        <v>3</v>
      </c>
      <c r="O728" s="245">
        <f>INT($G728*N728*100+0.5)/100</f>
        <v>458.58</v>
      </c>
      <c r="P728" s="258">
        <v>0</v>
      </c>
      <c r="Q728" s="257">
        <f>INT($G728*P728*100+0.5)/100</f>
        <v>0</v>
      </c>
      <c r="R728" s="258">
        <v>0</v>
      </c>
      <c r="S728" s="257">
        <f>INT($G728*R728*100+0.5)/100</f>
        <v>0</v>
      </c>
      <c r="T728" s="257"/>
      <c r="U728" s="257"/>
      <c r="V728" s="258">
        <v>0</v>
      </c>
      <c r="W728" s="257">
        <f>INT($G728*V728*100+0.5)/100</f>
        <v>0</v>
      </c>
      <c r="X728" s="258">
        <v>0</v>
      </c>
      <c r="Y728" s="257">
        <f>INT($G728*X728*100+0.5)/100</f>
        <v>0</v>
      </c>
      <c r="Z728" s="258">
        <v>0</v>
      </c>
      <c r="AA728" s="257">
        <f>INT($G728*Z728*100+0.5)/100</f>
        <v>0</v>
      </c>
      <c r="AB728" s="258">
        <v>0</v>
      </c>
      <c r="AC728" s="257">
        <f>INT($G728*AB728*100+0.5)/100</f>
        <v>0</v>
      </c>
      <c r="AD728" s="245" t="e">
        <f>#REF!*#REF!</f>
        <v>#REF!</v>
      </c>
    </row>
    <row r="729" spans="1:30" ht="15">
      <c r="A729" s="250"/>
      <c r="B729" s="251"/>
      <c r="C729" s="556"/>
      <c r="D729" s="556"/>
      <c r="E729" s="251"/>
      <c r="F729" s="735"/>
      <c r="G729" s="243"/>
      <c r="H729" s="261"/>
      <c r="I729" s="251"/>
      <c r="J729" s="243"/>
      <c r="K729" s="243"/>
      <c r="L729" s="243"/>
      <c r="M729" s="243"/>
      <c r="N729" s="289"/>
      <c r="O729" s="245"/>
      <c r="P729" s="258"/>
      <c r="Q729" s="257"/>
      <c r="R729" s="258"/>
      <c r="S729" s="257"/>
      <c r="T729" s="257"/>
      <c r="U729" s="257"/>
      <c r="V729" s="258"/>
      <c r="W729" s="257"/>
      <c r="X729" s="258"/>
      <c r="Y729" s="257"/>
      <c r="Z729" s="258"/>
      <c r="AA729" s="257"/>
      <c r="AB729" s="258"/>
      <c r="AC729" s="257"/>
      <c r="AD729" s="245"/>
    </row>
    <row r="730" spans="1:30" ht="25.5">
      <c r="A730" s="250">
        <f>A723+1</f>
        <v>150</v>
      </c>
      <c r="B730" s="251"/>
      <c r="C730" s="563" t="s">
        <v>3282</v>
      </c>
      <c r="D730" s="526" t="s">
        <v>3300</v>
      </c>
      <c r="E730" s="251"/>
      <c r="F730" s="735"/>
      <c r="G730" s="261"/>
      <c r="H730" s="261"/>
      <c r="I730" s="251"/>
      <c r="J730" s="261"/>
      <c r="K730" s="261"/>
      <c r="L730" s="261"/>
      <c r="M730" s="261"/>
      <c r="N730" s="289"/>
      <c r="O730" s="245"/>
      <c r="P730" s="258"/>
      <c r="Q730" s="257"/>
      <c r="R730" s="258"/>
      <c r="S730" s="257"/>
      <c r="T730" s="257"/>
      <c r="U730" s="257"/>
      <c r="V730" s="258"/>
      <c r="W730" s="257"/>
      <c r="X730" s="258"/>
      <c r="Y730" s="257"/>
      <c r="Z730" s="258"/>
      <c r="AA730" s="257"/>
      <c r="AB730" s="258"/>
      <c r="AC730" s="257"/>
      <c r="AD730" s="245"/>
    </row>
    <row r="731" spans="1:30" ht="25.5">
      <c r="A731" s="250"/>
      <c r="B731" s="251"/>
      <c r="C731" s="556"/>
      <c r="D731" s="526" t="s">
        <v>3299</v>
      </c>
      <c r="E731" s="251"/>
      <c r="F731" s="735"/>
      <c r="G731" s="261"/>
      <c r="H731" s="261"/>
      <c r="I731" s="251"/>
      <c r="J731" s="261"/>
      <c r="K731" s="261"/>
      <c r="L731" s="261"/>
      <c r="M731" s="261"/>
      <c r="N731" s="289"/>
      <c r="O731" s="245"/>
      <c r="P731" s="258"/>
      <c r="Q731" s="257"/>
      <c r="R731" s="258"/>
      <c r="S731" s="257"/>
      <c r="T731" s="257"/>
      <c r="U731" s="257"/>
      <c r="V731" s="258"/>
      <c r="W731" s="257"/>
      <c r="X731" s="258"/>
      <c r="Y731" s="257"/>
      <c r="Z731" s="258"/>
      <c r="AA731" s="257"/>
      <c r="AB731" s="258"/>
      <c r="AC731" s="257"/>
      <c r="AD731" s="245"/>
    </row>
    <row r="732" spans="1:30" ht="15">
      <c r="A732" s="250" t="s">
        <v>727</v>
      </c>
      <c r="B732" s="251"/>
      <c r="C732" s="556" t="s">
        <v>3301</v>
      </c>
      <c r="D732" s="773" t="s">
        <v>3283</v>
      </c>
      <c r="E732" s="251" t="s">
        <v>1901</v>
      </c>
      <c r="F732" s="735">
        <f>N732+R732+P732+T732+V732+X732+Z732+AB732</f>
        <v>0</v>
      </c>
      <c r="G732" s="261">
        <f>454.85-433.71</f>
        <v>21.140000000000043</v>
      </c>
      <c r="H732" s="261">
        <f>O732+S732+Q732+U732+W732+Y732+AA732+AC732</f>
        <v>0</v>
      </c>
      <c r="I732" s="251" t="s">
        <v>1901</v>
      </c>
      <c r="J732" s="261"/>
      <c r="K732" s="261"/>
      <c r="L732" s="261"/>
      <c r="M732" s="261"/>
      <c r="N732" s="289">
        <v>0</v>
      </c>
      <c r="O732" s="245">
        <f t="shared" ref="O732:O745" si="14">INT($G732*N732*100+0.5)/100</f>
        <v>0</v>
      </c>
      <c r="P732" s="258"/>
      <c r="Q732" s="257"/>
      <c r="R732" s="258"/>
      <c r="S732" s="257"/>
      <c r="T732" s="257"/>
      <c r="U732" s="257"/>
      <c r="V732" s="258"/>
      <c r="W732" s="257"/>
      <c r="X732" s="258"/>
      <c r="Y732" s="257"/>
      <c r="Z732" s="258"/>
      <c r="AA732" s="257"/>
      <c r="AB732" s="258"/>
      <c r="AC732" s="257"/>
      <c r="AD732" s="245" t="e">
        <f>#REF!*#REF!</f>
        <v>#REF!</v>
      </c>
    </row>
    <row r="733" spans="1:30" ht="15">
      <c r="A733" s="250" t="s">
        <v>728</v>
      </c>
      <c r="B733" s="251"/>
      <c r="C733" s="556" t="s">
        <v>3302</v>
      </c>
      <c r="D733" s="773" t="s">
        <v>3284</v>
      </c>
      <c r="E733" s="251" t="s">
        <v>1901</v>
      </c>
      <c r="F733" s="735">
        <f>N733+R733+P733+T733+V733+X733+Z733+AB733</f>
        <v>0</v>
      </c>
      <c r="G733" s="261">
        <f>579.27-558.12</f>
        <v>21.149999999999977</v>
      </c>
      <c r="H733" s="261">
        <f>O733+S733+Q733+U733+W733+Y733+AA733+AC733</f>
        <v>0</v>
      </c>
      <c r="I733" s="251" t="s">
        <v>1901</v>
      </c>
      <c r="J733" s="261"/>
      <c r="K733" s="261"/>
      <c r="L733" s="261"/>
      <c r="M733" s="261"/>
      <c r="N733" s="289">
        <v>0</v>
      </c>
      <c r="O733" s="245">
        <f t="shared" si="14"/>
        <v>0</v>
      </c>
      <c r="P733" s="258"/>
      <c r="Q733" s="257"/>
      <c r="R733" s="258"/>
      <c r="S733" s="257"/>
      <c r="T733" s="257"/>
      <c r="U733" s="257"/>
      <c r="V733" s="258"/>
      <c r="W733" s="257"/>
      <c r="X733" s="258"/>
      <c r="Y733" s="257"/>
      <c r="Z733" s="258"/>
      <c r="AA733" s="257"/>
      <c r="AB733" s="258"/>
      <c r="AC733" s="257"/>
      <c r="AD733" s="245" t="e">
        <f>#REF!*#REF!</f>
        <v>#REF!</v>
      </c>
    </row>
    <row r="734" spans="1:30" ht="15">
      <c r="A734" s="250" t="s">
        <v>732</v>
      </c>
      <c r="B734" s="251"/>
      <c r="C734" s="556" t="s">
        <v>3303</v>
      </c>
      <c r="D734" s="773" t="s">
        <v>3285</v>
      </c>
      <c r="E734" s="251" t="s">
        <v>1901</v>
      </c>
      <c r="F734" s="735">
        <f>N734+R734+P734+T734+V734+X734+Z734+AB734</f>
        <v>0</v>
      </c>
      <c r="G734" s="261">
        <f>976.23-940.17</f>
        <v>36.060000000000059</v>
      </c>
      <c r="H734" s="261">
        <f>O734+S734+Q734+U734+W734+Y734+AA734+AC734</f>
        <v>0</v>
      </c>
      <c r="I734" s="251" t="s">
        <v>1901</v>
      </c>
      <c r="J734" s="261"/>
      <c r="K734" s="261"/>
      <c r="L734" s="261"/>
      <c r="M734" s="261"/>
      <c r="N734" s="289">
        <v>0</v>
      </c>
      <c r="O734" s="245">
        <f t="shared" si="14"/>
        <v>0</v>
      </c>
      <c r="P734" s="258"/>
      <c r="Q734" s="257"/>
      <c r="R734" s="258"/>
      <c r="S734" s="257"/>
      <c r="T734" s="257"/>
      <c r="U734" s="257"/>
      <c r="V734" s="258"/>
      <c r="W734" s="257"/>
      <c r="X734" s="258"/>
      <c r="Y734" s="257"/>
      <c r="Z734" s="258"/>
      <c r="AA734" s="257"/>
      <c r="AB734" s="258"/>
      <c r="AC734" s="257"/>
      <c r="AD734" s="245" t="e">
        <f>#REF!*#REF!</f>
        <v>#REF!</v>
      </c>
    </row>
    <row r="735" spans="1:30" ht="15">
      <c r="A735" s="250" t="s">
        <v>733</v>
      </c>
      <c r="B735" s="251"/>
      <c r="C735" s="556" t="s">
        <v>3304</v>
      </c>
      <c r="D735" s="773" t="s">
        <v>3286</v>
      </c>
      <c r="E735" s="251" t="s">
        <v>1901</v>
      </c>
      <c r="F735" s="735">
        <f t="shared" ref="F735:F745" si="15">N735+R735+P735+T735+V735+X735+Z735+AB735</f>
        <v>0</v>
      </c>
      <c r="G735" s="261">
        <f>1503.84-1426.23</f>
        <v>77.6099999999999</v>
      </c>
      <c r="H735" s="261">
        <f t="shared" ref="H735:H745" si="16">O735+S735+Q735+U735+W735+Y735+AA735+AC735</f>
        <v>0</v>
      </c>
      <c r="I735" s="251" t="s">
        <v>1901</v>
      </c>
      <c r="J735" s="261"/>
      <c r="K735" s="261"/>
      <c r="L735" s="261"/>
      <c r="M735" s="261"/>
      <c r="N735" s="289">
        <v>0</v>
      </c>
      <c r="O735" s="245">
        <f t="shared" si="14"/>
        <v>0</v>
      </c>
      <c r="P735" s="258"/>
      <c r="Q735" s="257"/>
      <c r="R735" s="258"/>
      <c r="S735" s="257"/>
      <c r="T735" s="257"/>
      <c r="U735" s="257"/>
      <c r="V735" s="258"/>
      <c r="W735" s="257"/>
      <c r="X735" s="258"/>
      <c r="Y735" s="257"/>
      <c r="Z735" s="258"/>
      <c r="AA735" s="257"/>
      <c r="AB735" s="258"/>
      <c r="AC735" s="257"/>
      <c r="AD735" s="245"/>
    </row>
    <row r="736" spans="1:30" ht="15">
      <c r="A736" s="250" t="s">
        <v>734</v>
      </c>
      <c r="B736" s="251"/>
      <c r="C736" s="556" t="s">
        <v>3305</v>
      </c>
      <c r="D736" s="773" t="s">
        <v>3287</v>
      </c>
      <c r="E736" s="251" t="s">
        <v>1901</v>
      </c>
      <c r="F736" s="735">
        <f t="shared" si="15"/>
        <v>0</v>
      </c>
      <c r="G736" s="261">
        <f>2486.45-2408.84</f>
        <v>77.609999999999673</v>
      </c>
      <c r="H736" s="261">
        <f t="shared" si="16"/>
        <v>0</v>
      </c>
      <c r="I736" s="251" t="s">
        <v>1901</v>
      </c>
      <c r="J736" s="261"/>
      <c r="K736" s="261"/>
      <c r="L736" s="261"/>
      <c r="M736" s="261"/>
      <c r="N736" s="289">
        <v>0</v>
      </c>
      <c r="O736" s="245">
        <f t="shared" si="14"/>
        <v>0</v>
      </c>
      <c r="P736" s="258"/>
      <c r="Q736" s="257"/>
      <c r="R736" s="258"/>
      <c r="S736" s="257"/>
      <c r="T736" s="257"/>
      <c r="U736" s="257"/>
      <c r="V736" s="258"/>
      <c r="W736" s="257"/>
      <c r="X736" s="258"/>
      <c r="Y736" s="257"/>
      <c r="Z736" s="258"/>
      <c r="AA736" s="257"/>
      <c r="AB736" s="258"/>
      <c r="AC736" s="257"/>
      <c r="AD736" s="245"/>
    </row>
    <row r="737" spans="1:30" ht="15">
      <c r="A737" s="250" t="s">
        <v>735</v>
      </c>
      <c r="B737" s="251"/>
      <c r="C737" s="556" t="s">
        <v>3306</v>
      </c>
      <c r="D737" s="773" t="s">
        <v>3288</v>
      </c>
      <c r="E737" s="251" t="s">
        <v>1901</v>
      </c>
      <c r="F737" s="735">
        <f t="shared" si="15"/>
        <v>0</v>
      </c>
      <c r="G737" s="261">
        <f>2888.04-2810.43</f>
        <v>77.610000000000127</v>
      </c>
      <c r="H737" s="261">
        <f t="shared" si="16"/>
        <v>0</v>
      </c>
      <c r="I737" s="251" t="s">
        <v>1901</v>
      </c>
      <c r="J737" s="261"/>
      <c r="K737" s="261"/>
      <c r="L737" s="261"/>
      <c r="M737" s="261"/>
      <c r="N737" s="289">
        <v>0</v>
      </c>
      <c r="O737" s="245">
        <f t="shared" si="14"/>
        <v>0</v>
      </c>
      <c r="P737" s="258"/>
      <c r="Q737" s="257"/>
      <c r="R737" s="258"/>
      <c r="S737" s="257"/>
      <c r="T737" s="257"/>
      <c r="U737" s="257"/>
      <c r="V737" s="258"/>
      <c r="W737" s="257"/>
      <c r="X737" s="258"/>
      <c r="Y737" s="257"/>
      <c r="Z737" s="258"/>
      <c r="AA737" s="257"/>
      <c r="AB737" s="258"/>
      <c r="AC737" s="257"/>
      <c r="AD737" s="245"/>
    </row>
    <row r="738" spans="1:30" ht="15">
      <c r="A738" s="250" t="s">
        <v>736</v>
      </c>
      <c r="B738" s="251"/>
      <c r="C738" s="556" t="s">
        <v>3307</v>
      </c>
      <c r="D738" s="773" t="s">
        <v>3289</v>
      </c>
      <c r="E738" s="251" t="s">
        <v>1901</v>
      </c>
      <c r="F738" s="735">
        <f t="shared" si="15"/>
        <v>0</v>
      </c>
      <c r="G738" s="261">
        <f>292.42-274.25</f>
        <v>18.170000000000016</v>
      </c>
      <c r="H738" s="261">
        <f t="shared" si="16"/>
        <v>0</v>
      </c>
      <c r="I738" s="251" t="s">
        <v>1901</v>
      </c>
      <c r="J738" s="261"/>
      <c r="K738" s="261"/>
      <c r="L738" s="261"/>
      <c r="M738" s="261"/>
      <c r="N738" s="289">
        <v>0</v>
      </c>
      <c r="O738" s="245">
        <f t="shared" si="14"/>
        <v>0</v>
      </c>
      <c r="P738" s="258"/>
      <c r="Q738" s="257"/>
      <c r="R738" s="258"/>
      <c r="S738" s="257"/>
      <c r="T738" s="257"/>
      <c r="U738" s="257"/>
      <c r="V738" s="258"/>
      <c r="W738" s="257"/>
      <c r="X738" s="258"/>
      <c r="Y738" s="257"/>
      <c r="Z738" s="258"/>
      <c r="AA738" s="257"/>
      <c r="AB738" s="258"/>
      <c r="AC738" s="257"/>
      <c r="AD738" s="245"/>
    </row>
    <row r="739" spans="1:30" ht="15">
      <c r="A739" s="250" t="s">
        <v>654</v>
      </c>
      <c r="B739" s="251"/>
      <c r="C739" s="556" t="s">
        <v>3308</v>
      </c>
      <c r="D739" s="773" t="s">
        <v>3290</v>
      </c>
      <c r="E739" s="251" t="s">
        <v>1901</v>
      </c>
      <c r="F739" s="735">
        <f t="shared" si="15"/>
        <v>0</v>
      </c>
      <c r="G739" s="261">
        <f>321.85-303.69</f>
        <v>18.160000000000025</v>
      </c>
      <c r="H739" s="261">
        <f t="shared" si="16"/>
        <v>0</v>
      </c>
      <c r="I739" s="251" t="s">
        <v>1901</v>
      </c>
      <c r="J739" s="261"/>
      <c r="K739" s="261"/>
      <c r="L739" s="261"/>
      <c r="M739" s="261"/>
      <c r="N739" s="289">
        <v>0</v>
      </c>
      <c r="O739" s="245">
        <f t="shared" si="14"/>
        <v>0</v>
      </c>
      <c r="P739" s="258"/>
      <c r="Q739" s="257"/>
      <c r="R739" s="258"/>
      <c r="S739" s="257"/>
      <c r="T739" s="257"/>
      <c r="U739" s="257"/>
      <c r="V739" s="258"/>
      <c r="W739" s="257"/>
      <c r="X739" s="258"/>
      <c r="Y739" s="257"/>
      <c r="Z739" s="258"/>
      <c r="AA739" s="257"/>
      <c r="AB739" s="258"/>
      <c r="AC739" s="257"/>
      <c r="AD739" s="245"/>
    </row>
    <row r="740" spans="1:30" ht="15">
      <c r="A740" s="250" t="s">
        <v>737</v>
      </c>
      <c r="B740" s="251"/>
      <c r="C740" s="556" t="s">
        <v>3309</v>
      </c>
      <c r="D740" s="773" t="s">
        <v>3291</v>
      </c>
      <c r="E740" s="251" t="s">
        <v>1901</v>
      </c>
      <c r="F740" s="735">
        <f t="shared" si="15"/>
        <v>0</v>
      </c>
      <c r="G740" s="261">
        <f>324.62-306.46</f>
        <v>18.160000000000025</v>
      </c>
      <c r="H740" s="261">
        <f t="shared" si="16"/>
        <v>0</v>
      </c>
      <c r="I740" s="251" t="s">
        <v>1901</v>
      </c>
      <c r="J740" s="261"/>
      <c r="K740" s="261"/>
      <c r="L740" s="261"/>
      <c r="M740" s="261"/>
      <c r="N740" s="289">
        <v>0</v>
      </c>
      <c r="O740" s="245">
        <f t="shared" si="14"/>
        <v>0</v>
      </c>
      <c r="P740" s="258"/>
      <c r="Q740" s="257"/>
      <c r="R740" s="258"/>
      <c r="S740" s="257"/>
      <c r="T740" s="257"/>
      <c r="U740" s="257"/>
      <c r="V740" s="258"/>
      <c r="W740" s="257"/>
      <c r="X740" s="258"/>
      <c r="Y740" s="257"/>
      <c r="Z740" s="258"/>
      <c r="AA740" s="257"/>
      <c r="AB740" s="258"/>
      <c r="AC740" s="257"/>
      <c r="AD740" s="245"/>
    </row>
    <row r="741" spans="1:30" ht="15">
      <c r="A741" s="250" t="s">
        <v>738</v>
      </c>
      <c r="B741" s="251"/>
      <c r="C741" s="556" t="s">
        <v>3310</v>
      </c>
      <c r="D741" s="773" t="s">
        <v>3292</v>
      </c>
      <c r="E741" s="251" t="s">
        <v>1901</v>
      </c>
      <c r="F741" s="735">
        <f t="shared" si="15"/>
        <v>0</v>
      </c>
      <c r="G741" s="261">
        <f>367-348.33</f>
        <v>18.670000000000016</v>
      </c>
      <c r="H741" s="261">
        <f t="shared" si="16"/>
        <v>0</v>
      </c>
      <c r="I741" s="251" t="s">
        <v>1901</v>
      </c>
      <c r="J741" s="261"/>
      <c r="K741" s="261"/>
      <c r="L741" s="261"/>
      <c r="M741" s="261"/>
      <c r="N741" s="289">
        <v>0</v>
      </c>
      <c r="O741" s="245">
        <f t="shared" si="14"/>
        <v>0</v>
      </c>
      <c r="P741" s="258"/>
      <c r="Q741" s="257"/>
      <c r="R741" s="258"/>
      <c r="S741" s="257"/>
      <c r="T741" s="257"/>
      <c r="U741" s="257"/>
      <c r="V741" s="258"/>
      <c r="W741" s="257"/>
      <c r="X741" s="258"/>
      <c r="Y741" s="257"/>
      <c r="Z741" s="258"/>
      <c r="AA741" s="257"/>
      <c r="AB741" s="258"/>
      <c r="AC741" s="257"/>
      <c r="AD741" s="245"/>
    </row>
    <row r="742" spans="1:30" ht="15">
      <c r="A742" s="250" t="s">
        <v>739</v>
      </c>
      <c r="B742" s="251"/>
      <c r="C742" s="556" t="s">
        <v>3311</v>
      </c>
      <c r="D742" s="773" t="s">
        <v>3293</v>
      </c>
      <c r="E742" s="251" t="s">
        <v>1901</v>
      </c>
      <c r="F742" s="735">
        <f t="shared" si="15"/>
        <v>0</v>
      </c>
      <c r="G742" s="261">
        <f>372.39-354.23</f>
        <v>18.159999999999968</v>
      </c>
      <c r="H742" s="261">
        <f t="shared" si="16"/>
        <v>0</v>
      </c>
      <c r="I742" s="251" t="s">
        <v>1901</v>
      </c>
      <c r="J742" s="261"/>
      <c r="K742" s="261"/>
      <c r="L742" s="261"/>
      <c r="M742" s="261"/>
      <c r="N742" s="289">
        <v>0</v>
      </c>
      <c r="O742" s="245">
        <f t="shared" si="14"/>
        <v>0</v>
      </c>
      <c r="P742" s="258"/>
      <c r="Q742" s="257"/>
      <c r="R742" s="258"/>
      <c r="S742" s="257"/>
      <c r="T742" s="257"/>
      <c r="U742" s="257"/>
      <c r="V742" s="258"/>
      <c r="W742" s="257"/>
      <c r="X742" s="258"/>
      <c r="Y742" s="257"/>
      <c r="Z742" s="258"/>
      <c r="AA742" s="257"/>
      <c r="AB742" s="258"/>
      <c r="AC742" s="257"/>
      <c r="AD742" s="245"/>
    </row>
    <row r="743" spans="1:30" ht="15">
      <c r="A743" s="250" t="s">
        <v>3297</v>
      </c>
      <c r="B743" s="251"/>
      <c r="C743" s="556" t="s">
        <v>3312</v>
      </c>
      <c r="D743" s="773" t="s">
        <v>3294</v>
      </c>
      <c r="E743" s="251" t="s">
        <v>1901</v>
      </c>
      <c r="F743" s="735">
        <f t="shared" si="15"/>
        <v>0</v>
      </c>
      <c r="G743" s="261">
        <f>377.59-359.42</f>
        <v>18.169999999999959</v>
      </c>
      <c r="H743" s="261">
        <f t="shared" si="16"/>
        <v>0</v>
      </c>
      <c r="I743" s="251" t="s">
        <v>1901</v>
      </c>
      <c r="J743" s="261"/>
      <c r="K743" s="261"/>
      <c r="L743" s="261"/>
      <c r="M743" s="261"/>
      <c r="N743" s="289">
        <v>0</v>
      </c>
      <c r="O743" s="245">
        <f t="shared" si="14"/>
        <v>0</v>
      </c>
      <c r="P743" s="258"/>
      <c r="Q743" s="257"/>
      <c r="R743" s="258"/>
      <c r="S743" s="257"/>
      <c r="T743" s="257"/>
      <c r="U743" s="257"/>
      <c r="V743" s="258"/>
      <c r="W743" s="257"/>
      <c r="X743" s="258"/>
      <c r="Y743" s="257"/>
      <c r="Z743" s="258"/>
      <c r="AA743" s="257"/>
      <c r="AB743" s="258"/>
      <c r="AC743" s="257"/>
      <c r="AD743" s="245"/>
    </row>
    <row r="744" spans="1:30" ht="15">
      <c r="A744" s="250" t="s">
        <v>1788</v>
      </c>
      <c r="B744" s="251"/>
      <c r="C744" s="556" t="s">
        <v>3313</v>
      </c>
      <c r="D744" s="773" t="s">
        <v>3295</v>
      </c>
      <c r="E744" s="251" t="s">
        <v>1901</v>
      </c>
      <c r="F744" s="735">
        <f t="shared" si="15"/>
        <v>7</v>
      </c>
      <c r="G744" s="261">
        <f>559.65-541.49</f>
        <v>18.159999999999968</v>
      </c>
      <c r="H744" s="261">
        <f t="shared" si="16"/>
        <v>127.12</v>
      </c>
      <c r="I744" s="251" t="s">
        <v>1901</v>
      </c>
      <c r="J744" s="261"/>
      <c r="K744" s="261"/>
      <c r="L744" s="261"/>
      <c r="M744" s="261"/>
      <c r="N744" s="289">
        <f>2+5</f>
        <v>7</v>
      </c>
      <c r="O744" s="245">
        <f t="shared" si="14"/>
        <v>127.12</v>
      </c>
      <c r="P744" s="258"/>
      <c r="Q744" s="257"/>
      <c r="R744" s="258"/>
      <c r="S744" s="257"/>
      <c r="T744" s="257"/>
      <c r="U744" s="257"/>
      <c r="V744" s="258"/>
      <c r="W744" s="257"/>
      <c r="X744" s="258"/>
      <c r="Y744" s="257"/>
      <c r="Z744" s="258"/>
      <c r="AA744" s="257"/>
      <c r="AB744" s="258"/>
      <c r="AC744" s="257"/>
      <c r="AD744" s="245"/>
    </row>
    <row r="745" spans="1:30" ht="15">
      <c r="A745" s="250" t="s">
        <v>3298</v>
      </c>
      <c r="B745" s="251"/>
      <c r="C745" s="556" t="s">
        <v>3314</v>
      </c>
      <c r="D745" s="773" t="s">
        <v>3296</v>
      </c>
      <c r="E745" s="251" t="s">
        <v>1901</v>
      </c>
      <c r="F745" s="735">
        <f t="shared" si="15"/>
        <v>1</v>
      </c>
      <c r="G745" s="261">
        <f>566.96-548.79</f>
        <v>18.170000000000073</v>
      </c>
      <c r="H745" s="261">
        <f t="shared" si="16"/>
        <v>18.170000000000002</v>
      </c>
      <c r="I745" s="251" t="s">
        <v>1901</v>
      </c>
      <c r="J745" s="261"/>
      <c r="K745" s="261"/>
      <c r="L745" s="261"/>
      <c r="M745" s="261"/>
      <c r="N745" s="289">
        <v>1</v>
      </c>
      <c r="O745" s="245">
        <f t="shared" si="14"/>
        <v>18.170000000000002</v>
      </c>
      <c r="P745" s="258"/>
      <c r="Q745" s="257"/>
      <c r="R745" s="258"/>
      <c r="S745" s="257"/>
      <c r="T745" s="257"/>
      <c r="U745" s="257"/>
      <c r="V745" s="258"/>
      <c r="W745" s="257"/>
      <c r="X745" s="258"/>
      <c r="Y745" s="257"/>
      <c r="Z745" s="258"/>
      <c r="AA745" s="257"/>
      <c r="AB745" s="258"/>
      <c r="AC745" s="257"/>
      <c r="AD745" s="245"/>
    </row>
    <row r="746" spans="1:30" ht="15">
      <c r="A746" s="250"/>
      <c r="B746" s="251"/>
      <c r="C746" s="526"/>
      <c r="D746" s="292"/>
      <c r="E746" s="251"/>
      <c r="F746" s="735"/>
      <c r="G746" s="487"/>
      <c r="H746" s="261"/>
      <c r="I746" s="251"/>
      <c r="J746" s="495"/>
      <c r="K746" s="495"/>
      <c r="L746" s="495"/>
      <c r="M746" s="495"/>
      <c r="N746" s="289"/>
      <c r="O746" s="245"/>
      <c r="P746" s="258"/>
      <c r="Q746" s="257"/>
      <c r="R746" s="258"/>
      <c r="S746" s="257"/>
      <c r="T746" s="257"/>
      <c r="U746" s="257"/>
      <c r="V746" s="258"/>
      <c r="W746" s="257"/>
      <c r="X746" s="258"/>
      <c r="Y746" s="257"/>
      <c r="Z746" s="258"/>
      <c r="AA746" s="257"/>
      <c r="AB746" s="258"/>
      <c r="AC746" s="257"/>
    </row>
    <row r="747" spans="1:30" ht="26.45" hidden="1" customHeight="1">
      <c r="A747" s="750" t="s">
        <v>2510</v>
      </c>
      <c r="B747" s="251"/>
      <c r="C747" s="526" t="s">
        <v>1784</v>
      </c>
      <c r="D747" s="526" t="s">
        <v>370</v>
      </c>
      <c r="E747" s="251"/>
      <c r="F747" s="735"/>
      <c r="G747" s="261"/>
      <c r="H747" s="261"/>
      <c r="I747" s="251"/>
      <c r="J747" s="261"/>
      <c r="K747" s="261"/>
      <c r="L747" s="261"/>
      <c r="M747" s="261"/>
      <c r="N747" s="289"/>
      <c r="O747" s="242"/>
      <c r="P747" s="258"/>
      <c r="Q747" s="257"/>
      <c r="R747" s="258"/>
      <c r="S747" s="257"/>
      <c r="T747" s="257"/>
      <c r="U747" s="257"/>
      <c r="V747" s="258"/>
      <c r="W747" s="257"/>
      <c r="X747" s="258"/>
      <c r="Y747" s="257"/>
      <c r="Z747" s="258"/>
      <c r="AA747" s="257"/>
      <c r="AB747" s="258"/>
      <c r="AC747" s="257"/>
      <c r="AD747" s="218" t="e">
        <f>SUM(AD686:AD746)</f>
        <v>#REF!</v>
      </c>
    </row>
    <row r="748" spans="1:30" ht="15.6" hidden="1" customHeight="1">
      <c r="A748" s="250"/>
      <c r="B748" s="251"/>
      <c r="C748" s="526"/>
      <c r="D748" s="526" t="s">
        <v>541</v>
      </c>
      <c r="E748" s="251"/>
      <c r="F748" s="735"/>
      <c r="G748" s="261"/>
      <c r="H748" s="261"/>
      <c r="I748" s="251"/>
      <c r="J748" s="261"/>
      <c r="K748" s="261"/>
      <c r="L748" s="261"/>
      <c r="M748" s="261"/>
      <c r="N748" s="289"/>
      <c r="O748" s="242"/>
      <c r="P748" s="258"/>
      <c r="Q748" s="257"/>
      <c r="R748" s="258"/>
      <c r="S748" s="257"/>
      <c r="T748" s="257"/>
      <c r="U748" s="257"/>
      <c r="V748" s="258"/>
      <c r="W748" s="257"/>
      <c r="X748" s="258"/>
      <c r="Y748" s="257"/>
      <c r="Z748" s="258"/>
      <c r="AA748" s="257"/>
      <c r="AB748" s="258"/>
      <c r="AC748" s="257"/>
    </row>
    <row r="749" spans="1:30" ht="15.6" hidden="1" customHeight="1">
      <c r="A749" s="250" t="s">
        <v>726</v>
      </c>
      <c r="B749" s="251"/>
      <c r="C749" s="526" t="s">
        <v>768</v>
      </c>
      <c r="D749" s="292" t="s">
        <v>371</v>
      </c>
      <c r="E749" s="251" t="s">
        <v>2475</v>
      </c>
      <c r="F749" s="735">
        <f t="shared" ref="F749:F760" si="17">N749+R749+P749+T749+V749+X749+Z749+AB749</f>
        <v>0</v>
      </c>
      <c r="G749" s="663">
        <v>6.09</v>
      </c>
      <c r="H749" s="261">
        <f t="shared" ref="H749:H760" si="18">O749+S749+Q749+U749+W749+Y749+AA749+AC749</f>
        <v>0</v>
      </c>
      <c r="I749" s="251" t="s">
        <v>2475</v>
      </c>
      <c r="J749" s="663"/>
      <c r="K749" s="663"/>
      <c r="L749" s="663"/>
      <c r="M749" s="663"/>
      <c r="N749" s="289">
        <v>0</v>
      </c>
      <c r="O749" s="245">
        <f t="shared" ref="O749:O760" si="19">INT($G749*N749*100+0.5)/100</f>
        <v>0</v>
      </c>
      <c r="P749" s="258">
        <v>0</v>
      </c>
      <c r="Q749" s="257">
        <f t="shared" ref="Q749:Q760" si="20">INT($G749*P749*100+0.5)/100</f>
        <v>0</v>
      </c>
      <c r="R749" s="258">
        <v>0</v>
      </c>
      <c r="S749" s="257">
        <f t="shared" ref="S749:S760" si="21">INT($G749*R749*100+0.5)/100</f>
        <v>0</v>
      </c>
      <c r="T749" s="257"/>
      <c r="U749" s="257"/>
      <c r="V749" s="258">
        <v>0</v>
      </c>
      <c r="W749" s="257">
        <f t="shared" ref="W749:W760" si="22">INT($G749*V749*100+0.5)/100</f>
        <v>0</v>
      </c>
      <c r="X749" s="258">
        <v>0</v>
      </c>
      <c r="Y749" s="257">
        <f t="shared" ref="Y749:Y760" si="23">INT($G749*X749*100+0.5)/100</f>
        <v>0</v>
      </c>
      <c r="Z749" s="258">
        <v>0</v>
      </c>
      <c r="AA749" s="257">
        <f t="shared" ref="AA749:AA760" si="24">INT($G749*Z749*100+0.5)/100</f>
        <v>0</v>
      </c>
      <c r="AB749" s="258">
        <v>0</v>
      </c>
      <c r="AC749" s="257">
        <f t="shared" ref="AC749:AC760" si="25">INT($G749*AB749*100+0.5)/100</f>
        <v>0</v>
      </c>
    </row>
    <row r="750" spans="1:30" ht="15.6" hidden="1" customHeight="1">
      <c r="A750" s="250" t="s">
        <v>727</v>
      </c>
      <c r="B750" s="251"/>
      <c r="C750" s="526" t="s">
        <v>769</v>
      </c>
      <c r="D750" s="292" t="s">
        <v>546</v>
      </c>
      <c r="E750" s="251" t="s">
        <v>2475</v>
      </c>
      <c r="F750" s="735">
        <f t="shared" si="17"/>
        <v>0</v>
      </c>
      <c r="G750" s="663">
        <v>6.74</v>
      </c>
      <c r="H750" s="261">
        <f t="shared" si="18"/>
        <v>0</v>
      </c>
      <c r="I750" s="251" t="s">
        <v>2475</v>
      </c>
      <c r="J750" s="663"/>
      <c r="K750" s="663"/>
      <c r="L750" s="663"/>
      <c r="M750" s="663"/>
      <c r="N750" s="289">
        <v>0</v>
      </c>
      <c r="O750" s="245">
        <f t="shared" si="19"/>
        <v>0</v>
      </c>
      <c r="P750" s="258">
        <v>0</v>
      </c>
      <c r="Q750" s="257">
        <f t="shared" si="20"/>
        <v>0</v>
      </c>
      <c r="R750" s="258">
        <v>0</v>
      </c>
      <c r="S750" s="257">
        <f t="shared" si="21"/>
        <v>0</v>
      </c>
      <c r="T750" s="257"/>
      <c r="U750" s="257"/>
      <c r="V750" s="258">
        <v>0</v>
      </c>
      <c r="W750" s="257">
        <f t="shared" si="22"/>
        <v>0</v>
      </c>
      <c r="X750" s="258">
        <v>0</v>
      </c>
      <c r="Y750" s="257">
        <f t="shared" si="23"/>
        <v>0</v>
      </c>
      <c r="Z750" s="258">
        <v>0</v>
      </c>
      <c r="AA750" s="257">
        <f t="shared" si="24"/>
        <v>0</v>
      </c>
      <c r="AB750" s="258">
        <v>0</v>
      </c>
      <c r="AC750" s="257">
        <f t="shared" si="25"/>
        <v>0</v>
      </c>
    </row>
    <row r="751" spans="1:30" ht="15.6" hidden="1" customHeight="1">
      <c r="A751" s="250" t="s">
        <v>728</v>
      </c>
      <c r="B751" s="251"/>
      <c r="C751" s="526" t="s">
        <v>770</v>
      </c>
      <c r="D751" s="292" t="s">
        <v>547</v>
      </c>
      <c r="E751" s="251" t="s">
        <v>2475</v>
      </c>
      <c r="F751" s="735">
        <f t="shared" si="17"/>
        <v>0</v>
      </c>
      <c r="G751" s="663">
        <v>6.98</v>
      </c>
      <c r="H751" s="261">
        <f t="shared" si="18"/>
        <v>0</v>
      </c>
      <c r="I751" s="251" t="s">
        <v>2475</v>
      </c>
      <c r="J751" s="663"/>
      <c r="K751" s="663"/>
      <c r="L751" s="663"/>
      <c r="M751" s="663"/>
      <c r="N751" s="289">
        <v>0</v>
      </c>
      <c r="O751" s="245">
        <f t="shared" si="19"/>
        <v>0</v>
      </c>
      <c r="P751" s="258">
        <v>0</v>
      </c>
      <c r="Q751" s="257">
        <f t="shared" si="20"/>
        <v>0</v>
      </c>
      <c r="R751" s="258">
        <v>0</v>
      </c>
      <c r="S751" s="257">
        <f t="shared" si="21"/>
        <v>0</v>
      </c>
      <c r="T751" s="257"/>
      <c r="U751" s="257"/>
      <c r="V751" s="258">
        <v>0</v>
      </c>
      <c r="W751" s="257">
        <f t="shared" si="22"/>
        <v>0</v>
      </c>
      <c r="X751" s="258">
        <v>0</v>
      </c>
      <c r="Y751" s="257">
        <f t="shared" si="23"/>
        <v>0</v>
      </c>
      <c r="Z751" s="258">
        <v>0</v>
      </c>
      <c r="AA751" s="257">
        <f t="shared" si="24"/>
        <v>0</v>
      </c>
      <c r="AB751" s="258">
        <v>0</v>
      </c>
      <c r="AC751" s="257">
        <f t="shared" si="25"/>
        <v>0</v>
      </c>
    </row>
    <row r="752" spans="1:30" ht="15.6" hidden="1" customHeight="1">
      <c r="A752" s="250" t="s">
        <v>732</v>
      </c>
      <c r="B752" s="251"/>
      <c r="C752" s="526" t="s">
        <v>771</v>
      </c>
      <c r="D752" s="292" t="s">
        <v>548</v>
      </c>
      <c r="E752" s="251" t="s">
        <v>2475</v>
      </c>
      <c r="F752" s="735">
        <f t="shared" si="17"/>
        <v>0</v>
      </c>
      <c r="G752" s="663">
        <v>7.53</v>
      </c>
      <c r="H752" s="261">
        <f t="shared" si="18"/>
        <v>0</v>
      </c>
      <c r="I752" s="251" t="s">
        <v>2475</v>
      </c>
      <c r="J752" s="663"/>
      <c r="K752" s="663"/>
      <c r="L752" s="663"/>
      <c r="M752" s="663"/>
      <c r="N752" s="289">
        <v>0</v>
      </c>
      <c r="O752" s="245">
        <f t="shared" si="19"/>
        <v>0</v>
      </c>
      <c r="P752" s="258">
        <v>0</v>
      </c>
      <c r="Q752" s="257">
        <f t="shared" si="20"/>
        <v>0</v>
      </c>
      <c r="R752" s="258">
        <v>0</v>
      </c>
      <c r="S752" s="257">
        <f t="shared" si="21"/>
        <v>0</v>
      </c>
      <c r="T752" s="257"/>
      <c r="U752" s="257"/>
      <c r="V752" s="258">
        <v>0</v>
      </c>
      <c r="W752" s="257">
        <f t="shared" si="22"/>
        <v>0</v>
      </c>
      <c r="X752" s="258">
        <v>0</v>
      </c>
      <c r="Y752" s="257">
        <f t="shared" si="23"/>
        <v>0</v>
      </c>
      <c r="Z752" s="258">
        <v>0</v>
      </c>
      <c r="AA752" s="257">
        <f t="shared" si="24"/>
        <v>0</v>
      </c>
      <c r="AB752" s="258">
        <v>0</v>
      </c>
      <c r="AC752" s="257">
        <f t="shared" si="25"/>
        <v>0</v>
      </c>
    </row>
    <row r="753" spans="1:29" ht="15.6" hidden="1" customHeight="1">
      <c r="A753" s="250" t="s">
        <v>733</v>
      </c>
      <c r="B753" s="251"/>
      <c r="C753" s="526" t="s">
        <v>772</v>
      </c>
      <c r="D753" s="292" t="s">
        <v>549</v>
      </c>
      <c r="E753" s="251" t="s">
        <v>2475</v>
      </c>
      <c r="F753" s="735">
        <f t="shared" si="17"/>
        <v>0</v>
      </c>
      <c r="G753" s="663">
        <v>9.81</v>
      </c>
      <c r="H753" s="261">
        <f t="shared" si="18"/>
        <v>0</v>
      </c>
      <c r="I753" s="251" t="s">
        <v>2475</v>
      </c>
      <c r="J753" s="663"/>
      <c r="K753" s="663"/>
      <c r="L753" s="663"/>
      <c r="M753" s="663"/>
      <c r="N753" s="289">
        <v>0</v>
      </c>
      <c r="O753" s="245">
        <f t="shared" si="19"/>
        <v>0</v>
      </c>
      <c r="P753" s="258">
        <v>0</v>
      </c>
      <c r="Q753" s="257">
        <f t="shared" si="20"/>
        <v>0</v>
      </c>
      <c r="R753" s="258">
        <v>0</v>
      </c>
      <c r="S753" s="257">
        <f t="shared" si="21"/>
        <v>0</v>
      </c>
      <c r="T753" s="257"/>
      <c r="U753" s="257"/>
      <c r="V753" s="258">
        <v>0</v>
      </c>
      <c r="W753" s="257">
        <f t="shared" si="22"/>
        <v>0</v>
      </c>
      <c r="X753" s="258">
        <v>0</v>
      </c>
      <c r="Y753" s="257">
        <f t="shared" si="23"/>
        <v>0</v>
      </c>
      <c r="Z753" s="258">
        <v>0</v>
      </c>
      <c r="AA753" s="257">
        <f t="shared" si="24"/>
        <v>0</v>
      </c>
      <c r="AB753" s="258">
        <v>0</v>
      </c>
      <c r="AC753" s="257">
        <f t="shared" si="25"/>
        <v>0</v>
      </c>
    </row>
    <row r="754" spans="1:29" ht="15.6" hidden="1" customHeight="1">
      <c r="A754" s="250" t="s">
        <v>734</v>
      </c>
      <c r="B754" s="251"/>
      <c r="C754" s="526" t="s">
        <v>773</v>
      </c>
      <c r="D754" s="292" t="s">
        <v>550</v>
      </c>
      <c r="E754" s="251" t="s">
        <v>2475</v>
      </c>
      <c r="F754" s="735">
        <f t="shared" si="17"/>
        <v>0</v>
      </c>
      <c r="G754" s="663">
        <v>12.5</v>
      </c>
      <c r="H754" s="261">
        <f t="shared" si="18"/>
        <v>0</v>
      </c>
      <c r="I754" s="251" t="s">
        <v>2475</v>
      </c>
      <c r="J754" s="663"/>
      <c r="K754" s="663"/>
      <c r="L754" s="663"/>
      <c r="M754" s="663"/>
      <c r="N754" s="289">
        <v>0</v>
      </c>
      <c r="O754" s="245">
        <f t="shared" si="19"/>
        <v>0</v>
      </c>
      <c r="P754" s="258">
        <v>0</v>
      </c>
      <c r="Q754" s="257">
        <f t="shared" si="20"/>
        <v>0</v>
      </c>
      <c r="R754" s="258">
        <v>0</v>
      </c>
      <c r="S754" s="257">
        <f t="shared" si="21"/>
        <v>0</v>
      </c>
      <c r="T754" s="257"/>
      <c r="U754" s="257"/>
      <c r="V754" s="258">
        <v>0</v>
      </c>
      <c r="W754" s="257">
        <f t="shared" si="22"/>
        <v>0</v>
      </c>
      <c r="X754" s="258">
        <v>0</v>
      </c>
      <c r="Y754" s="257">
        <f t="shared" si="23"/>
        <v>0</v>
      </c>
      <c r="Z754" s="258">
        <v>0</v>
      </c>
      <c r="AA754" s="257">
        <f t="shared" si="24"/>
        <v>0</v>
      </c>
      <c r="AB754" s="258">
        <v>0</v>
      </c>
      <c r="AC754" s="257">
        <f t="shared" si="25"/>
        <v>0</v>
      </c>
    </row>
    <row r="755" spans="1:29" ht="15.6" hidden="1" customHeight="1">
      <c r="A755" s="250" t="s">
        <v>735</v>
      </c>
      <c r="B755" s="251"/>
      <c r="C755" s="526" t="s">
        <v>774</v>
      </c>
      <c r="D755" s="292" t="s">
        <v>551</v>
      </c>
      <c r="E755" s="251" t="s">
        <v>2475</v>
      </c>
      <c r="F755" s="735">
        <f t="shared" si="17"/>
        <v>0</v>
      </c>
      <c r="G755" s="663">
        <v>15.29</v>
      </c>
      <c r="H755" s="261">
        <f t="shared" si="18"/>
        <v>0</v>
      </c>
      <c r="I755" s="251" t="s">
        <v>2475</v>
      </c>
      <c r="J755" s="663"/>
      <c r="K755" s="663"/>
      <c r="L755" s="663"/>
      <c r="M755" s="663"/>
      <c r="N755" s="289">
        <v>0</v>
      </c>
      <c r="O755" s="245">
        <f t="shared" si="19"/>
        <v>0</v>
      </c>
      <c r="P755" s="258">
        <v>0</v>
      </c>
      <c r="Q755" s="257">
        <f t="shared" si="20"/>
        <v>0</v>
      </c>
      <c r="R755" s="258">
        <v>0</v>
      </c>
      <c r="S755" s="257">
        <f t="shared" si="21"/>
        <v>0</v>
      </c>
      <c r="T755" s="257"/>
      <c r="U755" s="257"/>
      <c r="V755" s="258">
        <v>0</v>
      </c>
      <c r="W755" s="257">
        <f t="shared" si="22"/>
        <v>0</v>
      </c>
      <c r="X755" s="258">
        <v>0</v>
      </c>
      <c r="Y755" s="257">
        <f t="shared" si="23"/>
        <v>0</v>
      </c>
      <c r="Z755" s="258">
        <v>0</v>
      </c>
      <c r="AA755" s="257">
        <f t="shared" si="24"/>
        <v>0</v>
      </c>
      <c r="AB755" s="258">
        <v>0</v>
      </c>
      <c r="AC755" s="257">
        <f t="shared" si="25"/>
        <v>0</v>
      </c>
    </row>
    <row r="756" spans="1:29" ht="15.6" hidden="1" customHeight="1">
      <c r="A756" s="250" t="s">
        <v>736</v>
      </c>
      <c r="B756" s="251"/>
      <c r="C756" s="526" t="s">
        <v>775</v>
      </c>
      <c r="D756" s="292" t="s">
        <v>2161</v>
      </c>
      <c r="E756" s="251" t="s">
        <v>2475</v>
      </c>
      <c r="F756" s="735">
        <f t="shared" si="17"/>
        <v>0</v>
      </c>
      <c r="G756" s="663">
        <v>20.69</v>
      </c>
      <c r="H756" s="261">
        <f t="shared" si="18"/>
        <v>0</v>
      </c>
      <c r="I756" s="251" t="s">
        <v>2475</v>
      </c>
      <c r="J756" s="663"/>
      <c r="K756" s="663"/>
      <c r="L756" s="663"/>
      <c r="M756" s="663"/>
      <c r="N756" s="289">
        <v>0</v>
      </c>
      <c r="O756" s="245">
        <f t="shared" si="19"/>
        <v>0</v>
      </c>
      <c r="P756" s="258">
        <v>0</v>
      </c>
      <c r="Q756" s="257">
        <f t="shared" si="20"/>
        <v>0</v>
      </c>
      <c r="R756" s="258">
        <v>0</v>
      </c>
      <c r="S756" s="257">
        <f t="shared" si="21"/>
        <v>0</v>
      </c>
      <c r="T756" s="257"/>
      <c r="U756" s="257"/>
      <c r="V756" s="258">
        <v>0</v>
      </c>
      <c r="W756" s="257">
        <f t="shared" si="22"/>
        <v>0</v>
      </c>
      <c r="X756" s="258">
        <v>0</v>
      </c>
      <c r="Y756" s="257">
        <f t="shared" si="23"/>
        <v>0</v>
      </c>
      <c r="Z756" s="258">
        <v>0</v>
      </c>
      <c r="AA756" s="257">
        <f t="shared" si="24"/>
        <v>0</v>
      </c>
      <c r="AB756" s="258">
        <v>0</v>
      </c>
      <c r="AC756" s="257">
        <f t="shared" si="25"/>
        <v>0</v>
      </c>
    </row>
    <row r="757" spans="1:29" ht="15.6" hidden="1" customHeight="1">
      <c r="A757" s="250" t="s">
        <v>654</v>
      </c>
      <c r="B757" s="251"/>
      <c r="C757" s="526" t="s">
        <v>776</v>
      </c>
      <c r="D757" s="292" t="s">
        <v>2162</v>
      </c>
      <c r="E757" s="251" t="s">
        <v>2475</v>
      </c>
      <c r="F757" s="735">
        <f t="shared" si="17"/>
        <v>0</v>
      </c>
      <c r="G757" s="663">
        <v>24.95</v>
      </c>
      <c r="H757" s="261">
        <f t="shared" si="18"/>
        <v>0</v>
      </c>
      <c r="I757" s="251" t="s">
        <v>2475</v>
      </c>
      <c r="J757" s="663"/>
      <c r="K757" s="663"/>
      <c r="L757" s="663"/>
      <c r="M757" s="663"/>
      <c r="N757" s="289">
        <v>0</v>
      </c>
      <c r="O757" s="245">
        <f t="shared" si="19"/>
        <v>0</v>
      </c>
      <c r="P757" s="258">
        <v>0</v>
      </c>
      <c r="Q757" s="257">
        <f t="shared" si="20"/>
        <v>0</v>
      </c>
      <c r="R757" s="258">
        <v>0</v>
      </c>
      <c r="S757" s="257">
        <f t="shared" si="21"/>
        <v>0</v>
      </c>
      <c r="T757" s="257"/>
      <c r="U757" s="257"/>
      <c r="V757" s="258">
        <v>0</v>
      </c>
      <c r="W757" s="257">
        <f t="shared" si="22"/>
        <v>0</v>
      </c>
      <c r="X757" s="258">
        <v>0</v>
      </c>
      <c r="Y757" s="257">
        <f t="shared" si="23"/>
        <v>0</v>
      </c>
      <c r="Z757" s="258">
        <v>0</v>
      </c>
      <c r="AA757" s="257">
        <f t="shared" si="24"/>
        <v>0</v>
      </c>
      <c r="AB757" s="258">
        <v>0</v>
      </c>
      <c r="AC757" s="257">
        <f t="shared" si="25"/>
        <v>0</v>
      </c>
    </row>
    <row r="758" spans="1:29" ht="15.6" hidden="1" customHeight="1">
      <c r="A758" s="250" t="s">
        <v>737</v>
      </c>
      <c r="B758" s="251"/>
      <c r="C758" s="534" t="s">
        <v>777</v>
      </c>
      <c r="D758" s="292" t="s">
        <v>2107</v>
      </c>
      <c r="E758" s="251" t="s">
        <v>2475</v>
      </c>
      <c r="F758" s="735">
        <f t="shared" si="17"/>
        <v>0</v>
      </c>
      <c r="G758" s="663">
        <f>(G757+G759)/2</f>
        <v>30.82</v>
      </c>
      <c r="H758" s="261">
        <f t="shared" si="18"/>
        <v>0</v>
      </c>
      <c r="I758" s="251" t="s">
        <v>2475</v>
      </c>
      <c r="J758" s="663"/>
      <c r="K758" s="663"/>
      <c r="L758" s="663"/>
      <c r="M758" s="663"/>
      <c r="N758" s="289">
        <v>0</v>
      </c>
      <c r="O758" s="245">
        <f t="shared" si="19"/>
        <v>0</v>
      </c>
      <c r="P758" s="258">
        <v>0</v>
      </c>
      <c r="Q758" s="257">
        <f t="shared" si="20"/>
        <v>0</v>
      </c>
      <c r="R758" s="258">
        <v>0</v>
      </c>
      <c r="S758" s="257">
        <f t="shared" si="21"/>
        <v>0</v>
      </c>
      <c r="T758" s="257"/>
      <c r="U758" s="257"/>
      <c r="V758" s="258">
        <v>0</v>
      </c>
      <c r="W758" s="257">
        <f t="shared" si="22"/>
        <v>0</v>
      </c>
      <c r="X758" s="258">
        <v>0</v>
      </c>
      <c r="Y758" s="257">
        <f t="shared" si="23"/>
        <v>0</v>
      </c>
      <c r="Z758" s="258">
        <v>0</v>
      </c>
      <c r="AA758" s="257">
        <f t="shared" si="24"/>
        <v>0</v>
      </c>
      <c r="AB758" s="258">
        <v>0</v>
      </c>
      <c r="AC758" s="257">
        <f t="shared" si="25"/>
        <v>0</v>
      </c>
    </row>
    <row r="759" spans="1:29" ht="15.6" hidden="1" customHeight="1">
      <c r="A759" s="250" t="s">
        <v>738</v>
      </c>
      <c r="B759" s="251"/>
      <c r="C759" s="526" t="s">
        <v>778</v>
      </c>
      <c r="D759" s="292" t="s">
        <v>2108</v>
      </c>
      <c r="E759" s="251" t="s">
        <v>2475</v>
      </c>
      <c r="F759" s="735">
        <f t="shared" si="17"/>
        <v>0</v>
      </c>
      <c r="G759" s="663">
        <v>36.69</v>
      </c>
      <c r="H759" s="261">
        <f t="shared" si="18"/>
        <v>0</v>
      </c>
      <c r="I759" s="251" t="s">
        <v>2475</v>
      </c>
      <c r="J759" s="663"/>
      <c r="K759" s="663"/>
      <c r="L759" s="663"/>
      <c r="M759" s="663"/>
      <c r="N759" s="289">
        <v>0</v>
      </c>
      <c r="O759" s="245">
        <f t="shared" si="19"/>
        <v>0</v>
      </c>
      <c r="P759" s="258">
        <v>0</v>
      </c>
      <c r="Q759" s="257">
        <f t="shared" si="20"/>
        <v>0</v>
      </c>
      <c r="R759" s="258">
        <v>0</v>
      </c>
      <c r="S759" s="257">
        <f t="shared" si="21"/>
        <v>0</v>
      </c>
      <c r="T759" s="257"/>
      <c r="U759" s="257"/>
      <c r="V759" s="258">
        <v>0</v>
      </c>
      <c r="W759" s="257">
        <f t="shared" si="22"/>
        <v>0</v>
      </c>
      <c r="X759" s="258">
        <v>0</v>
      </c>
      <c r="Y759" s="257">
        <f t="shared" si="23"/>
        <v>0</v>
      </c>
      <c r="Z759" s="258">
        <v>0</v>
      </c>
      <c r="AA759" s="257">
        <f t="shared" si="24"/>
        <v>0</v>
      </c>
      <c r="AB759" s="258">
        <v>0</v>
      </c>
      <c r="AC759" s="257">
        <f t="shared" si="25"/>
        <v>0</v>
      </c>
    </row>
    <row r="760" spans="1:29" ht="15.6" hidden="1" customHeight="1">
      <c r="A760" s="250" t="s">
        <v>739</v>
      </c>
      <c r="B760" s="251"/>
      <c r="C760" s="526" t="s">
        <v>779</v>
      </c>
      <c r="D760" s="292" t="s">
        <v>2109</v>
      </c>
      <c r="E760" s="251" t="s">
        <v>2475</v>
      </c>
      <c r="F760" s="735">
        <f t="shared" si="17"/>
        <v>0</v>
      </c>
      <c r="G760" s="663">
        <v>54.42</v>
      </c>
      <c r="H760" s="261">
        <f t="shared" si="18"/>
        <v>0</v>
      </c>
      <c r="I760" s="251" t="s">
        <v>2475</v>
      </c>
      <c r="J760" s="663"/>
      <c r="K760" s="663"/>
      <c r="L760" s="663"/>
      <c r="M760" s="663"/>
      <c r="N760" s="289">
        <v>0</v>
      </c>
      <c r="O760" s="245">
        <f t="shared" si="19"/>
        <v>0</v>
      </c>
      <c r="P760" s="258">
        <v>0</v>
      </c>
      <c r="Q760" s="257">
        <f t="shared" si="20"/>
        <v>0</v>
      </c>
      <c r="R760" s="258">
        <v>0</v>
      </c>
      <c r="S760" s="257">
        <f t="shared" si="21"/>
        <v>0</v>
      </c>
      <c r="T760" s="257"/>
      <c r="U760" s="257"/>
      <c r="V760" s="258">
        <v>0</v>
      </c>
      <c r="W760" s="257">
        <f t="shared" si="22"/>
        <v>0</v>
      </c>
      <c r="X760" s="258">
        <v>0</v>
      </c>
      <c r="Y760" s="257">
        <f t="shared" si="23"/>
        <v>0</v>
      </c>
      <c r="Z760" s="258">
        <v>0</v>
      </c>
      <c r="AA760" s="257">
        <f t="shared" si="24"/>
        <v>0</v>
      </c>
      <c r="AB760" s="258">
        <v>0</v>
      </c>
      <c r="AC760" s="257">
        <f t="shared" si="25"/>
        <v>0</v>
      </c>
    </row>
    <row r="761" spans="1:29" ht="15.6" hidden="1" customHeight="1">
      <c r="A761" s="250"/>
      <c r="B761" s="251"/>
      <c r="C761" s="526"/>
      <c r="D761" s="292"/>
      <c r="E761" s="251"/>
      <c r="F761" s="735"/>
      <c r="G761" s="261"/>
      <c r="H761" s="261"/>
      <c r="I761" s="251"/>
      <c r="J761" s="261"/>
      <c r="K761" s="261"/>
      <c r="L761" s="261"/>
      <c r="M761" s="261"/>
      <c r="N761" s="289"/>
      <c r="O761" s="242"/>
      <c r="P761" s="258"/>
      <c r="Q761" s="257"/>
      <c r="R761" s="258"/>
      <c r="S761" s="257"/>
      <c r="T761" s="257"/>
      <c r="U761" s="257"/>
      <c r="V761" s="258"/>
      <c r="W761" s="257"/>
      <c r="X761" s="258"/>
      <c r="Y761" s="257"/>
      <c r="Z761" s="258"/>
      <c r="AA761" s="257"/>
      <c r="AB761" s="258"/>
      <c r="AC761" s="257"/>
    </row>
    <row r="762" spans="1:29" ht="26.45" hidden="1" customHeight="1">
      <c r="A762" s="250" t="e">
        <f>A747+1</f>
        <v>#VALUE!</v>
      </c>
      <c r="B762" s="251"/>
      <c r="C762" s="526" t="s">
        <v>1783</v>
      </c>
      <c r="D762" s="526" t="s">
        <v>370</v>
      </c>
      <c r="E762" s="251"/>
      <c r="F762" s="735"/>
      <c r="G762" s="261"/>
      <c r="H762" s="261"/>
      <c r="I762" s="251"/>
      <c r="J762" s="261"/>
      <c r="K762" s="261"/>
      <c r="L762" s="261"/>
      <c r="M762" s="261"/>
      <c r="N762" s="289"/>
      <c r="O762" s="242"/>
      <c r="P762" s="258"/>
      <c r="Q762" s="257"/>
      <c r="R762" s="258"/>
      <c r="S762" s="257"/>
      <c r="T762" s="257"/>
      <c r="U762" s="257"/>
      <c r="V762" s="258"/>
      <c r="W762" s="257"/>
      <c r="X762" s="258"/>
      <c r="Y762" s="257"/>
      <c r="Z762" s="258"/>
      <c r="AA762" s="257"/>
      <c r="AB762" s="258"/>
      <c r="AC762" s="257"/>
    </row>
    <row r="763" spans="1:29" ht="15.6" hidden="1" customHeight="1">
      <c r="A763" s="250"/>
      <c r="B763" s="251"/>
      <c r="C763" s="526"/>
      <c r="D763" s="526" t="s">
        <v>541</v>
      </c>
      <c r="E763" s="251"/>
      <c r="F763" s="735"/>
      <c r="G763" s="261"/>
      <c r="H763" s="261"/>
      <c r="I763" s="251"/>
      <c r="J763" s="261"/>
      <c r="K763" s="261"/>
      <c r="L763" s="261"/>
      <c r="M763" s="261"/>
      <c r="N763" s="289"/>
      <c r="O763" s="242"/>
      <c r="P763" s="258"/>
      <c r="Q763" s="257"/>
      <c r="R763" s="258"/>
      <c r="S763" s="257"/>
      <c r="T763" s="257"/>
      <c r="U763" s="257"/>
      <c r="V763" s="258"/>
      <c r="W763" s="257"/>
      <c r="X763" s="258"/>
      <c r="Y763" s="257"/>
      <c r="Z763" s="258"/>
      <c r="AA763" s="257"/>
      <c r="AB763" s="258"/>
      <c r="AC763" s="257"/>
    </row>
    <row r="764" spans="1:29" ht="15.6" hidden="1" customHeight="1">
      <c r="A764" s="250" t="s">
        <v>726</v>
      </c>
      <c r="B764" s="251"/>
      <c r="C764" s="526" t="s">
        <v>780</v>
      </c>
      <c r="D764" s="292" t="s">
        <v>372</v>
      </c>
      <c r="E764" s="251" t="s">
        <v>2475</v>
      </c>
      <c r="F764" s="735">
        <f t="shared" ref="F764:F775" si="26">N764+R764+P764+T764+V764+X764+Z764+AB764</f>
        <v>0</v>
      </c>
      <c r="G764" s="663">
        <v>6.74</v>
      </c>
      <c r="H764" s="261">
        <f t="shared" ref="H764:H775" si="27">O764+S764+Q764+U764+W764+Y764+AA764+AC764</f>
        <v>0</v>
      </c>
      <c r="I764" s="251" t="s">
        <v>2475</v>
      </c>
      <c r="J764" s="663"/>
      <c r="K764" s="663"/>
      <c r="L764" s="663"/>
      <c r="M764" s="663"/>
      <c r="N764" s="289">
        <v>0</v>
      </c>
      <c r="O764" s="245">
        <f t="shared" ref="O764:O775" si="28">INT($G764*N764*100+0.5)/100</f>
        <v>0</v>
      </c>
      <c r="P764" s="258"/>
      <c r="Q764" s="257">
        <f t="shared" ref="Q764:Q775" si="29">INT($G764*P764*100+0.5)/100</f>
        <v>0</v>
      </c>
      <c r="R764" s="258"/>
      <c r="S764" s="257">
        <f t="shared" ref="S764:S775" si="30">INT($G764*R764*100+0.5)/100</f>
        <v>0</v>
      </c>
      <c r="T764" s="258"/>
      <c r="U764" s="257">
        <f t="shared" ref="U764:U775" si="31">INT($G764*T764*100+0.5)/100</f>
        <v>0</v>
      </c>
      <c r="V764" s="258"/>
      <c r="W764" s="257">
        <f t="shared" ref="W764:W775" si="32">INT($G764*V764*100+0.5)/100</f>
        <v>0</v>
      </c>
      <c r="X764" s="258"/>
      <c r="Y764" s="257">
        <f t="shared" ref="Y764:Y775" si="33">INT($G764*X764*100+0.5)/100</f>
        <v>0</v>
      </c>
      <c r="Z764" s="258"/>
      <c r="AA764" s="257">
        <f t="shared" ref="AA764:AA775" si="34">INT($G764*Z764*100+0.5)/100</f>
        <v>0</v>
      </c>
      <c r="AB764" s="258"/>
      <c r="AC764" s="257">
        <f t="shared" ref="AC764:AC775" si="35">INT($G764*AB764*100+0.5)/100</f>
        <v>0</v>
      </c>
    </row>
    <row r="765" spans="1:29" ht="15.6" hidden="1" customHeight="1">
      <c r="A765" s="250" t="s">
        <v>727</v>
      </c>
      <c r="B765" s="251"/>
      <c r="C765" s="526" t="s">
        <v>781</v>
      </c>
      <c r="D765" s="292" t="s">
        <v>2163</v>
      </c>
      <c r="E765" s="251" t="s">
        <v>2475</v>
      </c>
      <c r="F765" s="735">
        <f t="shared" si="26"/>
        <v>0</v>
      </c>
      <c r="G765" s="663">
        <v>7.17</v>
      </c>
      <c r="H765" s="261">
        <f t="shared" si="27"/>
        <v>0</v>
      </c>
      <c r="I765" s="251" t="s">
        <v>2475</v>
      </c>
      <c r="J765" s="663"/>
      <c r="K765" s="663"/>
      <c r="L765" s="663"/>
      <c r="M765" s="663"/>
      <c r="N765" s="289">
        <v>0</v>
      </c>
      <c r="O765" s="245">
        <f t="shared" si="28"/>
        <v>0</v>
      </c>
      <c r="P765" s="258"/>
      <c r="Q765" s="257">
        <f t="shared" si="29"/>
        <v>0</v>
      </c>
      <c r="R765" s="258"/>
      <c r="S765" s="257">
        <f t="shared" si="30"/>
        <v>0</v>
      </c>
      <c r="T765" s="258"/>
      <c r="U765" s="257">
        <f t="shared" si="31"/>
        <v>0</v>
      </c>
      <c r="V765" s="258"/>
      <c r="W765" s="257">
        <f t="shared" si="32"/>
        <v>0</v>
      </c>
      <c r="X765" s="258"/>
      <c r="Y765" s="257">
        <f t="shared" si="33"/>
        <v>0</v>
      </c>
      <c r="Z765" s="258"/>
      <c r="AA765" s="257">
        <f t="shared" si="34"/>
        <v>0</v>
      </c>
      <c r="AB765" s="258"/>
      <c r="AC765" s="257">
        <f t="shared" si="35"/>
        <v>0</v>
      </c>
    </row>
    <row r="766" spans="1:29" ht="15.6" hidden="1" customHeight="1">
      <c r="A766" s="250" t="s">
        <v>728</v>
      </c>
      <c r="B766" s="251"/>
      <c r="C766" s="526" t="s">
        <v>782</v>
      </c>
      <c r="D766" s="292" t="s">
        <v>2164</v>
      </c>
      <c r="E766" s="251" t="s">
        <v>2475</v>
      </c>
      <c r="F766" s="735">
        <f t="shared" si="26"/>
        <v>0</v>
      </c>
      <c r="G766" s="663">
        <v>7.82</v>
      </c>
      <c r="H766" s="261">
        <f t="shared" si="27"/>
        <v>0</v>
      </c>
      <c r="I766" s="251" t="s">
        <v>2475</v>
      </c>
      <c r="J766" s="663"/>
      <c r="K766" s="663"/>
      <c r="L766" s="663"/>
      <c r="M766" s="663"/>
      <c r="N766" s="289">
        <v>0</v>
      </c>
      <c r="O766" s="245">
        <f t="shared" si="28"/>
        <v>0</v>
      </c>
      <c r="P766" s="258"/>
      <c r="Q766" s="257">
        <f t="shared" si="29"/>
        <v>0</v>
      </c>
      <c r="R766" s="258"/>
      <c r="S766" s="257">
        <f t="shared" si="30"/>
        <v>0</v>
      </c>
      <c r="T766" s="258"/>
      <c r="U766" s="257">
        <f t="shared" si="31"/>
        <v>0</v>
      </c>
      <c r="V766" s="258"/>
      <c r="W766" s="257">
        <f t="shared" si="32"/>
        <v>0</v>
      </c>
      <c r="X766" s="258"/>
      <c r="Y766" s="257">
        <f t="shared" si="33"/>
        <v>0</v>
      </c>
      <c r="Z766" s="258"/>
      <c r="AA766" s="257">
        <f t="shared" si="34"/>
        <v>0</v>
      </c>
      <c r="AB766" s="258"/>
      <c r="AC766" s="257">
        <f t="shared" si="35"/>
        <v>0</v>
      </c>
    </row>
    <row r="767" spans="1:29" ht="15.6" hidden="1" customHeight="1">
      <c r="A767" s="250" t="s">
        <v>732</v>
      </c>
      <c r="B767" s="251"/>
      <c r="C767" s="526" t="s">
        <v>783</v>
      </c>
      <c r="D767" s="292" t="s">
        <v>2165</v>
      </c>
      <c r="E767" s="251" t="s">
        <v>2475</v>
      </c>
      <c r="F767" s="735">
        <f t="shared" si="26"/>
        <v>0</v>
      </c>
      <c r="G767" s="663">
        <v>9.39</v>
      </c>
      <c r="H767" s="261">
        <f t="shared" si="27"/>
        <v>0</v>
      </c>
      <c r="I767" s="251" t="s">
        <v>2475</v>
      </c>
      <c r="J767" s="663"/>
      <c r="K767" s="663"/>
      <c r="L767" s="663"/>
      <c r="M767" s="663"/>
      <c r="N767" s="289">
        <v>0</v>
      </c>
      <c r="O767" s="245">
        <f t="shared" si="28"/>
        <v>0</v>
      </c>
      <c r="P767" s="258"/>
      <c r="Q767" s="257">
        <f t="shared" si="29"/>
        <v>0</v>
      </c>
      <c r="R767" s="258"/>
      <c r="S767" s="257">
        <f t="shared" si="30"/>
        <v>0</v>
      </c>
      <c r="T767" s="258"/>
      <c r="U767" s="257">
        <f t="shared" si="31"/>
        <v>0</v>
      </c>
      <c r="V767" s="258"/>
      <c r="W767" s="257">
        <f t="shared" si="32"/>
        <v>0</v>
      </c>
      <c r="X767" s="258"/>
      <c r="Y767" s="257">
        <f t="shared" si="33"/>
        <v>0</v>
      </c>
      <c r="Z767" s="258"/>
      <c r="AA767" s="257">
        <f t="shared" si="34"/>
        <v>0</v>
      </c>
      <c r="AB767" s="258"/>
      <c r="AC767" s="257">
        <f t="shared" si="35"/>
        <v>0</v>
      </c>
    </row>
    <row r="768" spans="1:29" ht="15.6" hidden="1" customHeight="1">
      <c r="A768" s="250" t="s">
        <v>733</v>
      </c>
      <c r="B768" s="251"/>
      <c r="C768" s="526" t="s">
        <v>784</v>
      </c>
      <c r="D768" s="292" t="s">
        <v>2166</v>
      </c>
      <c r="E768" s="251" t="s">
        <v>2475</v>
      </c>
      <c r="F768" s="735">
        <f t="shared" si="26"/>
        <v>0</v>
      </c>
      <c r="G768" s="663">
        <v>12.93</v>
      </c>
      <c r="H768" s="261">
        <f t="shared" si="27"/>
        <v>0</v>
      </c>
      <c r="I768" s="251" t="s">
        <v>2475</v>
      </c>
      <c r="J768" s="663"/>
      <c r="K768" s="663"/>
      <c r="L768" s="663"/>
      <c r="M768" s="663"/>
      <c r="N768" s="289">
        <v>0</v>
      </c>
      <c r="O768" s="245">
        <f t="shared" si="28"/>
        <v>0</v>
      </c>
      <c r="P768" s="258"/>
      <c r="Q768" s="257">
        <f t="shared" si="29"/>
        <v>0</v>
      </c>
      <c r="R768" s="258"/>
      <c r="S768" s="257">
        <f t="shared" si="30"/>
        <v>0</v>
      </c>
      <c r="T768" s="258"/>
      <c r="U768" s="257">
        <f t="shared" si="31"/>
        <v>0</v>
      </c>
      <c r="V768" s="258"/>
      <c r="W768" s="257">
        <f t="shared" si="32"/>
        <v>0</v>
      </c>
      <c r="X768" s="258"/>
      <c r="Y768" s="257">
        <f t="shared" si="33"/>
        <v>0</v>
      </c>
      <c r="Z768" s="258"/>
      <c r="AA768" s="257">
        <f t="shared" si="34"/>
        <v>0</v>
      </c>
      <c r="AB768" s="258"/>
      <c r="AC768" s="257">
        <f t="shared" si="35"/>
        <v>0</v>
      </c>
    </row>
    <row r="769" spans="1:29" ht="15.6" hidden="1" customHeight="1">
      <c r="A769" s="250" t="s">
        <v>734</v>
      </c>
      <c r="B769" s="251"/>
      <c r="C769" s="526" t="s">
        <v>785</v>
      </c>
      <c r="D769" s="292" t="s">
        <v>2167</v>
      </c>
      <c r="E769" s="251" t="s">
        <v>2475</v>
      </c>
      <c r="F769" s="735">
        <f t="shared" si="26"/>
        <v>0</v>
      </c>
      <c r="G769" s="663">
        <v>15.7</v>
      </c>
      <c r="H769" s="261">
        <f t="shared" si="27"/>
        <v>0</v>
      </c>
      <c r="I769" s="251" t="s">
        <v>2475</v>
      </c>
      <c r="J769" s="663"/>
      <c r="K769" s="663"/>
      <c r="L769" s="663"/>
      <c r="M769" s="663"/>
      <c r="N769" s="289">
        <v>0</v>
      </c>
      <c r="O769" s="245">
        <f t="shared" si="28"/>
        <v>0</v>
      </c>
      <c r="P769" s="258"/>
      <c r="Q769" s="257">
        <f t="shared" si="29"/>
        <v>0</v>
      </c>
      <c r="R769" s="258"/>
      <c r="S769" s="257">
        <f t="shared" si="30"/>
        <v>0</v>
      </c>
      <c r="T769" s="258"/>
      <c r="U769" s="257">
        <f t="shared" si="31"/>
        <v>0</v>
      </c>
      <c r="V769" s="258"/>
      <c r="W769" s="257">
        <f t="shared" si="32"/>
        <v>0</v>
      </c>
      <c r="X769" s="258"/>
      <c r="Y769" s="257">
        <f t="shared" si="33"/>
        <v>0</v>
      </c>
      <c r="Z769" s="258"/>
      <c r="AA769" s="257">
        <f t="shared" si="34"/>
        <v>0</v>
      </c>
      <c r="AB769" s="258"/>
      <c r="AC769" s="257">
        <f t="shared" si="35"/>
        <v>0</v>
      </c>
    </row>
    <row r="770" spans="1:29" ht="15.6" hidden="1" customHeight="1">
      <c r="A770" s="250" t="s">
        <v>735</v>
      </c>
      <c r="B770" s="251"/>
      <c r="C770" s="526" t="s">
        <v>786</v>
      </c>
      <c r="D770" s="292" t="s">
        <v>2168</v>
      </c>
      <c r="E770" s="251" t="s">
        <v>2475</v>
      </c>
      <c r="F770" s="735">
        <f t="shared" si="26"/>
        <v>0</v>
      </c>
      <c r="G770" s="663">
        <v>20.34</v>
      </c>
      <c r="H770" s="261">
        <f t="shared" si="27"/>
        <v>0</v>
      </c>
      <c r="I770" s="251" t="s">
        <v>2475</v>
      </c>
      <c r="J770" s="663"/>
      <c r="K770" s="663"/>
      <c r="L770" s="663"/>
      <c r="M770" s="663"/>
      <c r="N770" s="289">
        <v>0</v>
      </c>
      <c r="O770" s="245">
        <f t="shared" si="28"/>
        <v>0</v>
      </c>
      <c r="P770" s="258"/>
      <c r="Q770" s="257">
        <f t="shared" si="29"/>
        <v>0</v>
      </c>
      <c r="R770" s="258"/>
      <c r="S770" s="257">
        <f t="shared" si="30"/>
        <v>0</v>
      </c>
      <c r="T770" s="258"/>
      <c r="U770" s="257">
        <f t="shared" si="31"/>
        <v>0</v>
      </c>
      <c r="V770" s="258"/>
      <c r="W770" s="257">
        <f t="shared" si="32"/>
        <v>0</v>
      </c>
      <c r="X770" s="258"/>
      <c r="Y770" s="257">
        <f t="shared" si="33"/>
        <v>0</v>
      </c>
      <c r="Z770" s="258"/>
      <c r="AA770" s="257">
        <f t="shared" si="34"/>
        <v>0</v>
      </c>
      <c r="AB770" s="258"/>
      <c r="AC770" s="257">
        <f t="shared" si="35"/>
        <v>0</v>
      </c>
    </row>
    <row r="771" spans="1:29" ht="15.6" hidden="1" customHeight="1">
      <c r="A771" s="250" t="s">
        <v>736</v>
      </c>
      <c r="B771" s="251"/>
      <c r="C771" s="526" t="s">
        <v>787</v>
      </c>
      <c r="D771" s="292" t="s">
        <v>2169</v>
      </c>
      <c r="E771" s="251" t="s">
        <v>2475</v>
      </c>
      <c r="F771" s="735">
        <f t="shared" si="26"/>
        <v>0</v>
      </c>
      <c r="G771" s="663">
        <v>27.5</v>
      </c>
      <c r="H771" s="261">
        <f t="shared" si="27"/>
        <v>0</v>
      </c>
      <c r="I771" s="251" t="s">
        <v>2475</v>
      </c>
      <c r="J771" s="663"/>
      <c r="K771" s="663"/>
      <c r="L771" s="663"/>
      <c r="M771" s="663"/>
      <c r="N771" s="289">
        <v>0</v>
      </c>
      <c r="O771" s="245">
        <f t="shared" si="28"/>
        <v>0</v>
      </c>
      <c r="P771" s="258"/>
      <c r="Q771" s="257">
        <f t="shared" si="29"/>
        <v>0</v>
      </c>
      <c r="R771" s="258"/>
      <c r="S771" s="257">
        <f t="shared" si="30"/>
        <v>0</v>
      </c>
      <c r="T771" s="258"/>
      <c r="U771" s="257">
        <f t="shared" si="31"/>
        <v>0</v>
      </c>
      <c r="V771" s="258"/>
      <c r="W771" s="257">
        <f t="shared" si="32"/>
        <v>0</v>
      </c>
      <c r="X771" s="258"/>
      <c r="Y771" s="257">
        <f t="shared" si="33"/>
        <v>0</v>
      </c>
      <c r="Z771" s="258"/>
      <c r="AA771" s="257">
        <f t="shared" si="34"/>
        <v>0</v>
      </c>
      <c r="AB771" s="258"/>
      <c r="AC771" s="257">
        <f t="shared" si="35"/>
        <v>0</v>
      </c>
    </row>
    <row r="772" spans="1:29" ht="15.6" hidden="1" customHeight="1">
      <c r="A772" s="250" t="s">
        <v>654</v>
      </c>
      <c r="B772" s="251"/>
      <c r="C772" s="526" t="s">
        <v>788</v>
      </c>
      <c r="D772" s="292" t="s">
        <v>2170</v>
      </c>
      <c r="E772" s="251" t="s">
        <v>2475</v>
      </c>
      <c r="F772" s="735">
        <f t="shared" si="26"/>
        <v>0</v>
      </c>
      <c r="G772" s="663">
        <v>33.380000000000003</v>
      </c>
      <c r="H772" s="261">
        <f t="shared" si="27"/>
        <v>0</v>
      </c>
      <c r="I772" s="251" t="s">
        <v>2475</v>
      </c>
      <c r="J772" s="663"/>
      <c r="K772" s="663"/>
      <c r="L772" s="663"/>
      <c r="M772" s="663"/>
      <c r="N772" s="289">
        <v>0</v>
      </c>
      <c r="O772" s="245">
        <f t="shared" si="28"/>
        <v>0</v>
      </c>
      <c r="P772" s="258"/>
      <c r="Q772" s="257">
        <f t="shared" si="29"/>
        <v>0</v>
      </c>
      <c r="R772" s="258"/>
      <c r="S772" s="257">
        <f t="shared" si="30"/>
        <v>0</v>
      </c>
      <c r="T772" s="258"/>
      <c r="U772" s="257">
        <f t="shared" si="31"/>
        <v>0</v>
      </c>
      <c r="V772" s="258"/>
      <c r="W772" s="257">
        <f t="shared" si="32"/>
        <v>0</v>
      </c>
      <c r="X772" s="258"/>
      <c r="Y772" s="257">
        <f t="shared" si="33"/>
        <v>0</v>
      </c>
      <c r="Z772" s="258"/>
      <c r="AA772" s="257">
        <f t="shared" si="34"/>
        <v>0</v>
      </c>
      <c r="AB772" s="258"/>
      <c r="AC772" s="257">
        <f t="shared" si="35"/>
        <v>0</v>
      </c>
    </row>
    <row r="773" spans="1:29" ht="15.6" hidden="1" customHeight="1">
      <c r="A773" s="250" t="s">
        <v>737</v>
      </c>
      <c r="B773" s="251"/>
      <c r="C773" s="534" t="s">
        <v>789</v>
      </c>
      <c r="D773" s="292" t="s">
        <v>2110</v>
      </c>
      <c r="E773" s="251" t="s">
        <v>2475</v>
      </c>
      <c r="F773" s="735">
        <f t="shared" si="26"/>
        <v>0</v>
      </c>
      <c r="G773" s="663">
        <f>(G758+G788)/2</f>
        <v>46.010000000000005</v>
      </c>
      <c r="H773" s="261">
        <f t="shared" si="27"/>
        <v>0</v>
      </c>
      <c r="I773" s="251" t="s">
        <v>2475</v>
      </c>
      <c r="J773" s="663"/>
      <c r="K773" s="663"/>
      <c r="L773" s="663"/>
      <c r="M773" s="663"/>
      <c r="N773" s="289">
        <v>0</v>
      </c>
      <c r="O773" s="245">
        <f t="shared" si="28"/>
        <v>0</v>
      </c>
      <c r="P773" s="258"/>
      <c r="Q773" s="257">
        <f t="shared" si="29"/>
        <v>0</v>
      </c>
      <c r="R773" s="258"/>
      <c r="S773" s="257">
        <f t="shared" si="30"/>
        <v>0</v>
      </c>
      <c r="T773" s="258"/>
      <c r="U773" s="257">
        <f t="shared" si="31"/>
        <v>0</v>
      </c>
      <c r="V773" s="258"/>
      <c r="W773" s="257">
        <f t="shared" si="32"/>
        <v>0</v>
      </c>
      <c r="X773" s="258"/>
      <c r="Y773" s="257">
        <f t="shared" si="33"/>
        <v>0</v>
      </c>
      <c r="Z773" s="258"/>
      <c r="AA773" s="257">
        <f t="shared" si="34"/>
        <v>0</v>
      </c>
      <c r="AB773" s="258"/>
      <c r="AC773" s="257">
        <f t="shared" si="35"/>
        <v>0</v>
      </c>
    </row>
    <row r="774" spans="1:29" ht="15.6" hidden="1" customHeight="1">
      <c r="A774" s="250" t="s">
        <v>738</v>
      </c>
      <c r="B774" s="251"/>
      <c r="C774" s="534" t="s">
        <v>790</v>
      </c>
      <c r="D774" s="292" t="s">
        <v>2111</v>
      </c>
      <c r="E774" s="251" t="s">
        <v>2475</v>
      </c>
      <c r="F774" s="735">
        <f t="shared" si="26"/>
        <v>0</v>
      </c>
      <c r="G774" s="663">
        <f>(G759+G789)/2</f>
        <v>55.244999999999997</v>
      </c>
      <c r="H774" s="261">
        <f t="shared" si="27"/>
        <v>0</v>
      </c>
      <c r="I774" s="251" t="s">
        <v>2475</v>
      </c>
      <c r="J774" s="663"/>
      <c r="K774" s="663"/>
      <c r="L774" s="663"/>
      <c r="M774" s="663"/>
      <c r="N774" s="289">
        <v>0</v>
      </c>
      <c r="O774" s="245">
        <f t="shared" si="28"/>
        <v>0</v>
      </c>
      <c r="P774" s="258"/>
      <c r="Q774" s="257">
        <f t="shared" si="29"/>
        <v>0</v>
      </c>
      <c r="R774" s="258"/>
      <c r="S774" s="257">
        <f t="shared" si="30"/>
        <v>0</v>
      </c>
      <c r="T774" s="258"/>
      <c r="U774" s="257">
        <f t="shared" si="31"/>
        <v>0</v>
      </c>
      <c r="V774" s="258"/>
      <c r="W774" s="257">
        <f t="shared" si="32"/>
        <v>0</v>
      </c>
      <c r="X774" s="258"/>
      <c r="Y774" s="257">
        <f t="shared" si="33"/>
        <v>0</v>
      </c>
      <c r="Z774" s="258"/>
      <c r="AA774" s="257">
        <f t="shared" si="34"/>
        <v>0</v>
      </c>
      <c r="AB774" s="258"/>
      <c r="AC774" s="257">
        <f t="shared" si="35"/>
        <v>0</v>
      </c>
    </row>
    <row r="775" spans="1:29" ht="15.6" hidden="1" customHeight="1">
      <c r="A775" s="250" t="s">
        <v>739</v>
      </c>
      <c r="B775" s="251"/>
      <c r="C775" s="534" t="s">
        <v>791</v>
      </c>
      <c r="D775" s="292" t="s">
        <v>2112</v>
      </c>
      <c r="E775" s="251" t="s">
        <v>2475</v>
      </c>
      <c r="F775" s="735">
        <f t="shared" si="26"/>
        <v>0</v>
      </c>
      <c r="G775" s="663">
        <f>(G760+G790)/2</f>
        <v>83.594999999999999</v>
      </c>
      <c r="H775" s="261">
        <f t="shared" si="27"/>
        <v>0</v>
      </c>
      <c r="I775" s="251" t="s">
        <v>2475</v>
      </c>
      <c r="J775" s="663"/>
      <c r="K775" s="663"/>
      <c r="L775" s="663"/>
      <c r="M775" s="663"/>
      <c r="N775" s="289">
        <v>0</v>
      </c>
      <c r="O775" s="245">
        <f t="shared" si="28"/>
        <v>0</v>
      </c>
      <c r="P775" s="258"/>
      <c r="Q775" s="257">
        <f t="shared" si="29"/>
        <v>0</v>
      </c>
      <c r="R775" s="258"/>
      <c r="S775" s="257">
        <f t="shared" si="30"/>
        <v>0</v>
      </c>
      <c r="T775" s="258"/>
      <c r="U775" s="257">
        <f t="shared" si="31"/>
        <v>0</v>
      </c>
      <c r="V775" s="258"/>
      <c r="W775" s="257">
        <f t="shared" si="32"/>
        <v>0</v>
      </c>
      <c r="X775" s="258"/>
      <c r="Y775" s="257">
        <f t="shared" si="33"/>
        <v>0</v>
      </c>
      <c r="Z775" s="258"/>
      <c r="AA775" s="257">
        <f t="shared" si="34"/>
        <v>0</v>
      </c>
      <c r="AB775" s="258"/>
      <c r="AC775" s="257">
        <f t="shared" si="35"/>
        <v>0</v>
      </c>
    </row>
    <row r="776" spans="1:29" ht="15.6" hidden="1" customHeight="1">
      <c r="A776" s="250"/>
      <c r="B776" s="251"/>
      <c r="C776" s="526"/>
      <c r="D776" s="292"/>
      <c r="E776" s="251"/>
      <c r="F776" s="735"/>
      <c r="G776" s="261"/>
      <c r="H776" s="261"/>
      <c r="I776" s="251"/>
      <c r="J776" s="261"/>
      <c r="K776" s="261"/>
      <c r="L776" s="261"/>
      <c r="M776" s="261"/>
      <c r="N776" s="289"/>
      <c r="O776" s="242"/>
      <c r="P776" s="258"/>
      <c r="Q776" s="257"/>
      <c r="R776" s="258"/>
      <c r="S776" s="257"/>
      <c r="T776" s="257"/>
      <c r="U776" s="257"/>
      <c r="V776" s="258"/>
      <c r="W776" s="257"/>
      <c r="X776" s="258"/>
      <c r="Y776" s="257"/>
      <c r="Z776" s="258"/>
      <c r="AA776" s="257"/>
      <c r="AB776" s="258"/>
      <c r="AC776" s="257"/>
    </row>
    <row r="777" spans="1:29" ht="26.45" hidden="1" customHeight="1">
      <c r="A777" s="250" t="e">
        <f>A762+1</f>
        <v>#VALUE!</v>
      </c>
      <c r="B777" s="251"/>
      <c r="C777" s="526" t="s">
        <v>2465</v>
      </c>
      <c r="D777" s="526" t="s">
        <v>373</v>
      </c>
      <c r="E777" s="251"/>
      <c r="F777" s="735"/>
      <c r="G777" s="261"/>
      <c r="H777" s="261"/>
      <c r="I777" s="251"/>
      <c r="J777" s="261"/>
      <c r="K777" s="261"/>
      <c r="L777" s="261"/>
      <c r="M777" s="261"/>
      <c r="N777" s="289"/>
      <c r="O777" s="242"/>
      <c r="P777" s="258"/>
      <c r="Q777" s="257"/>
      <c r="R777" s="258"/>
      <c r="S777" s="257"/>
      <c r="T777" s="257"/>
      <c r="U777" s="257"/>
      <c r="V777" s="258"/>
      <c r="W777" s="257"/>
      <c r="X777" s="258"/>
      <c r="Y777" s="257"/>
      <c r="Z777" s="258"/>
      <c r="AA777" s="257"/>
      <c r="AB777" s="258"/>
      <c r="AC777" s="257"/>
    </row>
    <row r="778" spans="1:29" ht="15.6" hidden="1" customHeight="1">
      <c r="A778" s="250"/>
      <c r="B778" s="251"/>
      <c r="C778" s="526"/>
      <c r="D778" s="526" t="s">
        <v>541</v>
      </c>
      <c r="E778" s="251"/>
      <c r="F778" s="735"/>
      <c r="G778" s="261"/>
      <c r="H778" s="261"/>
      <c r="I778" s="251"/>
      <c r="J778" s="261"/>
      <c r="K778" s="261"/>
      <c r="L778" s="261"/>
      <c r="M778" s="261"/>
      <c r="N778" s="289"/>
      <c r="O778" s="242"/>
      <c r="P778" s="258"/>
      <c r="Q778" s="257"/>
      <c r="R778" s="258"/>
      <c r="S778" s="257"/>
      <c r="T778" s="257"/>
      <c r="U778" s="257"/>
      <c r="V778" s="258"/>
      <c r="W778" s="257"/>
      <c r="X778" s="258"/>
      <c r="Y778" s="257"/>
      <c r="Z778" s="258"/>
      <c r="AA778" s="257"/>
      <c r="AB778" s="258"/>
      <c r="AC778" s="257"/>
    </row>
    <row r="779" spans="1:29" ht="15.6" hidden="1" customHeight="1">
      <c r="A779" s="250" t="s">
        <v>726</v>
      </c>
      <c r="B779" s="251"/>
      <c r="C779" s="526" t="s">
        <v>792</v>
      </c>
      <c r="D779" s="292" t="s">
        <v>1972</v>
      </c>
      <c r="E779" s="251" t="s">
        <v>2475</v>
      </c>
      <c r="F779" s="735">
        <f t="shared" ref="F779:F790" si="36">N779+R779+P779+T779+V779+X779+Z779+AB779</f>
        <v>0</v>
      </c>
      <c r="G779" s="663">
        <v>8.9</v>
      </c>
      <c r="H779" s="261">
        <f t="shared" ref="H779:H790" si="37">O779+S779+Q779+U779+W779+Y779+AA779+AC779</f>
        <v>0</v>
      </c>
      <c r="I779" s="251" t="s">
        <v>2475</v>
      </c>
      <c r="J779" s="663"/>
      <c r="K779" s="663"/>
      <c r="L779" s="663"/>
      <c r="M779" s="663"/>
      <c r="N779" s="289">
        <v>0</v>
      </c>
      <c r="O779" s="245">
        <f t="shared" ref="O779:O790" si="38">INT($G779*N779*100+0.5)/100</f>
        <v>0</v>
      </c>
      <c r="P779" s="258"/>
      <c r="Q779" s="257"/>
      <c r="R779" s="258"/>
      <c r="S779" s="257"/>
      <c r="T779" s="257"/>
      <c r="U779" s="257"/>
      <c r="V779" s="258"/>
      <c r="W779" s="257"/>
      <c r="X779" s="258"/>
      <c r="Y779" s="257"/>
      <c r="Z779" s="258"/>
      <c r="AA779" s="257"/>
      <c r="AB779" s="258"/>
      <c r="AC779" s="257"/>
    </row>
    <row r="780" spans="1:29" ht="15.6" hidden="1" customHeight="1">
      <c r="A780" s="250" t="s">
        <v>727</v>
      </c>
      <c r="B780" s="251"/>
      <c r="C780" s="526" t="s">
        <v>793</v>
      </c>
      <c r="D780" s="292" t="s">
        <v>1405</v>
      </c>
      <c r="E780" s="251" t="s">
        <v>2475</v>
      </c>
      <c r="F780" s="735">
        <f t="shared" si="36"/>
        <v>0</v>
      </c>
      <c r="G780" s="663">
        <v>9.08</v>
      </c>
      <c r="H780" s="261">
        <f t="shared" si="37"/>
        <v>0</v>
      </c>
      <c r="I780" s="251" t="s">
        <v>2475</v>
      </c>
      <c r="J780" s="663"/>
      <c r="K780" s="663"/>
      <c r="L780" s="663"/>
      <c r="M780" s="663"/>
      <c r="N780" s="289">
        <v>0</v>
      </c>
      <c r="O780" s="245">
        <f t="shared" si="38"/>
        <v>0</v>
      </c>
      <c r="P780" s="258"/>
      <c r="Q780" s="257">
        <f t="shared" ref="Q780:Q790" si="39">INT($G780*P780*100+0.5)/100</f>
        <v>0</v>
      </c>
      <c r="R780" s="258"/>
      <c r="S780" s="257">
        <f t="shared" ref="S780:S790" si="40">INT($G780*R780*100+0.5)/100</f>
        <v>0</v>
      </c>
      <c r="T780" s="257"/>
      <c r="U780" s="257">
        <f t="shared" ref="U780:U790" si="41">INT($G780*T780*100+0.5)/100</f>
        <v>0</v>
      </c>
      <c r="V780" s="258"/>
      <c r="W780" s="257">
        <f t="shared" ref="W780:W790" si="42">INT($G780*V780*100+0.5)/100</f>
        <v>0</v>
      </c>
      <c r="X780" s="258"/>
      <c r="Y780" s="257">
        <f t="shared" ref="Y780:Y790" si="43">INT($G780*X780*100+0.5)/100</f>
        <v>0</v>
      </c>
      <c r="Z780" s="258"/>
      <c r="AA780" s="257">
        <f t="shared" ref="AA780:AA790" si="44">INT($G780*Z780*100+0.5)/100</f>
        <v>0</v>
      </c>
      <c r="AB780" s="258"/>
      <c r="AC780" s="257">
        <f t="shared" ref="AC780:AC790" si="45">INT($G780*AB780*100+0.5)/100</f>
        <v>0</v>
      </c>
    </row>
    <row r="781" spans="1:29" ht="15.6" hidden="1" customHeight="1">
      <c r="A781" s="250" t="s">
        <v>728</v>
      </c>
      <c r="B781" s="251"/>
      <c r="C781" s="526" t="s">
        <v>794</v>
      </c>
      <c r="D781" s="292" t="s">
        <v>1406</v>
      </c>
      <c r="E781" s="251" t="s">
        <v>2475</v>
      </c>
      <c r="F781" s="735">
        <f t="shared" si="36"/>
        <v>0</v>
      </c>
      <c r="G781" s="663">
        <v>9.75</v>
      </c>
      <c r="H781" s="261">
        <f t="shared" si="37"/>
        <v>0</v>
      </c>
      <c r="I781" s="251" t="s">
        <v>2475</v>
      </c>
      <c r="J781" s="663"/>
      <c r="K781" s="663"/>
      <c r="L781" s="663"/>
      <c r="M781" s="663"/>
      <c r="N781" s="289">
        <v>0</v>
      </c>
      <c r="O781" s="245">
        <f t="shared" si="38"/>
        <v>0</v>
      </c>
      <c r="P781" s="258"/>
      <c r="Q781" s="257">
        <f t="shared" si="39"/>
        <v>0</v>
      </c>
      <c r="R781" s="258"/>
      <c r="S781" s="257">
        <f t="shared" si="40"/>
        <v>0</v>
      </c>
      <c r="T781" s="257"/>
      <c r="U781" s="257">
        <f t="shared" si="41"/>
        <v>0</v>
      </c>
      <c r="V781" s="258"/>
      <c r="W781" s="257">
        <f t="shared" si="42"/>
        <v>0</v>
      </c>
      <c r="X781" s="258"/>
      <c r="Y781" s="257">
        <f t="shared" si="43"/>
        <v>0</v>
      </c>
      <c r="Z781" s="258"/>
      <c r="AA781" s="257">
        <f t="shared" si="44"/>
        <v>0</v>
      </c>
      <c r="AB781" s="258"/>
      <c r="AC781" s="257">
        <f t="shared" si="45"/>
        <v>0</v>
      </c>
    </row>
    <row r="782" spans="1:29" ht="15.6" hidden="1" customHeight="1">
      <c r="A782" s="250" t="s">
        <v>732</v>
      </c>
      <c r="B782" s="251"/>
      <c r="C782" s="526" t="s">
        <v>795</v>
      </c>
      <c r="D782" s="292" t="s">
        <v>1407</v>
      </c>
      <c r="E782" s="251" t="s">
        <v>2475</v>
      </c>
      <c r="F782" s="735">
        <f t="shared" si="36"/>
        <v>0</v>
      </c>
      <c r="G782" s="663">
        <v>11.34</v>
      </c>
      <c r="H782" s="261">
        <f t="shared" si="37"/>
        <v>0</v>
      </c>
      <c r="I782" s="251" t="s">
        <v>2475</v>
      </c>
      <c r="J782" s="663"/>
      <c r="K782" s="663"/>
      <c r="L782" s="663"/>
      <c r="M782" s="663"/>
      <c r="N782" s="289">
        <v>0</v>
      </c>
      <c r="O782" s="245">
        <f t="shared" si="38"/>
        <v>0</v>
      </c>
      <c r="P782" s="258"/>
      <c r="Q782" s="257">
        <f t="shared" si="39"/>
        <v>0</v>
      </c>
      <c r="R782" s="258"/>
      <c r="S782" s="257">
        <f t="shared" si="40"/>
        <v>0</v>
      </c>
      <c r="T782" s="257"/>
      <c r="U782" s="257">
        <f t="shared" si="41"/>
        <v>0</v>
      </c>
      <c r="V782" s="258"/>
      <c r="W782" s="257">
        <f t="shared" si="42"/>
        <v>0</v>
      </c>
      <c r="X782" s="258"/>
      <c r="Y782" s="257">
        <f t="shared" si="43"/>
        <v>0</v>
      </c>
      <c r="Z782" s="258"/>
      <c r="AA782" s="257">
        <f t="shared" si="44"/>
        <v>0</v>
      </c>
      <c r="AB782" s="258"/>
      <c r="AC782" s="257">
        <f t="shared" si="45"/>
        <v>0</v>
      </c>
    </row>
    <row r="783" spans="1:29" ht="15.6" hidden="1" customHeight="1">
      <c r="A783" s="250" t="s">
        <v>733</v>
      </c>
      <c r="B783" s="251"/>
      <c r="C783" s="526" t="s">
        <v>796</v>
      </c>
      <c r="D783" s="292" t="s">
        <v>1408</v>
      </c>
      <c r="E783" s="251" t="s">
        <v>2475</v>
      </c>
      <c r="F783" s="735">
        <f t="shared" si="36"/>
        <v>0</v>
      </c>
      <c r="G783" s="663">
        <v>16.23</v>
      </c>
      <c r="H783" s="261">
        <f t="shared" si="37"/>
        <v>0</v>
      </c>
      <c r="I783" s="251" t="s">
        <v>2475</v>
      </c>
      <c r="J783" s="663"/>
      <c r="K783" s="663"/>
      <c r="L783" s="663"/>
      <c r="M783" s="663"/>
      <c r="N783" s="289">
        <v>0</v>
      </c>
      <c r="O783" s="245">
        <f t="shared" si="38"/>
        <v>0</v>
      </c>
      <c r="P783" s="258"/>
      <c r="Q783" s="257">
        <f t="shared" si="39"/>
        <v>0</v>
      </c>
      <c r="R783" s="258"/>
      <c r="S783" s="257">
        <f t="shared" si="40"/>
        <v>0</v>
      </c>
      <c r="T783" s="257"/>
      <c r="U783" s="257">
        <f t="shared" si="41"/>
        <v>0</v>
      </c>
      <c r="V783" s="258"/>
      <c r="W783" s="257">
        <f t="shared" si="42"/>
        <v>0</v>
      </c>
      <c r="X783" s="258"/>
      <c r="Y783" s="257">
        <f t="shared" si="43"/>
        <v>0</v>
      </c>
      <c r="Z783" s="258"/>
      <c r="AA783" s="257">
        <f t="shared" si="44"/>
        <v>0</v>
      </c>
      <c r="AB783" s="258"/>
      <c r="AC783" s="257">
        <f t="shared" si="45"/>
        <v>0</v>
      </c>
    </row>
    <row r="784" spans="1:29" ht="15.6" hidden="1" customHeight="1">
      <c r="A784" s="250" t="s">
        <v>734</v>
      </c>
      <c r="B784" s="251"/>
      <c r="C784" s="526" t="s">
        <v>797</v>
      </c>
      <c r="D784" s="292" t="s">
        <v>1409</v>
      </c>
      <c r="E784" s="251" t="s">
        <v>2475</v>
      </c>
      <c r="F784" s="735">
        <f t="shared" si="36"/>
        <v>0</v>
      </c>
      <c r="G784" s="663">
        <v>21.18</v>
      </c>
      <c r="H784" s="261">
        <f t="shared" si="37"/>
        <v>0</v>
      </c>
      <c r="I784" s="251" t="s">
        <v>2475</v>
      </c>
      <c r="J784" s="663"/>
      <c r="K784" s="663"/>
      <c r="L784" s="663"/>
      <c r="M784" s="663"/>
      <c r="N784" s="289">
        <v>0</v>
      </c>
      <c r="O784" s="245">
        <f t="shared" si="38"/>
        <v>0</v>
      </c>
      <c r="P784" s="258"/>
      <c r="Q784" s="257">
        <f t="shared" si="39"/>
        <v>0</v>
      </c>
      <c r="R784" s="258"/>
      <c r="S784" s="257">
        <f t="shared" si="40"/>
        <v>0</v>
      </c>
      <c r="T784" s="257"/>
      <c r="U784" s="257">
        <f t="shared" si="41"/>
        <v>0</v>
      </c>
      <c r="V784" s="258"/>
      <c r="W784" s="257">
        <f t="shared" si="42"/>
        <v>0</v>
      </c>
      <c r="X784" s="258"/>
      <c r="Y784" s="257">
        <f t="shared" si="43"/>
        <v>0</v>
      </c>
      <c r="Z784" s="258"/>
      <c r="AA784" s="257">
        <f t="shared" si="44"/>
        <v>0</v>
      </c>
      <c r="AB784" s="258"/>
      <c r="AC784" s="257">
        <f t="shared" si="45"/>
        <v>0</v>
      </c>
    </row>
    <row r="785" spans="1:29" ht="15.6" hidden="1" customHeight="1">
      <c r="A785" s="250" t="s">
        <v>735</v>
      </c>
      <c r="B785" s="251"/>
      <c r="C785" s="526" t="s">
        <v>798</v>
      </c>
      <c r="D785" s="292" t="s">
        <v>1410</v>
      </c>
      <c r="E785" s="251" t="s">
        <v>2475</v>
      </c>
      <c r="F785" s="735">
        <f t="shared" si="36"/>
        <v>0</v>
      </c>
      <c r="G785" s="663">
        <v>26.4</v>
      </c>
      <c r="H785" s="261">
        <f t="shared" si="37"/>
        <v>0</v>
      </c>
      <c r="I785" s="251" t="s">
        <v>2475</v>
      </c>
      <c r="J785" s="663"/>
      <c r="K785" s="663"/>
      <c r="L785" s="663"/>
      <c r="M785" s="663"/>
      <c r="N785" s="289">
        <v>0</v>
      </c>
      <c r="O785" s="245">
        <f t="shared" si="38"/>
        <v>0</v>
      </c>
      <c r="P785" s="258"/>
      <c r="Q785" s="257">
        <f t="shared" si="39"/>
        <v>0</v>
      </c>
      <c r="R785" s="258"/>
      <c r="S785" s="257">
        <f t="shared" si="40"/>
        <v>0</v>
      </c>
      <c r="T785" s="257"/>
      <c r="U785" s="257">
        <f t="shared" si="41"/>
        <v>0</v>
      </c>
      <c r="V785" s="258"/>
      <c r="W785" s="257">
        <f t="shared" si="42"/>
        <v>0</v>
      </c>
      <c r="X785" s="258"/>
      <c r="Y785" s="257">
        <f t="shared" si="43"/>
        <v>0</v>
      </c>
      <c r="Z785" s="258"/>
      <c r="AA785" s="257">
        <f t="shared" si="44"/>
        <v>0</v>
      </c>
      <c r="AB785" s="258"/>
      <c r="AC785" s="257">
        <f t="shared" si="45"/>
        <v>0</v>
      </c>
    </row>
    <row r="786" spans="1:29" ht="15.6" hidden="1" customHeight="1">
      <c r="A786" s="250" t="s">
        <v>736</v>
      </c>
      <c r="B786" s="251"/>
      <c r="C786" s="526" t="s">
        <v>799</v>
      </c>
      <c r="D786" s="292" t="s">
        <v>1411</v>
      </c>
      <c r="E786" s="251" t="s">
        <v>2475</v>
      </c>
      <c r="F786" s="735">
        <f t="shared" si="36"/>
        <v>0</v>
      </c>
      <c r="G786" s="663">
        <v>39.21</v>
      </c>
      <c r="H786" s="261">
        <f t="shared" si="37"/>
        <v>0</v>
      </c>
      <c r="I786" s="251" t="s">
        <v>2475</v>
      </c>
      <c r="J786" s="663"/>
      <c r="K786" s="663"/>
      <c r="L786" s="663"/>
      <c r="M786" s="663"/>
      <c r="N786" s="289">
        <v>0</v>
      </c>
      <c r="O786" s="245">
        <f t="shared" si="38"/>
        <v>0</v>
      </c>
      <c r="P786" s="258"/>
      <c r="Q786" s="257">
        <f t="shared" si="39"/>
        <v>0</v>
      </c>
      <c r="R786" s="258"/>
      <c r="S786" s="257">
        <f t="shared" si="40"/>
        <v>0</v>
      </c>
      <c r="T786" s="257"/>
      <c r="U786" s="257">
        <f t="shared" si="41"/>
        <v>0</v>
      </c>
      <c r="V786" s="258"/>
      <c r="W786" s="257">
        <f t="shared" si="42"/>
        <v>0</v>
      </c>
      <c r="X786" s="258"/>
      <c r="Y786" s="257">
        <f t="shared" si="43"/>
        <v>0</v>
      </c>
      <c r="Z786" s="258"/>
      <c r="AA786" s="257">
        <f t="shared" si="44"/>
        <v>0</v>
      </c>
      <c r="AB786" s="258"/>
      <c r="AC786" s="257">
        <f t="shared" si="45"/>
        <v>0</v>
      </c>
    </row>
    <row r="787" spans="1:29" ht="15.6" hidden="1" customHeight="1">
      <c r="A787" s="250" t="s">
        <v>654</v>
      </c>
      <c r="B787" s="251"/>
      <c r="C787" s="526" t="s">
        <v>800</v>
      </c>
      <c r="D787" s="292" t="s">
        <v>1412</v>
      </c>
      <c r="E787" s="251" t="s">
        <v>2475</v>
      </c>
      <c r="F787" s="735">
        <f t="shared" si="36"/>
        <v>0</v>
      </c>
      <c r="G787" s="663">
        <v>48.6</v>
      </c>
      <c r="H787" s="261">
        <f t="shared" si="37"/>
        <v>0</v>
      </c>
      <c r="I787" s="251" t="s">
        <v>2475</v>
      </c>
      <c r="J787" s="663"/>
      <c r="K787" s="663"/>
      <c r="L787" s="663"/>
      <c r="M787" s="663"/>
      <c r="N787" s="289">
        <v>0</v>
      </c>
      <c r="O787" s="245">
        <f t="shared" si="38"/>
        <v>0</v>
      </c>
      <c r="P787" s="258"/>
      <c r="Q787" s="257">
        <f t="shared" si="39"/>
        <v>0</v>
      </c>
      <c r="R787" s="258"/>
      <c r="S787" s="257">
        <f t="shared" si="40"/>
        <v>0</v>
      </c>
      <c r="T787" s="257"/>
      <c r="U787" s="257">
        <f t="shared" si="41"/>
        <v>0</v>
      </c>
      <c r="V787" s="258"/>
      <c r="W787" s="257">
        <f t="shared" si="42"/>
        <v>0</v>
      </c>
      <c r="X787" s="258"/>
      <c r="Y787" s="257">
        <f t="shared" si="43"/>
        <v>0</v>
      </c>
      <c r="Z787" s="258"/>
      <c r="AA787" s="257">
        <f t="shared" si="44"/>
        <v>0</v>
      </c>
      <c r="AB787" s="258"/>
      <c r="AC787" s="257">
        <f t="shared" si="45"/>
        <v>0</v>
      </c>
    </row>
    <row r="788" spans="1:29" ht="15.6" hidden="1" customHeight="1">
      <c r="A788" s="250" t="s">
        <v>737</v>
      </c>
      <c r="B788" s="251"/>
      <c r="C788" s="532" t="s">
        <v>801</v>
      </c>
      <c r="D788" s="292" t="s">
        <v>1413</v>
      </c>
      <c r="E788" s="251" t="s">
        <v>2475</v>
      </c>
      <c r="F788" s="735">
        <f t="shared" si="36"/>
        <v>0</v>
      </c>
      <c r="G788" s="663">
        <f>(G787+G789)/2</f>
        <v>61.2</v>
      </c>
      <c r="H788" s="261">
        <f t="shared" si="37"/>
        <v>0</v>
      </c>
      <c r="I788" s="251" t="s">
        <v>2475</v>
      </c>
      <c r="J788" s="663"/>
      <c r="K788" s="663"/>
      <c r="L788" s="663"/>
      <c r="M788" s="663"/>
      <c r="N788" s="289">
        <v>0</v>
      </c>
      <c r="O788" s="245">
        <f t="shared" si="38"/>
        <v>0</v>
      </c>
      <c r="P788" s="258"/>
      <c r="Q788" s="257">
        <f t="shared" si="39"/>
        <v>0</v>
      </c>
      <c r="R788" s="258"/>
      <c r="S788" s="257">
        <f t="shared" si="40"/>
        <v>0</v>
      </c>
      <c r="T788" s="257"/>
      <c r="U788" s="257">
        <f t="shared" si="41"/>
        <v>0</v>
      </c>
      <c r="V788" s="258"/>
      <c r="W788" s="257">
        <f t="shared" si="42"/>
        <v>0</v>
      </c>
      <c r="X788" s="258"/>
      <c r="Y788" s="257">
        <f t="shared" si="43"/>
        <v>0</v>
      </c>
      <c r="Z788" s="258"/>
      <c r="AA788" s="257">
        <f t="shared" si="44"/>
        <v>0</v>
      </c>
      <c r="AB788" s="258"/>
      <c r="AC788" s="257">
        <f t="shared" si="45"/>
        <v>0</v>
      </c>
    </row>
    <row r="789" spans="1:29" ht="15.6" hidden="1" customHeight="1">
      <c r="A789" s="250" t="s">
        <v>738</v>
      </c>
      <c r="B789" s="251"/>
      <c r="C789" s="534" t="s">
        <v>802</v>
      </c>
      <c r="D789" s="292" t="s">
        <v>1414</v>
      </c>
      <c r="E789" s="251" t="s">
        <v>2475</v>
      </c>
      <c r="F789" s="735">
        <f t="shared" si="36"/>
        <v>0</v>
      </c>
      <c r="G789" s="663">
        <v>73.8</v>
      </c>
      <c r="H789" s="261">
        <f t="shared" si="37"/>
        <v>0</v>
      </c>
      <c r="I789" s="251" t="s">
        <v>2475</v>
      </c>
      <c r="J789" s="663"/>
      <c r="K789" s="663"/>
      <c r="L789" s="663"/>
      <c r="M789" s="663"/>
      <c r="N789" s="289">
        <v>0</v>
      </c>
      <c r="O789" s="245">
        <f t="shared" si="38"/>
        <v>0</v>
      </c>
      <c r="P789" s="258"/>
      <c r="Q789" s="257">
        <f t="shared" si="39"/>
        <v>0</v>
      </c>
      <c r="R789" s="258"/>
      <c r="S789" s="257">
        <f t="shared" si="40"/>
        <v>0</v>
      </c>
      <c r="T789" s="257"/>
      <c r="U789" s="257">
        <f t="shared" si="41"/>
        <v>0</v>
      </c>
      <c r="V789" s="258"/>
      <c r="W789" s="257">
        <f t="shared" si="42"/>
        <v>0</v>
      </c>
      <c r="X789" s="258"/>
      <c r="Y789" s="257">
        <f t="shared" si="43"/>
        <v>0</v>
      </c>
      <c r="Z789" s="258"/>
      <c r="AA789" s="257">
        <f t="shared" si="44"/>
        <v>0</v>
      </c>
      <c r="AB789" s="258"/>
      <c r="AC789" s="257">
        <f t="shared" si="45"/>
        <v>0</v>
      </c>
    </row>
    <row r="790" spans="1:29" ht="15.6" hidden="1" customHeight="1">
      <c r="A790" s="250" t="s">
        <v>739</v>
      </c>
      <c r="B790" s="251"/>
      <c r="C790" s="532" t="s">
        <v>803</v>
      </c>
      <c r="D790" s="292" t="s">
        <v>1415</v>
      </c>
      <c r="E790" s="251" t="s">
        <v>2475</v>
      </c>
      <c r="F790" s="735">
        <f t="shared" si="36"/>
        <v>0</v>
      </c>
      <c r="G790" s="663">
        <v>112.77</v>
      </c>
      <c r="H790" s="261">
        <f t="shared" si="37"/>
        <v>0</v>
      </c>
      <c r="I790" s="251" t="s">
        <v>2475</v>
      </c>
      <c r="J790" s="663"/>
      <c r="K790" s="663"/>
      <c r="L790" s="663"/>
      <c r="M790" s="663"/>
      <c r="N790" s="289">
        <v>0</v>
      </c>
      <c r="O790" s="245">
        <f t="shared" si="38"/>
        <v>0</v>
      </c>
      <c r="P790" s="258"/>
      <c r="Q790" s="257">
        <f t="shared" si="39"/>
        <v>0</v>
      </c>
      <c r="R790" s="258"/>
      <c r="S790" s="257">
        <f t="shared" si="40"/>
        <v>0</v>
      </c>
      <c r="T790" s="257"/>
      <c r="U790" s="257">
        <f t="shared" si="41"/>
        <v>0</v>
      </c>
      <c r="V790" s="258"/>
      <c r="W790" s="257">
        <f t="shared" si="42"/>
        <v>0</v>
      </c>
      <c r="X790" s="258"/>
      <c r="Y790" s="257">
        <f t="shared" si="43"/>
        <v>0</v>
      </c>
      <c r="Z790" s="258"/>
      <c r="AA790" s="257">
        <f t="shared" si="44"/>
        <v>0</v>
      </c>
      <c r="AB790" s="258"/>
      <c r="AC790" s="257">
        <f t="shared" si="45"/>
        <v>0</v>
      </c>
    </row>
    <row r="791" spans="1:29" ht="15.6" hidden="1" customHeight="1">
      <c r="A791" s="250"/>
      <c r="B791" s="251"/>
      <c r="C791" s="526"/>
      <c r="D791" s="292"/>
      <c r="E791" s="251"/>
      <c r="F791" s="735"/>
      <c r="G791" s="261"/>
      <c r="H791" s="261"/>
      <c r="I791" s="251"/>
      <c r="J791" s="261"/>
      <c r="K791" s="261"/>
      <c r="L791" s="261"/>
      <c r="M791" s="261"/>
      <c r="N791" s="289"/>
      <c r="O791" s="245"/>
      <c r="P791" s="258"/>
      <c r="Q791" s="257"/>
      <c r="R791" s="258"/>
      <c r="S791" s="257"/>
      <c r="T791" s="257"/>
      <c r="U791" s="257"/>
      <c r="V791" s="258"/>
      <c r="W791" s="257"/>
      <c r="X791" s="258"/>
      <c r="Y791" s="257"/>
      <c r="Z791" s="258"/>
      <c r="AA791" s="257"/>
      <c r="AB791" s="258"/>
      <c r="AC791" s="257"/>
    </row>
    <row r="792" spans="1:29" ht="15">
      <c r="A792" s="250">
        <f>A730+1</f>
        <v>151</v>
      </c>
      <c r="B792" s="251"/>
      <c r="C792" s="647" t="s">
        <v>36</v>
      </c>
      <c r="D792" s="526" t="s">
        <v>2149</v>
      </c>
      <c r="E792" s="251"/>
      <c r="F792" s="735"/>
      <c r="G792" s="261"/>
      <c r="H792" s="261"/>
      <c r="I792" s="251"/>
      <c r="J792" s="261"/>
      <c r="K792" s="261"/>
      <c r="L792" s="261"/>
      <c r="M792" s="261"/>
      <c r="N792" s="289"/>
      <c r="O792" s="245"/>
      <c r="P792" s="258"/>
      <c r="Q792" s="257"/>
      <c r="R792" s="258"/>
      <c r="S792" s="257"/>
      <c r="T792" s="257"/>
      <c r="U792" s="257"/>
      <c r="V792" s="258"/>
      <c r="W792" s="257"/>
      <c r="X792" s="258"/>
      <c r="Y792" s="257"/>
      <c r="Z792" s="258"/>
      <c r="AA792" s="257"/>
      <c r="AB792" s="258"/>
      <c r="AC792" s="257"/>
    </row>
    <row r="793" spans="1:29" ht="15">
      <c r="A793" s="250"/>
      <c r="B793" s="251"/>
      <c r="C793" s="326"/>
      <c r="D793" s="526" t="s">
        <v>2148</v>
      </c>
      <c r="E793" s="251"/>
      <c r="F793" s="735"/>
      <c r="G793" s="261"/>
      <c r="H793" s="261"/>
      <c r="I793" s="251"/>
      <c r="J793" s="261"/>
      <c r="K793" s="261"/>
      <c r="L793" s="261"/>
      <c r="M793" s="261"/>
      <c r="N793" s="289"/>
      <c r="O793" s="245"/>
      <c r="P793" s="258"/>
      <c r="Q793" s="257"/>
      <c r="R793" s="258"/>
      <c r="S793" s="257"/>
      <c r="T793" s="257"/>
      <c r="U793" s="257"/>
      <c r="V793" s="258"/>
      <c r="W793" s="257"/>
      <c r="X793" s="258"/>
      <c r="Y793" s="257"/>
      <c r="Z793" s="258"/>
      <c r="AA793" s="257"/>
      <c r="AB793" s="258"/>
      <c r="AC793" s="257"/>
    </row>
    <row r="794" spans="1:29" ht="15">
      <c r="A794" s="250" t="s">
        <v>726</v>
      </c>
      <c r="B794" s="251"/>
      <c r="C794" s="884" t="s">
        <v>3021</v>
      </c>
      <c r="D794" s="292" t="s">
        <v>420</v>
      </c>
      <c r="E794" s="251" t="s">
        <v>2475</v>
      </c>
      <c r="F794" s="735">
        <f>N794+R794+P794+T794+V794+X794+Z794+AB794</f>
        <v>700</v>
      </c>
      <c r="G794" s="261">
        <v>7</v>
      </c>
      <c r="H794" s="261">
        <f>O794+S794+Q794+U794+W794+Y794+AA794+AC794</f>
        <v>4900</v>
      </c>
      <c r="I794" s="251" t="s">
        <v>2475</v>
      </c>
      <c r="J794" s="261"/>
      <c r="K794" s="261"/>
      <c r="L794" s="261"/>
      <c r="M794" s="261"/>
      <c r="N794" s="289">
        <v>0</v>
      </c>
      <c r="O794" s="245">
        <f>INT($G794*N794*100+0.5)/100</f>
        <v>0</v>
      </c>
      <c r="P794" s="258">
        <v>0</v>
      </c>
      <c r="Q794" s="257">
        <f>INT($G794*P794*100+0.5)/100</f>
        <v>0</v>
      </c>
      <c r="R794" s="258">
        <f>((73+25+3+3.5)+(3+27+4+38+14+2+34+2+10)+(25+3+3.5+3+8))+((3+54)+(10+20+21)+(3+38)+(10+40+6+26+20))+(90+29*2+8+10)+2</f>
        <v>700</v>
      </c>
      <c r="S794" s="257">
        <f>INT($G794*R794*100+0.5)/100</f>
        <v>4900</v>
      </c>
      <c r="T794" s="257"/>
      <c r="U794" s="257"/>
      <c r="V794" s="258">
        <v>0</v>
      </c>
      <c r="W794" s="257">
        <f>INT($G794*V794*100+0.5)/100</f>
        <v>0</v>
      </c>
      <c r="X794" s="258">
        <v>0</v>
      </c>
      <c r="Y794" s="257">
        <f>INT($G794*X794*100+0.5)/100</f>
        <v>0</v>
      </c>
      <c r="Z794" s="258">
        <v>0</v>
      </c>
      <c r="AA794" s="257">
        <f>INT($G794*Z794*100+0.5)/100</f>
        <v>0</v>
      </c>
      <c r="AB794" s="258">
        <v>0</v>
      </c>
      <c r="AC794" s="257">
        <f>INT($G794*AB794*100+0.5)/100</f>
        <v>0</v>
      </c>
    </row>
    <row r="795" spans="1:29" ht="15">
      <c r="A795" s="250" t="s">
        <v>728</v>
      </c>
      <c r="B795" s="251"/>
      <c r="C795" s="661" t="s">
        <v>806</v>
      </c>
      <c r="D795" s="292" t="s">
        <v>540</v>
      </c>
      <c r="E795" s="251" t="s">
        <v>2475</v>
      </c>
      <c r="F795" s="735">
        <f>N795+R795+P795+T795+V795+X795+Z795+AB795</f>
        <v>130</v>
      </c>
      <c r="G795" s="872">
        <v>8.31</v>
      </c>
      <c r="H795" s="261">
        <f>O795+S795+Q795+U795+W795+Y795+AA795+AC795</f>
        <v>1080.3</v>
      </c>
      <c r="I795" s="251" t="s">
        <v>2475</v>
      </c>
      <c r="J795" s="872"/>
      <c r="K795" s="872"/>
      <c r="L795" s="872"/>
      <c r="M795" s="872"/>
      <c r="N795" s="289">
        <v>0</v>
      </c>
      <c r="O795" s="245">
        <f>INT($G795*N795*100+0.5)/100</f>
        <v>0</v>
      </c>
      <c r="P795" s="258">
        <v>0</v>
      </c>
      <c r="Q795" s="257">
        <f>INT($G795*P795*100+0.5)/100</f>
        <v>0</v>
      </c>
      <c r="R795" s="258">
        <v>0</v>
      </c>
      <c r="S795" s="257">
        <f>INT($G795*R795*100+0.5)/100</f>
        <v>0</v>
      </c>
      <c r="T795" s="257"/>
      <c r="U795" s="257"/>
      <c r="V795" s="258">
        <f>10*(3.5+6+3.5)</f>
        <v>130</v>
      </c>
      <c r="W795" s="257">
        <f>INT($G795*V795*100+0.5)/100</f>
        <v>1080.3</v>
      </c>
      <c r="X795" s="258">
        <v>0</v>
      </c>
      <c r="Y795" s="257">
        <f>INT($G795*X795*100+0.5)/100</f>
        <v>0</v>
      </c>
      <c r="Z795" s="258">
        <v>0</v>
      </c>
      <c r="AA795" s="257">
        <f>INT($G795*Z795*100+0.5)/100</f>
        <v>0</v>
      </c>
      <c r="AB795" s="258">
        <v>0</v>
      </c>
      <c r="AC795" s="257">
        <f>INT($G795*AB795*100+0.5)/100</f>
        <v>0</v>
      </c>
    </row>
    <row r="796" spans="1:29" ht="15">
      <c r="A796" s="250"/>
      <c r="B796" s="251"/>
      <c r="C796" s="661"/>
      <c r="D796" s="292"/>
      <c r="E796" s="251"/>
      <c r="F796" s="735"/>
      <c r="G796" s="261"/>
      <c r="H796" s="261"/>
      <c r="I796" s="251"/>
      <c r="J796" s="261"/>
      <c r="K796" s="261"/>
      <c r="L796" s="261"/>
      <c r="M796" s="261"/>
      <c r="N796" s="289"/>
      <c r="O796" s="245"/>
      <c r="P796" s="258"/>
      <c r="Q796" s="257"/>
      <c r="R796" s="258"/>
      <c r="S796" s="257"/>
      <c r="T796" s="257"/>
      <c r="U796" s="257"/>
      <c r="V796" s="258"/>
      <c r="W796" s="257"/>
      <c r="X796" s="258"/>
      <c r="Y796" s="257"/>
      <c r="Z796" s="258"/>
      <c r="AA796" s="257"/>
      <c r="AB796" s="258"/>
      <c r="AC796" s="257"/>
    </row>
    <row r="797" spans="1:29" ht="15">
      <c r="A797" s="250">
        <f>A792+1</f>
        <v>152</v>
      </c>
      <c r="B797" s="251"/>
      <c r="C797" s="654" t="s">
        <v>1974</v>
      </c>
      <c r="D797" s="532" t="s">
        <v>921</v>
      </c>
      <c r="E797" s="251" t="s">
        <v>2475</v>
      </c>
      <c r="F797" s="735"/>
      <c r="G797" s="261"/>
      <c r="H797" s="261"/>
      <c r="I797" s="251" t="s">
        <v>2475</v>
      </c>
      <c r="J797" s="261"/>
      <c r="K797" s="261"/>
      <c r="L797" s="261"/>
      <c r="M797" s="261"/>
      <c r="N797" s="289"/>
      <c r="O797" s="245"/>
      <c r="P797" s="258"/>
      <c r="Q797" s="257"/>
      <c r="R797" s="258"/>
      <c r="S797" s="257"/>
      <c r="T797" s="257"/>
      <c r="U797" s="257"/>
      <c r="V797" s="258"/>
      <c r="W797" s="257"/>
      <c r="X797" s="258"/>
      <c r="Y797" s="257"/>
      <c r="Z797" s="258"/>
      <c r="AA797" s="257"/>
      <c r="AB797" s="258"/>
      <c r="AC797" s="257"/>
    </row>
    <row r="798" spans="1:29" ht="15">
      <c r="A798" s="250"/>
      <c r="B798" s="251"/>
      <c r="C798" s="526"/>
      <c r="D798" s="532" t="s">
        <v>922</v>
      </c>
      <c r="E798" s="251"/>
      <c r="F798" s="735"/>
      <c r="G798" s="261"/>
      <c r="H798" s="261"/>
      <c r="I798" s="251"/>
      <c r="J798" s="261"/>
      <c r="K798" s="261"/>
      <c r="L798" s="261"/>
      <c r="M798" s="261"/>
      <c r="N798" s="289"/>
      <c r="O798" s="245"/>
      <c r="P798" s="258"/>
      <c r="Q798" s="257"/>
      <c r="R798" s="258"/>
      <c r="S798" s="257"/>
      <c r="T798" s="257"/>
      <c r="U798" s="257"/>
      <c r="V798" s="258"/>
      <c r="W798" s="257"/>
      <c r="X798" s="258"/>
      <c r="Y798" s="257"/>
      <c r="Z798" s="258"/>
      <c r="AA798" s="257"/>
      <c r="AB798" s="258"/>
      <c r="AC798" s="257"/>
    </row>
    <row r="799" spans="1:29" ht="15">
      <c r="A799" s="250"/>
      <c r="B799" s="251"/>
      <c r="C799" s="532"/>
      <c r="D799" s="532" t="s">
        <v>3376</v>
      </c>
      <c r="E799" s="251"/>
      <c r="F799" s="735">
        <f>N799+R799+P799+T799+V799+X799+Z799+AB799</f>
        <v>1010</v>
      </c>
      <c r="G799" s="873">
        <v>21.73</v>
      </c>
      <c r="H799" s="261">
        <f>O799+S799+Q799+U799+W799+Y799+AA799+AC799</f>
        <v>21947.3</v>
      </c>
      <c r="I799" s="251"/>
      <c r="J799" s="873"/>
      <c r="K799" s="873"/>
      <c r="L799" s="873"/>
      <c r="M799" s="873"/>
      <c r="N799" s="289">
        <f>90+(132.5+10+5+5)+(23+5+5+136.5+101.5+10+5+5)+16.5</f>
        <v>550</v>
      </c>
      <c r="O799" s="245">
        <f>INT($G799*N799*100+0.5)/100</f>
        <v>11951.5</v>
      </c>
      <c r="P799" s="258">
        <v>0</v>
      </c>
      <c r="Q799" s="257">
        <f>INT($G799*P799*100+0.5)/100</f>
        <v>0</v>
      </c>
      <c r="R799" s="289">
        <f>(132.5+10+5+5)+(23+5+5+136.5+101.5+10+5+5)+16.5</f>
        <v>460</v>
      </c>
      <c r="S799" s="257">
        <f>INT($G799*R799*100+0.5)/100</f>
        <v>9995.7999999999993</v>
      </c>
      <c r="T799" s="257"/>
      <c r="U799" s="257"/>
      <c r="V799" s="258">
        <v>0</v>
      </c>
      <c r="W799" s="257">
        <f>INT($G799*V799*100+0.5)/100</f>
        <v>0</v>
      </c>
      <c r="X799" s="258">
        <v>0</v>
      </c>
      <c r="Y799" s="257">
        <f>INT($G799*X799*100+0.5)/100</f>
        <v>0</v>
      </c>
      <c r="Z799" s="258">
        <v>0</v>
      </c>
      <c r="AA799" s="257">
        <f>INT($G799*Z799*100+0.5)/100</f>
        <v>0</v>
      </c>
      <c r="AB799" s="258">
        <v>0</v>
      </c>
      <c r="AC799" s="257">
        <f>INT($G799*AB799*100+0.5)/100</f>
        <v>0</v>
      </c>
    </row>
    <row r="800" spans="1:29" ht="15">
      <c r="A800" s="250"/>
      <c r="B800" s="251"/>
      <c r="C800" s="532"/>
      <c r="D800" s="532"/>
      <c r="E800" s="251"/>
      <c r="F800" s="735"/>
      <c r="G800" s="261"/>
      <c r="H800" s="261"/>
      <c r="I800" s="251"/>
      <c r="J800" s="261"/>
      <c r="K800" s="261"/>
      <c r="L800" s="261"/>
      <c r="M800" s="261"/>
      <c r="N800" s="289"/>
      <c r="O800" s="245"/>
      <c r="P800" s="258"/>
      <c r="Q800" s="257"/>
      <c r="R800" s="258"/>
      <c r="S800" s="257"/>
      <c r="T800" s="257"/>
      <c r="U800" s="257"/>
      <c r="V800" s="258"/>
      <c r="W800" s="257"/>
      <c r="X800" s="258"/>
      <c r="Y800" s="257"/>
      <c r="Z800" s="258"/>
      <c r="AA800" s="257"/>
      <c r="AB800" s="258"/>
      <c r="AC800" s="257"/>
    </row>
    <row r="801" spans="1:29" ht="15">
      <c r="A801" s="250">
        <f>A797+1</f>
        <v>153</v>
      </c>
      <c r="B801" s="251"/>
      <c r="C801" s="654" t="s">
        <v>1785</v>
      </c>
      <c r="D801" s="526" t="s">
        <v>2144</v>
      </c>
      <c r="E801" s="251"/>
      <c r="F801" s="735"/>
      <c r="G801" s="261"/>
      <c r="H801" s="261"/>
      <c r="I801" s="251"/>
      <c r="J801" s="261"/>
      <c r="K801" s="261"/>
      <c r="L801" s="261"/>
      <c r="M801" s="261"/>
      <c r="N801" s="289"/>
      <c r="O801" s="245"/>
      <c r="P801" s="258"/>
      <c r="Q801" s="257"/>
      <c r="R801" s="258"/>
      <c r="S801" s="257"/>
      <c r="T801" s="257"/>
      <c r="U801" s="257"/>
      <c r="V801" s="258"/>
      <c r="W801" s="257"/>
      <c r="X801" s="258"/>
      <c r="Y801" s="257"/>
      <c r="Z801" s="258"/>
      <c r="AA801" s="257"/>
      <c r="AB801" s="258"/>
      <c r="AC801" s="257"/>
    </row>
    <row r="802" spans="1:29" ht="15">
      <c r="A802" s="250"/>
      <c r="B802" s="251"/>
      <c r="C802" s="654"/>
      <c r="D802" s="526" t="s">
        <v>2143</v>
      </c>
      <c r="E802" s="251"/>
      <c r="F802" s="735"/>
      <c r="G802" s="261"/>
      <c r="H802" s="261"/>
      <c r="I802" s="251"/>
      <c r="J802" s="261"/>
      <c r="K802" s="261"/>
      <c r="L802" s="261"/>
      <c r="M802" s="261"/>
      <c r="N802" s="289"/>
      <c r="O802" s="245"/>
      <c r="P802" s="258"/>
      <c r="Q802" s="257"/>
      <c r="R802" s="258"/>
      <c r="S802" s="257"/>
      <c r="T802" s="257"/>
      <c r="U802" s="257"/>
      <c r="V802" s="258"/>
      <c r="W802" s="257"/>
      <c r="X802" s="258"/>
      <c r="Y802" s="257"/>
      <c r="Z802" s="258"/>
      <c r="AA802" s="257"/>
      <c r="AB802" s="258"/>
      <c r="AC802" s="257"/>
    </row>
    <row r="803" spans="1:29" ht="15">
      <c r="A803" s="250" t="s">
        <v>728</v>
      </c>
      <c r="B803" s="251"/>
      <c r="C803" s="654" t="s">
        <v>812</v>
      </c>
      <c r="D803" s="292" t="s">
        <v>2175</v>
      </c>
      <c r="E803" s="251" t="s">
        <v>2475</v>
      </c>
      <c r="F803" s="735">
        <f>N803+R803+P803+T803+V803+X803+Z803+AB803</f>
        <v>30</v>
      </c>
      <c r="G803" s="872">
        <v>23.75</v>
      </c>
      <c r="H803" s="261">
        <f>O803+S803+Q803+U803+W803+Y803+AA803+AC803</f>
        <v>712.5</v>
      </c>
      <c r="I803" s="251" t="s">
        <v>2475</v>
      </c>
      <c r="J803" s="872"/>
      <c r="K803" s="872"/>
      <c r="L803" s="872"/>
      <c r="M803" s="872"/>
      <c r="N803" s="289">
        <v>10</v>
      </c>
      <c r="O803" s="245">
        <f>INT($G803*N803*100+0.5)/100</f>
        <v>237.5</v>
      </c>
      <c r="P803" s="258">
        <v>10</v>
      </c>
      <c r="Q803" s="257">
        <f>INT($G803*P803*100+0.5)/100</f>
        <v>237.5</v>
      </c>
      <c r="R803" s="258">
        <v>10</v>
      </c>
      <c r="S803" s="257">
        <f>INT($G803*R803*100+0.5)/100</f>
        <v>237.5</v>
      </c>
      <c r="T803" s="257"/>
      <c r="U803" s="257"/>
      <c r="V803" s="258">
        <v>0</v>
      </c>
      <c r="W803" s="257">
        <f>INT($G803*V803*100+0.5)/100</f>
        <v>0</v>
      </c>
      <c r="X803" s="258">
        <v>0</v>
      </c>
      <c r="Y803" s="257">
        <f>INT($G803*X803*100+0.5)/100</f>
        <v>0</v>
      </c>
      <c r="Z803" s="258">
        <v>0</v>
      </c>
      <c r="AA803" s="257">
        <f>INT($G803*Z803*100+0.5)/100</f>
        <v>0</v>
      </c>
      <c r="AB803" s="258">
        <v>0</v>
      </c>
      <c r="AC803" s="257">
        <f>INT($G803*AB803*100+0.5)/100</f>
        <v>0</v>
      </c>
    </row>
    <row r="804" spans="1:29" ht="15">
      <c r="A804" s="250" t="s">
        <v>732</v>
      </c>
      <c r="B804" s="251"/>
      <c r="C804" s="654" t="s">
        <v>813</v>
      </c>
      <c r="D804" s="292" t="s">
        <v>2145</v>
      </c>
      <c r="E804" s="251" t="s">
        <v>2475</v>
      </c>
      <c r="F804" s="735">
        <f>N804+R804+P804+T804+V804+X804+Z804+AB804</f>
        <v>30</v>
      </c>
      <c r="G804" s="872">
        <v>26.68</v>
      </c>
      <c r="H804" s="261">
        <f>O804+S804+Q804+U804+W804+Y804+AA804+AC804</f>
        <v>800.40000000000009</v>
      </c>
      <c r="I804" s="251" t="s">
        <v>2475</v>
      </c>
      <c r="J804" s="872"/>
      <c r="K804" s="872"/>
      <c r="L804" s="872"/>
      <c r="M804" s="872"/>
      <c r="N804" s="289">
        <v>10</v>
      </c>
      <c r="O804" s="245">
        <f>INT($G804*N804*100+0.5)/100</f>
        <v>266.8</v>
      </c>
      <c r="P804" s="258">
        <v>10</v>
      </c>
      <c r="Q804" s="257">
        <f>INT($G804*P804*100+0.5)/100</f>
        <v>266.8</v>
      </c>
      <c r="R804" s="258">
        <v>10</v>
      </c>
      <c r="S804" s="257">
        <f>INT($G804*R804*100+0.5)/100</f>
        <v>266.8</v>
      </c>
      <c r="T804" s="257"/>
      <c r="U804" s="257"/>
      <c r="V804" s="258">
        <v>0</v>
      </c>
      <c r="W804" s="257">
        <f>INT($G804*V804*100+0.5)/100</f>
        <v>0</v>
      </c>
      <c r="X804" s="258">
        <v>0</v>
      </c>
      <c r="Y804" s="257">
        <f>INT($G804*X804*100+0.5)/100</f>
        <v>0</v>
      </c>
      <c r="Z804" s="258">
        <v>0</v>
      </c>
      <c r="AA804" s="257">
        <f>INT($G804*Z804*100+0.5)/100</f>
        <v>0</v>
      </c>
      <c r="AB804" s="258">
        <v>0</v>
      </c>
      <c r="AC804" s="257">
        <f>INT($G804*AB804*100+0.5)/100</f>
        <v>0</v>
      </c>
    </row>
    <row r="805" spans="1:29" ht="15">
      <c r="A805" s="250"/>
      <c r="B805" s="251"/>
      <c r="C805" s="654"/>
      <c r="D805" s="292"/>
      <c r="E805" s="251"/>
      <c r="F805" s="735"/>
      <c r="G805" s="261"/>
      <c r="H805" s="261"/>
      <c r="I805" s="251"/>
      <c r="J805" s="261"/>
      <c r="K805" s="261"/>
      <c r="L805" s="261"/>
      <c r="M805" s="261"/>
      <c r="N805" s="289"/>
      <c r="O805" s="245"/>
      <c r="P805" s="258"/>
      <c r="Q805" s="257"/>
      <c r="R805" s="258"/>
      <c r="S805" s="257"/>
      <c r="T805" s="257"/>
      <c r="U805" s="257"/>
      <c r="V805" s="258"/>
      <c r="W805" s="257"/>
      <c r="X805" s="258"/>
      <c r="Y805" s="257"/>
      <c r="Z805" s="258"/>
      <c r="AA805" s="257"/>
      <c r="AB805" s="258"/>
      <c r="AC805" s="257"/>
    </row>
    <row r="806" spans="1:29" ht="15">
      <c r="A806" s="250">
        <f>A801+1</f>
        <v>154</v>
      </c>
      <c r="B806" s="251"/>
      <c r="C806" s="654" t="s">
        <v>1576</v>
      </c>
      <c r="D806" s="526" t="s">
        <v>1577</v>
      </c>
      <c r="E806" s="251"/>
      <c r="F806" s="735"/>
      <c r="G806" s="261"/>
      <c r="H806" s="261"/>
      <c r="I806" s="251"/>
      <c r="J806" s="261"/>
      <c r="K806" s="261"/>
      <c r="L806" s="261"/>
      <c r="M806" s="261"/>
      <c r="N806" s="289"/>
      <c r="O806" s="245"/>
      <c r="P806" s="258"/>
      <c r="Q806" s="257"/>
      <c r="R806" s="258"/>
      <c r="S806" s="257"/>
      <c r="T806" s="257"/>
      <c r="U806" s="257"/>
      <c r="V806" s="258"/>
      <c r="W806" s="257"/>
      <c r="X806" s="258"/>
      <c r="Y806" s="257"/>
      <c r="Z806" s="258"/>
      <c r="AA806" s="257"/>
      <c r="AB806" s="258"/>
      <c r="AC806" s="257"/>
    </row>
    <row r="807" spans="1:29" ht="15">
      <c r="A807" s="250"/>
      <c r="B807" s="251"/>
      <c r="C807" s="654"/>
      <c r="D807" s="526" t="s">
        <v>1578</v>
      </c>
      <c r="E807" s="251"/>
      <c r="F807" s="735"/>
      <c r="G807" s="261"/>
      <c r="H807" s="261"/>
      <c r="I807" s="251"/>
      <c r="J807" s="261"/>
      <c r="K807" s="261"/>
      <c r="L807" s="261"/>
      <c r="M807" s="261"/>
      <c r="N807" s="289"/>
      <c r="O807" s="245"/>
      <c r="P807" s="258"/>
      <c r="Q807" s="257"/>
      <c r="R807" s="258"/>
      <c r="S807" s="257"/>
      <c r="T807" s="257"/>
      <c r="U807" s="257"/>
      <c r="V807" s="258"/>
      <c r="W807" s="257"/>
      <c r="X807" s="258"/>
      <c r="Y807" s="257"/>
      <c r="Z807" s="258"/>
      <c r="AA807" s="257"/>
      <c r="AB807" s="258"/>
      <c r="AC807" s="257"/>
    </row>
    <row r="808" spans="1:29" ht="15">
      <c r="A808" s="250" t="s">
        <v>728</v>
      </c>
      <c r="B808" s="251"/>
      <c r="C808" s="654" t="s">
        <v>818</v>
      </c>
      <c r="D808" s="292" t="s">
        <v>1774</v>
      </c>
      <c r="E808" s="251" t="s">
        <v>2475</v>
      </c>
      <c r="F808" s="735">
        <f>N808+R808+P808+T808+V808+X808+Z808+AB808</f>
        <v>30</v>
      </c>
      <c r="G808" s="872">
        <v>10.83</v>
      </c>
      <c r="H808" s="261">
        <f>O808+S808+Q808+U808+W808+Y808+AA808+AC808</f>
        <v>324.89999999999998</v>
      </c>
      <c r="I808" s="251" t="s">
        <v>2475</v>
      </c>
      <c r="J808" s="872"/>
      <c r="K808" s="872"/>
      <c r="L808" s="872"/>
      <c r="M808" s="872"/>
      <c r="N808" s="289">
        <v>10</v>
      </c>
      <c r="O808" s="245">
        <f>INT($G808*N808*100+0.5)/100</f>
        <v>108.3</v>
      </c>
      <c r="P808" s="258">
        <v>10</v>
      </c>
      <c r="Q808" s="257">
        <f>INT($G808*P808*100+0.5)/100</f>
        <v>108.3</v>
      </c>
      <c r="R808" s="258">
        <v>10</v>
      </c>
      <c r="S808" s="257">
        <f>INT($G808*R808*100+0.5)/100</f>
        <v>108.3</v>
      </c>
      <c r="T808" s="257"/>
      <c r="U808" s="257"/>
      <c r="V808" s="258">
        <v>0</v>
      </c>
      <c r="W808" s="257">
        <f>INT($G808*V808*100+0.5)/100</f>
        <v>0</v>
      </c>
      <c r="X808" s="258">
        <v>0</v>
      </c>
      <c r="Y808" s="257">
        <f>INT($G808*X808*100+0.5)/100</f>
        <v>0</v>
      </c>
      <c r="Z808" s="258">
        <v>0</v>
      </c>
      <c r="AA808" s="257">
        <f>INT($G808*Z808*100+0.5)/100</f>
        <v>0</v>
      </c>
      <c r="AB808" s="258">
        <v>0</v>
      </c>
      <c r="AC808" s="257">
        <f>INT($G808*AB808*100+0.5)/100</f>
        <v>0</v>
      </c>
    </row>
    <row r="809" spans="1:29" s="247" customFormat="1" ht="15">
      <c r="A809" s="250"/>
      <c r="B809" s="237"/>
      <c r="C809" s="654"/>
      <c r="D809" s="238"/>
      <c r="E809" s="237"/>
      <c r="F809" s="733"/>
      <c r="G809" s="243"/>
      <c r="H809" s="243"/>
      <c r="I809" s="237"/>
      <c r="J809" s="243"/>
      <c r="K809" s="243"/>
      <c r="L809" s="243"/>
      <c r="M809" s="243"/>
      <c r="N809" s="289"/>
      <c r="O809" s="245"/>
      <c r="P809" s="289"/>
      <c r="Q809" s="245"/>
      <c r="R809" s="289"/>
      <c r="S809" s="245"/>
      <c r="T809" s="245"/>
      <c r="U809" s="245"/>
      <c r="V809" s="289"/>
      <c r="W809" s="245"/>
      <c r="X809" s="289"/>
      <c r="Y809" s="245"/>
      <c r="Z809" s="289"/>
      <c r="AA809" s="245"/>
      <c r="AB809" s="289"/>
      <c r="AC809" s="245"/>
    </row>
    <row r="810" spans="1:29" ht="15">
      <c r="A810" s="250">
        <f>A806+1</f>
        <v>155</v>
      </c>
      <c r="B810" s="251"/>
      <c r="C810" s="654" t="s">
        <v>1975</v>
      </c>
      <c r="D810" s="526" t="s">
        <v>1976</v>
      </c>
      <c r="E810" s="251"/>
      <c r="F810" s="735"/>
      <c r="G810" s="261"/>
      <c r="H810" s="261"/>
      <c r="I810" s="251"/>
      <c r="J810" s="261"/>
      <c r="K810" s="261"/>
      <c r="L810" s="261"/>
      <c r="M810" s="261"/>
      <c r="N810" s="289"/>
      <c r="O810" s="245"/>
      <c r="P810" s="258"/>
      <c r="Q810" s="257"/>
      <c r="R810" s="258"/>
      <c r="S810" s="257"/>
      <c r="T810" s="257"/>
      <c r="U810" s="257"/>
      <c r="V810" s="258"/>
      <c r="W810" s="257"/>
      <c r="X810" s="258"/>
      <c r="Y810" s="257"/>
      <c r="Z810" s="258"/>
      <c r="AA810" s="257"/>
      <c r="AB810" s="258"/>
      <c r="AC810" s="257"/>
    </row>
    <row r="811" spans="1:29" ht="15">
      <c r="A811" s="250"/>
      <c r="B811" s="251"/>
      <c r="C811" s="654"/>
      <c r="D811" s="526" t="s">
        <v>1977</v>
      </c>
      <c r="E811" s="251"/>
      <c r="F811" s="735"/>
      <c r="G811" s="261"/>
      <c r="H811" s="261"/>
      <c r="I811" s="251"/>
      <c r="J811" s="261"/>
      <c r="K811" s="261"/>
      <c r="L811" s="261"/>
      <c r="M811" s="261"/>
      <c r="N811" s="289"/>
      <c r="O811" s="245"/>
      <c r="P811" s="258"/>
      <c r="Q811" s="257"/>
      <c r="R811" s="258"/>
      <c r="S811" s="257"/>
      <c r="T811" s="257"/>
      <c r="U811" s="257"/>
      <c r="V811" s="258"/>
      <c r="W811" s="257"/>
      <c r="X811" s="258"/>
      <c r="Y811" s="257"/>
      <c r="Z811" s="258"/>
      <c r="AA811" s="257"/>
      <c r="AB811" s="258"/>
      <c r="AC811" s="257"/>
    </row>
    <row r="812" spans="1:29" ht="15">
      <c r="A812" s="250" t="s">
        <v>728</v>
      </c>
      <c r="B812" s="251"/>
      <c r="C812" s="647" t="s">
        <v>820</v>
      </c>
      <c r="D812" s="292" t="s">
        <v>2175</v>
      </c>
      <c r="E812" s="251" t="s">
        <v>2475</v>
      </c>
      <c r="F812" s="735">
        <f>N812+R812+P812+T812+V812+X812+Z812+AB812</f>
        <v>537</v>
      </c>
      <c r="G812" s="872">
        <v>34.08</v>
      </c>
      <c r="H812" s="261">
        <f>O812+S812+Q812+U812+W812+Y812+AA812+AC812</f>
        <v>18300.96</v>
      </c>
      <c r="I812" s="251" t="s">
        <v>2475</v>
      </c>
      <c r="J812" s="872"/>
      <c r="K812" s="872"/>
      <c r="L812" s="872"/>
      <c r="M812" s="872"/>
      <c r="N812" s="289">
        <v>0</v>
      </c>
      <c r="O812" s="245">
        <f>INT($G812*N812*100+0.5)/100</f>
        <v>0</v>
      </c>
      <c r="P812" s="258">
        <f>INT(((711/20+1)*0.6)*((4.5+1.5+1.5+3)+(1+1.5+1.5+3))*1.4)</f>
        <v>537</v>
      </c>
      <c r="Q812" s="257">
        <f>INT($G812*P812*100+0.5)/100</f>
        <v>18300.96</v>
      </c>
      <c r="R812" s="258">
        <v>0</v>
      </c>
      <c r="S812" s="257">
        <f>INT($G812*R812*100+0.5)/100</f>
        <v>0</v>
      </c>
      <c r="T812" s="257"/>
      <c r="U812" s="257"/>
      <c r="V812" s="258">
        <v>0</v>
      </c>
      <c r="W812" s="257">
        <f>INT($G812*V812*100+0.5)/100</f>
        <v>0</v>
      </c>
      <c r="X812" s="258">
        <v>0</v>
      </c>
      <c r="Y812" s="257">
        <f>INT($G812*X812*100+0.5)/100</f>
        <v>0</v>
      </c>
      <c r="Z812" s="258">
        <v>0</v>
      </c>
      <c r="AA812" s="257">
        <f>INT($G812*Z812*100+0.5)/100</f>
        <v>0</v>
      </c>
      <c r="AB812" s="258">
        <v>0</v>
      </c>
      <c r="AC812" s="257">
        <f>INT($G812*AB812*100+0.5)/100</f>
        <v>0</v>
      </c>
    </row>
    <row r="813" spans="1:29" ht="15">
      <c r="A813" s="250" t="s">
        <v>735</v>
      </c>
      <c r="B813" s="251"/>
      <c r="C813" s="647" t="s">
        <v>821</v>
      </c>
      <c r="D813" s="292" t="s">
        <v>2147</v>
      </c>
      <c r="E813" s="251" t="s">
        <v>2475</v>
      </c>
      <c r="F813" s="735">
        <f>N813+R813+P813+T813+V813+X813+Z813+AB813</f>
        <v>50</v>
      </c>
      <c r="G813" s="872">
        <v>83.75</v>
      </c>
      <c r="H813" s="261">
        <f>O813+S813+Q813+U813+W813+Y813+AA813+AC813</f>
        <v>4187.5</v>
      </c>
      <c r="I813" s="251" t="s">
        <v>2475</v>
      </c>
      <c r="J813" s="872"/>
      <c r="K813" s="872"/>
      <c r="L813" s="872"/>
      <c r="M813" s="872"/>
      <c r="N813" s="289">
        <v>0</v>
      </c>
      <c r="O813" s="245">
        <f>INT($G813*N813*100+0.5)/100</f>
        <v>0</v>
      </c>
      <c r="P813" s="258">
        <v>50</v>
      </c>
      <c r="Q813" s="257">
        <f>INT($G813*P813*100+0.5)/100</f>
        <v>4187.5</v>
      </c>
      <c r="R813" s="258">
        <v>0</v>
      </c>
      <c r="S813" s="257">
        <f>INT($G813*R813*100+0.5)/100</f>
        <v>0</v>
      </c>
      <c r="T813" s="257"/>
      <c r="U813" s="257"/>
      <c r="V813" s="258">
        <v>0</v>
      </c>
      <c r="W813" s="257">
        <f>INT($G813*V813*100+0.5)/100</f>
        <v>0</v>
      </c>
      <c r="X813" s="258">
        <v>0</v>
      </c>
      <c r="Y813" s="257">
        <f>INT($G813*X813*100+0.5)/100</f>
        <v>0</v>
      </c>
      <c r="Z813" s="258">
        <v>0</v>
      </c>
      <c r="AA813" s="257">
        <f>INT($G813*Z813*100+0.5)/100</f>
        <v>0</v>
      </c>
      <c r="AB813" s="258">
        <v>0</v>
      </c>
      <c r="AC813" s="257">
        <f>INT($G813*AB813*100+0.5)/100</f>
        <v>0</v>
      </c>
    </row>
    <row r="814" spans="1:29" ht="15">
      <c r="A814" s="250"/>
      <c r="B814" s="251"/>
      <c r="C814" s="526"/>
      <c r="D814" s="292"/>
      <c r="E814" s="251"/>
      <c r="F814" s="735"/>
      <c r="G814" s="872"/>
      <c r="H814" s="261"/>
      <c r="I814" s="251"/>
      <c r="J814" s="872"/>
      <c r="K814" s="872"/>
      <c r="L814" s="872"/>
      <c r="M814" s="872"/>
      <c r="N814" s="289"/>
      <c r="O814" s="245"/>
      <c r="P814" s="258"/>
      <c r="Q814" s="257"/>
      <c r="R814" s="258"/>
      <c r="S814" s="257"/>
      <c r="T814" s="257"/>
      <c r="U814" s="257"/>
      <c r="V814" s="258"/>
      <c r="W814" s="257"/>
      <c r="X814" s="258"/>
      <c r="Y814" s="257"/>
      <c r="Z814" s="258"/>
      <c r="AA814" s="257"/>
      <c r="AB814" s="258"/>
      <c r="AC814" s="257"/>
    </row>
    <row r="815" spans="1:29" ht="15">
      <c r="A815" s="250">
        <f>A810+1</f>
        <v>156</v>
      </c>
      <c r="B815" s="251"/>
      <c r="C815" s="654" t="s">
        <v>403</v>
      </c>
      <c r="D815" s="526" t="s">
        <v>401</v>
      </c>
      <c r="E815" s="251"/>
      <c r="F815" s="735"/>
      <c r="G815" s="872"/>
      <c r="H815" s="261"/>
      <c r="I815" s="251"/>
      <c r="J815" s="872"/>
      <c r="K815" s="872"/>
      <c r="L815" s="872"/>
      <c r="M815" s="872"/>
      <c r="N815" s="289"/>
      <c r="O815" s="245"/>
      <c r="P815" s="258"/>
      <c r="Q815" s="257"/>
      <c r="R815" s="258"/>
      <c r="S815" s="257"/>
      <c r="T815" s="257"/>
      <c r="U815" s="257"/>
      <c r="V815" s="258"/>
      <c r="W815" s="257"/>
      <c r="X815" s="258"/>
      <c r="Y815" s="257"/>
      <c r="Z815" s="258"/>
      <c r="AA815" s="257"/>
      <c r="AB815" s="258"/>
      <c r="AC815" s="257"/>
    </row>
    <row r="816" spans="1:29" ht="15">
      <c r="A816" s="250"/>
      <c r="B816" s="251"/>
      <c r="C816" s="654"/>
      <c r="D816" s="526" t="s">
        <v>402</v>
      </c>
      <c r="E816" s="251"/>
      <c r="F816" s="735"/>
      <c r="G816" s="872"/>
      <c r="H816" s="261"/>
      <c r="I816" s="251"/>
      <c r="J816" s="872"/>
      <c r="K816" s="872"/>
      <c r="L816" s="872"/>
      <c r="M816" s="872"/>
      <c r="N816" s="289"/>
      <c r="O816" s="245"/>
      <c r="P816" s="258"/>
      <c r="Q816" s="257"/>
      <c r="R816" s="258"/>
      <c r="S816" s="257"/>
      <c r="T816" s="257"/>
      <c r="U816" s="257"/>
      <c r="V816" s="258"/>
      <c r="W816" s="257"/>
      <c r="X816" s="258"/>
      <c r="Y816" s="257"/>
      <c r="Z816" s="258"/>
      <c r="AA816" s="257"/>
      <c r="AB816" s="258"/>
      <c r="AC816" s="257"/>
    </row>
    <row r="817" spans="1:29" ht="15">
      <c r="A817" s="250" t="s">
        <v>726</v>
      </c>
      <c r="B817" s="251"/>
      <c r="C817" s="654" t="s">
        <v>3184</v>
      </c>
      <c r="D817" s="292" t="s">
        <v>2175</v>
      </c>
      <c r="E817" s="251" t="s">
        <v>2475</v>
      </c>
      <c r="F817" s="735">
        <f>N817+R817+P817+T817+V817+X817+Z817+AB817</f>
        <v>5</v>
      </c>
      <c r="G817" s="872">
        <v>36.090000000000003</v>
      </c>
      <c r="H817" s="261">
        <f>O817+S817+Q817+U817+W817+Y817+AA817+AC817</f>
        <v>180.45</v>
      </c>
      <c r="I817" s="251" t="s">
        <v>2475</v>
      </c>
      <c r="J817" s="872"/>
      <c r="K817" s="872"/>
      <c r="L817" s="872"/>
      <c r="M817" s="872"/>
      <c r="N817" s="289">
        <v>0</v>
      </c>
      <c r="O817" s="245">
        <f>INT($G817*N817*100+0.5)/100</f>
        <v>0</v>
      </c>
      <c r="P817" s="258">
        <v>5</v>
      </c>
      <c r="Q817" s="257">
        <f>INT($G817*P817*100+0.5)/100</f>
        <v>180.45</v>
      </c>
      <c r="R817" s="258">
        <v>0</v>
      </c>
      <c r="S817" s="257">
        <f>INT($G817*R817*100+0.5)/100</f>
        <v>0</v>
      </c>
      <c r="T817" s="257"/>
      <c r="U817" s="257"/>
      <c r="V817" s="258">
        <v>0</v>
      </c>
      <c r="W817" s="257">
        <f>INT($G817*V817*100+0.5)/100</f>
        <v>0</v>
      </c>
      <c r="X817" s="258">
        <v>0</v>
      </c>
      <c r="Y817" s="257">
        <f>INT($G817*X817*100+0.5)/100</f>
        <v>0</v>
      </c>
      <c r="Z817" s="258">
        <v>0</v>
      </c>
      <c r="AA817" s="257">
        <f>INT($G817*Z817*100+0.5)/100</f>
        <v>0</v>
      </c>
      <c r="AB817" s="258">
        <v>0</v>
      </c>
      <c r="AC817" s="257">
        <f>INT($G817*AB817*100+0.5)/100</f>
        <v>0</v>
      </c>
    </row>
    <row r="818" spans="1:29" ht="15">
      <c r="A818" s="250" t="s">
        <v>727</v>
      </c>
      <c r="B818" s="251"/>
      <c r="C818" s="654" t="s">
        <v>3185</v>
      </c>
      <c r="D818" s="292" t="s">
        <v>2145</v>
      </c>
      <c r="E818" s="251" t="s">
        <v>2475</v>
      </c>
      <c r="F818" s="735">
        <f>N818+R818+P818+T818+V818+X818+Z818+AB818</f>
        <v>10</v>
      </c>
      <c r="G818" s="872">
        <v>47.18</v>
      </c>
      <c r="H818" s="261">
        <f>O818+S818+Q818+U818+W818+Y818+AA818+AC818</f>
        <v>471.8</v>
      </c>
      <c r="I818" s="251" t="s">
        <v>2475</v>
      </c>
      <c r="J818" s="872"/>
      <c r="K818" s="872"/>
      <c r="L818" s="872"/>
      <c r="M818" s="872"/>
      <c r="N818" s="289">
        <v>0</v>
      </c>
      <c r="O818" s="245">
        <f>INT($G818*N818*100+0.5)/100</f>
        <v>0</v>
      </c>
      <c r="P818" s="258">
        <v>10</v>
      </c>
      <c r="Q818" s="257">
        <f>INT($G818*P818*100+0.5)/100</f>
        <v>471.8</v>
      </c>
      <c r="R818" s="258">
        <v>0</v>
      </c>
      <c r="S818" s="257">
        <f>INT($G818*R818*100+0.5)/100</f>
        <v>0</v>
      </c>
      <c r="T818" s="257"/>
      <c r="U818" s="257"/>
      <c r="V818" s="258">
        <v>0</v>
      </c>
      <c r="W818" s="257">
        <f>INT($G818*V818*100+0.5)/100</f>
        <v>0</v>
      </c>
      <c r="X818" s="258">
        <v>0</v>
      </c>
      <c r="Y818" s="257">
        <f>INT($G818*X818*100+0.5)/100</f>
        <v>0</v>
      </c>
      <c r="Z818" s="258">
        <v>0</v>
      </c>
      <c r="AA818" s="257">
        <f>INT($G818*Z818*100+0.5)/100</f>
        <v>0</v>
      </c>
      <c r="AB818" s="258">
        <v>0</v>
      </c>
      <c r="AC818" s="257">
        <f>INT($G818*AB818*100+0.5)/100</f>
        <v>0</v>
      </c>
    </row>
    <row r="819" spans="1:29" ht="15">
      <c r="A819" s="250" t="s">
        <v>728</v>
      </c>
      <c r="B819" s="251"/>
      <c r="C819" s="654" t="s">
        <v>3186</v>
      </c>
      <c r="D819" s="292" t="s">
        <v>2146</v>
      </c>
      <c r="E819" s="251" t="s">
        <v>2475</v>
      </c>
      <c r="F819" s="735">
        <f>N819+R819+P819+T819+V819+X819+Z819+AB819</f>
        <v>5</v>
      </c>
      <c r="G819" s="872">
        <v>65.56</v>
      </c>
      <c r="H819" s="261">
        <f>O819+S819+Q819+U819+W819+Y819+AA819+AC819</f>
        <v>327.8</v>
      </c>
      <c r="I819" s="251" t="s">
        <v>2475</v>
      </c>
      <c r="J819" s="872"/>
      <c r="K819" s="872"/>
      <c r="L819" s="872"/>
      <c r="M819" s="872"/>
      <c r="N819" s="289">
        <v>0</v>
      </c>
      <c r="O819" s="245">
        <f>INT($G819*N819*100+0.5)/100</f>
        <v>0</v>
      </c>
      <c r="P819" s="258">
        <v>5</v>
      </c>
      <c r="Q819" s="257">
        <f>INT($G819*P819*100+0.5)/100</f>
        <v>327.8</v>
      </c>
      <c r="R819" s="258">
        <v>0</v>
      </c>
      <c r="S819" s="257">
        <f>INT($G819*R819*100+0.5)/100</f>
        <v>0</v>
      </c>
      <c r="T819" s="257"/>
      <c r="U819" s="257"/>
      <c r="V819" s="258">
        <v>0</v>
      </c>
      <c r="W819" s="257">
        <f>INT($G819*V819*100+0.5)/100</f>
        <v>0</v>
      </c>
      <c r="X819" s="258">
        <v>0</v>
      </c>
      <c r="Y819" s="257">
        <f>INT($G819*X819*100+0.5)/100</f>
        <v>0</v>
      </c>
      <c r="Z819" s="258">
        <v>0</v>
      </c>
      <c r="AA819" s="257">
        <f>INT($G819*Z819*100+0.5)/100</f>
        <v>0</v>
      </c>
      <c r="AB819" s="258">
        <v>0</v>
      </c>
      <c r="AC819" s="257">
        <f>INT($G819*AB819*100+0.5)/100</f>
        <v>0</v>
      </c>
    </row>
    <row r="820" spans="1:29" ht="15">
      <c r="A820" s="250" t="s">
        <v>732</v>
      </c>
      <c r="B820" s="251"/>
      <c r="C820" s="654" t="s">
        <v>3187</v>
      </c>
      <c r="D820" s="292" t="s">
        <v>2147</v>
      </c>
      <c r="E820" s="251" t="s">
        <v>2475</v>
      </c>
      <c r="F820" s="735">
        <f>N820+R820+P820+T820+V820+X820+Z820+AB820</f>
        <v>10</v>
      </c>
      <c r="G820" s="872">
        <v>88.83</v>
      </c>
      <c r="H820" s="261">
        <f>O820+S820+Q820+U820+W820+Y820+AA820+AC820</f>
        <v>888.3</v>
      </c>
      <c r="I820" s="251" t="s">
        <v>2475</v>
      </c>
      <c r="J820" s="872"/>
      <c r="K820" s="872"/>
      <c r="L820" s="872"/>
      <c r="M820" s="872"/>
      <c r="N820" s="289">
        <v>0</v>
      </c>
      <c r="O820" s="245">
        <f>INT($G820*N820*100+0.5)/100</f>
        <v>0</v>
      </c>
      <c r="P820" s="258">
        <v>10</v>
      </c>
      <c r="Q820" s="257">
        <f>INT($G820*P820*100+0.5)/100</f>
        <v>888.3</v>
      </c>
      <c r="R820" s="258">
        <v>0</v>
      </c>
      <c r="S820" s="257">
        <f>INT($G820*R820*100+0.5)/100</f>
        <v>0</v>
      </c>
      <c r="T820" s="257"/>
      <c r="U820" s="257"/>
      <c r="V820" s="258">
        <v>0</v>
      </c>
      <c r="W820" s="257">
        <f>INT($G820*V820*100+0.5)/100</f>
        <v>0</v>
      </c>
      <c r="X820" s="258">
        <v>0</v>
      </c>
      <c r="Y820" s="257">
        <f>INT($G820*X820*100+0.5)/100</f>
        <v>0</v>
      </c>
      <c r="Z820" s="258">
        <v>0</v>
      </c>
      <c r="AA820" s="257">
        <f>INT($G820*Z820*100+0.5)/100</f>
        <v>0</v>
      </c>
      <c r="AB820" s="258">
        <v>0</v>
      </c>
      <c r="AC820" s="257">
        <f>INT($G820*AB820*100+0.5)/100</f>
        <v>0</v>
      </c>
    </row>
    <row r="821" spans="1:29" ht="15">
      <c r="A821" s="250"/>
      <c r="B821" s="251"/>
      <c r="C821" s="654"/>
      <c r="D821" s="292"/>
      <c r="E821" s="251"/>
      <c r="F821" s="735"/>
      <c r="G821" s="261"/>
      <c r="H821" s="261"/>
      <c r="I821" s="251"/>
      <c r="J821" s="261"/>
      <c r="K821" s="261"/>
      <c r="L821" s="261"/>
      <c r="M821" s="261"/>
      <c r="N821" s="289"/>
      <c r="O821" s="245"/>
      <c r="P821" s="258"/>
      <c r="Q821" s="257"/>
      <c r="R821" s="258"/>
      <c r="S821" s="257"/>
      <c r="T821" s="257"/>
      <c r="U821" s="257"/>
      <c r="V821" s="258"/>
      <c r="W821" s="257"/>
      <c r="X821" s="258"/>
      <c r="Y821" s="257"/>
      <c r="Z821" s="258"/>
      <c r="AA821" s="257"/>
      <c r="AB821" s="258"/>
      <c r="AC821" s="257"/>
    </row>
    <row r="822" spans="1:29" ht="15">
      <c r="A822" s="250">
        <f>A815+1</f>
        <v>157</v>
      </c>
      <c r="B822" s="251"/>
      <c r="C822" s="654" t="s">
        <v>3331</v>
      </c>
      <c r="D822" s="526" t="s">
        <v>410</v>
      </c>
      <c r="E822" s="251"/>
      <c r="F822" s="735"/>
      <c r="G822" s="261"/>
      <c r="H822" s="261"/>
      <c r="I822" s="251"/>
      <c r="J822" s="261"/>
      <c r="K822" s="261"/>
      <c r="L822" s="261"/>
      <c r="M822" s="261"/>
      <c r="N822" s="289"/>
      <c r="O822" s="245"/>
      <c r="P822" s="258"/>
      <c r="Q822" s="257"/>
      <c r="R822" s="258"/>
      <c r="S822" s="257"/>
      <c r="T822" s="257"/>
      <c r="U822" s="257"/>
      <c r="V822" s="258"/>
      <c r="W822" s="257"/>
      <c r="X822" s="258"/>
      <c r="Y822" s="257"/>
      <c r="Z822" s="258"/>
      <c r="AA822" s="257"/>
      <c r="AB822" s="258"/>
      <c r="AC822" s="257"/>
    </row>
    <row r="823" spans="1:29" ht="15">
      <c r="A823" s="250"/>
      <c r="B823" s="251"/>
      <c r="C823" s="654"/>
      <c r="D823" s="526" t="s">
        <v>411</v>
      </c>
      <c r="E823" s="251"/>
      <c r="F823" s="735"/>
      <c r="G823" s="261"/>
      <c r="H823" s="261"/>
      <c r="I823" s="251"/>
      <c r="J823" s="261"/>
      <c r="K823" s="261"/>
      <c r="L823" s="261"/>
      <c r="M823" s="261"/>
      <c r="N823" s="289"/>
      <c r="O823" s="245"/>
      <c r="P823" s="258"/>
      <c r="Q823" s="327"/>
      <c r="R823" s="258"/>
      <c r="S823" s="257"/>
      <c r="T823" s="257"/>
      <c r="U823" s="257"/>
      <c r="V823" s="258"/>
      <c r="W823" s="257"/>
      <c r="X823" s="258"/>
      <c r="Y823" s="257"/>
      <c r="Z823" s="258"/>
      <c r="AA823" s="257"/>
      <c r="AB823" s="258"/>
      <c r="AC823" s="257"/>
    </row>
    <row r="824" spans="1:29" ht="15">
      <c r="A824" s="250" t="s">
        <v>1903</v>
      </c>
      <c r="B824" s="251"/>
      <c r="C824" s="654" t="s">
        <v>3332</v>
      </c>
      <c r="D824" s="292" t="s">
        <v>418</v>
      </c>
      <c r="E824" s="251" t="s">
        <v>2475</v>
      </c>
      <c r="F824" s="735">
        <f>N824+R824+P824+T824+V824+X824+Z824+AB824</f>
        <v>90</v>
      </c>
      <c r="G824" s="872">
        <v>54.79</v>
      </c>
      <c r="H824" s="261">
        <f>O824+S824+Q824+U824+W824+Y824+AA824+AC824</f>
        <v>4931.1000000000004</v>
      </c>
      <c r="I824" s="251" t="s">
        <v>2475</v>
      </c>
      <c r="J824" s="872"/>
      <c r="K824" s="872"/>
      <c r="L824" s="872"/>
      <c r="M824" s="872"/>
      <c r="N824" s="289">
        <v>0</v>
      </c>
      <c r="O824" s="245">
        <f>INT($G824*N824*100+0.5)/100</f>
        <v>0</v>
      </c>
      <c r="P824" s="258">
        <v>90</v>
      </c>
      <c r="Q824" s="257">
        <f>INT($G824*P824*100+0.5)/100</f>
        <v>4931.1000000000004</v>
      </c>
      <c r="R824" s="258">
        <v>0</v>
      </c>
      <c r="S824" s="257">
        <f>INT($G824*R824*100+0.5)/100</f>
        <v>0</v>
      </c>
      <c r="T824" s="257"/>
      <c r="U824" s="257"/>
      <c r="V824" s="258">
        <v>0</v>
      </c>
      <c r="W824" s="257">
        <f>INT($G824*V824*100+0.5)/100</f>
        <v>0</v>
      </c>
      <c r="X824" s="258">
        <v>0</v>
      </c>
      <c r="Y824" s="257">
        <f>INT($G824*X824*100+0.5)/100</f>
        <v>0</v>
      </c>
      <c r="Z824" s="258">
        <v>0</v>
      </c>
      <c r="AA824" s="257">
        <f>INT($G824*Z824*100+0.5)/100</f>
        <v>0</v>
      </c>
      <c r="AB824" s="258">
        <v>0</v>
      </c>
      <c r="AC824" s="257">
        <f>INT($G824*AB824*100+0.5)/100</f>
        <v>0</v>
      </c>
    </row>
    <row r="825" spans="1:29" ht="15">
      <c r="A825" s="250" t="s">
        <v>542</v>
      </c>
      <c r="B825" s="251"/>
      <c r="C825" s="654" t="s">
        <v>3333</v>
      </c>
      <c r="D825" s="292" t="s">
        <v>421</v>
      </c>
      <c r="E825" s="251" t="s">
        <v>2475</v>
      </c>
      <c r="F825" s="735">
        <f>N825+R825+P825+T825+V825+X825+Z825+AB825</f>
        <v>403.5</v>
      </c>
      <c r="G825" s="872">
        <v>135.94</v>
      </c>
      <c r="H825" s="261">
        <f>O825+S825+Q825+U825+W825+Y825+AA825+AC825</f>
        <v>54851.79</v>
      </c>
      <c r="I825" s="251" t="s">
        <v>2475</v>
      </c>
      <c r="J825" s="872"/>
      <c r="K825" s="872"/>
      <c r="L825" s="872"/>
      <c r="M825" s="872"/>
      <c r="N825" s="289">
        <v>0</v>
      </c>
      <c r="O825" s="245">
        <f>INT($G825*N825*100+0.5)/100</f>
        <v>0</v>
      </c>
      <c r="P825" s="258">
        <f>23+136.5+101.5+132.5+10</f>
        <v>403.5</v>
      </c>
      <c r="Q825" s="257">
        <f>INT($G825*P825*100+0.5)/100</f>
        <v>54851.79</v>
      </c>
      <c r="R825" s="258">
        <v>0</v>
      </c>
      <c r="S825" s="257">
        <f>INT($G825*R825*100+0.5)/100</f>
        <v>0</v>
      </c>
      <c r="T825" s="257"/>
      <c r="U825" s="257"/>
      <c r="V825" s="258">
        <v>0</v>
      </c>
      <c r="W825" s="257">
        <f>INT($G825*V825*100+0.5)/100</f>
        <v>0</v>
      </c>
      <c r="X825" s="258">
        <v>0</v>
      </c>
      <c r="Y825" s="257">
        <f>INT($G825*X825*100+0.5)/100</f>
        <v>0</v>
      </c>
      <c r="Z825" s="258">
        <v>0</v>
      </c>
      <c r="AA825" s="257">
        <f>INT($G825*Z825*100+0.5)/100</f>
        <v>0</v>
      </c>
      <c r="AB825" s="258">
        <v>0</v>
      </c>
      <c r="AC825" s="257">
        <f>INT($G825*AB825*100+0.5)/100</f>
        <v>0</v>
      </c>
    </row>
    <row r="826" spans="1:29" ht="15">
      <c r="A826" s="250"/>
      <c r="B826" s="251"/>
      <c r="C826" s="654"/>
      <c r="D826" s="292"/>
      <c r="E826" s="251"/>
      <c r="F826" s="735"/>
      <c r="G826" s="261"/>
      <c r="H826" s="261"/>
      <c r="I826" s="251"/>
      <c r="J826" s="261"/>
      <c r="K826" s="261"/>
      <c r="L826" s="261"/>
      <c r="M826" s="261"/>
      <c r="N826" s="289"/>
      <c r="O826" s="245"/>
      <c r="P826" s="258"/>
      <c r="Q826" s="257"/>
      <c r="R826" s="258"/>
      <c r="S826" s="257"/>
      <c r="T826" s="257"/>
      <c r="U826" s="257"/>
      <c r="V826" s="258"/>
      <c r="W826" s="257"/>
      <c r="X826" s="258"/>
      <c r="Y826" s="257"/>
      <c r="Z826" s="258"/>
      <c r="AA826" s="257"/>
      <c r="AB826" s="258"/>
      <c r="AC826" s="257"/>
    </row>
    <row r="827" spans="1:29" ht="15">
      <c r="A827" s="250">
        <f>A822+1</f>
        <v>158</v>
      </c>
      <c r="B827" s="251"/>
      <c r="C827" s="647" t="s">
        <v>408</v>
      </c>
      <c r="D827" s="678" t="s">
        <v>842</v>
      </c>
      <c r="E827" s="251" t="s">
        <v>2475</v>
      </c>
      <c r="F827" s="735">
        <f>N827+R827+P827+T827+V827+X827+Z827+AB827</f>
        <v>4300</v>
      </c>
      <c r="G827" s="872">
        <v>0.52</v>
      </c>
      <c r="H827" s="261">
        <f>O827+S827+Q827+U827+W827+Y827+AA827+AC827</f>
        <v>2236</v>
      </c>
      <c r="I827" s="251" t="s">
        <v>2475</v>
      </c>
      <c r="J827" s="872"/>
      <c r="K827" s="872"/>
      <c r="L827" s="872"/>
      <c r="M827" s="872"/>
      <c r="N827" s="289">
        <f>(90+(23+136.5+101.5+10+10)+(132.5+10))*2+22*5+63</f>
        <v>1200</v>
      </c>
      <c r="O827" s="245">
        <f>INT($G827*N827*100+0.5)/100</f>
        <v>624</v>
      </c>
      <c r="P827" s="258">
        <f>SUM(P812:P813)+13</f>
        <v>600</v>
      </c>
      <c r="Q827" s="257">
        <f>INT($G827*P827*100+0.5)/100</f>
        <v>312</v>
      </c>
      <c r="R827" s="258">
        <f>(90+(23+136.5+101.5+10+10)+(132.5+10))*3+(10+25+20+20+33+10+27+2+2+10+34+38+14+10+8+10+54+10+21+10+26+20+29+5+8+5)*2+37.5</f>
        <v>2500</v>
      </c>
      <c r="S827" s="257">
        <f>INT($G827*R827*100+0.5)/100</f>
        <v>1300</v>
      </c>
      <c r="T827" s="257"/>
      <c r="U827" s="257"/>
      <c r="V827" s="258">
        <v>0</v>
      </c>
      <c r="W827" s="257">
        <f>INT($G827*V827*100+0.5)/100</f>
        <v>0</v>
      </c>
      <c r="X827" s="258">
        <v>0</v>
      </c>
      <c r="Y827" s="257">
        <f>INT($G827*X827*100+0.5)/100</f>
        <v>0</v>
      </c>
      <c r="Z827" s="258">
        <v>0</v>
      </c>
      <c r="AA827" s="257">
        <f>INT($G827*Z827*100+0.5)/100</f>
        <v>0</v>
      </c>
      <c r="AB827" s="258">
        <v>0</v>
      </c>
      <c r="AC827" s="257">
        <f>INT($G827*AB827*100+0.5)/100</f>
        <v>0</v>
      </c>
    </row>
    <row r="828" spans="1:29" ht="15">
      <c r="A828" s="250"/>
      <c r="B828" s="251"/>
      <c r="C828" s="526"/>
      <c r="D828" s="678" t="s">
        <v>843</v>
      </c>
      <c r="E828" s="251"/>
      <c r="F828" s="735"/>
      <c r="G828" s="261"/>
      <c r="H828" s="261"/>
      <c r="I828" s="251"/>
      <c r="J828" s="261"/>
      <c r="K828" s="261"/>
      <c r="L828" s="261"/>
      <c r="M828" s="261"/>
      <c r="N828" s="289"/>
      <c r="O828" s="245"/>
      <c r="P828" s="258"/>
      <c r="Q828" s="257"/>
      <c r="R828" s="258"/>
      <c r="S828" s="257"/>
      <c r="T828" s="257"/>
      <c r="U828" s="257"/>
      <c r="V828" s="258"/>
      <c r="W828" s="257"/>
      <c r="X828" s="258"/>
      <c r="Y828" s="257"/>
      <c r="Z828" s="258"/>
      <c r="AA828" s="257"/>
      <c r="AB828" s="258"/>
      <c r="AC828" s="257"/>
    </row>
    <row r="829" spans="1:29" ht="15">
      <c r="A829" s="250"/>
      <c r="B829" s="251"/>
      <c r="C829" s="526"/>
      <c r="D829" s="292"/>
      <c r="E829" s="251"/>
      <c r="F829" s="735"/>
      <c r="G829" s="261"/>
      <c r="H829" s="261"/>
      <c r="I829" s="251"/>
      <c r="J829" s="261"/>
      <c r="K829" s="261"/>
      <c r="L829" s="261"/>
      <c r="M829" s="261"/>
      <c r="N829" s="289"/>
      <c r="O829" s="245"/>
      <c r="P829" s="258"/>
      <c r="Q829" s="257"/>
      <c r="R829" s="258"/>
      <c r="S829" s="257"/>
      <c r="T829" s="257"/>
      <c r="U829" s="257"/>
      <c r="V829" s="258"/>
      <c r="W829" s="257"/>
      <c r="X829" s="258"/>
      <c r="Y829" s="257"/>
      <c r="Z829" s="258"/>
      <c r="AA829" s="257"/>
      <c r="AB829" s="258"/>
      <c r="AC829" s="257"/>
    </row>
    <row r="830" spans="1:29" ht="25.5">
      <c r="A830" s="250">
        <f>A827+1</f>
        <v>159</v>
      </c>
      <c r="B830" s="251"/>
      <c r="C830" s="647" t="s">
        <v>846</v>
      </c>
      <c r="D830" s="526" t="s">
        <v>2142</v>
      </c>
      <c r="E830" s="251" t="s">
        <v>2461</v>
      </c>
      <c r="F830" s="735">
        <f>N830+R830+P830+T830+V830+X830+Z830+AB830</f>
        <v>1.5</v>
      </c>
      <c r="G830" s="872">
        <v>186.78</v>
      </c>
      <c r="H830" s="261">
        <f>O830+S830+Q830+U830+W830+Y830+AA830+AC830</f>
        <v>280.17</v>
      </c>
      <c r="I830" s="251" t="s">
        <v>2461</v>
      </c>
      <c r="J830" s="872"/>
      <c r="K830" s="872"/>
      <c r="L830" s="872"/>
      <c r="M830" s="872"/>
      <c r="N830" s="258">
        <v>1.5</v>
      </c>
      <c r="O830" s="257">
        <f>INT($G830*N830*100+0.5)/100</f>
        <v>280.17</v>
      </c>
      <c r="P830" s="258">
        <v>0</v>
      </c>
      <c r="Q830" s="257">
        <f>INT($G830*P830*100+0.5)/100</f>
        <v>0</v>
      </c>
      <c r="R830" s="258">
        <v>0</v>
      </c>
      <c r="S830" s="257">
        <f>INT($G830*R830*100+0.5)/100</f>
        <v>0</v>
      </c>
      <c r="T830" s="257"/>
      <c r="U830" s="257"/>
      <c r="V830" s="258">
        <v>0</v>
      </c>
      <c r="W830" s="257">
        <f>INT($G830*V830*100+0.5)/100</f>
        <v>0</v>
      </c>
      <c r="X830" s="258">
        <v>0</v>
      </c>
      <c r="Y830" s="257">
        <f>INT($G830*X830*100+0.5)/100</f>
        <v>0</v>
      </c>
      <c r="Z830" s="258">
        <v>0</v>
      </c>
      <c r="AA830" s="257">
        <f>INT($G830*Z830*100+0.5)/100</f>
        <v>0</v>
      </c>
      <c r="AB830" s="258">
        <v>0</v>
      </c>
      <c r="AC830" s="257">
        <f>INT($G830*AB830*100+0.5)/100</f>
        <v>0</v>
      </c>
    </row>
    <row r="831" spans="1:29" ht="25.5">
      <c r="A831" s="250"/>
      <c r="B831" s="251"/>
      <c r="C831" s="526"/>
      <c r="D831" s="526" t="s">
        <v>2141</v>
      </c>
      <c r="E831" s="251"/>
      <c r="F831" s="735"/>
      <c r="G831" s="261"/>
      <c r="H831" s="261"/>
      <c r="I831" s="251"/>
      <c r="J831" s="261"/>
      <c r="K831" s="261"/>
      <c r="L831" s="261"/>
      <c r="M831" s="261"/>
      <c r="N831" s="258"/>
      <c r="O831" s="257"/>
      <c r="P831" s="258"/>
      <c r="Q831" s="257"/>
      <c r="R831" s="258"/>
      <c r="S831" s="257"/>
      <c r="T831" s="257"/>
      <c r="U831" s="257"/>
      <c r="V831" s="258"/>
      <c r="W831" s="257"/>
      <c r="X831" s="258"/>
      <c r="Y831" s="257"/>
      <c r="Z831" s="258"/>
      <c r="AA831" s="257"/>
      <c r="AB831" s="258"/>
      <c r="AC831" s="257"/>
    </row>
    <row r="832" spans="1:29" ht="15">
      <c r="A832" s="250"/>
      <c r="B832" s="251"/>
      <c r="C832" s="526"/>
      <c r="D832" s="292"/>
      <c r="E832" s="251"/>
      <c r="F832" s="735"/>
      <c r="G832" s="261"/>
      <c r="H832" s="261"/>
      <c r="I832" s="251"/>
      <c r="J832" s="261"/>
      <c r="K832" s="261"/>
      <c r="L832" s="261"/>
      <c r="M832" s="261"/>
      <c r="N832" s="258"/>
      <c r="O832" s="257"/>
      <c r="P832" s="258"/>
      <c r="Q832" s="257"/>
      <c r="R832" s="258"/>
      <c r="S832" s="257"/>
      <c r="T832" s="257"/>
      <c r="U832" s="257"/>
      <c r="V832" s="258"/>
      <c r="W832" s="257"/>
      <c r="X832" s="258"/>
      <c r="Y832" s="257"/>
      <c r="Z832" s="258"/>
      <c r="AA832" s="257"/>
      <c r="AB832" s="258"/>
      <c r="AC832" s="257"/>
    </row>
    <row r="833" spans="1:29" s="281" customFormat="1" ht="15.6" hidden="1" customHeight="1">
      <c r="A833" s="757" t="s">
        <v>2510</v>
      </c>
      <c r="B833" s="277"/>
      <c r="C833" s="550" t="s">
        <v>923</v>
      </c>
      <c r="D833" s="527"/>
      <c r="E833" s="277" t="s">
        <v>2461</v>
      </c>
      <c r="F833" s="735">
        <f>N833+R833+P833+V833+X833+Z833+AB833</f>
        <v>0</v>
      </c>
      <c r="G833" s="663">
        <v>5.3</v>
      </c>
      <c r="H833" s="261">
        <f>O833+S833+Q833+W833+Y833+AA833+AC833</f>
        <v>0</v>
      </c>
      <c r="I833" s="251" t="s">
        <v>2461</v>
      </c>
      <c r="J833" s="663"/>
      <c r="K833" s="663"/>
      <c r="L833" s="663"/>
      <c r="M833" s="663"/>
      <c r="N833" s="258">
        <v>0</v>
      </c>
      <c r="O833" s="257">
        <f>INT($G833*N833*100+0.5)/100</f>
        <v>0</v>
      </c>
      <c r="P833" s="258">
        <v>0</v>
      </c>
      <c r="Q833" s="257">
        <f>INT($G833*P833*100+0.5)/100</f>
        <v>0</v>
      </c>
      <c r="R833" s="258">
        <v>0</v>
      </c>
      <c r="S833" s="257">
        <f>INT($G833*R833*100+0.5)/100</f>
        <v>0</v>
      </c>
      <c r="T833" s="257"/>
      <c r="U833" s="257"/>
      <c r="V833" s="258">
        <v>0</v>
      </c>
      <c r="W833" s="257">
        <f>INT($G833*V833*100+0.5)/100</f>
        <v>0</v>
      </c>
      <c r="X833" s="258">
        <v>0</v>
      </c>
      <c r="Y833" s="257">
        <f>INT($G833*X833*100+0.5)/100</f>
        <v>0</v>
      </c>
      <c r="Z833" s="258">
        <v>0</v>
      </c>
      <c r="AA833" s="257">
        <f>INT($G833*Z833*100+0.5)/100</f>
        <v>0</v>
      </c>
      <c r="AB833" s="258">
        <v>0</v>
      </c>
      <c r="AC833" s="257">
        <f>INT($G833*AB833*100+0.5)/100</f>
        <v>0</v>
      </c>
    </row>
    <row r="834" spans="1:29" s="281" customFormat="1" ht="15.6" hidden="1" customHeight="1">
      <c r="A834" s="463"/>
      <c r="B834" s="277"/>
      <c r="C834" s="527"/>
      <c r="D834" s="527" t="s">
        <v>924</v>
      </c>
      <c r="E834" s="277"/>
      <c r="F834" s="735"/>
      <c r="G834" s="261"/>
      <c r="H834" s="261"/>
      <c r="I834" s="251"/>
      <c r="J834" s="261"/>
      <c r="K834" s="261"/>
      <c r="L834" s="261"/>
      <c r="M834" s="261"/>
      <c r="N834" s="258"/>
      <c r="O834" s="257"/>
      <c r="P834" s="258"/>
      <c r="Q834" s="257"/>
      <c r="R834" s="258"/>
      <c r="S834" s="257"/>
      <c r="T834" s="257"/>
      <c r="U834" s="257"/>
      <c r="V834" s="258"/>
      <c r="W834" s="257"/>
      <c r="X834" s="258"/>
      <c r="Y834" s="257"/>
      <c r="Z834" s="258"/>
      <c r="AA834" s="257"/>
      <c r="AB834" s="258"/>
      <c r="AC834" s="257"/>
    </row>
    <row r="835" spans="1:29" ht="15.6" hidden="1" customHeight="1">
      <c r="A835" s="250"/>
      <c r="B835" s="251"/>
      <c r="C835" s="526"/>
      <c r="D835" s="292"/>
      <c r="E835" s="251"/>
      <c r="F835" s="735"/>
      <c r="G835" s="261"/>
      <c r="H835" s="261"/>
      <c r="I835" s="251"/>
      <c r="J835" s="261"/>
      <c r="K835" s="261"/>
      <c r="L835" s="261"/>
      <c r="M835" s="261"/>
      <c r="N835" s="258"/>
      <c r="O835" s="257"/>
      <c r="P835" s="258"/>
      <c r="Q835" s="257"/>
      <c r="R835" s="258"/>
      <c r="S835" s="257"/>
      <c r="T835" s="257"/>
      <c r="U835" s="257"/>
      <c r="V835" s="258"/>
      <c r="W835" s="257"/>
      <c r="X835" s="258"/>
      <c r="Y835" s="257"/>
      <c r="Z835" s="258"/>
      <c r="AA835" s="257"/>
      <c r="AB835" s="258"/>
      <c r="AC835" s="257"/>
    </row>
    <row r="836" spans="1:29" ht="15">
      <c r="A836" s="250">
        <f>A830+1</f>
        <v>160</v>
      </c>
      <c r="B836" s="251"/>
      <c r="C836" s="654" t="s">
        <v>423</v>
      </c>
      <c r="D836" s="526" t="s">
        <v>425</v>
      </c>
      <c r="E836" s="251"/>
      <c r="F836" s="735"/>
      <c r="G836" s="261"/>
      <c r="H836" s="261"/>
      <c r="I836" s="251"/>
      <c r="J836" s="261"/>
      <c r="K836" s="261"/>
      <c r="L836" s="261"/>
      <c r="M836" s="261"/>
      <c r="N836" s="258"/>
      <c r="O836" s="257"/>
      <c r="P836" s="258"/>
      <c r="Q836" s="257"/>
      <c r="R836" s="258"/>
      <c r="S836" s="257"/>
      <c r="T836" s="257"/>
      <c r="U836" s="257"/>
      <c r="V836" s="258"/>
      <c r="W836" s="257"/>
      <c r="X836" s="258"/>
      <c r="Y836" s="257"/>
      <c r="Z836" s="258"/>
      <c r="AA836" s="257"/>
      <c r="AB836" s="258"/>
      <c r="AC836" s="257"/>
    </row>
    <row r="837" spans="1:29" ht="15">
      <c r="A837" s="250"/>
      <c r="B837" s="251"/>
      <c r="C837" s="647"/>
      <c r="D837" s="526" t="s">
        <v>424</v>
      </c>
      <c r="E837" s="251"/>
      <c r="F837" s="735"/>
      <c r="G837" s="261"/>
      <c r="H837" s="261"/>
      <c r="I837" s="251"/>
      <c r="J837" s="261"/>
      <c r="K837" s="261"/>
      <c r="L837" s="261"/>
      <c r="M837" s="261"/>
      <c r="N837" s="258"/>
      <c r="O837" s="257"/>
      <c r="P837" s="258"/>
      <c r="Q837" s="257"/>
      <c r="R837" s="258"/>
      <c r="S837" s="257"/>
      <c r="T837" s="257"/>
      <c r="U837" s="257"/>
      <c r="V837" s="258"/>
      <c r="W837" s="257"/>
      <c r="X837" s="258"/>
      <c r="Y837" s="257"/>
      <c r="Z837" s="258"/>
      <c r="AA837" s="257"/>
      <c r="AB837" s="258"/>
      <c r="AC837" s="257"/>
    </row>
    <row r="838" spans="1:29" ht="15">
      <c r="A838" s="250" t="s">
        <v>1903</v>
      </c>
      <c r="B838" s="251"/>
      <c r="C838" s="647" t="s">
        <v>824</v>
      </c>
      <c r="D838" s="292" t="s">
        <v>427</v>
      </c>
      <c r="E838" s="251" t="s">
        <v>2475</v>
      </c>
      <c r="F838" s="735">
        <f>N838+R838+P838+T838+V838+X838+Z838+AB838</f>
        <v>110</v>
      </c>
      <c r="G838" s="872">
        <v>7.05</v>
      </c>
      <c r="H838" s="261">
        <f>O838+S838+Q838+U838+W838+Y838+AA838+AC838</f>
        <v>775.5</v>
      </c>
      <c r="I838" s="251" t="s">
        <v>2475</v>
      </c>
      <c r="J838" s="872"/>
      <c r="K838" s="872"/>
      <c r="L838" s="872"/>
      <c r="M838" s="872"/>
      <c r="N838" s="258">
        <v>0</v>
      </c>
      <c r="O838" s="257">
        <f>INT($G838*N838*100+0.5)/100</f>
        <v>0</v>
      </c>
      <c r="P838" s="258">
        <f>90+20</f>
        <v>110</v>
      </c>
      <c r="Q838" s="257">
        <f>INT($G838*P838*100+0.5)/100</f>
        <v>775.5</v>
      </c>
      <c r="R838" s="258">
        <v>0</v>
      </c>
      <c r="S838" s="257">
        <f>INT($G838*R838*100+0.5)/100</f>
        <v>0</v>
      </c>
      <c r="T838" s="257"/>
      <c r="U838" s="257"/>
      <c r="V838" s="258">
        <v>0</v>
      </c>
      <c r="W838" s="257">
        <f>INT($G838*V838*100+0.5)/100</f>
        <v>0</v>
      </c>
      <c r="X838" s="258">
        <v>0</v>
      </c>
      <c r="Y838" s="257">
        <f>INT($G838*X838*100+0.5)/100</f>
        <v>0</v>
      </c>
      <c r="Z838" s="258">
        <v>0</v>
      </c>
      <c r="AA838" s="257">
        <f>INT($G838*Z838*100+0.5)/100</f>
        <v>0</v>
      </c>
      <c r="AB838" s="258">
        <v>0</v>
      </c>
      <c r="AC838" s="257">
        <f>INT($G838*AB838*100+0.5)/100</f>
        <v>0</v>
      </c>
    </row>
    <row r="839" spans="1:29" ht="15">
      <c r="A839" s="250" t="s">
        <v>1905</v>
      </c>
      <c r="B839" s="251"/>
      <c r="C839" s="647" t="s">
        <v>825</v>
      </c>
      <c r="D839" s="292" t="s">
        <v>426</v>
      </c>
      <c r="E839" s="251" t="s">
        <v>2475</v>
      </c>
      <c r="F839" s="735">
        <f>N839+R839+P839+T839+V839+X839+Z839+AB839</f>
        <v>420</v>
      </c>
      <c r="G839" s="872">
        <v>12.46</v>
      </c>
      <c r="H839" s="261">
        <f>O839+S839+Q839+U839+W839+Y839+AA839+AC839</f>
        <v>5233.2</v>
      </c>
      <c r="I839" s="251" t="s">
        <v>2475</v>
      </c>
      <c r="J839" s="872"/>
      <c r="K839" s="872"/>
      <c r="L839" s="872"/>
      <c r="M839" s="872"/>
      <c r="N839" s="258">
        <v>0</v>
      </c>
      <c r="O839" s="257">
        <f>INT($G839*N839*100+0.5)/100</f>
        <v>0</v>
      </c>
      <c r="P839" s="258">
        <f>(23+136.5+101.5+132.5+10)+16.5</f>
        <v>420</v>
      </c>
      <c r="Q839" s="257">
        <f>INT($G839*P839*100+0.5)/100</f>
        <v>5233.2</v>
      </c>
      <c r="R839" s="258">
        <v>0</v>
      </c>
      <c r="S839" s="257">
        <f>INT($G839*R839*100+0.5)/100</f>
        <v>0</v>
      </c>
      <c r="T839" s="257"/>
      <c r="U839" s="257"/>
      <c r="V839" s="258">
        <v>0</v>
      </c>
      <c r="W839" s="257">
        <f>INT($G839*V839*100+0.5)/100</f>
        <v>0</v>
      </c>
      <c r="X839" s="258">
        <v>0</v>
      </c>
      <c r="Y839" s="257">
        <f>INT($G839*X839*100+0.5)/100</f>
        <v>0</v>
      </c>
      <c r="Z839" s="258">
        <v>0</v>
      </c>
      <c r="AA839" s="257">
        <f>INT($G839*Z839*100+0.5)/100</f>
        <v>0</v>
      </c>
      <c r="AB839" s="258">
        <v>0</v>
      </c>
      <c r="AC839" s="257">
        <f>INT($G839*AB839*100+0.5)/100</f>
        <v>0</v>
      </c>
    </row>
    <row r="840" spans="1:29" ht="15">
      <c r="A840" s="250"/>
      <c r="B840" s="251"/>
      <c r="C840" s="526"/>
      <c r="D840" s="292"/>
      <c r="E840" s="251"/>
      <c r="F840" s="735"/>
      <c r="G840" s="261"/>
      <c r="H840" s="261"/>
      <c r="I840" s="251"/>
      <c r="J840" s="261"/>
      <c r="K840" s="261"/>
      <c r="L840" s="261"/>
      <c r="M840" s="261"/>
      <c r="N840" s="258"/>
      <c r="O840" s="257"/>
      <c r="P840" s="258"/>
      <c r="Q840" s="257"/>
      <c r="R840" s="258"/>
      <c r="S840" s="257"/>
      <c r="T840" s="257"/>
      <c r="U840" s="257"/>
      <c r="V840" s="258"/>
      <c r="W840" s="257"/>
      <c r="X840" s="258"/>
      <c r="Y840" s="257"/>
      <c r="Z840" s="258"/>
      <c r="AA840" s="257"/>
      <c r="AB840" s="258"/>
      <c r="AC840" s="257"/>
    </row>
    <row r="841" spans="1:29" ht="15">
      <c r="A841" s="250">
        <f>A836+1</f>
        <v>161</v>
      </c>
      <c r="B841" s="251"/>
      <c r="C841" s="532" t="s">
        <v>827</v>
      </c>
      <c r="D841" s="526" t="s">
        <v>531</v>
      </c>
      <c r="E841" s="251" t="s">
        <v>1901</v>
      </c>
      <c r="F841" s="735">
        <f>N841+R841+P841+T841+V841+X841+Z841+AB841</f>
        <v>7</v>
      </c>
      <c r="G841" s="261">
        <f>190</f>
        <v>190</v>
      </c>
      <c r="H841" s="261">
        <f>O841+S841+Q841+U841+W841+Y841+AA841+AC841</f>
        <v>1330</v>
      </c>
      <c r="I841" s="251" t="s">
        <v>1901</v>
      </c>
      <c r="J841" s="261"/>
      <c r="K841" s="261"/>
      <c r="L841" s="261"/>
      <c r="M841" s="261"/>
      <c r="N841" s="258">
        <f>1+2+4</f>
        <v>7</v>
      </c>
      <c r="O841" s="257">
        <f>INT($G841*N841*100+0.5)/100</f>
        <v>1330</v>
      </c>
      <c r="P841" s="258">
        <v>0</v>
      </c>
      <c r="Q841" s="245">
        <f>INT($G841*P841*100+0.5)/100</f>
        <v>0</v>
      </c>
      <c r="R841" s="258">
        <v>0</v>
      </c>
      <c r="S841" s="257">
        <f>INT($G841*R841*100+0.5)/100</f>
        <v>0</v>
      </c>
      <c r="T841" s="257"/>
      <c r="U841" s="257"/>
      <c r="V841" s="258">
        <v>0</v>
      </c>
      <c r="W841" s="257">
        <f>INT($G841*V841*100+0.5)/100</f>
        <v>0</v>
      </c>
      <c r="X841" s="258">
        <v>0</v>
      </c>
      <c r="Y841" s="257">
        <f>INT($G841*X841*100+0.5)/100</f>
        <v>0</v>
      </c>
      <c r="Z841" s="258">
        <v>0</v>
      </c>
      <c r="AA841" s="257">
        <f>INT($G841*Z841*100+0.5)/100</f>
        <v>0</v>
      </c>
      <c r="AB841" s="258">
        <v>0</v>
      </c>
      <c r="AC841" s="257">
        <f>INT($G841*AB841*100+0.5)/100</f>
        <v>0</v>
      </c>
    </row>
    <row r="842" spans="1:29" ht="15">
      <c r="A842" s="250"/>
      <c r="B842" s="251"/>
      <c r="C842" s="526"/>
      <c r="D842" s="526" t="s">
        <v>530</v>
      </c>
      <c r="E842" s="251"/>
      <c r="F842" s="735"/>
      <c r="G842" s="261"/>
      <c r="H842" s="261"/>
      <c r="I842" s="251"/>
      <c r="J842" s="261"/>
      <c r="K842" s="261"/>
      <c r="L842" s="261"/>
      <c r="M842" s="261"/>
      <c r="N842" s="258"/>
      <c r="O842" s="257"/>
      <c r="P842" s="258"/>
      <c r="Q842" s="245"/>
      <c r="R842" s="258"/>
      <c r="S842" s="257"/>
      <c r="T842" s="257"/>
      <c r="U842" s="257"/>
      <c r="V842" s="258"/>
      <c r="W842" s="257"/>
      <c r="X842" s="258"/>
      <c r="Y842" s="257"/>
      <c r="Z842" s="258"/>
      <c r="AA842" s="257"/>
      <c r="AB842" s="258"/>
      <c r="AC842" s="257"/>
    </row>
    <row r="843" spans="1:29" ht="15">
      <c r="A843" s="250"/>
      <c r="B843" s="251"/>
      <c r="C843" s="526"/>
      <c r="D843" s="292"/>
      <c r="E843" s="251"/>
      <c r="F843" s="735"/>
      <c r="G843" s="261"/>
      <c r="H843" s="261"/>
      <c r="I843" s="251"/>
      <c r="J843" s="261"/>
      <c r="K843" s="261"/>
      <c r="L843" s="261"/>
      <c r="M843" s="261"/>
      <c r="N843" s="258"/>
      <c r="O843" s="257"/>
      <c r="P843" s="258"/>
      <c r="Q843" s="245"/>
      <c r="R843" s="258"/>
      <c r="S843" s="257"/>
      <c r="T843" s="257"/>
      <c r="U843" s="257"/>
      <c r="V843" s="258"/>
      <c r="W843" s="257"/>
      <c r="X843" s="258"/>
      <c r="Y843" s="257"/>
      <c r="Z843" s="258"/>
      <c r="AA843" s="257"/>
      <c r="AB843" s="258"/>
      <c r="AC843" s="257"/>
    </row>
    <row r="844" spans="1:29" ht="15">
      <c r="A844" s="250">
        <f>A841+1</f>
        <v>162</v>
      </c>
      <c r="B844" s="251"/>
      <c r="C844" s="532" t="s">
        <v>828</v>
      </c>
      <c r="D844" s="526" t="s">
        <v>532</v>
      </c>
      <c r="E844" s="251" t="s">
        <v>3334</v>
      </c>
      <c r="F844" s="735">
        <f>N844+R844+P844+T844+V844+X844+Z844+AB844</f>
        <v>7</v>
      </c>
      <c r="G844" s="261">
        <v>100</v>
      </c>
      <c r="H844" s="261">
        <f>O844+S844+Q844+U844+W844+Y844+AA844+AC844</f>
        <v>700</v>
      </c>
      <c r="I844" s="251" t="s">
        <v>3334</v>
      </c>
      <c r="J844" s="261"/>
      <c r="K844" s="261"/>
      <c r="L844" s="261"/>
      <c r="M844" s="261"/>
      <c r="N844" s="258">
        <f>N841</f>
        <v>7</v>
      </c>
      <c r="O844" s="257">
        <f>INT($G844*N844*100+0.5)/100</f>
        <v>700</v>
      </c>
      <c r="P844" s="258">
        <v>0</v>
      </c>
      <c r="Q844" s="245">
        <f>INT($G844*P844*100+0.5)/100</f>
        <v>0</v>
      </c>
      <c r="R844" s="258">
        <v>0</v>
      </c>
      <c r="S844" s="257">
        <f>INT($G844*R844*100+0.5)/100</f>
        <v>0</v>
      </c>
      <c r="T844" s="257"/>
      <c r="U844" s="257"/>
      <c r="V844" s="258">
        <v>0</v>
      </c>
      <c r="W844" s="257">
        <f>INT($G844*V844*100+0.5)/100</f>
        <v>0</v>
      </c>
      <c r="X844" s="258">
        <v>0</v>
      </c>
      <c r="Y844" s="257">
        <f>INT($G844*X844*100+0.5)/100</f>
        <v>0</v>
      </c>
      <c r="Z844" s="258">
        <v>0</v>
      </c>
      <c r="AA844" s="257">
        <f>INT($G844*Z844*100+0.5)/100</f>
        <v>0</v>
      </c>
      <c r="AB844" s="258">
        <v>0</v>
      </c>
      <c r="AC844" s="257">
        <f>INT($G844*AB844*100+0.5)/100</f>
        <v>0</v>
      </c>
    </row>
    <row r="845" spans="1:29" ht="15">
      <c r="A845" s="250"/>
      <c r="B845" s="251"/>
      <c r="C845" s="526"/>
      <c r="D845" s="526" t="s">
        <v>463</v>
      </c>
      <c r="E845" s="251"/>
      <c r="F845" s="735"/>
      <c r="G845" s="261"/>
      <c r="H845" s="261"/>
      <c r="I845" s="251"/>
      <c r="J845" s="261"/>
      <c r="K845" s="261"/>
      <c r="L845" s="261"/>
      <c r="M845" s="261"/>
      <c r="N845" s="258"/>
      <c r="O845" s="257"/>
      <c r="P845" s="258"/>
      <c r="Q845" s="257"/>
      <c r="R845" s="258"/>
      <c r="S845" s="257"/>
      <c r="T845" s="257"/>
      <c r="U845" s="257"/>
      <c r="V845" s="258"/>
      <c r="W845" s="257"/>
      <c r="X845" s="258"/>
      <c r="Y845" s="257"/>
      <c r="Z845" s="258"/>
      <c r="AA845" s="257"/>
      <c r="AB845" s="258"/>
      <c r="AC845" s="257"/>
    </row>
    <row r="846" spans="1:29" ht="15">
      <c r="A846" s="250"/>
      <c r="B846" s="251"/>
      <c r="C846" s="526"/>
      <c r="E846" s="251"/>
      <c r="F846" s="735"/>
      <c r="G846" s="261"/>
      <c r="H846" s="261"/>
      <c r="I846" s="251"/>
      <c r="J846" s="261"/>
      <c r="K846" s="261"/>
      <c r="L846" s="261"/>
      <c r="M846" s="261"/>
      <c r="N846" s="258"/>
      <c r="O846" s="257"/>
      <c r="P846" s="258"/>
      <c r="Q846" s="257"/>
      <c r="R846" s="258"/>
      <c r="S846" s="257"/>
      <c r="T846" s="257"/>
      <c r="U846" s="257"/>
      <c r="V846" s="258"/>
      <c r="W846" s="257"/>
      <c r="X846" s="258"/>
      <c r="Y846" s="257"/>
      <c r="Z846" s="258"/>
      <c r="AA846" s="257"/>
      <c r="AB846" s="258"/>
      <c r="AC846" s="257"/>
    </row>
    <row r="847" spans="1:29" s="303" customFormat="1" ht="30">
      <c r="A847" s="298"/>
      <c r="B847" s="299"/>
      <c r="C847" s="266" t="s">
        <v>1572</v>
      </c>
      <c r="D847" s="333" t="s">
        <v>1573</v>
      </c>
      <c r="E847" s="299"/>
      <c r="F847" s="782"/>
      <c r="G847" s="271"/>
      <c r="H847" s="271">
        <f>O847+S847+Q847+U847+W847+Y847+AA847+AC847</f>
        <v>142765.91999999995</v>
      </c>
      <c r="I847" s="299"/>
      <c r="J847" s="271"/>
      <c r="K847" s="271"/>
      <c r="L847" s="271"/>
      <c r="M847" s="271"/>
      <c r="N847" s="273"/>
      <c r="O847" s="273">
        <f>SUM(O676:O846)</f>
        <v>33804.219999999987</v>
      </c>
      <c r="P847" s="273"/>
      <c r="Q847" s="273">
        <f>SUM(Q676:Q846)</f>
        <v>91072.999999999985</v>
      </c>
      <c r="R847" s="273"/>
      <c r="S847" s="273">
        <f>SUM(S676:S846)</f>
        <v>16808.399999999998</v>
      </c>
      <c r="T847" s="273"/>
      <c r="U847" s="273">
        <f>SUM(U676:U846)</f>
        <v>0</v>
      </c>
      <c r="V847" s="273"/>
      <c r="W847" s="273">
        <f>SUM(W676:W846)</f>
        <v>1080.3</v>
      </c>
      <c r="X847" s="273"/>
      <c r="Y847" s="273">
        <f>SUM(Y676:Y846)</f>
        <v>0</v>
      </c>
      <c r="Z847" s="273"/>
      <c r="AA847" s="273">
        <f>SUM(AA676:AA846)</f>
        <v>0</v>
      </c>
      <c r="AB847" s="273"/>
      <c r="AC847" s="273">
        <f>SUM(AC676:AC846)</f>
        <v>0</v>
      </c>
    </row>
    <row r="848" spans="1:29" ht="15">
      <c r="A848" s="250"/>
      <c r="B848" s="251"/>
      <c r="C848" s="453"/>
      <c r="D848" s="330"/>
      <c r="E848" s="251"/>
      <c r="F848" s="735"/>
      <c r="G848" s="261"/>
      <c r="H848" s="737"/>
      <c r="I848" s="251"/>
      <c r="J848" s="261"/>
      <c r="K848" s="261"/>
      <c r="L848" s="261"/>
      <c r="M848" s="261"/>
      <c r="N848" s="258"/>
      <c r="O848" s="494"/>
      <c r="P848" s="258"/>
      <c r="Q848" s="257"/>
      <c r="R848" s="258"/>
      <c r="S848" s="257"/>
      <c r="T848" s="257"/>
      <c r="U848" s="257"/>
      <c r="V848" s="258"/>
      <c r="W848" s="257"/>
      <c r="X848" s="258"/>
      <c r="Y848" s="257"/>
      <c r="Z848" s="258"/>
      <c r="AA848" s="257"/>
      <c r="AB848" s="258"/>
      <c r="AC848" s="257"/>
    </row>
    <row r="849" spans="1:29" ht="15">
      <c r="A849" s="250"/>
      <c r="B849" s="251"/>
      <c r="C849" s="745" t="s">
        <v>1575</v>
      </c>
      <c r="D849" s="747" t="s">
        <v>1580</v>
      </c>
      <c r="E849" s="251"/>
      <c r="F849" s="733"/>
      <c r="G849" s="261"/>
      <c r="H849" s="261"/>
      <c r="I849" s="251"/>
      <c r="J849" s="261"/>
      <c r="K849" s="261"/>
      <c r="L849" s="261"/>
      <c r="M849" s="261"/>
      <c r="N849" s="258"/>
      <c r="O849" s="257"/>
      <c r="P849" s="258"/>
      <c r="Q849" s="257"/>
      <c r="R849" s="258"/>
      <c r="S849" s="257"/>
      <c r="T849" s="257"/>
      <c r="U849" s="257"/>
      <c r="V849" s="258"/>
      <c r="W849" s="257"/>
      <c r="X849" s="258"/>
      <c r="Y849" s="257"/>
      <c r="Z849" s="258"/>
      <c r="AA849" s="257"/>
      <c r="AB849" s="258"/>
      <c r="AC849" s="257"/>
    </row>
    <row r="850" spans="1:29" ht="15">
      <c r="A850" s="250">
        <f>A844+1</f>
        <v>163</v>
      </c>
      <c r="B850" s="251"/>
      <c r="C850" s="647" t="s">
        <v>3335</v>
      </c>
      <c r="D850" s="526" t="s">
        <v>430</v>
      </c>
      <c r="E850" s="251" t="s">
        <v>1620</v>
      </c>
      <c r="F850" s="735">
        <f>N850+R850+P850+T850+V850+X850+Z850+AB850</f>
        <v>80</v>
      </c>
      <c r="G850" s="872">
        <v>0.83</v>
      </c>
      <c r="H850" s="261">
        <f>O850+S850+Q850+U850+W850+Y850+AA850+AC850</f>
        <v>66.400000000000006</v>
      </c>
      <c r="I850" s="251" t="s">
        <v>1620</v>
      </c>
      <c r="J850" s="872"/>
      <c r="K850" s="872"/>
      <c r="L850" s="872"/>
      <c r="M850" s="872"/>
      <c r="N850" s="258">
        <v>80</v>
      </c>
      <c r="O850" s="257">
        <f>INT($G850*N850*100+0.5)/100</f>
        <v>66.400000000000006</v>
      </c>
      <c r="P850" s="258">
        <v>0</v>
      </c>
      <c r="Q850" s="257">
        <f>INT($G850*P850*100+0.5)/100</f>
        <v>0</v>
      </c>
      <c r="R850" s="258">
        <v>0</v>
      </c>
      <c r="S850" s="257">
        <f>INT($G850*R850*100+0.5)/100</f>
        <v>0</v>
      </c>
      <c r="T850" s="257"/>
      <c r="U850" s="257"/>
      <c r="V850" s="258">
        <v>0</v>
      </c>
      <c r="W850" s="257">
        <f>INT($G850*V850*100+0.5)/100</f>
        <v>0</v>
      </c>
      <c r="X850" s="258">
        <v>0</v>
      </c>
      <c r="Y850" s="257">
        <f>INT($G850*X850*100+0.5)/100</f>
        <v>0</v>
      </c>
      <c r="Z850" s="258">
        <v>0</v>
      </c>
      <c r="AA850" s="257">
        <f>INT($G850*Z850*100+0.5)/100</f>
        <v>0</v>
      </c>
      <c r="AB850" s="258">
        <v>0</v>
      </c>
      <c r="AC850" s="257">
        <f>INT($G850*AB850*100+0.5)/100</f>
        <v>0</v>
      </c>
    </row>
    <row r="851" spans="1:29" ht="25.5">
      <c r="A851" s="250"/>
      <c r="B851" s="251"/>
      <c r="C851" s="251"/>
      <c r="D851" s="526" t="s">
        <v>431</v>
      </c>
      <c r="E851" s="251"/>
      <c r="F851" s="735"/>
      <c r="G851" s="261"/>
      <c r="H851" s="261"/>
      <c r="I851" s="251"/>
      <c r="J851" s="261"/>
      <c r="K851" s="261"/>
      <c r="L851" s="261"/>
      <c r="M851" s="261"/>
      <c r="N851" s="258"/>
      <c r="O851" s="257"/>
      <c r="P851" s="258"/>
      <c r="Q851" s="257"/>
      <c r="R851" s="258"/>
      <c r="S851" s="257"/>
      <c r="T851" s="257"/>
      <c r="U851" s="257"/>
      <c r="V851" s="258"/>
      <c r="W851" s="257"/>
      <c r="X851" s="258"/>
      <c r="Y851" s="257"/>
      <c r="Z851" s="258"/>
      <c r="AA851" s="257"/>
      <c r="AB851" s="258"/>
      <c r="AC851" s="257"/>
    </row>
    <row r="852" spans="1:29" ht="15">
      <c r="A852" s="250"/>
      <c r="B852" s="251"/>
      <c r="C852" s="251"/>
      <c r="D852" s="292"/>
      <c r="E852" s="251"/>
      <c r="F852" s="735"/>
      <c r="G852" s="261"/>
      <c r="H852" s="261"/>
      <c r="I852" s="251"/>
      <c r="J852" s="261"/>
      <c r="K852" s="261"/>
      <c r="L852" s="261"/>
      <c r="M852" s="261"/>
      <c r="N852" s="258"/>
      <c r="O852" s="257"/>
      <c r="P852" s="258"/>
      <c r="Q852" s="257"/>
      <c r="R852" s="258"/>
      <c r="S852" s="257"/>
      <c r="T852" s="257"/>
      <c r="U852" s="257"/>
      <c r="V852" s="258"/>
      <c r="W852" s="257"/>
      <c r="X852" s="258"/>
      <c r="Y852" s="257"/>
      <c r="Z852" s="258"/>
      <c r="AA852" s="257"/>
      <c r="AB852" s="258"/>
      <c r="AC852" s="257"/>
    </row>
    <row r="853" spans="1:29" ht="15">
      <c r="A853" s="250">
        <f>A850+1</f>
        <v>164</v>
      </c>
      <c r="B853" s="251"/>
      <c r="C853" s="647" t="s">
        <v>3336</v>
      </c>
      <c r="D853" s="526" t="s">
        <v>522</v>
      </c>
      <c r="E853" s="251" t="s">
        <v>1620</v>
      </c>
      <c r="F853" s="735">
        <f>N853+R853+P853+T853+V853+X853+Z853+AB853</f>
        <v>100</v>
      </c>
      <c r="G853" s="872">
        <v>1.06</v>
      </c>
      <c r="H853" s="261">
        <f>O853+S853+Q853+U853+W853+Y853+AA853+AC853</f>
        <v>106</v>
      </c>
      <c r="I853" s="251" t="s">
        <v>1620</v>
      </c>
      <c r="J853" s="872"/>
      <c r="K853" s="872"/>
      <c r="L853" s="872"/>
      <c r="M853" s="872"/>
      <c r="N853" s="258">
        <v>100</v>
      </c>
      <c r="O853" s="257">
        <f>INT($G853*N853*100+0.5)/100</f>
        <v>106</v>
      </c>
      <c r="P853" s="258">
        <v>0</v>
      </c>
      <c r="Q853" s="257">
        <f>INT($G853*P853*100+0.5)/100</f>
        <v>0</v>
      </c>
      <c r="R853" s="258">
        <v>0</v>
      </c>
      <c r="S853" s="257">
        <f>INT($G853*R853*100+0.5)/100</f>
        <v>0</v>
      </c>
      <c r="T853" s="257"/>
      <c r="U853" s="257"/>
      <c r="V853" s="258">
        <v>0</v>
      </c>
      <c r="W853" s="257">
        <f>INT($G853*V853*100+0.5)/100</f>
        <v>0</v>
      </c>
      <c r="X853" s="258">
        <v>0</v>
      </c>
      <c r="Y853" s="257">
        <f>INT($G853*X853*100+0.5)/100</f>
        <v>0</v>
      </c>
      <c r="Z853" s="258">
        <v>0</v>
      </c>
      <c r="AA853" s="257">
        <f>INT($G853*Z853*100+0.5)/100</f>
        <v>0</v>
      </c>
      <c r="AB853" s="258">
        <v>0</v>
      </c>
      <c r="AC853" s="257">
        <f>INT($G853*AB853*100+0.5)/100</f>
        <v>0</v>
      </c>
    </row>
    <row r="854" spans="1:29" ht="25.5">
      <c r="A854" s="250"/>
      <c r="B854" s="251"/>
      <c r="C854" s="251"/>
      <c r="D854" s="526" t="s">
        <v>523</v>
      </c>
      <c r="E854" s="251"/>
      <c r="F854" s="735"/>
      <c r="G854" s="261"/>
      <c r="H854" s="261"/>
      <c r="I854" s="251"/>
      <c r="J854" s="261"/>
      <c r="K854" s="261"/>
      <c r="L854" s="261"/>
      <c r="M854" s="261"/>
      <c r="N854" s="258"/>
      <c r="O854" s="257"/>
      <c r="P854" s="258"/>
      <c r="Q854" s="257"/>
      <c r="R854" s="258"/>
      <c r="S854" s="257"/>
      <c r="T854" s="257"/>
      <c r="U854" s="257"/>
      <c r="V854" s="258"/>
      <c r="W854" s="257"/>
      <c r="X854" s="258"/>
      <c r="Y854" s="257"/>
      <c r="Z854" s="258"/>
      <c r="AA854" s="257"/>
      <c r="AB854" s="258"/>
      <c r="AC854" s="257"/>
    </row>
    <row r="855" spans="1:29" ht="15">
      <c r="A855" s="250"/>
      <c r="B855" s="251"/>
      <c r="C855" s="251"/>
      <c r="D855" s="292"/>
      <c r="E855" s="251"/>
      <c r="F855" s="735"/>
      <c r="G855" s="872"/>
      <c r="H855" s="261"/>
      <c r="I855" s="251"/>
      <c r="J855" s="872"/>
      <c r="K855" s="872"/>
      <c r="L855" s="872"/>
      <c r="M855" s="872"/>
      <c r="N855" s="258"/>
      <c r="O855" s="257"/>
      <c r="P855" s="258"/>
      <c r="Q855" s="257"/>
      <c r="R855" s="258"/>
      <c r="S855" s="257"/>
      <c r="T855" s="257"/>
      <c r="U855" s="257"/>
      <c r="V855" s="258"/>
      <c r="W855" s="257"/>
      <c r="X855" s="258"/>
      <c r="Y855" s="257"/>
      <c r="Z855" s="258"/>
      <c r="AA855" s="257"/>
      <c r="AB855" s="258"/>
      <c r="AC855" s="257"/>
    </row>
    <row r="856" spans="1:29" ht="15">
      <c r="A856" s="250">
        <f>A853+1</f>
        <v>165</v>
      </c>
      <c r="B856" s="251"/>
      <c r="C856" s="647" t="s">
        <v>3337</v>
      </c>
      <c r="D856" s="526" t="s">
        <v>524</v>
      </c>
      <c r="E856" s="251" t="s">
        <v>1620</v>
      </c>
      <c r="F856" s="735">
        <f>N856+R856+P856+T856+V856+X856+Z856+AB856</f>
        <v>120</v>
      </c>
      <c r="G856" s="872">
        <v>1.22</v>
      </c>
      <c r="H856" s="261">
        <f>O856+S856+Q856+U856+W856+Y856+AA856+AC856</f>
        <v>146.4</v>
      </c>
      <c r="I856" s="251" t="s">
        <v>1620</v>
      </c>
      <c r="J856" s="872"/>
      <c r="K856" s="872"/>
      <c r="L856" s="872"/>
      <c r="M856" s="872"/>
      <c r="N856" s="258">
        <v>120</v>
      </c>
      <c r="O856" s="257">
        <f>INT($G856*N856*100+0.5)/100</f>
        <v>146.4</v>
      </c>
      <c r="P856" s="258">
        <v>0</v>
      </c>
      <c r="Q856" s="257">
        <f>INT($G856*P856*100+0.5)/100</f>
        <v>0</v>
      </c>
      <c r="R856" s="258">
        <v>0</v>
      </c>
      <c r="S856" s="257">
        <f>INT($G856*R856*100+0.5)/100</f>
        <v>0</v>
      </c>
      <c r="T856" s="257"/>
      <c r="U856" s="257"/>
      <c r="V856" s="258">
        <v>0</v>
      </c>
      <c r="W856" s="257">
        <f>INT($G856*V856*100+0.5)/100</f>
        <v>0</v>
      </c>
      <c r="X856" s="258">
        <v>0</v>
      </c>
      <c r="Y856" s="257">
        <f>INT($G856*X856*100+0.5)/100</f>
        <v>0</v>
      </c>
      <c r="Z856" s="258">
        <v>0</v>
      </c>
      <c r="AA856" s="257">
        <f>INT($G856*Z856*100+0.5)/100</f>
        <v>0</v>
      </c>
      <c r="AB856" s="258">
        <v>0</v>
      </c>
      <c r="AC856" s="257">
        <f>INT($G856*AB856*100+0.5)/100</f>
        <v>0</v>
      </c>
    </row>
    <row r="857" spans="1:29" ht="25.5">
      <c r="A857" s="250"/>
      <c r="B857" s="251"/>
      <c r="C857" s="251"/>
      <c r="D857" s="526" t="s">
        <v>525</v>
      </c>
      <c r="E857" s="251"/>
      <c r="F857" s="735"/>
      <c r="G857" s="261"/>
      <c r="H857" s="261"/>
      <c r="I857" s="251"/>
      <c r="J857" s="261"/>
      <c r="K857" s="261"/>
      <c r="L857" s="261"/>
      <c r="M857" s="261"/>
      <c r="N857" s="258"/>
      <c r="O857" s="257"/>
      <c r="P857" s="258"/>
      <c r="Q857" s="257"/>
      <c r="R857" s="258"/>
      <c r="S857" s="257"/>
      <c r="T857" s="257"/>
      <c r="U857" s="257"/>
      <c r="V857" s="258"/>
      <c r="W857" s="257"/>
      <c r="X857" s="258"/>
      <c r="Y857" s="257"/>
      <c r="Z857" s="258"/>
      <c r="AA857" s="257"/>
      <c r="AB857" s="258"/>
      <c r="AC857" s="257"/>
    </row>
    <row r="858" spans="1:29" ht="15">
      <c r="A858" s="250"/>
      <c r="B858" s="251"/>
      <c r="C858" s="251"/>
      <c r="D858" s="292"/>
      <c r="E858" s="251"/>
      <c r="F858" s="733"/>
      <c r="G858" s="261"/>
      <c r="H858" s="261"/>
      <c r="I858" s="251"/>
      <c r="J858" s="261"/>
      <c r="K858" s="261"/>
      <c r="L858" s="261"/>
      <c r="M858" s="261"/>
      <c r="N858" s="258"/>
      <c r="O858" s="257"/>
      <c r="P858" s="258"/>
      <c r="Q858" s="257"/>
      <c r="R858" s="258"/>
      <c r="S858" s="257"/>
      <c r="T858" s="257"/>
      <c r="U858" s="257"/>
      <c r="V858" s="258"/>
      <c r="W858" s="257"/>
      <c r="X858" s="258"/>
      <c r="Y858" s="257"/>
      <c r="Z858" s="258"/>
      <c r="AA858" s="257"/>
      <c r="AB858" s="258"/>
      <c r="AC858" s="257"/>
    </row>
    <row r="859" spans="1:29" ht="15">
      <c r="A859" s="250">
        <f>A856+1</f>
        <v>166</v>
      </c>
      <c r="B859" s="251"/>
      <c r="C859" s="647" t="s">
        <v>847</v>
      </c>
      <c r="D859" s="526" t="s">
        <v>269</v>
      </c>
      <c r="E859" s="251" t="s">
        <v>1620</v>
      </c>
      <c r="F859" s="735">
        <f>N859+R859+P859+T859+V859+X859+Z859+AB859</f>
        <v>4720</v>
      </c>
      <c r="G859" s="872">
        <v>2</v>
      </c>
      <c r="H859" s="261">
        <f>O859+S859+Q859+U859+W859+Y859+AA859+AC859</f>
        <v>9440</v>
      </c>
      <c r="I859" s="251" t="s">
        <v>1620</v>
      </c>
      <c r="J859" s="872"/>
      <c r="K859" s="872"/>
      <c r="L859" s="872"/>
      <c r="M859" s="872"/>
      <c r="N859" s="258">
        <f>4*80</f>
        <v>320</v>
      </c>
      <c r="O859" s="257">
        <f>INT($G859*N859*100+0.5)/100</f>
        <v>640</v>
      </c>
      <c r="P859" s="258">
        <f>(4+14+26)*100</f>
        <v>4400</v>
      </c>
      <c r="Q859" s="257">
        <f>INT($G859*P859*100+0.5)/100</f>
        <v>8800</v>
      </c>
      <c r="R859" s="258">
        <v>0</v>
      </c>
      <c r="S859" s="257">
        <f>INT($G859*R859*100+0.5)/100</f>
        <v>0</v>
      </c>
      <c r="T859" s="257"/>
      <c r="U859" s="257"/>
      <c r="V859" s="258">
        <v>0</v>
      </c>
      <c r="W859" s="257">
        <f>INT($G859*V859*100+0.5)/100</f>
        <v>0</v>
      </c>
      <c r="X859" s="258">
        <v>0</v>
      </c>
      <c r="Y859" s="257">
        <f>INT($G859*X859*100+0.5)/100</f>
        <v>0</v>
      </c>
      <c r="Z859" s="258">
        <v>0</v>
      </c>
      <c r="AA859" s="257">
        <f>INT($G859*Z859*100+0.5)/100</f>
        <v>0</v>
      </c>
      <c r="AB859" s="258">
        <v>0</v>
      </c>
      <c r="AC859" s="257">
        <f>INT($G859*AB859*100+0.5)/100</f>
        <v>0</v>
      </c>
    </row>
    <row r="860" spans="1:29" ht="25.5">
      <c r="A860" s="250"/>
      <c r="B860" s="251"/>
      <c r="C860" s="251"/>
      <c r="D860" s="526" t="s">
        <v>268</v>
      </c>
      <c r="E860" s="251"/>
      <c r="F860" s="735"/>
      <c r="G860" s="261"/>
      <c r="H860" s="261"/>
      <c r="I860" s="251"/>
      <c r="J860" s="261"/>
      <c r="K860" s="261"/>
      <c r="L860" s="261"/>
      <c r="M860" s="261"/>
      <c r="N860" s="258"/>
      <c r="O860" s="257"/>
      <c r="P860" s="258"/>
      <c r="Q860" s="257"/>
      <c r="R860" s="258"/>
      <c r="S860" s="257"/>
      <c r="T860" s="257"/>
      <c r="U860" s="257"/>
      <c r="V860" s="258"/>
      <c r="W860" s="257"/>
      <c r="X860" s="258"/>
      <c r="Y860" s="257"/>
      <c r="Z860" s="258"/>
      <c r="AA860" s="257"/>
      <c r="AB860" s="258"/>
      <c r="AC860" s="257"/>
    </row>
    <row r="861" spans="1:29" ht="15">
      <c r="A861" s="250"/>
      <c r="B861" s="251"/>
      <c r="C861" s="251"/>
      <c r="D861" s="292"/>
      <c r="E861" s="251"/>
      <c r="F861" s="735"/>
      <c r="G861" s="261"/>
      <c r="H861" s="261"/>
      <c r="I861" s="251"/>
      <c r="J861" s="261"/>
      <c r="K861" s="261"/>
      <c r="L861" s="261"/>
      <c r="M861" s="261"/>
      <c r="N861" s="258"/>
      <c r="O861" s="257"/>
      <c r="P861" s="258"/>
      <c r="Q861" s="257"/>
      <c r="R861" s="258"/>
      <c r="S861" s="257"/>
      <c r="T861" s="257"/>
      <c r="U861" s="257"/>
      <c r="V861" s="258"/>
      <c r="W861" s="257"/>
      <c r="X861" s="258"/>
      <c r="Y861" s="257"/>
      <c r="Z861" s="258"/>
      <c r="AA861" s="257"/>
      <c r="AB861" s="258"/>
      <c r="AC861" s="257"/>
    </row>
    <row r="862" spans="1:29" ht="15">
      <c r="A862" s="250">
        <f>A859+1</f>
        <v>167</v>
      </c>
      <c r="B862" s="251"/>
      <c r="C862" s="647" t="s">
        <v>3338</v>
      </c>
      <c r="D862" s="526" t="s">
        <v>271</v>
      </c>
      <c r="E862" s="251" t="s">
        <v>1620</v>
      </c>
      <c r="F862" s="735">
        <f>N862+R862+P862+T862+V862+X862+Z862+AB862</f>
        <v>280</v>
      </c>
      <c r="G862" s="872">
        <v>2.5</v>
      </c>
      <c r="H862" s="261">
        <f>O862+S862+Q862+U862+W862+Y862+AA862+AC862</f>
        <v>700</v>
      </c>
      <c r="I862" s="251" t="s">
        <v>1620</v>
      </c>
      <c r="J862" s="872"/>
      <c r="K862" s="872"/>
      <c r="L862" s="872"/>
      <c r="M862" s="872"/>
      <c r="N862" s="258">
        <f>2*80</f>
        <v>160</v>
      </c>
      <c r="O862" s="257">
        <f>INT($G862*N862*100+0.5)/100</f>
        <v>400</v>
      </c>
      <c r="P862" s="258">
        <v>120</v>
      </c>
      <c r="Q862" s="257">
        <f>INT($G862*P862*100+0.5)/100</f>
        <v>300</v>
      </c>
      <c r="R862" s="258">
        <v>0</v>
      </c>
      <c r="S862" s="257">
        <f>INT($G862*R862*100+0.5)/100</f>
        <v>0</v>
      </c>
      <c r="T862" s="257"/>
      <c r="U862" s="257"/>
      <c r="V862" s="258">
        <v>0</v>
      </c>
      <c r="W862" s="257">
        <f>INT($G862*V862*100+0.5)/100</f>
        <v>0</v>
      </c>
      <c r="X862" s="258">
        <v>0</v>
      </c>
      <c r="Y862" s="257">
        <f>INT($G862*X862*100+0.5)/100</f>
        <v>0</v>
      </c>
      <c r="Z862" s="258">
        <v>0</v>
      </c>
      <c r="AA862" s="257">
        <f>INT($G862*Z862*100+0.5)/100</f>
        <v>0</v>
      </c>
      <c r="AB862" s="258">
        <v>0</v>
      </c>
      <c r="AC862" s="257">
        <f>INT($G862*AB862*100+0.5)/100</f>
        <v>0</v>
      </c>
    </row>
    <row r="863" spans="1:29" ht="25.5">
      <c r="A863" s="250"/>
      <c r="B863" s="251"/>
      <c r="C863" s="251"/>
      <c r="D863" s="526" t="s">
        <v>270</v>
      </c>
      <c r="E863" s="251"/>
      <c r="F863" s="735"/>
      <c r="G863" s="261"/>
      <c r="H863" s="261"/>
      <c r="I863" s="251"/>
      <c r="J863" s="261"/>
      <c r="K863" s="261"/>
      <c r="L863" s="261"/>
      <c r="M863" s="261"/>
      <c r="N863" s="258"/>
      <c r="O863" s="257"/>
      <c r="P863" s="258"/>
      <c r="Q863" s="257"/>
      <c r="R863" s="258"/>
      <c r="S863" s="257"/>
      <c r="T863" s="257"/>
      <c r="U863" s="257"/>
      <c r="V863" s="258"/>
      <c r="W863" s="257"/>
      <c r="X863" s="258"/>
      <c r="Y863" s="257"/>
      <c r="Z863" s="258"/>
      <c r="AA863" s="257"/>
      <c r="AB863" s="258"/>
      <c r="AC863" s="257"/>
    </row>
    <row r="864" spans="1:29" ht="15">
      <c r="A864" s="250"/>
      <c r="B864" s="251"/>
      <c r="C864" s="251"/>
      <c r="D864" s="292"/>
      <c r="E864" s="251"/>
      <c r="F864" s="735"/>
      <c r="G864" s="261"/>
      <c r="H864" s="261"/>
      <c r="I864" s="251"/>
      <c r="J864" s="261"/>
      <c r="K864" s="261"/>
      <c r="L864" s="261"/>
      <c r="M864" s="261"/>
      <c r="N864" s="258"/>
      <c r="O864" s="257"/>
      <c r="P864" s="258"/>
      <c r="Q864" s="257"/>
      <c r="R864" s="258"/>
      <c r="S864" s="257"/>
      <c r="T864" s="257"/>
      <c r="U864" s="257"/>
      <c r="V864" s="258"/>
      <c r="W864" s="257"/>
      <c r="X864" s="258"/>
      <c r="Y864" s="257"/>
      <c r="Z864" s="258"/>
      <c r="AA864" s="257"/>
      <c r="AB864" s="258"/>
      <c r="AC864" s="257"/>
    </row>
    <row r="865" spans="1:29" ht="15">
      <c r="A865" s="250">
        <f>A862+1</f>
        <v>168</v>
      </c>
      <c r="B865" s="251"/>
      <c r="C865" s="647" t="s">
        <v>3022</v>
      </c>
      <c r="D865" s="526" t="s">
        <v>3023</v>
      </c>
      <c r="E865" s="251" t="s">
        <v>1901</v>
      </c>
      <c r="F865" s="735">
        <f>N865+R865+P865+T865+V865+X865+Z865+AB865</f>
        <v>5</v>
      </c>
      <c r="G865" s="872">
        <v>308</v>
      </c>
      <c r="H865" s="261">
        <f>O865+S865+Q865+U865+W865+Y865+AA865+AC865</f>
        <v>1540</v>
      </c>
      <c r="I865" s="251" t="s">
        <v>1901</v>
      </c>
      <c r="J865" s="872"/>
      <c r="K865" s="872"/>
      <c r="L865" s="872"/>
      <c r="M865" s="872"/>
      <c r="N865" s="258">
        <v>2</v>
      </c>
      <c r="O865" s="257">
        <f>INT($G865*N865*100+0.5)/100</f>
        <v>616</v>
      </c>
      <c r="P865" s="258">
        <v>0</v>
      </c>
      <c r="Q865" s="257">
        <f>INT($G865*P865*100+0.5)/100</f>
        <v>0</v>
      </c>
      <c r="R865" s="258">
        <v>3</v>
      </c>
      <c r="S865" s="257">
        <f>INT($G865*R865*100+0.5)/100</f>
        <v>924</v>
      </c>
      <c r="T865" s="257"/>
      <c r="U865" s="257"/>
      <c r="V865" s="258">
        <v>0</v>
      </c>
      <c r="W865" s="257">
        <f>INT($G865*V865*100+0.5)/100</f>
        <v>0</v>
      </c>
      <c r="X865" s="258">
        <v>0</v>
      </c>
      <c r="Y865" s="257">
        <f>INT($G865*X865*100+0.5)/100</f>
        <v>0</v>
      </c>
      <c r="Z865" s="258">
        <v>0</v>
      </c>
      <c r="AA865" s="257">
        <f>INT($G865*Z865*100+0.5)/100</f>
        <v>0</v>
      </c>
      <c r="AB865" s="258">
        <v>0</v>
      </c>
      <c r="AC865" s="257">
        <f>INT($G865*AB865*100+0.5)/100</f>
        <v>0</v>
      </c>
    </row>
    <row r="866" spans="1:29" ht="15">
      <c r="A866" s="250"/>
      <c r="B866" s="251"/>
      <c r="C866" s="251"/>
      <c r="D866" s="526" t="s">
        <v>3024</v>
      </c>
      <c r="E866" s="251"/>
      <c r="F866" s="735"/>
      <c r="G866" s="261"/>
      <c r="H866" s="261"/>
      <c r="I866" s="251"/>
      <c r="J866" s="261"/>
      <c r="K866" s="261"/>
      <c r="L866" s="261"/>
      <c r="M866" s="261"/>
      <c r="N866" s="258"/>
      <c r="O866" s="257"/>
      <c r="P866" s="258"/>
      <c r="Q866" s="257"/>
      <c r="R866" s="258"/>
      <c r="S866" s="257"/>
      <c r="T866" s="257"/>
      <c r="U866" s="257"/>
      <c r="V866" s="258"/>
      <c r="W866" s="257"/>
      <c r="X866" s="258"/>
      <c r="Y866" s="257"/>
      <c r="Z866" s="258"/>
      <c r="AA866" s="257"/>
      <c r="AB866" s="258"/>
      <c r="AC866" s="257"/>
    </row>
    <row r="867" spans="1:29" ht="15">
      <c r="A867" s="250"/>
      <c r="B867" s="251"/>
      <c r="C867" s="251"/>
      <c r="D867" s="292"/>
      <c r="E867" s="251"/>
      <c r="F867" s="735"/>
      <c r="G867" s="261"/>
      <c r="H867" s="261"/>
      <c r="I867" s="251"/>
      <c r="J867" s="261"/>
      <c r="K867" s="261"/>
      <c r="L867" s="261"/>
      <c r="M867" s="261"/>
      <c r="N867" s="258"/>
      <c r="O867" s="257"/>
      <c r="P867" s="258"/>
      <c r="Q867" s="257"/>
      <c r="R867" s="258"/>
      <c r="S867" s="257"/>
      <c r="T867" s="257"/>
      <c r="U867" s="257"/>
      <c r="V867" s="258"/>
      <c r="W867" s="257"/>
      <c r="X867" s="258"/>
      <c r="Y867" s="257"/>
      <c r="Z867" s="258"/>
      <c r="AA867" s="257"/>
      <c r="AB867" s="258"/>
      <c r="AC867" s="257"/>
    </row>
    <row r="868" spans="1:29" ht="15">
      <c r="A868" s="250">
        <f>A865+1</f>
        <v>169</v>
      </c>
      <c r="B868" s="251"/>
      <c r="C868" s="647" t="s">
        <v>3025</v>
      </c>
      <c r="D868" s="526" t="s">
        <v>3027</v>
      </c>
      <c r="E868" s="251" t="s">
        <v>1901</v>
      </c>
      <c r="F868" s="735">
        <f>N868+R868+P868+T868+V868+X868+Z868+AB868</f>
        <v>3</v>
      </c>
      <c r="G868" s="872">
        <v>363</v>
      </c>
      <c r="H868" s="261">
        <f>O868+S868+Q868+U868+W868+Y868+AA868+AC868</f>
        <v>1089</v>
      </c>
      <c r="I868" s="251" t="s">
        <v>1901</v>
      </c>
      <c r="J868" s="872"/>
      <c r="K868" s="872"/>
      <c r="L868" s="872"/>
      <c r="M868" s="872"/>
      <c r="N868" s="258">
        <v>1</v>
      </c>
      <c r="O868" s="257">
        <f>INT($G868*N868*100+0.5)/100</f>
        <v>363</v>
      </c>
      <c r="P868" s="258">
        <v>0</v>
      </c>
      <c r="Q868" s="257">
        <f>INT($G868*P868*100+0.5)/100</f>
        <v>0</v>
      </c>
      <c r="R868" s="258">
        <v>2</v>
      </c>
      <c r="S868" s="257">
        <f>INT($G868*R868*100+0.5)/100</f>
        <v>726</v>
      </c>
      <c r="T868" s="257"/>
      <c r="U868" s="257"/>
      <c r="V868" s="258">
        <v>0</v>
      </c>
      <c r="W868" s="257">
        <f>INT($G868*V868*100+0.5)/100</f>
        <v>0</v>
      </c>
      <c r="X868" s="258">
        <v>0</v>
      </c>
      <c r="Y868" s="257">
        <f>INT($G868*X868*100+0.5)/100</f>
        <v>0</v>
      </c>
      <c r="Z868" s="258">
        <v>0</v>
      </c>
      <c r="AA868" s="257">
        <f>INT($G868*Z868*100+0.5)/100</f>
        <v>0</v>
      </c>
      <c r="AB868" s="258">
        <v>0</v>
      </c>
      <c r="AC868" s="257">
        <f>INT($G868*AB868*100+0.5)/100</f>
        <v>0</v>
      </c>
    </row>
    <row r="869" spans="1:29" ht="15">
      <c r="A869" s="250"/>
      <c r="B869" s="251"/>
      <c r="C869" s="251"/>
      <c r="D869" s="526" t="s">
        <v>3026</v>
      </c>
      <c r="E869" s="251"/>
      <c r="F869" s="735"/>
      <c r="G869" s="663"/>
      <c r="H869" s="261"/>
      <c r="I869" s="251"/>
      <c r="J869" s="663"/>
      <c r="K869" s="663"/>
      <c r="L869" s="663"/>
      <c r="M869" s="663"/>
      <c r="N869" s="258"/>
      <c r="O869" s="257"/>
      <c r="P869" s="258"/>
      <c r="Q869" s="257"/>
      <c r="R869" s="258"/>
      <c r="S869" s="257"/>
      <c r="T869" s="257"/>
      <c r="U869" s="257"/>
      <c r="V869" s="258"/>
      <c r="W869" s="257"/>
      <c r="X869" s="258"/>
      <c r="Y869" s="257"/>
      <c r="Z869" s="258"/>
      <c r="AA869" s="257"/>
      <c r="AB869" s="258"/>
      <c r="AC869" s="257"/>
    </row>
    <row r="870" spans="1:29" ht="15">
      <c r="A870" s="250"/>
      <c r="B870" s="251"/>
      <c r="C870" s="251"/>
      <c r="D870" s="292"/>
      <c r="E870" s="251"/>
      <c r="F870" s="735"/>
      <c r="G870" s="663"/>
      <c r="H870" s="261"/>
      <c r="I870" s="251"/>
      <c r="J870" s="663"/>
      <c r="K870" s="663"/>
      <c r="L870" s="663"/>
      <c r="M870" s="663"/>
      <c r="N870" s="258"/>
      <c r="O870" s="257"/>
      <c r="P870" s="258"/>
      <c r="Q870" s="257"/>
      <c r="R870" s="258"/>
      <c r="S870" s="257"/>
      <c r="T870" s="257"/>
      <c r="U870" s="257"/>
      <c r="V870" s="258"/>
      <c r="W870" s="257"/>
      <c r="X870" s="258"/>
      <c r="Y870" s="257"/>
      <c r="Z870" s="258"/>
      <c r="AA870" s="257"/>
      <c r="AB870" s="258"/>
      <c r="AC870" s="257"/>
    </row>
    <row r="871" spans="1:29" ht="15">
      <c r="A871" s="250">
        <f>A868+1</f>
        <v>170</v>
      </c>
      <c r="B871" s="251"/>
      <c r="C871" s="526" t="s">
        <v>3340</v>
      </c>
      <c r="D871" s="526" t="s">
        <v>3341</v>
      </c>
      <c r="E871" s="251" t="s">
        <v>1901</v>
      </c>
      <c r="F871" s="735">
        <f>N871+R871+P871+T871+V871+X871+Z871+AB871</f>
        <v>43</v>
      </c>
      <c r="G871" s="261">
        <v>100</v>
      </c>
      <c r="H871" s="261">
        <f>O871+S871+Q871+U871+W871+Y871+AA871+AC871</f>
        <v>4300</v>
      </c>
      <c r="I871" s="251" t="s">
        <v>1901</v>
      </c>
      <c r="J871" s="261"/>
      <c r="K871" s="261"/>
      <c r="L871" s="261"/>
      <c r="M871" s="261"/>
      <c r="N871" s="258">
        <v>0</v>
      </c>
      <c r="O871" s="257">
        <f>INT($G871*N871*100+0.5)/100</f>
        <v>0</v>
      </c>
      <c r="P871" s="258">
        <v>43</v>
      </c>
      <c r="Q871" s="257">
        <f>INT($G871*P871*100+0.5)/100</f>
        <v>4300</v>
      </c>
      <c r="R871" s="258">
        <v>0</v>
      </c>
      <c r="S871" s="257">
        <f>INT($G871*R871*100+0.5)/100</f>
        <v>0</v>
      </c>
      <c r="T871" s="257"/>
      <c r="U871" s="257"/>
      <c r="V871" s="258">
        <v>0</v>
      </c>
      <c r="W871" s="257">
        <f>INT($G871*V871*100+0.5)/100</f>
        <v>0</v>
      </c>
      <c r="X871" s="258">
        <v>0</v>
      </c>
      <c r="Y871" s="257">
        <f>INT($G871*X871*100+0.5)/100</f>
        <v>0</v>
      </c>
      <c r="Z871" s="258">
        <v>0</v>
      </c>
      <c r="AA871" s="257">
        <f>INT($G871*Z871*100+0.5)/100</f>
        <v>0</v>
      </c>
      <c r="AB871" s="258">
        <v>0</v>
      </c>
      <c r="AC871" s="257">
        <f>INT($G871*AB871*100+0.5)/100</f>
        <v>0</v>
      </c>
    </row>
    <row r="872" spans="1:29" ht="15">
      <c r="A872" s="250"/>
      <c r="B872" s="251"/>
      <c r="C872" s="251"/>
      <c r="D872" s="526" t="s">
        <v>3342</v>
      </c>
      <c r="E872" s="251"/>
      <c r="F872" s="735"/>
      <c r="G872" s="663"/>
      <c r="H872" s="261"/>
      <c r="I872" s="251"/>
      <c r="J872" s="663"/>
      <c r="K872" s="663"/>
      <c r="L872" s="663"/>
      <c r="M872" s="663"/>
      <c r="N872" s="258"/>
      <c r="O872" s="257"/>
      <c r="P872" s="258"/>
      <c r="Q872" s="257"/>
      <c r="R872" s="258"/>
      <c r="S872" s="257"/>
      <c r="T872" s="257"/>
      <c r="U872" s="257"/>
      <c r="V872" s="258"/>
      <c r="W872" s="257"/>
      <c r="X872" s="258"/>
      <c r="Y872" s="257"/>
      <c r="Z872" s="258"/>
      <c r="AA872" s="257"/>
      <c r="AB872" s="258"/>
      <c r="AC872" s="257"/>
    </row>
    <row r="873" spans="1:29" ht="15">
      <c r="A873" s="250"/>
      <c r="B873" s="251"/>
      <c r="C873" s="251"/>
      <c r="D873" s="292"/>
      <c r="E873" s="251"/>
      <c r="F873" s="735"/>
      <c r="G873" s="663"/>
      <c r="H873" s="261"/>
      <c r="I873" s="251"/>
      <c r="J873" s="663"/>
      <c r="K873" s="663"/>
      <c r="L873" s="663"/>
      <c r="M873" s="663"/>
      <c r="N873" s="258"/>
      <c r="O873" s="257"/>
      <c r="P873" s="258"/>
      <c r="Q873" s="257"/>
      <c r="R873" s="258"/>
      <c r="S873" s="257"/>
      <c r="T873" s="257"/>
      <c r="U873" s="257"/>
      <c r="V873" s="258"/>
      <c r="W873" s="257"/>
      <c r="X873" s="258"/>
      <c r="Y873" s="257"/>
      <c r="Z873" s="258"/>
      <c r="AA873" s="257"/>
      <c r="AB873" s="258"/>
      <c r="AC873" s="257"/>
    </row>
    <row r="874" spans="1:29" ht="15">
      <c r="A874" s="250">
        <f>A871+1</f>
        <v>171</v>
      </c>
      <c r="B874" s="251"/>
      <c r="C874" s="647" t="s">
        <v>3339</v>
      </c>
      <c r="D874" s="526" t="s">
        <v>3343</v>
      </c>
      <c r="E874" s="251" t="s">
        <v>1901</v>
      </c>
      <c r="F874" s="735">
        <f>N874+R874+P874+T874+V874+X874+Z874+AB874</f>
        <v>1</v>
      </c>
      <c r="G874" s="872">
        <v>164.17</v>
      </c>
      <c r="H874" s="261">
        <f>O874+S874+Q874+U874+W874+Y874+AA874+AC874</f>
        <v>164.17</v>
      </c>
      <c r="I874" s="251" t="s">
        <v>1901</v>
      </c>
      <c r="J874" s="872"/>
      <c r="K874" s="872"/>
      <c r="L874" s="872"/>
      <c r="M874" s="872"/>
      <c r="N874" s="258">
        <v>0</v>
      </c>
      <c r="O874" s="257">
        <f>INT($G874*N874*100+0.5)/100</f>
        <v>0</v>
      </c>
      <c r="P874" s="258">
        <v>1</v>
      </c>
      <c r="Q874" s="257">
        <f>INT($G874*P874*100+0.5)/100</f>
        <v>164.17</v>
      </c>
      <c r="R874" s="258">
        <v>0</v>
      </c>
      <c r="S874" s="257">
        <f>INT($G874*R874*100+0.5)/100</f>
        <v>0</v>
      </c>
      <c r="T874" s="257"/>
      <c r="U874" s="257"/>
      <c r="V874" s="258">
        <v>0</v>
      </c>
      <c r="W874" s="257">
        <f>INT($G874*V874*100+0.5)/100</f>
        <v>0</v>
      </c>
      <c r="X874" s="258">
        <v>0</v>
      </c>
      <c r="Y874" s="257">
        <f>INT($G874*X874*100+0.5)/100</f>
        <v>0</v>
      </c>
      <c r="Z874" s="258">
        <v>0</v>
      </c>
      <c r="AA874" s="257">
        <f>INT($G874*Z874*100+0.5)/100</f>
        <v>0</v>
      </c>
      <c r="AB874" s="258">
        <v>0</v>
      </c>
      <c r="AC874" s="257">
        <f>INT($G874*AB874*100+0.5)/100</f>
        <v>0</v>
      </c>
    </row>
    <row r="875" spans="1:29" ht="15">
      <c r="A875" s="250"/>
      <c r="B875" s="251"/>
      <c r="C875" s="251"/>
      <c r="D875" s="526" t="s">
        <v>3344</v>
      </c>
      <c r="E875" s="251"/>
      <c r="F875" s="735"/>
      <c r="G875" s="663"/>
      <c r="H875" s="261"/>
      <c r="I875" s="251"/>
      <c r="J875" s="663"/>
      <c r="K875" s="663"/>
      <c r="L875" s="663"/>
      <c r="M875" s="663"/>
      <c r="N875" s="258"/>
      <c r="O875" s="257"/>
      <c r="P875" s="258"/>
      <c r="Q875" s="257"/>
      <c r="R875" s="258"/>
      <c r="S875" s="257"/>
      <c r="T875" s="257"/>
      <c r="U875" s="257"/>
      <c r="V875" s="258"/>
      <c r="W875" s="257"/>
      <c r="X875" s="258"/>
      <c r="Y875" s="257"/>
      <c r="Z875" s="258"/>
      <c r="AA875" s="257"/>
      <c r="AB875" s="258"/>
      <c r="AC875" s="257"/>
    </row>
    <row r="876" spans="1:29" ht="15">
      <c r="A876" s="250"/>
      <c r="B876" s="251"/>
      <c r="C876" s="251"/>
      <c r="D876" s="292"/>
      <c r="E876" s="251"/>
      <c r="F876" s="735"/>
      <c r="G876" s="663"/>
      <c r="H876" s="261"/>
      <c r="I876" s="251"/>
      <c r="J876" s="663"/>
      <c r="K876" s="663"/>
      <c r="L876" s="663"/>
      <c r="M876" s="663"/>
      <c r="N876" s="258"/>
      <c r="O876" s="257"/>
      <c r="P876" s="258"/>
      <c r="Q876" s="257"/>
      <c r="R876" s="258"/>
      <c r="S876" s="257"/>
      <c r="T876" s="257"/>
      <c r="U876" s="257"/>
      <c r="V876" s="258"/>
      <c r="W876" s="257"/>
      <c r="X876" s="258"/>
      <c r="Y876" s="257"/>
      <c r="Z876" s="258"/>
      <c r="AA876" s="257"/>
      <c r="AB876" s="258"/>
      <c r="AC876" s="257"/>
    </row>
    <row r="877" spans="1:29" ht="15">
      <c r="A877" s="250">
        <f>A874+1</f>
        <v>172</v>
      </c>
      <c r="B877" s="251"/>
      <c r="C877" s="647" t="s">
        <v>3188</v>
      </c>
      <c r="D877" s="526" t="s">
        <v>433</v>
      </c>
      <c r="E877" s="251" t="s">
        <v>1901</v>
      </c>
      <c r="F877" s="735">
        <f>N877+R877+P877+T877+V877+X877+Z877+AB877</f>
        <v>16</v>
      </c>
      <c r="G877" s="872">
        <v>6.01</v>
      </c>
      <c r="H877" s="261">
        <f>O877+S877+Q877+U877+W877+Y877+AA877+AC877</f>
        <v>96.16</v>
      </c>
      <c r="I877" s="251" t="s">
        <v>1901</v>
      </c>
      <c r="J877" s="872"/>
      <c r="K877" s="872"/>
      <c r="L877" s="872"/>
      <c r="M877" s="872"/>
      <c r="N877" s="258">
        <v>0</v>
      </c>
      <c r="O877" s="257">
        <f>INT($G877*N877*100+0.5)/100</f>
        <v>0</v>
      </c>
      <c r="P877" s="258">
        <f>4*4</f>
        <v>16</v>
      </c>
      <c r="Q877" s="257">
        <f>INT($G877*P877*100+0.5)/100</f>
        <v>96.16</v>
      </c>
      <c r="R877" s="258">
        <v>0</v>
      </c>
      <c r="S877" s="257">
        <f>INT($G877*R877*100+0.5)/100</f>
        <v>0</v>
      </c>
      <c r="T877" s="257"/>
      <c r="U877" s="257"/>
      <c r="V877" s="258">
        <v>0</v>
      </c>
      <c r="W877" s="257">
        <f>INT($G877*V877*100+0.5)/100</f>
        <v>0</v>
      </c>
      <c r="X877" s="258">
        <v>0</v>
      </c>
      <c r="Y877" s="257">
        <f>INT($G877*X877*100+0.5)/100</f>
        <v>0</v>
      </c>
      <c r="Z877" s="258">
        <v>0</v>
      </c>
      <c r="AA877" s="257">
        <f>INT($G877*Z877*100+0.5)/100</f>
        <v>0</v>
      </c>
      <c r="AB877" s="258">
        <v>0</v>
      </c>
      <c r="AC877" s="257">
        <f>INT($G877*AB877*100+0.5)/100</f>
        <v>0</v>
      </c>
    </row>
    <row r="878" spans="1:29" ht="25.5">
      <c r="A878" s="250"/>
      <c r="B878" s="251"/>
      <c r="C878" s="251"/>
      <c r="D878" s="526" t="s">
        <v>432</v>
      </c>
      <c r="E878" s="251"/>
      <c r="F878" s="735"/>
      <c r="G878" s="261"/>
      <c r="H878" s="261"/>
      <c r="I878" s="251"/>
      <c r="J878" s="261"/>
      <c r="K878" s="261"/>
      <c r="L878" s="261"/>
      <c r="M878" s="261"/>
      <c r="N878" s="258"/>
      <c r="O878" s="257"/>
      <c r="P878" s="258"/>
      <c r="Q878" s="257"/>
      <c r="R878" s="258"/>
      <c r="S878" s="257"/>
      <c r="T878" s="257"/>
      <c r="U878" s="257"/>
      <c r="V878" s="258"/>
      <c r="W878" s="257"/>
      <c r="X878" s="258"/>
      <c r="Y878" s="257"/>
      <c r="Z878" s="258"/>
      <c r="AA878" s="257"/>
      <c r="AB878" s="258"/>
      <c r="AC878" s="257"/>
    </row>
    <row r="879" spans="1:29" ht="15">
      <c r="A879" s="250"/>
      <c r="B879" s="251"/>
      <c r="C879" s="251"/>
      <c r="D879" s="526"/>
      <c r="E879" s="251"/>
      <c r="F879" s="735"/>
      <c r="G879" s="261"/>
      <c r="H879" s="261"/>
      <c r="I879" s="251"/>
      <c r="J879" s="261"/>
      <c r="K879" s="261"/>
      <c r="L879" s="261"/>
      <c r="M879" s="261"/>
      <c r="N879" s="258"/>
      <c r="O879" s="257"/>
      <c r="P879" s="258"/>
      <c r="Q879" s="257"/>
      <c r="R879" s="258"/>
      <c r="S879" s="257"/>
      <c r="T879" s="257"/>
      <c r="U879" s="257"/>
      <c r="V879" s="258"/>
      <c r="W879" s="257"/>
      <c r="X879" s="258"/>
      <c r="Y879" s="257"/>
      <c r="Z879" s="258"/>
      <c r="AA879" s="257"/>
      <c r="AB879" s="258"/>
      <c r="AC879" s="257"/>
    </row>
    <row r="880" spans="1:29" s="303" customFormat="1" ht="30">
      <c r="A880" s="298"/>
      <c r="B880" s="299"/>
      <c r="C880" s="266" t="s">
        <v>1575</v>
      </c>
      <c r="D880" s="333" t="s">
        <v>1580</v>
      </c>
      <c r="E880" s="299"/>
      <c r="F880" s="782"/>
      <c r="G880" s="271"/>
      <c r="H880" s="271">
        <f>O880+S880+Q880+U880+W880+Y880+AA880+AC880</f>
        <v>17648.13</v>
      </c>
      <c r="I880" s="299"/>
      <c r="J880" s="271"/>
      <c r="K880" s="271"/>
      <c r="L880" s="271"/>
      <c r="M880" s="271"/>
      <c r="N880" s="273"/>
      <c r="O880" s="273">
        <f>SUM(O850:O879)</f>
        <v>2337.8000000000002</v>
      </c>
      <c r="P880" s="273"/>
      <c r="Q880" s="273">
        <f>SUM(Q850:Q879)</f>
        <v>13660.33</v>
      </c>
      <c r="R880" s="273"/>
      <c r="S880" s="273">
        <f>SUM(S850:S879)</f>
        <v>1650</v>
      </c>
      <c r="T880" s="273"/>
      <c r="U880" s="273">
        <f>SUM(U850:U879)</f>
        <v>0</v>
      </c>
      <c r="V880" s="273"/>
      <c r="W880" s="273">
        <f>SUM(W850:W879)</f>
        <v>0</v>
      </c>
      <c r="X880" s="273"/>
      <c r="Y880" s="273">
        <f>SUM(Y850:Y879)</f>
        <v>0</v>
      </c>
      <c r="Z880" s="273"/>
      <c r="AA880" s="273">
        <f>SUM(AA850:AA879)</f>
        <v>0</v>
      </c>
      <c r="AB880" s="273"/>
      <c r="AC880" s="273">
        <f>SUM(AC850:AC879)</f>
        <v>0</v>
      </c>
    </row>
    <row r="881" spans="1:29" ht="15">
      <c r="A881" s="250"/>
      <c r="B881" s="251"/>
      <c r="C881" s="453"/>
      <c r="D881" s="330"/>
      <c r="E881" s="251"/>
      <c r="F881" s="735"/>
      <c r="G881" s="261"/>
      <c r="H881" s="737"/>
      <c r="I881" s="251"/>
      <c r="J881" s="261"/>
      <c r="K881" s="261"/>
      <c r="L881" s="261"/>
      <c r="M881" s="261"/>
      <c r="N881" s="258"/>
      <c r="O881" s="494"/>
      <c r="P881" s="258"/>
      <c r="Q881" s="257"/>
      <c r="R881" s="258"/>
      <c r="S881" s="257"/>
      <c r="T881" s="257"/>
      <c r="U881" s="257"/>
      <c r="V881" s="258"/>
      <c r="W881" s="257"/>
      <c r="X881" s="258"/>
      <c r="Y881" s="257"/>
      <c r="Z881" s="258"/>
      <c r="AA881" s="257"/>
      <c r="AB881" s="258"/>
      <c r="AC881" s="257"/>
    </row>
    <row r="882" spans="1:29" ht="25.5">
      <c r="A882" s="250"/>
      <c r="B882" s="251"/>
      <c r="C882" s="745" t="s">
        <v>1579</v>
      </c>
      <c r="D882" s="747" t="s">
        <v>1581</v>
      </c>
      <c r="E882" s="251"/>
      <c r="F882" s="735"/>
      <c r="G882" s="261"/>
      <c r="H882" s="261"/>
      <c r="I882" s="251"/>
      <c r="J882" s="261"/>
      <c r="K882" s="261"/>
      <c r="L882" s="261"/>
      <c r="M882" s="261"/>
      <c r="N882" s="258"/>
      <c r="O882" s="257"/>
      <c r="P882" s="258"/>
      <c r="Q882" s="257"/>
      <c r="R882" s="258"/>
      <c r="S882" s="257"/>
      <c r="T882" s="257"/>
      <c r="U882" s="257"/>
      <c r="V882" s="258"/>
      <c r="W882" s="257"/>
      <c r="X882" s="258"/>
      <c r="Y882" s="257"/>
      <c r="Z882" s="258"/>
      <c r="AA882" s="257"/>
      <c r="AB882" s="258"/>
      <c r="AC882" s="257"/>
    </row>
    <row r="883" spans="1:29" ht="25.5">
      <c r="A883" s="250">
        <f>A877+1</f>
        <v>173</v>
      </c>
      <c r="B883" s="251"/>
      <c r="C883" s="647" t="s">
        <v>3345</v>
      </c>
      <c r="D883" s="526" t="s">
        <v>2125</v>
      </c>
      <c r="E883" s="251" t="s">
        <v>1901</v>
      </c>
      <c r="F883" s="735">
        <f>N883+R883+P883+T883+V883+X883+Z883+AB883</f>
        <v>13</v>
      </c>
      <c r="G883" s="872">
        <v>265.41000000000003</v>
      </c>
      <c r="H883" s="261">
        <f>O883+S883+Q883+U883+W883+Y883+AA883+AC883</f>
        <v>3450.33</v>
      </c>
      <c r="I883" s="251" t="s">
        <v>1901</v>
      </c>
      <c r="J883" s="872"/>
      <c r="K883" s="872"/>
      <c r="L883" s="872"/>
      <c r="M883" s="872"/>
      <c r="N883" s="258">
        <v>0</v>
      </c>
      <c r="O883" s="257">
        <f>INT($G883*N883*100+0.5)/100</f>
        <v>0</v>
      </c>
      <c r="P883" s="258">
        <v>13</v>
      </c>
      <c r="Q883" s="257">
        <f>INT($G883*P883*100+0.5)/100</f>
        <v>3450.33</v>
      </c>
      <c r="R883" s="258">
        <v>0</v>
      </c>
      <c r="S883" s="257">
        <f>INT($G883*R883*100+0.5)/100</f>
        <v>0</v>
      </c>
      <c r="T883" s="258"/>
      <c r="U883" s="257"/>
      <c r="V883" s="258">
        <v>0</v>
      </c>
      <c r="W883" s="257">
        <f>INT($G883*V883*100+0.5)/100</f>
        <v>0</v>
      </c>
      <c r="X883" s="258">
        <v>0</v>
      </c>
      <c r="Y883" s="257">
        <f>INT($G883*X883*100+0.5)/100</f>
        <v>0</v>
      </c>
      <c r="Z883" s="258">
        <v>0</v>
      </c>
      <c r="AA883" s="257">
        <f>INT($G883*Z883*100+0.5)/100</f>
        <v>0</v>
      </c>
      <c r="AB883" s="258">
        <v>0</v>
      </c>
      <c r="AC883" s="257">
        <f>INT($G883*AB883*100+0.5)/100</f>
        <v>0</v>
      </c>
    </row>
    <row r="884" spans="1:29" ht="15">
      <c r="A884" s="250"/>
      <c r="B884" s="251"/>
      <c r="C884" s="251"/>
      <c r="D884" s="526" t="s">
        <v>2124</v>
      </c>
      <c r="E884" s="251"/>
      <c r="F884" s="735"/>
      <c r="G884" s="261"/>
      <c r="H884" s="261"/>
      <c r="I884" s="251"/>
      <c r="J884" s="261"/>
      <c r="K884" s="261"/>
      <c r="L884" s="261"/>
      <c r="M884" s="261"/>
      <c r="N884" s="258"/>
      <c r="O884" s="257"/>
      <c r="P884" s="258"/>
      <c r="Q884" s="257"/>
      <c r="R884" s="258"/>
      <c r="S884" s="257"/>
      <c r="T884" s="257"/>
      <c r="U884" s="257"/>
      <c r="V884" s="258"/>
      <c r="W884" s="257"/>
      <c r="X884" s="258"/>
      <c r="Y884" s="257"/>
      <c r="Z884" s="258"/>
      <c r="AA884" s="257"/>
      <c r="AB884" s="258"/>
      <c r="AC884" s="257"/>
    </row>
    <row r="885" spans="1:29" ht="15">
      <c r="A885" s="250"/>
      <c r="B885" s="251"/>
      <c r="C885" s="251"/>
      <c r="D885" s="292"/>
      <c r="E885" s="251"/>
      <c r="F885" s="735"/>
      <c r="G885" s="261"/>
      <c r="H885" s="261"/>
      <c r="I885" s="251"/>
      <c r="J885" s="261"/>
      <c r="K885" s="261"/>
      <c r="L885" s="261"/>
      <c r="M885" s="261"/>
      <c r="N885" s="258"/>
      <c r="O885" s="257"/>
      <c r="P885" s="258"/>
      <c r="Q885" s="257"/>
      <c r="R885" s="258"/>
      <c r="S885" s="257"/>
      <c r="T885" s="257"/>
      <c r="U885" s="257"/>
      <c r="V885" s="258"/>
      <c r="W885" s="257"/>
      <c r="X885" s="258"/>
      <c r="Y885" s="257"/>
      <c r="Z885" s="258"/>
      <c r="AA885" s="257"/>
      <c r="AB885" s="258"/>
      <c r="AC885" s="257"/>
    </row>
    <row r="886" spans="1:29" ht="38.25">
      <c r="A886" s="250">
        <f>A883+1</f>
        <v>174</v>
      </c>
      <c r="B886" s="251"/>
      <c r="C886" s="754" t="s">
        <v>3346</v>
      </c>
      <c r="D886" s="526" t="s">
        <v>3348</v>
      </c>
      <c r="E886" s="251" t="s">
        <v>1901</v>
      </c>
      <c r="F886" s="735">
        <f>N886+R886+P886+T886+V886+X886+Z886+AB886</f>
        <v>5</v>
      </c>
      <c r="G886" s="762">
        <v>246.1</v>
      </c>
      <c r="H886" s="261">
        <f>O886+S886+Q886+U886+W886+Y886+AA886+AC886</f>
        <v>1230.5</v>
      </c>
      <c r="I886" s="251" t="s">
        <v>1901</v>
      </c>
      <c r="J886" s="762"/>
      <c r="K886" s="762"/>
      <c r="L886" s="762"/>
      <c r="M886" s="762"/>
      <c r="N886" s="258">
        <v>2</v>
      </c>
      <c r="O886" s="257">
        <f>INT($G886*N886*100+0.5)/100</f>
        <v>492.2</v>
      </c>
      <c r="P886" s="258">
        <v>0</v>
      </c>
      <c r="Q886" s="257">
        <f>INT($G886*P886*100+0.5)/100</f>
        <v>0</v>
      </c>
      <c r="R886" s="258">
        <v>3</v>
      </c>
      <c r="S886" s="257">
        <f>INT($G886*R886*100+0.5)/100</f>
        <v>738.3</v>
      </c>
      <c r="T886" s="257"/>
      <c r="U886" s="257"/>
      <c r="V886" s="258">
        <v>0</v>
      </c>
      <c r="W886" s="257">
        <f>INT($G886*V886*100+0.5)/100</f>
        <v>0</v>
      </c>
      <c r="X886" s="258">
        <v>0</v>
      </c>
      <c r="Y886" s="257">
        <f>INT($G886*X886*100+0.5)/100</f>
        <v>0</v>
      </c>
      <c r="Z886" s="258">
        <v>0</v>
      </c>
      <c r="AA886" s="257">
        <f>INT($G886*Z886*100+0.5)/100</f>
        <v>0</v>
      </c>
      <c r="AB886" s="258">
        <v>0</v>
      </c>
      <c r="AC886" s="257">
        <f>INT($G886*AB886*100+0.5)/100</f>
        <v>0</v>
      </c>
    </row>
    <row r="887" spans="1:29" ht="38.25">
      <c r="A887" s="250"/>
      <c r="B887" s="251"/>
      <c r="C887" s="251"/>
      <c r="D887" s="526" t="s">
        <v>3349</v>
      </c>
      <c r="E887" s="251"/>
      <c r="F887" s="735"/>
      <c r="G887" s="261"/>
      <c r="H887" s="261"/>
      <c r="I887" s="251"/>
      <c r="J887" s="261"/>
      <c r="K887" s="261"/>
      <c r="L887" s="261"/>
      <c r="M887" s="261"/>
      <c r="N887" s="258"/>
      <c r="O887" s="257"/>
      <c r="P887" s="258"/>
      <c r="Q887" s="257"/>
      <c r="R887" s="258"/>
      <c r="S887" s="257"/>
      <c r="T887" s="257"/>
      <c r="U887" s="257"/>
      <c r="V887" s="258"/>
      <c r="W887" s="257"/>
      <c r="X887" s="258"/>
      <c r="Y887" s="257"/>
      <c r="Z887" s="258"/>
      <c r="AA887" s="257"/>
      <c r="AB887" s="258"/>
      <c r="AC887" s="257"/>
    </row>
    <row r="888" spans="1:29" ht="15">
      <c r="A888" s="250"/>
      <c r="B888" s="251"/>
      <c r="C888" s="251"/>
      <c r="D888" s="292"/>
      <c r="E888" s="251"/>
      <c r="F888" s="735"/>
      <c r="G888" s="261"/>
      <c r="H888" s="261"/>
      <c r="I888" s="251"/>
      <c r="J888" s="261"/>
      <c r="K888" s="261"/>
      <c r="L888" s="261"/>
      <c r="M888" s="261"/>
      <c r="N888" s="258"/>
      <c r="O888" s="257"/>
      <c r="P888" s="258"/>
      <c r="Q888" s="257"/>
      <c r="R888" s="258"/>
      <c r="S888" s="257"/>
      <c r="T888" s="257"/>
      <c r="U888" s="257"/>
      <c r="V888" s="258"/>
      <c r="W888" s="257"/>
      <c r="X888" s="258"/>
      <c r="Y888" s="257"/>
      <c r="Z888" s="258"/>
      <c r="AA888" s="257"/>
      <c r="AB888" s="258"/>
      <c r="AC888" s="257"/>
    </row>
    <row r="889" spans="1:29" ht="38.25">
      <c r="A889" s="250">
        <f>A886+1</f>
        <v>175</v>
      </c>
      <c r="B889" s="251"/>
      <c r="C889" s="754" t="s">
        <v>3347</v>
      </c>
      <c r="D889" s="526" t="s">
        <v>3350</v>
      </c>
      <c r="E889" s="251" t="s">
        <v>1901</v>
      </c>
      <c r="F889" s="735">
        <f>N889+R889+P889+T889+V889+X889+Z889+AB889</f>
        <v>3</v>
      </c>
      <c r="G889" s="762">
        <v>492.45</v>
      </c>
      <c r="H889" s="261">
        <f>O889+S889+Q889+U889+W889+Y889+AA889+AC889</f>
        <v>1477.35</v>
      </c>
      <c r="I889" s="251" t="s">
        <v>1901</v>
      </c>
      <c r="J889" s="762"/>
      <c r="K889" s="762"/>
      <c r="L889" s="762"/>
      <c r="M889" s="762"/>
      <c r="N889" s="258">
        <v>1</v>
      </c>
      <c r="O889" s="257">
        <f>INT($G889*N889*100+0.5)/100</f>
        <v>492.45</v>
      </c>
      <c r="P889" s="258">
        <v>0</v>
      </c>
      <c r="Q889" s="257">
        <f>INT($G889*P889*100+0.5)/100</f>
        <v>0</v>
      </c>
      <c r="R889" s="258">
        <v>2</v>
      </c>
      <c r="S889" s="257">
        <f>INT($G889*R889*100+0.5)/100</f>
        <v>984.9</v>
      </c>
      <c r="T889" s="257"/>
      <c r="U889" s="257"/>
      <c r="V889" s="258">
        <v>0</v>
      </c>
      <c r="W889" s="257">
        <f>INT($G889*V889*100+0.5)/100</f>
        <v>0</v>
      </c>
      <c r="X889" s="258">
        <v>0</v>
      </c>
      <c r="Y889" s="257">
        <f>INT($G889*X889*100+0.5)/100</f>
        <v>0</v>
      </c>
      <c r="Z889" s="258">
        <v>0</v>
      </c>
      <c r="AA889" s="257">
        <f>INT($G889*Z889*100+0.5)/100</f>
        <v>0</v>
      </c>
      <c r="AB889" s="258">
        <v>0</v>
      </c>
      <c r="AC889" s="257">
        <f>INT($G889*AB889*100+0.5)/100</f>
        <v>0</v>
      </c>
    </row>
    <row r="890" spans="1:29" ht="38.25">
      <c r="A890" s="250"/>
      <c r="B890" s="251"/>
      <c r="C890" s="251"/>
      <c r="D890" s="526" t="s">
        <v>3351</v>
      </c>
      <c r="E890" s="251"/>
      <c r="F890" s="735"/>
      <c r="G890" s="261"/>
      <c r="H890" s="261"/>
      <c r="I890" s="251"/>
      <c r="J890" s="261"/>
      <c r="K890" s="261"/>
      <c r="L890" s="261"/>
      <c r="M890" s="261"/>
      <c r="N890" s="258"/>
      <c r="O890" s="257"/>
      <c r="P890" s="258"/>
      <c r="Q890" s="257"/>
      <c r="R890" s="258"/>
      <c r="S890" s="257"/>
      <c r="T890" s="257"/>
      <c r="U890" s="257"/>
      <c r="V890" s="258"/>
      <c r="W890" s="257"/>
      <c r="X890" s="258"/>
      <c r="Y890" s="257"/>
      <c r="Z890" s="258"/>
      <c r="AA890" s="257"/>
      <c r="AB890" s="258"/>
      <c r="AC890" s="257"/>
    </row>
    <row r="891" spans="1:29" s="247" customFormat="1" ht="15">
      <c r="A891" s="284"/>
      <c r="B891" s="237"/>
      <c r="C891" s="237"/>
      <c r="D891" s="238"/>
      <c r="E891" s="237"/>
      <c r="F891" s="733"/>
      <c r="G891" s="243"/>
      <c r="H891" s="243"/>
      <c r="I891" s="237"/>
      <c r="J891" s="243"/>
      <c r="K891" s="243"/>
      <c r="L891" s="243"/>
      <c r="M891" s="243"/>
      <c r="N891" s="289"/>
      <c r="O891" s="245"/>
      <c r="P891" s="289"/>
      <c r="Q891" s="245"/>
      <c r="R891" s="289"/>
      <c r="S891" s="245"/>
      <c r="T891" s="245"/>
      <c r="U891" s="245"/>
      <c r="V891" s="289"/>
      <c r="W891" s="245"/>
      <c r="X891" s="289"/>
      <c r="Y891" s="245"/>
      <c r="Z891" s="289"/>
      <c r="AA891" s="245"/>
      <c r="AB891" s="289"/>
      <c r="AC891" s="245"/>
    </row>
    <row r="892" spans="1:29" ht="15">
      <c r="A892" s="250">
        <f>A889+1</f>
        <v>176</v>
      </c>
      <c r="B892" s="251"/>
      <c r="C892" s="647" t="s">
        <v>848</v>
      </c>
      <c r="D892" s="526" t="s">
        <v>3028</v>
      </c>
      <c r="E892" s="251" t="s">
        <v>1901</v>
      </c>
      <c r="F892" s="735">
        <f>N892+R892+P892+T892+V892+X892+Z892+AB892</f>
        <v>43</v>
      </c>
      <c r="G892" s="872">
        <v>152.53</v>
      </c>
      <c r="H892" s="261">
        <f>O892+S892+Q892+U892+W892+Y892+AA892+AC892</f>
        <v>6558.79</v>
      </c>
      <c r="I892" s="251" t="s">
        <v>1901</v>
      </c>
      <c r="J892" s="872"/>
      <c r="K892" s="872"/>
      <c r="L892" s="872"/>
      <c r="M892" s="872"/>
      <c r="N892" s="258">
        <v>0</v>
      </c>
      <c r="O892" s="257">
        <f>INT($G892*N892*100+0.5)/100</f>
        <v>0</v>
      </c>
      <c r="P892" s="258">
        <v>43</v>
      </c>
      <c r="Q892" s="257">
        <f>INT($G892*P892*100+0.5)/100</f>
        <v>6558.79</v>
      </c>
      <c r="R892" s="258">
        <v>0</v>
      </c>
      <c r="S892" s="257">
        <f>INT($G892*R892*100+0.5)/100</f>
        <v>0</v>
      </c>
      <c r="T892" s="257"/>
      <c r="U892" s="257"/>
      <c r="V892" s="258">
        <v>0</v>
      </c>
      <c r="W892" s="257">
        <f>INT($G892*V892*100+0.5)/100</f>
        <v>0</v>
      </c>
      <c r="X892" s="258">
        <v>0</v>
      </c>
      <c r="Y892" s="257">
        <f>INT($G892*X892*100+0.5)/100</f>
        <v>0</v>
      </c>
      <c r="Z892" s="258">
        <v>0</v>
      </c>
      <c r="AA892" s="257">
        <f>INT($G892*Z892*100+0.5)/100</f>
        <v>0</v>
      </c>
      <c r="AB892" s="258">
        <v>0</v>
      </c>
      <c r="AC892" s="257">
        <f>INT($G892*AB892*100+0.5)/100</f>
        <v>0</v>
      </c>
    </row>
    <row r="893" spans="1:29" ht="15">
      <c r="A893" s="250"/>
      <c r="B893" s="251"/>
      <c r="C893" s="251"/>
      <c r="D893" s="526" t="s">
        <v>3029</v>
      </c>
      <c r="E893" s="251"/>
      <c r="F893" s="735"/>
      <c r="G893" s="261"/>
      <c r="H893" s="261"/>
      <c r="I893" s="251"/>
      <c r="J893" s="261"/>
      <c r="K893" s="261"/>
      <c r="L893" s="261"/>
      <c r="M893" s="261"/>
      <c r="N893" s="258"/>
      <c r="O893" s="257"/>
      <c r="P893" s="258"/>
      <c r="Q893" s="257"/>
      <c r="R893" s="258"/>
      <c r="S893" s="257"/>
      <c r="T893" s="257"/>
      <c r="U893" s="257"/>
      <c r="V893" s="258"/>
      <c r="W893" s="257"/>
      <c r="X893" s="258"/>
      <c r="Y893" s="257"/>
      <c r="Z893" s="258"/>
      <c r="AA893" s="257"/>
      <c r="AB893" s="258"/>
      <c r="AC893" s="257"/>
    </row>
    <row r="894" spans="1:29" ht="15">
      <c r="A894" s="250"/>
      <c r="B894" s="251"/>
      <c r="C894" s="251"/>
      <c r="D894" s="526"/>
      <c r="E894" s="251"/>
      <c r="F894" s="735"/>
      <c r="G894" s="261"/>
      <c r="H894" s="261"/>
      <c r="I894" s="251"/>
      <c r="J894" s="261"/>
      <c r="K894" s="261"/>
      <c r="L894" s="261"/>
      <c r="M894" s="261"/>
      <c r="N894" s="258"/>
      <c r="O894" s="257"/>
      <c r="P894" s="258"/>
      <c r="Q894" s="257"/>
      <c r="R894" s="258"/>
      <c r="S894" s="257"/>
      <c r="T894" s="257"/>
      <c r="U894" s="257"/>
      <c r="V894" s="258"/>
      <c r="W894" s="257"/>
      <c r="X894" s="258"/>
      <c r="Y894" s="257"/>
      <c r="Z894" s="258"/>
      <c r="AA894" s="257"/>
      <c r="AB894" s="258"/>
      <c r="AC894" s="257"/>
    </row>
    <row r="895" spans="1:29" ht="15">
      <c r="A895" s="250">
        <f>A892+1</f>
        <v>177</v>
      </c>
      <c r="B895" s="251"/>
      <c r="C895" s="647" t="s">
        <v>849</v>
      </c>
      <c r="D895" s="526" t="s">
        <v>1043</v>
      </c>
      <c r="E895" s="251" t="s">
        <v>1901</v>
      </c>
      <c r="F895" s="735">
        <f>N895+R895+P895+T895+V895+X895+Z895+AB895</f>
        <v>43</v>
      </c>
      <c r="G895" s="872">
        <v>36.369999999999997</v>
      </c>
      <c r="H895" s="261">
        <f>O895+S895+Q895+U895+W895+Y895+AA895+AC895</f>
        <v>1563.91</v>
      </c>
      <c r="I895" s="251" t="s">
        <v>1901</v>
      </c>
      <c r="J895" s="872"/>
      <c r="K895" s="872"/>
      <c r="L895" s="872"/>
      <c r="M895" s="872"/>
      <c r="N895" s="258">
        <v>0</v>
      </c>
      <c r="O895" s="257">
        <f>INT($G895*N895*100+0.5)/100</f>
        <v>0</v>
      </c>
      <c r="P895" s="258">
        <v>43</v>
      </c>
      <c r="Q895" s="257">
        <f>INT($G895*P895*100+0.5)/100</f>
        <v>1563.91</v>
      </c>
      <c r="R895" s="258">
        <v>0</v>
      </c>
      <c r="S895" s="257">
        <f>INT($G895*R895*100+0.5)/100</f>
        <v>0</v>
      </c>
      <c r="T895" s="257"/>
      <c r="U895" s="257"/>
      <c r="V895" s="258">
        <v>0</v>
      </c>
      <c r="W895" s="257">
        <f>INT($G895*V895*100+0.5)/100</f>
        <v>0</v>
      </c>
      <c r="X895" s="258">
        <v>0</v>
      </c>
      <c r="Y895" s="257">
        <f>INT($G895*X895*100+0.5)/100</f>
        <v>0</v>
      </c>
      <c r="Z895" s="258">
        <v>0</v>
      </c>
      <c r="AA895" s="257">
        <f>INT($G895*Z895*100+0.5)/100</f>
        <v>0</v>
      </c>
      <c r="AB895" s="258">
        <v>0</v>
      </c>
      <c r="AC895" s="257">
        <f>INT($G895*AB895*100+0.5)/100</f>
        <v>0</v>
      </c>
    </row>
    <row r="896" spans="1:29" ht="15">
      <c r="A896" s="250"/>
      <c r="B896" s="251"/>
      <c r="C896" s="251"/>
      <c r="D896" s="526" t="s">
        <v>1042</v>
      </c>
      <c r="E896" s="251"/>
      <c r="F896" s="735"/>
      <c r="G896" s="261"/>
      <c r="H896" s="261"/>
      <c r="I896" s="251"/>
      <c r="J896" s="261"/>
      <c r="K896" s="261"/>
      <c r="L896" s="261"/>
      <c r="M896" s="261"/>
      <c r="N896" s="258"/>
      <c r="O896" s="257"/>
      <c r="P896" s="258"/>
      <c r="Q896" s="257"/>
      <c r="R896" s="258"/>
      <c r="S896" s="257"/>
      <c r="T896" s="257"/>
      <c r="U896" s="257"/>
      <c r="V896" s="258"/>
      <c r="W896" s="257"/>
      <c r="X896" s="258"/>
      <c r="Y896" s="257"/>
      <c r="Z896" s="258"/>
      <c r="AA896" s="257"/>
      <c r="AB896" s="258"/>
      <c r="AC896" s="257"/>
    </row>
    <row r="897" spans="1:29" ht="15">
      <c r="A897" s="250"/>
      <c r="B897" s="251"/>
      <c r="C897" s="251"/>
      <c r="D897" s="526"/>
      <c r="E897" s="251"/>
      <c r="F897" s="735"/>
      <c r="G897" s="261"/>
      <c r="H897" s="261"/>
      <c r="I897" s="251"/>
      <c r="J897" s="261"/>
      <c r="K897" s="261"/>
      <c r="L897" s="261"/>
      <c r="M897" s="261"/>
      <c r="N897" s="258"/>
      <c r="O897" s="257"/>
      <c r="P897" s="258"/>
      <c r="Q897" s="257"/>
      <c r="R897" s="258"/>
      <c r="S897" s="257"/>
      <c r="T897" s="257"/>
      <c r="U897" s="257"/>
      <c r="V897" s="258"/>
      <c r="W897" s="257"/>
      <c r="X897" s="258"/>
      <c r="Y897" s="257"/>
      <c r="Z897" s="258"/>
      <c r="AA897" s="257"/>
      <c r="AB897" s="258"/>
      <c r="AC897" s="257"/>
    </row>
    <row r="898" spans="1:29" ht="26.45" hidden="1" customHeight="1">
      <c r="A898" s="750" t="s">
        <v>2510</v>
      </c>
      <c r="B898" s="251"/>
      <c r="C898" s="657" t="s">
        <v>339</v>
      </c>
      <c r="D898" s="526" t="s">
        <v>378</v>
      </c>
      <c r="E898" s="251" t="s">
        <v>2878</v>
      </c>
      <c r="F898" s="735">
        <f>N898+R898+P898+T898+V898+X898+Z898+AB898</f>
        <v>0</v>
      </c>
      <c r="G898" s="261">
        <v>336</v>
      </c>
      <c r="H898" s="261">
        <f>O898+S898+Q898+U898+W898+Y898+AA898+AC898</f>
        <v>0</v>
      </c>
      <c r="I898" s="251" t="s">
        <v>2878</v>
      </c>
      <c r="J898" s="261"/>
      <c r="K898" s="261"/>
      <c r="L898" s="261"/>
      <c r="M898" s="261"/>
      <c r="N898" s="258">
        <v>0</v>
      </c>
      <c r="O898" s="257">
        <f>INT($G898*N898*100+0.5)/100</f>
        <v>0</v>
      </c>
      <c r="P898" s="258">
        <v>0</v>
      </c>
      <c r="Q898" s="257">
        <f>INT($G898*P898*100+0.5)/100</f>
        <v>0</v>
      </c>
      <c r="R898" s="258">
        <v>0</v>
      </c>
      <c r="S898" s="257">
        <f>INT($G898*R898*100+0.5)/100</f>
        <v>0</v>
      </c>
      <c r="T898" s="257"/>
      <c r="U898" s="257"/>
      <c r="V898" s="258">
        <v>0</v>
      </c>
      <c r="W898" s="257">
        <f>INT($G898*V898*100+0.5)/100</f>
        <v>0</v>
      </c>
      <c r="X898" s="258">
        <v>0</v>
      </c>
      <c r="Y898" s="257">
        <f>INT($G898*X898*100+0.5)/100</f>
        <v>0</v>
      </c>
      <c r="Z898" s="258">
        <v>0</v>
      </c>
      <c r="AA898" s="257">
        <f>INT($G898*Z898*100+0.5)/100</f>
        <v>0</v>
      </c>
      <c r="AB898" s="258">
        <v>0</v>
      </c>
      <c r="AC898" s="257">
        <f>INT($G898*AB898*100+0.5)/100</f>
        <v>0</v>
      </c>
    </row>
    <row r="899" spans="1:29" ht="26.45" hidden="1" customHeight="1">
      <c r="A899" s="250"/>
      <c r="B899" s="251"/>
      <c r="C899" s="251"/>
      <c r="D899" s="526" t="s">
        <v>379</v>
      </c>
      <c r="E899" s="251"/>
      <c r="F899" s="735"/>
      <c r="G899" s="261"/>
      <c r="H899" s="261"/>
      <c r="I899" s="251"/>
      <c r="J899" s="261"/>
      <c r="K899" s="261"/>
      <c r="L899" s="261"/>
      <c r="M899" s="261"/>
      <c r="N899" s="258"/>
      <c r="O899" s="257"/>
      <c r="P899" s="258"/>
      <c r="Q899" s="257"/>
      <c r="R899" s="258"/>
      <c r="S899" s="257"/>
      <c r="T899" s="257"/>
      <c r="U899" s="257"/>
      <c r="V899" s="258"/>
      <c r="W899" s="257"/>
      <c r="X899" s="258"/>
      <c r="Y899" s="257"/>
      <c r="Z899" s="258"/>
      <c r="AA899" s="257"/>
      <c r="AB899" s="258"/>
      <c r="AC899" s="257"/>
    </row>
    <row r="900" spans="1:29" s="247" customFormat="1" ht="15.6" hidden="1" customHeight="1">
      <c r="A900" s="284"/>
      <c r="B900" s="237"/>
      <c r="C900" s="237"/>
      <c r="D900" s="238"/>
      <c r="E900" s="237"/>
      <c r="F900" s="733"/>
      <c r="G900" s="243"/>
      <c r="H900" s="243"/>
      <c r="I900" s="237"/>
      <c r="J900" s="243"/>
      <c r="K900" s="243"/>
      <c r="L900" s="243"/>
      <c r="M900" s="243"/>
      <c r="N900" s="289"/>
      <c r="O900" s="245"/>
      <c r="P900" s="289"/>
      <c r="Q900" s="245"/>
      <c r="R900" s="289"/>
      <c r="S900" s="245"/>
      <c r="T900" s="245"/>
      <c r="U900" s="245"/>
      <c r="V900" s="289"/>
      <c r="W900" s="245"/>
      <c r="X900" s="289"/>
      <c r="Y900" s="245"/>
      <c r="Z900" s="289"/>
      <c r="AA900" s="245"/>
      <c r="AB900" s="289"/>
      <c r="AC900" s="245"/>
    </row>
    <row r="901" spans="1:29" ht="26.45" hidden="1" customHeight="1">
      <c r="A901" s="750" t="s">
        <v>2510</v>
      </c>
      <c r="B901" s="251"/>
      <c r="C901" s="532" t="s">
        <v>902</v>
      </c>
      <c r="D901" s="532" t="s">
        <v>1390</v>
      </c>
      <c r="E901" s="251" t="s">
        <v>1439</v>
      </c>
      <c r="F901" s="735">
        <f>N901+R901+P901+T901+V901+X901+Z901+AB901</f>
        <v>0</v>
      </c>
      <c r="G901" s="663">
        <v>23.5</v>
      </c>
      <c r="H901" s="261">
        <f>O901+S901+Q901+U901+W901+Y901+AA901+AC901</f>
        <v>0</v>
      </c>
      <c r="I901" s="251" t="s">
        <v>1439</v>
      </c>
      <c r="J901" s="663"/>
      <c r="K901" s="663"/>
      <c r="L901" s="663"/>
      <c r="M901" s="663"/>
      <c r="N901" s="258">
        <v>0</v>
      </c>
      <c r="O901" s="257">
        <f>INT($G901*N901*100+0.5)/100</f>
        <v>0</v>
      </c>
      <c r="P901" s="258">
        <v>0</v>
      </c>
      <c r="Q901" s="257">
        <f>INT($G901*P901*100+0.5)/100</f>
        <v>0</v>
      </c>
      <c r="R901" s="258">
        <v>0</v>
      </c>
      <c r="S901" s="257">
        <f>INT($G901*R901*100+0.5)/100</f>
        <v>0</v>
      </c>
      <c r="T901" s="257"/>
      <c r="U901" s="257"/>
      <c r="V901" s="258">
        <v>0</v>
      </c>
      <c r="W901" s="257">
        <f>INT($G901*V901*100+0.5)/100</f>
        <v>0</v>
      </c>
      <c r="X901" s="258">
        <v>0</v>
      </c>
      <c r="Y901" s="257">
        <f>INT($G901*X901*100+0.5)/100</f>
        <v>0</v>
      </c>
      <c r="Z901" s="258">
        <v>0</v>
      </c>
      <c r="AA901" s="257">
        <f>INT($G901*Z901*100+0.5)/100</f>
        <v>0</v>
      </c>
      <c r="AB901" s="258">
        <v>0</v>
      </c>
      <c r="AC901" s="257">
        <f>INT($G901*AB901*100+0.5)/100</f>
        <v>0</v>
      </c>
    </row>
    <row r="902" spans="1:29" ht="26.45" hidden="1" customHeight="1">
      <c r="A902" s="250"/>
      <c r="B902" s="251"/>
      <c r="C902" s="326"/>
      <c r="D902" s="532" t="s">
        <v>1381</v>
      </c>
      <c r="E902" s="251"/>
      <c r="F902" s="735"/>
      <c r="G902" s="261"/>
      <c r="H902" s="261"/>
      <c r="I902" s="251"/>
      <c r="J902" s="261"/>
      <c r="K902" s="261"/>
      <c r="L902" s="261"/>
      <c r="M902" s="261"/>
      <c r="N902" s="258"/>
      <c r="O902" s="257"/>
      <c r="P902" s="258"/>
      <c r="Q902" s="257"/>
      <c r="R902" s="258"/>
      <c r="S902" s="257"/>
      <c r="T902" s="257"/>
      <c r="U902" s="257"/>
      <c r="V902" s="258"/>
      <c r="W902" s="257"/>
      <c r="X902" s="258"/>
      <c r="Y902" s="257"/>
      <c r="Z902" s="258"/>
      <c r="AA902" s="257"/>
      <c r="AB902" s="258"/>
      <c r="AC902" s="257"/>
    </row>
    <row r="903" spans="1:29" ht="15.6" hidden="1" customHeight="1">
      <c r="A903" s="250"/>
      <c r="B903" s="251"/>
      <c r="C903" s="326"/>
      <c r="D903" s="292"/>
      <c r="E903" s="251"/>
      <c r="F903" s="735"/>
      <c r="G903" s="261"/>
      <c r="H903" s="261"/>
      <c r="I903" s="251"/>
      <c r="J903" s="261"/>
      <c r="K903" s="261"/>
      <c r="L903" s="261"/>
      <c r="M903" s="261"/>
      <c r="N903" s="258"/>
      <c r="O903" s="257"/>
      <c r="P903" s="258"/>
      <c r="Q903" s="257"/>
      <c r="R903" s="258"/>
      <c r="S903" s="257"/>
      <c r="T903" s="257"/>
      <c r="U903" s="257"/>
      <c r="V903" s="258"/>
      <c r="W903" s="257"/>
      <c r="X903" s="258"/>
      <c r="Y903" s="257"/>
      <c r="Z903" s="258"/>
      <c r="AA903" s="257"/>
      <c r="AB903" s="258"/>
      <c r="AC903" s="257"/>
    </row>
    <row r="904" spans="1:29" ht="15.6" hidden="1" customHeight="1">
      <c r="A904" s="750" t="s">
        <v>2510</v>
      </c>
      <c r="B904" s="251"/>
      <c r="C904" s="532" t="s">
        <v>903</v>
      </c>
      <c r="D904" s="532" t="s">
        <v>1392</v>
      </c>
      <c r="E904" s="251" t="s">
        <v>1439</v>
      </c>
      <c r="F904" s="733">
        <f>N904+R904+P904+V904+X904+Z904+AB904</f>
        <v>0</v>
      </c>
      <c r="G904" s="663">
        <v>23.5</v>
      </c>
      <c r="H904" s="261">
        <f>O904+S904+Q904+W904+Y904+AA904+AC904</f>
        <v>0</v>
      </c>
      <c r="I904" s="251" t="s">
        <v>1439</v>
      </c>
      <c r="J904" s="663"/>
      <c r="K904" s="663"/>
      <c r="L904" s="663"/>
      <c r="M904" s="663"/>
      <c r="N904" s="258">
        <v>0</v>
      </c>
      <c r="O904" s="257">
        <f>INT($G904*N904*100+0.5)/100</f>
        <v>0</v>
      </c>
      <c r="P904" s="258">
        <v>0</v>
      </c>
      <c r="Q904" s="257">
        <f>INT($G904*P904*100+0.5)/100</f>
        <v>0</v>
      </c>
      <c r="R904" s="258">
        <v>0</v>
      </c>
      <c r="S904" s="257">
        <f>INT($G904*R904*100+0.5)/100</f>
        <v>0</v>
      </c>
      <c r="T904" s="257"/>
      <c r="U904" s="257"/>
      <c r="V904" s="258">
        <v>0</v>
      </c>
      <c r="W904" s="257">
        <f>INT($G904*V904*100+0.5)/100</f>
        <v>0</v>
      </c>
      <c r="X904" s="258">
        <v>0</v>
      </c>
      <c r="Y904" s="257">
        <f>INT($G904*X904*100+0.5)/100</f>
        <v>0</v>
      </c>
      <c r="Z904" s="258">
        <v>0</v>
      </c>
      <c r="AA904" s="257">
        <f>INT($G904*Z904*100+0.5)/100</f>
        <v>0</v>
      </c>
      <c r="AB904" s="258">
        <v>0</v>
      </c>
      <c r="AC904" s="257">
        <f>INT($G904*AB904*100+0.5)/100</f>
        <v>0</v>
      </c>
    </row>
    <row r="905" spans="1:29" ht="15.6" hidden="1" customHeight="1">
      <c r="A905" s="250"/>
      <c r="B905" s="251"/>
      <c r="C905" s="326"/>
      <c r="D905" s="532" t="s">
        <v>1391</v>
      </c>
      <c r="E905" s="251"/>
      <c r="F905" s="735"/>
      <c r="G905" s="261"/>
      <c r="H905" s="261"/>
      <c r="I905" s="251"/>
      <c r="J905" s="261"/>
      <c r="K905" s="261"/>
      <c r="L905" s="261"/>
      <c r="M905" s="261"/>
      <c r="N905" s="258"/>
      <c r="O905" s="257"/>
      <c r="P905" s="258"/>
      <c r="Q905" s="257"/>
      <c r="R905" s="258"/>
      <c r="S905" s="257"/>
      <c r="T905" s="257"/>
      <c r="U905" s="257"/>
      <c r="V905" s="258"/>
      <c r="W905" s="257"/>
      <c r="X905" s="258"/>
      <c r="Y905" s="257"/>
      <c r="Z905" s="258"/>
      <c r="AA905" s="257"/>
      <c r="AB905" s="258"/>
      <c r="AC905" s="257"/>
    </row>
    <row r="906" spans="1:29" ht="15.6" hidden="1" customHeight="1">
      <c r="A906" s="250"/>
      <c r="B906" s="251"/>
      <c r="C906" s="326"/>
      <c r="D906" s="532"/>
      <c r="E906" s="251"/>
      <c r="F906" s="735"/>
      <c r="G906" s="261"/>
      <c r="H906" s="261"/>
      <c r="I906" s="251"/>
      <c r="J906" s="261"/>
      <c r="K906" s="261"/>
      <c r="L906" s="261"/>
      <c r="M906" s="261"/>
      <c r="N906" s="258"/>
      <c r="O906" s="257"/>
      <c r="P906" s="258"/>
      <c r="Q906" s="257"/>
      <c r="R906" s="258"/>
      <c r="S906" s="257"/>
      <c r="T906" s="257"/>
      <c r="U906" s="257"/>
      <c r="V906" s="258"/>
      <c r="W906" s="257"/>
      <c r="X906" s="258"/>
      <c r="Y906" s="257"/>
      <c r="Z906" s="258"/>
      <c r="AA906" s="257"/>
      <c r="AB906" s="258"/>
      <c r="AC906" s="257"/>
    </row>
    <row r="907" spans="1:29" s="303" customFormat="1" ht="30">
      <c r="A907" s="328"/>
      <c r="B907" s="315"/>
      <c r="C907" s="266" t="s">
        <v>1579</v>
      </c>
      <c r="D907" s="333" t="s">
        <v>1581</v>
      </c>
      <c r="E907" s="299"/>
      <c r="F907" s="782"/>
      <c r="G907" s="271"/>
      <c r="H907" s="271">
        <f>O907+S907+Q907+U907+W907+Y907+AA907+AC907</f>
        <v>14280.88</v>
      </c>
      <c r="I907" s="299"/>
      <c r="J907" s="271"/>
      <c r="K907" s="271"/>
      <c r="L907" s="271"/>
      <c r="M907" s="271"/>
      <c r="N907" s="273"/>
      <c r="O907" s="273">
        <f>SUM(O883:O906)</f>
        <v>984.65</v>
      </c>
      <c r="P907" s="273"/>
      <c r="Q907" s="273">
        <f>SUM(Q883:Q906)</f>
        <v>11573.029999999999</v>
      </c>
      <c r="R907" s="273"/>
      <c r="S907" s="273">
        <f>SUM(S883:S906)</f>
        <v>1723.1999999999998</v>
      </c>
      <c r="T907" s="273"/>
      <c r="U907" s="273">
        <f>SUM(U883:U906)</f>
        <v>0</v>
      </c>
      <c r="V907" s="273"/>
      <c r="W907" s="273">
        <f>SUM(W883:W906)</f>
        <v>0</v>
      </c>
      <c r="X907" s="273"/>
      <c r="Y907" s="273">
        <f>SUM(Y883:Y906)</f>
        <v>0</v>
      </c>
      <c r="Z907" s="273"/>
      <c r="AA907" s="273">
        <f>SUM(AA883:AA906)</f>
        <v>0</v>
      </c>
      <c r="AB907" s="273"/>
      <c r="AC907" s="273">
        <f>SUM(AC883:AC906)</f>
        <v>0</v>
      </c>
    </row>
    <row r="908" spans="1:29" ht="15">
      <c r="A908" s="551"/>
      <c r="B908" s="307"/>
      <c r="C908" s="453"/>
      <c r="D908" s="330"/>
      <c r="E908" s="251"/>
      <c r="F908" s="735"/>
      <c r="G908" s="261"/>
      <c r="H908" s="737"/>
      <c r="I908" s="251"/>
      <c r="J908" s="261"/>
      <c r="K908" s="261"/>
      <c r="L908" s="261"/>
      <c r="M908" s="261"/>
      <c r="N908" s="258"/>
      <c r="O908" s="494"/>
      <c r="P908" s="258"/>
      <c r="Q908" s="257"/>
      <c r="R908" s="258"/>
      <c r="S908" s="257"/>
      <c r="T908" s="257"/>
      <c r="U908" s="257"/>
      <c r="V908" s="258"/>
      <c r="W908" s="257"/>
      <c r="X908" s="258"/>
      <c r="Y908" s="257"/>
      <c r="Z908" s="258"/>
      <c r="AA908" s="257"/>
      <c r="AB908" s="258"/>
      <c r="AC908" s="257"/>
    </row>
    <row r="909" spans="1:29" ht="15">
      <c r="A909" s="250"/>
      <c r="B909" s="251"/>
      <c r="C909" s="748">
        <v>85</v>
      </c>
      <c r="D909" s="747" t="s">
        <v>1582</v>
      </c>
      <c r="E909" s="251"/>
      <c r="F909" s="733"/>
      <c r="G909" s="243"/>
      <c r="H909" s="243"/>
      <c r="I909" s="237"/>
      <c r="J909" s="243"/>
      <c r="K909" s="243"/>
      <c r="L909" s="243"/>
      <c r="M909" s="243"/>
      <c r="N909" s="258"/>
      <c r="O909" s="257"/>
      <c r="P909" s="258"/>
      <c r="Q909" s="257"/>
      <c r="R909" s="258"/>
      <c r="S909" s="257"/>
      <c r="T909" s="257"/>
      <c r="U909" s="257"/>
      <c r="V909" s="258"/>
      <c r="W909" s="257"/>
      <c r="X909" s="258"/>
      <c r="Y909" s="257"/>
      <c r="Z909" s="258"/>
      <c r="AA909" s="257"/>
      <c r="AB909" s="258"/>
      <c r="AC909" s="257"/>
    </row>
    <row r="910" spans="1:29" ht="15">
      <c r="A910" s="250"/>
      <c r="B910" s="251"/>
      <c r="C910" s="647" t="s">
        <v>3378</v>
      </c>
      <c r="D910" s="292" t="s">
        <v>3377</v>
      </c>
      <c r="E910" s="251"/>
      <c r="F910" s="733"/>
      <c r="G910" s="243"/>
      <c r="H910" s="243"/>
      <c r="I910" s="237"/>
      <c r="J910" s="243"/>
      <c r="K910" s="243"/>
      <c r="L910" s="243"/>
      <c r="M910" s="243"/>
      <c r="N910" s="258"/>
      <c r="O910" s="257"/>
      <c r="P910" s="258"/>
      <c r="Q910" s="257"/>
      <c r="R910" s="258"/>
      <c r="S910" s="257"/>
      <c r="T910" s="257"/>
      <c r="U910" s="257"/>
      <c r="V910" s="258"/>
      <c r="W910" s="257"/>
      <c r="X910" s="258"/>
      <c r="Y910" s="257"/>
      <c r="Z910" s="258"/>
      <c r="AA910" s="257"/>
      <c r="AB910" s="258"/>
      <c r="AC910" s="257"/>
    </row>
    <row r="911" spans="1:29" ht="15">
      <c r="A911" s="250"/>
      <c r="B911" s="251"/>
      <c r="C911" s="329"/>
      <c r="D911" s="292" t="s">
        <v>3380</v>
      </c>
      <c r="E911" s="251"/>
      <c r="F911" s="735"/>
      <c r="G911" s="261"/>
      <c r="H911" s="261"/>
      <c r="I911" s="251"/>
      <c r="J911" s="261"/>
      <c r="K911" s="261"/>
      <c r="L911" s="261"/>
      <c r="M911" s="261"/>
      <c r="N911" s="258"/>
      <c r="O911" s="257"/>
      <c r="P911" s="258"/>
      <c r="Q911" s="257"/>
      <c r="R911" s="258"/>
      <c r="S911" s="257"/>
      <c r="T911" s="257"/>
      <c r="U911" s="257"/>
      <c r="V911" s="258"/>
      <c r="W911" s="257"/>
      <c r="X911" s="258"/>
      <c r="Y911" s="257"/>
      <c r="Z911" s="258"/>
      <c r="AA911" s="257"/>
      <c r="AB911" s="258"/>
      <c r="AC911" s="257"/>
    </row>
    <row r="912" spans="1:29" ht="15">
      <c r="A912" s="250">
        <f>A895+1</f>
        <v>178</v>
      </c>
      <c r="B912" s="251"/>
      <c r="C912" s="647" t="s">
        <v>3379</v>
      </c>
      <c r="D912" s="526" t="s">
        <v>3381</v>
      </c>
      <c r="E912" s="251" t="s">
        <v>1898</v>
      </c>
      <c r="F912" s="733">
        <f>N912+R912+P912+T912+V912+X912+Z912+AB912</f>
        <v>2830</v>
      </c>
      <c r="G912" s="872">
        <v>3.72</v>
      </c>
      <c r="H912" s="261">
        <f>O912+S912+Q912+U912+W912+Y912+AA912+AC912</f>
        <v>10527.6</v>
      </c>
      <c r="I912" s="251" t="s">
        <v>1898</v>
      </c>
      <c r="J912" s="872"/>
      <c r="K912" s="872"/>
      <c r="L912" s="872"/>
      <c r="M912" s="872"/>
      <c r="N912" s="258">
        <f>N415</f>
        <v>510</v>
      </c>
      <c r="O912" s="257">
        <f>INT($G912*N912*100+0.5)/100</f>
        <v>1897.2</v>
      </c>
      <c r="P912" s="258">
        <f>P415</f>
        <v>770</v>
      </c>
      <c r="Q912" s="257">
        <f>INT($G912*P912*100+0.5)/100</f>
        <v>2864.4</v>
      </c>
      <c r="R912" s="258">
        <f>R415</f>
        <v>680</v>
      </c>
      <c r="S912" s="257">
        <f>INT($G912*R912*100+0.5)/100</f>
        <v>2529.6</v>
      </c>
      <c r="T912" s="257"/>
      <c r="U912" s="257"/>
      <c r="V912" s="258">
        <f>V415</f>
        <v>70</v>
      </c>
      <c r="W912" s="257">
        <f>INT($G912*V912*100+0.5)/100</f>
        <v>260.39999999999998</v>
      </c>
      <c r="X912" s="258">
        <v>0</v>
      </c>
      <c r="Y912" s="257">
        <f>INT($G912*X912*100+0.5)/100</f>
        <v>0</v>
      </c>
      <c r="Z912" s="289">
        <v>0</v>
      </c>
      <c r="AA912" s="257">
        <f>INT($G912*Z912*100+0.5)/100</f>
        <v>0</v>
      </c>
      <c r="AB912" s="289">
        <f>AB415</f>
        <v>800</v>
      </c>
      <c r="AC912" s="257">
        <f>INT($G912*AB912*100+0.5)/100</f>
        <v>2976</v>
      </c>
    </row>
    <row r="913" spans="1:29" ht="15">
      <c r="A913" s="250"/>
      <c r="B913" s="251"/>
      <c r="C913" s="647"/>
      <c r="D913" s="526" t="s">
        <v>3383</v>
      </c>
      <c r="E913" s="251"/>
      <c r="F913" s="735"/>
      <c r="G913" s="261"/>
      <c r="H913" s="261"/>
      <c r="I913" s="251"/>
      <c r="J913" s="261"/>
      <c r="K913" s="261"/>
      <c r="L913" s="261"/>
      <c r="M913" s="261"/>
      <c r="N913" s="258"/>
      <c r="O913" s="257"/>
      <c r="P913" s="258"/>
      <c r="Q913" s="257"/>
      <c r="R913" s="258"/>
      <c r="S913" s="257"/>
      <c r="T913" s="257"/>
      <c r="U913" s="257"/>
      <c r="V913" s="258"/>
      <c r="W913" s="257"/>
      <c r="X913" s="258"/>
      <c r="Y913" s="257"/>
      <c r="Z913" s="289"/>
      <c r="AA913" s="257"/>
      <c r="AB913" s="289"/>
      <c r="AC913" s="257"/>
    </row>
    <row r="914" spans="1:29" ht="15">
      <c r="A914" s="250">
        <f>A912+1</f>
        <v>179</v>
      </c>
      <c r="B914" s="251"/>
      <c r="C914" s="647" t="s">
        <v>3382</v>
      </c>
      <c r="D914" s="526" t="s">
        <v>3384</v>
      </c>
      <c r="E914" s="251" t="s">
        <v>1898</v>
      </c>
      <c r="F914" s="733">
        <f>N914+R914+P914+T914+V914+X914+Z914+AB914</f>
        <v>2830</v>
      </c>
      <c r="G914" s="872">
        <v>0.97</v>
      </c>
      <c r="H914" s="261">
        <f>O914+S914+Q914+U914+W914+Y914+AA914+AC914</f>
        <v>2745.1</v>
      </c>
      <c r="I914" s="251" t="s">
        <v>1898</v>
      </c>
      <c r="J914" s="872"/>
      <c r="K914" s="872"/>
      <c r="L914" s="872"/>
      <c r="M914" s="872"/>
      <c r="N914" s="258">
        <f>N415</f>
        <v>510</v>
      </c>
      <c r="O914" s="257">
        <f>INT($G914*N914*100+0.5)/100</f>
        <v>494.7</v>
      </c>
      <c r="P914" s="258">
        <f>P415</f>
        <v>770</v>
      </c>
      <c r="Q914" s="257">
        <f>INT($G914*P914*100+0.5)/100</f>
        <v>746.9</v>
      </c>
      <c r="R914" s="258">
        <f>R415</f>
        <v>680</v>
      </c>
      <c r="S914" s="257">
        <f>INT($G914*R914*100+0.5)/100</f>
        <v>659.6</v>
      </c>
      <c r="T914" s="257"/>
      <c r="U914" s="257"/>
      <c r="V914" s="258">
        <f>V415</f>
        <v>70</v>
      </c>
      <c r="W914" s="257">
        <f>INT($G914*V914*100+0.5)/100</f>
        <v>67.900000000000006</v>
      </c>
      <c r="X914" s="258">
        <v>0</v>
      </c>
      <c r="Y914" s="257">
        <f>INT($G914*X914*100+0.5)/100</f>
        <v>0</v>
      </c>
      <c r="Z914" s="289">
        <v>0</v>
      </c>
      <c r="AA914" s="257">
        <f>INT($G914*Z914*100+0.5)/100</f>
        <v>0</v>
      </c>
      <c r="AB914" s="289">
        <f>AB415</f>
        <v>800</v>
      </c>
      <c r="AC914" s="257">
        <f>INT($G914*AB914*100+0.5)/100</f>
        <v>776</v>
      </c>
    </row>
    <row r="915" spans="1:29" ht="15">
      <c r="A915" s="250"/>
      <c r="B915" s="251"/>
      <c r="C915" s="647"/>
      <c r="D915" s="526" t="s">
        <v>3385</v>
      </c>
      <c r="E915" s="251"/>
      <c r="F915" s="735"/>
      <c r="G915" s="261"/>
      <c r="H915" s="261"/>
      <c r="I915" s="251"/>
      <c r="J915" s="261"/>
      <c r="K915" s="261"/>
      <c r="L915" s="261"/>
      <c r="M915" s="261"/>
      <c r="N915" s="258"/>
      <c r="O915" s="257"/>
      <c r="P915" s="258"/>
      <c r="Q915" s="257"/>
      <c r="R915" s="258"/>
      <c r="S915" s="257"/>
      <c r="T915" s="257"/>
      <c r="U915" s="257"/>
      <c r="V915" s="258"/>
      <c r="W915" s="257"/>
      <c r="X915" s="258"/>
      <c r="Y915" s="257"/>
      <c r="Z915" s="289"/>
      <c r="AA915" s="257"/>
      <c r="AB915" s="289"/>
      <c r="AC915" s="257"/>
    </row>
    <row r="916" spans="1:29" ht="15">
      <c r="A916" s="250"/>
      <c r="B916" s="251"/>
      <c r="C916" s="647"/>
      <c r="D916" s="292"/>
      <c r="E916" s="251"/>
      <c r="F916" s="735"/>
      <c r="G916" s="261"/>
      <c r="H916" s="261"/>
      <c r="I916" s="251"/>
      <c r="J916" s="261"/>
      <c r="K916" s="261"/>
      <c r="L916" s="261"/>
      <c r="M916" s="261"/>
      <c r="N916" s="258"/>
      <c r="O916" s="257"/>
      <c r="P916" s="258"/>
      <c r="Q916" s="257"/>
      <c r="R916" s="258"/>
      <c r="S916" s="257"/>
      <c r="T916" s="257"/>
      <c r="U916" s="257"/>
      <c r="V916" s="258"/>
      <c r="W916" s="257"/>
      <c r="X916" s="258"/>
      <c r="Y916" s="257"/>
      <c r="Z916" s="289"/>
      <c r="AA916" s="257"/>
      <c r="AB916" s="289"/>
      <c r="AC916" s="257"/>
    </row>
    <row r="917" spans="1:29" ht="15">
      <c r="A917" s="250">
        <f>A914+1</f>
        <v>180</v>
      </c>
      <c r="B917" s="251"/>
      <c r="C917" s="647" t="s">
        <v>3352</v>
      </c>
      <c r="D917" s="526" t="s">
        <v>3353</v>
      </c>
      <c r="E917" s="251" t="s">
        <v>1898</v>
      </c>
      <c r="F917" s="733">
        <f>N917+R917+P917+T917+V917+X917+Z917+AB917</f>
        <v>7660</v>
      </c>
      <c r="G917" s="872">
        <v>0.86</v>
      </c>
      <c r="H917" s="261">
        <f>O917+S917+Q917+U917+W917+Y917+AA917+AC917</f>
        <v>6587.6</v>
      </c>
      <c r="I917" s="251" t="s">
        <v>1898</v>
      </c>
      <c r="J917" s="872"/>
      <c r="K917" s="872"/>
      <c r="L917" s="872"/>
      <c r="M917" s="872"/>
      <c r="N917" s="258">
        <f>N415*2</f>
        <v>1020</v>
      </c>
      <c r="O917" s="257">
        <f>INT($G917*N917*100+0.5)/100</f>
        <v>877.2</v>
      </c>
      <c r="P917" s="258">
        <f>P415*2</f>
        <v>1540</v>
      </c>
      <c r="Q917" s="257">
        <f>INT($G917*P917*100+0.5)/100</f>
        <v>1324.4</v>
      </c>
      <c r="R917" s="258">
        <f>R415*2</f>
        <v>1360</v>
      </c>
      <c r="S917" s="257">
        <f>INT($G917*R917*100+0.5)/100</f>
        <v>1169.5999999999999</v>
      </c>
      <c r="T917" s="257"/>
      <c r="U917" s="257"/>
      <c r="V917" s="258">
        <f>V415*2</f>
        <v>140</v>
      </c>
      <c r="W917" s="257">
        <f>INT($G917*V917*100+0.5)/100</f>
        <v>120.4</v>
      </c>
      <c r="X917" s="258">
        <f>X401</f>
        <v>2000</v>
      </c>
      <c r="Y917" s="257">
        <f>INT($G917*X917*100+0.5)/100</f>
        <v>1720</v>
      </c>
      <c r="Z917" s="289">
        <f>Z403*0.2</f>
        <v>0</v>
      </c>
      <c r="AA917" s="257">
        <f>INT($G917*Z917*100+0.5)/100</f>
        <v>0</v>
      </c>
      <c r="AB917" s="289">
        <f>AB415*2</f>
        <v>1600</v>
      </c>
      <c r="AC917" s="257">
        <f>INT($G917*AB917*100+0.5)/100</f>
        <v>1376</v>
      </c>
    </row>
    <row r="918" spans="1:29" ht="15">
      <c r="A918" s="250"/>
      <c r="B918" s="251"/>
      <c r="C918" s="647"/>
      <c r="D918" s="526" t="s">
        <v>3354</v>
      </c>
      <c r="E918" s="251"/>
      <c r="F918" s="735"/>
      <c r="G918" s="261"/>
      <c r="H918" s="261"/>
      <c r="I918" s="251"/>
      <c r="J918" s="261"/>
      <c r="K918" s="261"/>
      <c r="L918" s="261"/>
      <c r="M918" s="261"/>
      <c r="N918" s="258"/>
      <c r="O918" s="257"/>
      <c r="P918" s="258"/>
      <c r="Q918" s="257"/>
      <c r="R918" s="258"/>
      <c r="S918" s="257"/>
      <c r="T918" s="257"/>
      <c r="U918" s="257"/>
      <c r="V918" s="258"/>
      <c r="W918" s="257"/>
      <c r="X918" s="258"/>
      <c r="Y918" s="257"/>
      <c r="Z918" s="258"/>
      <c r="AA918" s="257"/>
      <c r="AB918" s="258"/>
      <c r="AC918" s="257"/>
    </row>
    <row r="919" spans="1:29" ht="15">
      <c r="A919" s="250"/>
      <c r="B919" s="251"/>
      <c r="C919" s="647"/>
      <c r="D919" s="292"/>
      <c r="E919" s="251"/>
      <c r="F919" s="735"/>
      <c r="G919" s="261"/>
      <c r="H919" s="261"/>
      <c r="I919" s="251"/>
      <c r="J919" s="261"/>
      <c r="K919" s="261"/>
      <c r="L919" s="261"/>
      <c r="M919" s="261"/>
      <c r="N919" s="258"/>
      <c r="O919" s="257"/>
      <c r="P919" s="258"/>
      <c r="Q919" s="257"/>
      <c r="R919" s="258"/>
      <c r="S919" s="257"/>
      <c r="T919" s="257"/>
      <c r="U919" s="257"/>
      <c r="V919" s="258"/>
      <c r="W919" s="257"/>
      <c r="X919" s="258"/>
      <c r="Y919" s="257"/>
      <c r="Z919" s="258"/>
      <c r="AA919" s="257"/>
      <c r="AB919" s="258"/>
      <c r="AC919" s="257"/>
    </row>
    <row r="920" spans="1:29" ht="15">
      <c r="A920" s="250">
        <f>A917+1</f>
        <v>181</v>
      </c>
      <c r="B920" s="251"/>
      <c r="C920" s="647" t="s">
        <v>3355</v>
      </c>
      <c r="D920" s="526" t="s">
        <v>3356</v>
      </c>
      <c r="E920" s="251" t="s">
        <v>2657</v>
      </c>
      <c r="F920" s="735">
        <f>N920+R920+P920+T920+V920+X920+Z920+AB920</f>
        <v>5</v>
      </c>
      <c r="G920" s="872">
        <v>500</v>
      </c>
      <c r="H920" s="261">
        <f>O920+S920+Q920+U920+W920+Y920+AA920+AC920</f>
        <v>2500</v>
      </c>
      <c r="I920" s="251" t="s">
        <v>2657</v>
      </c>
      <c r="J920" s="872"/>
      <c r="K920" s="872"/>
      <c r="L920" s="872"/>
      <c r="M920" s="872"/>
      <c r="N920" s="258">
        <v>1</v>
      </c>
      <c r="O920" s="257">
        <f>INT($G920*N920*100+0.5)/100</f>
        <v>500</v>
      </c>
      <c r="P920" s="258">
        <v>1</v>
      </c>
      <c r="Q920" s="257">
        <f>INT($G920*P920*100+0.5)/100</f>
        <v>500</v>
      </c>
      <c r="R920" s="258">
        <v>1</v>
      </c>
      <c r="S920" s="257">
        <f>INT($G920*R920*100+0.5)/100</f>
        <v>500</v>
      </c>
      <c r="T920" s="258">
        <f>T412*10</f>
        <v>0</v>
      </c>
      <c r="U920" s="257">
        <f>INT($G920*T920*100+0.5)/100</f>
        <v>0</v>
      </c>
      <c r="V920" s="258">
        <f>V412*10</f>
        <v>0</v>
      </c>
      <c r="W920" s="257">
        <f>INT($G920*V920*100+0.5)/100</f>
        <v>0</v>
      </c>
      <c r="X920" s="258">
        <v>1</v>
      </c>
      <c r="Y920" s="257">
        <f>INT($G920*X920*100+0.5)/100</f>
        <v>500</v>
      </c>
      <c r="Z920" s="258">
        <v>0</v>
      </c>
      <c r="AA920" s="257">
        <f>INT($G920*Z920*100+0.5)/100</f>
        <v>0</v>
      </c>
      <c r="AB920" s="258">
        <v>1</v>
      </c>
      <c r="AC920" s="257">
        <f>INT($G920*AB920*100+0.5)/100</f>
        <v>500</v>
      </c>
    </row>
    <row r="921" spans="1:29" ht="15">
      <c r="A921" s="250"/>
      <c r="B921" s="251"/>
      <c r="C921" s="647"/>
      <c r="D921" s="526" t="s">
        <v>3357</v>
      </c>
      <c r="E921" s="251"/>
      <c r="F921" s="735"/>
      <c r="G921" s="261"/>
      <c r="H921" s="261"/>
      <c r="I921" s="251"/>
      <c r="J921" s="261"/>
      <c r="K921" s="261"/>
      <c r="L921" s="261"/>
      <c r="M921" s="261"/>
      <c r="N921" s="258"/>
      <c r="O921" s="257"/>
      <c r="P921" s="258"/>
      <c r="Q921" s="257"/>
      <c r="R921" s="258"/>
      <c r="S921" s="257"/>
      <c r="T921" s="257"/>
      <c r="U921" s="257"/>
      <c r="V921" s="258"/>
      <c r="W921" s="257"/>
      <c r="X921" s="258"/>
      <c r="Y921" s="257"/>
      <c r="Z921" s="258"/>
      <c r="AA921" s="257"/>
      <c r="AB921" s="258"/>
      <c r="AC921" s="257"/>
    </row>
    <row r="922" spans="1:29" ht="15">
      <c r="A922" s="250"/>
      <c r="B922" s="251"/>
      <c r="C922" s="647"/>
      <c r="D922" s="292"/>
      <c r="E922" s="251"/>
      <c r="F922" s="735"/>
      <c r="G922" s="261"/>
      <c r="H922" s="261"/>
      <c r="I922" s="251"/>
      <c r="J922" s="261"/>
      <c r="K922" s="261"/>
      <c r="L922" s="261"/>
      <c r="M922" s="261"/>
      <c r="N922" s="258"/>
      <c r="O922" s="257"/>
      <c r="P922" s="258"/>
      <c r="Q922" s="257"/>
      <c r="R922" s="258"/>
      <c r="S922" s="257"/>
      <c r="T922" s="257"/>
      <c r="U922" s="257"/>
      <c r="V922" s="258"/>
      <c r="W922" s="257"/>
      <c r="X922" s="258"/>
      <c r="Y922" s="257"/>
      <c r="Z922" s="258"/>
      <c r="AA922" s="257"/>
      <c r="AB922" s="258"/>
      <c r="AC922" s="257"/>
    </row>
    <row r="923" spans="1:29" ht="15">
      <c r="A923" s="250">
        <f>A920+1</f>
        <v>182</v>
      </c>
      <c r="B923" s="251"/>
      <c r="C923" s="647" t="s">
        <v>2875</v>
      </c>
      <c r="D923" s="526" t="s">
        <v>3358</v>
      </c>
      <c r="E923" s="251" t="s">
        <v>2471</v>
      </c>
      <c r="F923" s="735">
        <f>N923+R923+P923+T923+V923+X923+Z923+AB923</f>
        <v>28700</v>
      </c>
      <c r="G923" s="872">
        <v>1.56</v>
      </c>
      <c r="H923" s="261">
        <f>O923+S923+Q923+U923+W923+Y923+AA923+AC923</f>
        <v>44772</v>
      </c>
      <c r="I923" s="251" t="s">
        <v>2471</v>
      </c>
      <c r="J923" s="872"/>
      <c r="K923" s="872"/>
      <c r="L923" s="872"/>
      <c r="M923" s="872"/>
      <c r="N923" s="258">
        <f>N415*10</f>
        <v>5100</v>
      </c>
      <c r="O923" s="257">
        <f>INT($G923*N923*100+0.5)/100</f>
        <v>7956</v>
      </c>
      <c r="P923" s="258">
        <f>P415*10</f>
        <v>7700</v>
      </c>
      <c r="Q923" s="257">
        <f>INT($G923*P923*100+0.5)/100</f>
        <v>12012</v>
      </c>
      <c r="R923" s="258">
        <f>R415*10</f>
        <v>6800</v>
      </c>
      <c r="S923" s="257">
        <f>INT($G923*R923*100+0.5)/100</f>
        <v>10608</v>
      </c>
      <c r="T923" s="258">
        <f>T415*10</f>
        <v>400</v>
      </c>
      <c r="U923" s="257">
        <f>INT($G923*T923*100+0.5)/100</f>
        <v>624</v>
      </c>
      <c r="V923" s="258">
        <f>V415*10</f>
        <v>700</v>
      </c>
      <c r="W923" s="257">
        <f>INT($G923*V923*100+0.5)/100</f>
        <v>1092</v>
      </c>
      <c r="X923" s="258">
        <f>X475*8</f>
        <v>0</v>
      </c>
      <c r="Y923" s="257">
        <f>INT($G923*X923*100+0.5)/100</f>
        <v>0</v>
      </c>
      <c r="Z923" s="258">
        <f>Z475*8</f>
        <v>0</v>
      </c>
      <c r="AA923" s="257">
        <f>INT($G923*Z923*100+0.5)/100</f>
        <v>0</v>
      </c>
      <c r="AB923" s="258">
        <f>AB415*10</f>
        <v>8000</v>
      </c>
      <c r="AC923" s="257">
        <f>INT($G923*AB923*100+0.5)/100</f>
        <v>12480</v>
      </c>
    </row>
    <row r="924" spans="1:29" ht="15">
      <c r="A924" s="250"/>
      <c r="B924" s="251"/>
      <c r="C924" s="647"/>
      <c r="D924" s="526" t="s">
        <v>3359</v>
      </c>
      <c r="E924" s="251"/>
      <c r="F924" s="735"/>
      <c r="G924" s="261"/>
      <c r="H924" s="261"/>
      <c r="I924" s="251"/>
      <c r="J924" s="261"/>
      <c r="K924" s="261"/>
      <c r="L924" s="261"/>
      <c r="M924" s="261"/>
      <c r="N924" s="258"/>
      <c r="O924" s="257"/>
      <c r="P924" s="258"/>
      <c r="Q924" s="257"/>
      <c r="R924" s="258"/>
      <c r="S924" s="257"/>
      <c r="T924" s="257"/>
      <c r="U924" s="257"/>
      <c r="V924" s="258"/>
      <c r="W924" s="257"/>
      <c r="X924" s="258"/>
      <c r="Y924" s="257"/>
      <c r="Z924" s="258"/>
      <c r="AA924" s="257"/>
      <c r="AB924" s="258"/>
      <c r="AC924" s="257"/>
    </row>
    <row r="925" spans="1:29" ht="15">
      <c r="A925" s="250"/>
      <c r="B925" s="251"/>
      <c r="C925" s="647"/>
      <c r="D925" s="292"/>
      <c r="E925" s="251"/>
      <c r="F925" s="735"/>
      <c r="G925" s="261"/>
      <c r="H925" s="261"/>
      <c r="I925" s="251"/>
      <c r="J925" s="261"/>
      <c r="K925" s="261"/>
      <c r="L925" s="261"/>
      <c r="M925" s="261"/>
      <c r="N925" s="258"/>
      <c r="O925" s="257"/>
      <c r="P925" s="258"/>
      <c r="Q925" s="257"/>
      <c r="R925" s="258"/>
      <c r="S925" s="257"/>
      <c r="T925" s="257"/>
      <c r="U925" s="257"/>
      <c r="V925" s="258"/>
      <c r="W925" s="257"/>
      <c r="X925" s="258"/>
      <c r="Y925" s="257"/>
      <c r="Z925" s="258"/>
      <c r="AA925" s="257"/>
      <c r="AB925" s="258"/>
      <c r="AC925" s="257"/>
    </row>
    <row r="926" spans="1:29" ht="25.5">
      <c r="A926" s="250">
        <f>A923+1</f>
        <v>183</v>
      </c>
      <c r="B926" s="251"/>
      <c r="C926" s="647" t="s">
        <v>2873</v>
      </c>
      <c r="D926" s="526" t="s">
        <v>3360</v>
      </c>
      <c r="E926" s="251" t="s">
        <v>2471</v>
      </c>
      <c r="F926" s="735"/>
      <c r="G926" s="261"/>
      <c r="H926" s="261"/>
      <c r="I926" s="251" t="s">
        <v>2471</v>
      </c>
      <c r="J926" s="261"/>
      <c r="K926" s="261"/>
      <c r="L926" s="261"/>
      <c r="M926" s="261"/>
      <c r="N926" s="258"/>
      <c r="O926" s="257"/>
      <c r="P926" s="258"/>
      <c r="Q926" s="257"/>
      <c r="R926" s="258"/>
      <c r="S926" s="257"/>
      <c r="T926" s="257"/>
      <c r="U926" s="257"/>
      <c r="V926" s="258"/>
      <c r="W926" s="257"/>
      <c r="X926" s="258"/>
      <c r="Y926" s="257"/>
      <c r="Z926" s="258"/>
      <c r="AA926" s="257"/>
      <c r="AB926" s="258"/>
      <c r="AC926" s="257"/>
    </row>
    <row r="927" spans="1:29" ht="25.5">
      <c r="A927" s="250"/>
      <c r="B927" s="251"/>
      <c r="C927" s="647"/>
      <c r="D927" s="526" t="s">
        <v>3361</v>
      </c>
      <c r="E927" s="251"/>
      <c r="F927" s="735"/>
      <c r="G927" s="261"/>
      <c r="H927" s="261"/>
      <c r="I927" s="251"/>
      <c r="J927" s="261"/>
      <c r="K927" s="261"/>
      <c r="L927" s="261"/>
      <c r="M927" s="261"/>
      <c r="N927" s="258"/>
      <c r="O927" s="257"/>
      <c r="P927" s="258"/>
      <c r="Q927" s="257"/>
      <c r="R927" s="258"/>
      <c r="S927" s="257"/>
      <c r="T927" s="257"/>
      <c r="U927" s="257"/>
      <c r="V927" s="258"/>
      <c r="W927" s="257"/>
      <c r="X927" s="258"/>
      <c r="Y927" s="257"/>
      <c r="Z927" s="258"/>
      <c r="AA927" s="257"/>
      <c r="AB927" s="258"/>
      <c r="AC927" s="257"/>
    </row>
    <row r="928" spans="1:29" s="778" customFormat="1" ht="15">
      <c r="A928" s="775"/>
      <c r="B928" s="776"/>
      <c r="C928" s="777"/>
      <c r="D928" s="774" t="s">
        <v>2876</v>
      </c>
      <c r="E928" s="779"/>
      <c r="F928" s="842"/>
      <c r="G928" s="663"/>
      <c r="H928" s="663"/>
      <c r="I928" s="776"/>
      <c r="J928" s="663"/>
      <c r="K928" s="663"/>
      <c r="L928" s="663"/>
      <c r="M928" s="663"/>
      <c r="N928" s="772">
        <f>N415*6</f>
        <v>3060</v>
      </c>
      <c r="O928" s="772"/>
      <c r="P928" s="772">
        <f>P415*6</f>
        <v>4620</v>
      </c>
      <c r="Q928" s="772"/>
      <c r="R928" s="772">
        <f>R415*6</f>
        <v>4080</v>
      </c>
      <c r="S928" s="772"/>
      <c r="T928" s="772"/>
      <c r="U928" s="772"/>
      <c r="V928" s="843">
        <f>V415*6</f>
        <v>420</v>
      </c>
      <c r="W928" s="772"/>
      <c r="X928" s="772">
        <f>X415*6</f>
        <v>0</v>
      </c>
      <c r="Y928" s="772"/>
      <c r="Z928" s="843"/>
      <c r="AA928" s="772"/>
      <c r="AB928" s="772">
        <f>AB415*6</f>
        <v>4800</v>
      </c>
      <c r="AC928" s="772"/>
    </row>
    <row r="929" spans="1:29" s="778" customFormat="1" ht="15">
      <c r="A929" s="775"/>
      <c r="B929" s="776"/>
      <c r="C929" s="777"/>
      <c r="D929" s="774" t="s">
        <v>2877</v>
      </c>
      <c r="E929" s="779"/>
      <c r="F929" s="842"/>
      <c r="G929" s="663"/>
      <c r="H929" s="663"/>
      <c r="I929" s="776"/>
      <c r="J929" s="663"/>
      <c r="K929" s="663"/>
      <c r="L929" s="663"/>
      <c r="M929" s="663"/>
      <c r="N929" s="772">
        <f>N401*5</f>
        <v>600</v>
      </c>
      <c r="O929" s="772"/>
      <c r="P929" s="772">
        <f>P401*5</f>
        <v>0</v>
      </c>
      <c r="Q929" s="772"/>
      <c r="R929" s="772">
        <f>R401*5</f>
        <v>350</v>
      </c>
      <c r="S929" s="772"/>
      <c r="T929" s="772"/>
      <c r="U929" s="772"/>
      <c r="V929" s="843">
        <f>V401*5</f>
        <v>1500</v>
      </c>
      <c r="W929" s="772"/>
      <c r="X929" s="772">
        <f>X401*5</f>
        <v>10000</v>
      </c>
      <c r="Y929" s="772"/>
      <c r="Z929" s="843"/>
      <c r="AA929" s="772"/>
      <c r="AB929" s="772">
        <f>AB401*5</f>
        <v>0</v>
      </c>
      <c r="AC929" s="772"/>
    </row>
    <row r="930" spans="1:29" ht="15">
      <c r="A930" s="250"/>
      <c r="B930" s="251"/>
      <c r="C930" s="648"/>
      <c r="D930" s="830" t="s">
        <v>2498</v>
      </c>
      <c r="E930" s="251"/>
      <c r="F930" s="735"/>
      <c r="G930" s="261"/>
      <c r="H930" s="261"/>
      <c r="I930" s="251"/>
      <c r="J930" s="261"/>
      <c r="K930" s="261"/>
      <c r="L930" s="261"/>
      <c r="M930" s="261"/>
      <c r="N930" s="257">
        <f>(90)*(1)*(6+4)</f>
        <v>900</v>
      </c>
      <c r="O930" s="257"/>
      <c r="P930" s="257">
        <f>(90)*(0.85)*(6+4)</f>
        <v>765</v>
      </c>
      <c r="Q930" s="257"/>
      <c r="R930" s="257">
        <f>(90)*(1.3)*(6+4)</f>
        <v>1170</v>
      </c>
      <c r="S930" s="257"/>
      <c r="T930" s="257"/>
      <c r="U930" s="257"/>
      <c r="V930" s="258"/>
      <c r="W930" s="257"/>
      <c r="X930" s="812">
        <f>X394*5</f>
        <v>630</v>
      </c>
      <c r="Y930" s="772"/>
      <c r="Z930" s="258"/>
      <c r="AA930" s="257"/>
      <c r="AB930" s="812">
        <f>AB405*(6+4)</f>
        <v>464.0625</v>
      </c>
      <c r="AC930" s="257"/>
    </row>
    <row r="931" spans="1:29" ht="15">
      <c r="A931" s="250"/>
      <c r="B931" s="251"/>
      <c r="C931" s="648"/>
      <c r="D931" s="830" t="s">
        <v>2511</v>
      </c>
      <c r="E931" s="251"/>
      <c r="F931" s="735"/>
      <c r="G931" s="261"/>
      <c r="H931" s="261"/>
      <c r="I931" s="251"/>
      <c r="J931" s="261"/>
      <c r="K931" s="261"/>
      <c r="L931" s="261"/>
      <c r="M931" s="261"/>
      <c r="N931" s="257">
        <f>(10+132.5)*(0.7)*(6+4)</f>
        <v>997.5</v>
      </c>
      <c r="O931" s="257"/>
      <c r="P931" s="257">
        <f>(10+132.5)*(1.3)*(6+4)</f>
        <v>1852.5</v>
      </c>
      <c r="Q931" s="257"/>
      <c r="R931" s="257">
        <f>(10+132.5)*(1.3)*(6+4)</f>
        <v>1852.5</v>
      </c>
      <c r="S931" s="257"/>
      <c r="T931" s="257">
        <f>30*0.7*(6+4)</f>
        <v>210</v>
      </c>
      <c r="U931" s="257"/>
      <c r="V931" s="258"/>
      <c r="W931" s="257"/>
      <c r="X931" s="812">
        <f>X395*5</f>
        <v>2968.75</v>
      </c>
      <c r="Y931" s="257"/>
      <c r="Z931" s="258"/>
      <c r="AA931" s="257"/>
      <c r="AB931" s="812">
        <f>AB406*(6+4)</f>
        <v>4517.5</v>
      </c>
      <c r="AC931" s="257"/>
    </row>
    <row r="932" spans="1:29" ht="15">
      <c r="A932" s="250"/>
      <c r="B932" s="251"/>
      <c r="C932" s="648"/>
      <c r="D932" s="830" t="s">
        <v>2512</v>
      </c>
      <c r="E932" s="251"/>
      <c r="F932" s="735"/>
      <c r="G932" s="261"/>
      <c r="H932" s="261"/>
      <c r="I932" s="251"/>
      <c r="J932" s="261"/>
      <c r="K932" s="261"/>
      <c r="L932" s="261"/>
      <c r="M932" s="261"/>
      <c r="N932" s="257">
        <f>(23+136.5+101.5+10+10)*(0.7)*(6+4)</f>
        <v>1967</v>
      </c>
      <c r="O932" s="257"/>
      <c r="P932" s="257">
        <f>(23+136.5+101.5+10+10)*(1.3)*(6+4)</f>
        <v>3653</v>
      </c>
      <c r="Q932" s="257"/>
      <c r="R932" s="257">
        <f>(23+136.5+101.5+10+10)*(1.3)*(6+4)</f>
        <v>3653</v>
      </c>
      <c r="S932" s="257"/>
      <c r="T932" s="257"/>
      <c r="U932" s="257"/>
      <c r="V932" s="258"/>
      <c r="W932" s="257"/>
      <c r="X932" s="812">
        <f>X396*5</f>
        <v>6232.5</v>
      </c>
      <c r="Y932" s="257"/>
      <c r="Z932" s="258"/>
      <c r="AA932" s="257"/>
      <c r="AB932" s="812">
        <f>AB407*(6+4)</f>
        <v>7227</v>
      </c>
      <c r="AC932" s="257"/>
    </row>
    <row r="933" spans="1:29" ht="15">
      <c r="A933" s="250"/>
      <c r="B933" s="251"/>
      <c r="C933" s="648"/>
      <c r="D933" s="830" t="s">
        <v>2446</v>
      </c>
      <c r="E933" s="251"/>
      <c r="F933" s="735"/>
      <c r="G933" s="261"/>
      <c r="H933" s="261"/>
      <c r="I933" s="251"/>
      <c r="J933" s="261"/>
      <c r="K933" s="261"/>
      <c r="L933" s="261"/>
      <c r="M933" s="261"/>
      <c r="N933" s="257">
        <f>(21*(0.5)*(3.5*5)+21*(0.5)*1.5*8+11*(0.5)*4.5*8+11*(0.5)*3.5*5)*0.6*5</f>
        <v>1812</v>
      </c>
      <c r="O933" s="257"/>
      <c r="P933" s="257">
        <f>(40*4+40*2)*1.2*(6+4)</f>
        <v>2880</v>
      </c>
      <c r="Q933" s="257"/>
      <c r="R933" s="257">
        <f>(20+27+2+2+38+14+54+21+26+20)*1.2*8</f>
        <v>2150.4</v>
      </c>
      <c r="S933" s="257"/>
      <c r="T933" s="257"/>
      <c r="U933" s="257"/>
      <c r="V933" s="258"/>
      <c r="W933" s="257"/>
      <c r="X933" s="812">
        <v>0</v>
      </c>
      <c r="Y933" s="257"/>
      <c r="Z933" s="258"/>
      <c r="AA933" s="257"/>
      <c r="AB933" s="812">
        <v>0</v>
      </c>
      <c r="AC933" s="257"/>
    </row>
    <row r="934" spans="1:29" ht="15.6" hidden="1" customHeight="1">
      <c r="A934" s="250"/>
      <c r="B934" s="251"/>
      <c r="C934" s="648"/>
      <c r="D934" s="830" t="s">
        <v>2451</v>
      </c>
      <c r="E934" s="251"/>
      <c r="F934" s="735"/>
      <c r="G934" s="256">
        <f>(180+45+70+40)*2.1*8</f>
        <v>5628</v>
      </c>
      <c r="H934" s="261"/>
      <c r="I934" s="251"/>
      <c r="J934" s="256"/>
      <c r="K934" s="256"/>
      <c r="L934" s="256"/>
      <c r="M934" s="256"/>
      <c r="N934" s="260"/>
      <c r="O934" s="257"/>
      <c r="P934" s="257"/>
      <c r="Q934" s="257"/>
      <c r="R934" s="257"/>
      <c r="S934" s="257"/>
      <c r="T934" s="257"/>
      <c r="U934" s="257"/>
      <c r="V934" s="258"/>
      <c r="W934" s="257"/>
      <c r="X934" s="257"/>
      <c r="Y934" s="257"/>
      <c r="Z934" s="258"/>
      <c r="AA934" s="257"/>
      <c r="AB934" s="257"/>
      <c r="AC934" s="257"/>
    </row>
    <row r="935" spans="1:29" ht="15.6" hidden="1" customHeight="1">
      <c r="A935" s="250"/>
      <c r="B935" s="251"/>
      <c r="C935" s="648"/>
      <c r="D935" s="830" t="s">
        <v>2446</v>
      </c>
      <c r="E935" s="251"/>
      <c r="F935" s="735"/>
      <c r="G935" s="256">
        <f>50*2*8</f>
        <v>800</v>
      </c>
      <c r="H935" s="261"/>
      <c r="I935" s="251"/>
      <c r="J935" s="256"/>
      <c r="K935" s="256"/>
      <c r="L935" s="256"/>
      <c r="M935" s="256"/>
      <c r="N935" s="257"/>
      <c r="O935" s="257"/>
      <c r="P935" s="257"/>
      <c r="Q935" s="257"/>
      <c r="R935" s="257"/>
      <c r="S935" s="257"/>
      <c r="T935" s="257"/>
      <c r="U935" s="257"/>
      <c r="V935" s="258"/>
      <c r="W935" s="257"/>
      <c r="X935" s="812"/>
      <c r="Y935" s="257"/>
      <c r="Z935" s="258"/>
      <c r="AA935" s="257"/>
      <c r="AB935" s="812"/>
      <c r="AC935" s="257"/>
    </row>
    <row r="936" spans="1:29" ht="15">
      <c r="A936" s="250"/>
      <c r="B936" s="251"/>
      <c r="C936" s="648"/>
      <c r="D936" s="832" t="s">
        <v>1899</v>
      </c>
      <c r="E936" s="251"/>
      <c r="F936" s="735"/>
      <c r="G936" s="256"/>
      <c r="H936" s="261"/>
      <c r="I936" s="251"/>
      <c r="J936" s="256"/>
      <c r="K936" s="256"/>
      <c r="L936" s="256"/>
      <c r="M936" s="256"/>
      <c r="N936" s="294">
        <v>70</v>
      </c>
      <c r="O936" s="294"/>
      <c r="P936" s="294">
        <v>10</v>
      </c>
      <c r="Q936" s="294"/>
      <c r="R936" s="294">
        <v>44.3</v>
      </c>
      <c r="S936" s="294"/>
      <c r="T936" s="294">
        <v>24</v>
      </c>
      <c r="U936" s="294"/>
      <c r="V936" s="293"/>
      <c r="W936" s="294"/>
      <c r="X936" s="813">
        <v>68.75</v>
      </c>
      <c r="Y936" s="294"/>
      <c r="Z936" s="293"/>
      <c r="AA936" s="294"/>
      <c r="AB936" s="813">
        <v>74.86</v>
      </c>
      <c r="AC936" s="294"/>
    </row>
    <row r="937" spans="1:29" ht="15">
      <c r="A937" s="250"/>
      <c r="B937" s="251"/>
      <c r="C937" s="648"/>
      <c r="D937" s="830" t="s">
        <v>575</v>
      </c>
      <c r="E937" s="251"/>
      <c r="F937" s="735">
        <f>N937+R937+P937+T937+V937+X937+Z937+AB937</f>
        <v>46193.622499999998</v>
      </c>
      <c r="G937" s="872">
        <v>1.78</v>
      </c>
      <c r="H937" s="261">
        <f>O937+S937+Q937+U937+W937+Y937+AA937+AC937</f>
        <v>82224.649999999994</v>
      </c>
      <c r="I937" s="251"/>
      <c r="J937" s="872"/>
      <c r="K937" s="872"/>
      <c r="L937" s="872"/>
      <c r="M937" s="872"/>
      <c r="N937" s="258">
        <f>INT(SUM(N930:N936))</f>
        <v>5746</v>
      </c>
      <c r="O937" s="257">
        <f>INT($G937*N937*100+0.5)/100</f>
        <v>10227.879999999999</v>
      </c>
      <c r="P937" s="258">
        <f>INT(SUM(P930:P936))</f>
        <v>9160</v>
      </c>
      <c r="Q937" s="257">
        <f>INT($G937*P937*100+0.5)/100</f>
        <v>16304.8</v>
      </c>
      <c r="R937" s="258">
        <f>SUM(R930:R936)</f>
        <v>8870.1999999999989</v>
      </c>
      <c r="S937" s="257">
        <f>INT($G937*R937*100+0.5)/100</f>
        <v>15788.96</v>
      </c>
      <c r="T937" s="258">
        <f>SUM(T930:T936)</f>
        <v>234</v>
      </c>
      <c r="U937" s="257">
        <f>INT($G937*T937*100+0.5)/100</f>
        <v>416.52</v>
      </c>
      <c r="V937" s="258">
        <f>SUM(V930:V935)</f>
        <v>0</v>
      </c>
      <c r="W937" s="257">
        <f>INT($G937*V937*100+0.5)/100</f>
        <v>0</v>
      </c>
      <c r="X937" s="258">
        <f>SUM(X930:X936)</f>
        <v>9900</v>
      </c>
      <c r="Y937" s="257">
        <f>INT($G937*X937*100+0.5)/100</f>
        <v>17622</v>
      </c>
      <c r="Z937" s="258">
        <f>SUM(Z930:Z935)</f>
        <v>0</v>
      </c>
      <c r="AA937" s="257">
        <f>INT($G937*Z937*100+0.5)/100</f>
        <v>0</v>
      </c>
      <c r="AB937" s="258">
        <f>SUM(AB930:AB936)</f>
        <v>12283.422500000001</v>
      </c>
      <c r="AC937" s="257">
        <f>INT($G937*AB937*100+0.5)/100</f>
        <v>21864.49</v>
      </c>
    </row>
    <row r="938" spans="1:29" ht="15">
      <c r="A938" s="250"/>
      <c r="B938" s="251"/>
      <c r="C938" s="647"/>
      <c r="D938" s="292"/>
      <c r="E938" s="251"/>
      <c r="F938" s="735"/>
      <c r="G938" s="261"/>
      <c r="H938" s="261"/>
      <c r="I938" s="251"/>
      <c r="J938" s="261"/>
      <c r="K938" s="261"/>
      <c r="L938" s="261"/>
      <c r="M938" s="261"/>
      <c r="N938" s="258"/>
      <c r="O938" s="257"/>
      <c r="P938" s="258"/>
      <c r="Q938" s="257"/>
      <c r="R938" s="258"/>
      <c r="S938" s="257"/>
      <c r="T938" s="257"/>
      <c r="U938" s="257"/>
      <c r="V938" s="258"/>
      <c r="W938" s="257"/>
      <c r="X938" s="258"/>
      <c r="Y938" s="257"/>
      <c r="Z938" s="258"/>
      <c r="AA938" s="257"/>
      <c r="AB938" s="258"/>
      <c r="AC938" s="257"/>
    </row>
    <row r="939" spans="1:29" ht="25.5">
      <c r="A939" s="250">
        <f>A926+1</f>
        <v>184</v>
      </c>
      <c r="B939" s="251"/>
      <c r="C939" s="647" t="s">
        <v>852</v>
      </c>
      <c r="D939" s="526" t="s">
        <v>3362</v>
      </c>
      <c r="E939" s="251" t="s">
        <v>1898</v>
      </c>
      <c r="F939" s="735">
        <f>N939+R939+P939+T939+V939+X939+Z939+AB939</f>
        <v>2520</v>
      </c>
      <c r="G939" s="872">
        <v>7.08</v>
      </c>
      <c r="H939" s="261">
        <f>O939+S939+Q939+U939+W939+Y939+AA939+AC939</f>
        <v>17841.599999999999</v>
      </c>
      <c r="I939" s="251" t="s">
        <v>1898</v>
      </c>
      <c r="J939" s="872"/>
      <c r="K939" s="872"/>
      <c r="L939" s="872"/>
      <c r="M939" s="872"/>
      <c r="N939" s="258">
        <f>N401</f>
        <v>120</v>
      </c>
      <c r="O939" s="257">
        <f>INT($G939*N939*100+0.5)/100</f>
        <v>849.6</v>
      </c>
      <c r="P939" s="258">
        <f>P401</f>
        <v>0</v>
      </c>
      <c r="Q939" s="257">
        <f>INT($G939*P939*100+0.5)/100</f>
        <v>0</v>
      </c>
      <c r="R939" s="258">
        <f>R401</f>
        <v>70</v>
      </c>
      <c r="S939" s="257">
        <f>INT($G939*R939*100+0.5)/100</f>
        <v>495.6</v>
      </c>
      <c r="T939" s="258">
        <f>T401</f>
        <v>30</v>
      </c>
      <c r="U939" s="257">
        <f>INT($G939*T939*100+0.5)/100</f>
        <v>212.4</v>
      </c>
      <c r="V939" s="258">
        <f>V401</f>
        <v>300</v>
      </c>
      <c r="W939" s="257">
        <f>INT($G939*V939*100+0.5)/100</f>
        <v>2124</v>
      </c>
      <c r="X939" s="258">
        <f>X401</f>
        <v>2000</v>
      </c>
      <c r="Y939" s="257">
        <f>INT($G939*X939*100+0.5)/100</f>
        <v>14160</v>
      </c>
      <c r="Z939" s="258">
        <v>0</v>
      </c>
      <c r="AA939" s="257">
        <f>INT($G939*Z939*100+0.5)/100</f>
        <v>0</v>
      </c>
      <c r="AB939" s="258">
        <f>AB401</f>
        <v>0</v>
      </c>
      <c r="AC939" s="257">
        <f>INT($G939*AB939*100+0.5)/100</f>
        <v>0</v>
      </c>
    </row>
    <row r="940" spans="1:29" ht="25.5">
      <c r="A940" s="250"/>
      <c r="B940" s="251"/>
      <c r="C940" s="647"/>
      <c r="D940" s="526" t="s">
        <v>3363</v>
      </c>
      <c r="E940" s="251"/>
      <c r="F940" s="735"/>
      <c r="G940" s="261"/>
      <c r="H940" s="261"/>
      <c r="I940" s="251"/>
      <c r="J940" s="261"/>
      <c r="K940" s="261"/>
      <c r="L940" s="261"/>
      <c r="M940" s="261"/>
      <c r="N940" s="258"/>
      <c r="O940" s="257"/>
      <c r="P940" s="258"/>
      <c r="Q940" s="257"/>
      <c r="R940" s="258"/>
      <c r="S940" s="257"/>
      <c r="T940" s="257"/>
      <c r="U940" s="257"/>
      <c r="V940" s="258"/>
      <c r="W940" s="257"/>
      <c r="X940" s="258"/>
      <c r="Y940" s="257"/>
      <c r="Z940" s="258"/>
      <c r="AA940" s="257"/>
      <c r="AB940" s="258"/>
      <c r="AC940" s="257"/>
    </row>
    <row r="941" spans="1:29" ht="15">
      <c r="A941" s="250"/>
      <c r="B941" s="251"/>
      <c r="C941" s="647"/>
      <c r="D941" s="292"/>
      <c r="E941" s="251"/>
      <c r="F941" s="735"/>
      <c r="G941" s="261"/>
      <c r="H941" s="261"/>
      <c r="I941" s="251"/>
      <c r="J941" s="261"/>
      <c r="K941" s="261"/>
      <c r="L941" s="261"/>
      <c r="M941" s="261"/>
      <c r="N941" s="258"/>
      <c r="O941" s="257"/>
      <c r="P941" s="258"/>
      <c r="Q941" s="257"/>
      <c r="R941" s="258"/>
      <c r="S941" s="257"/>
      <c r="T941" s="257"/>
      <c r="U941" s="257"/>
      <c r="V941" s="258"/>
      <c r="W941" s="257"/>
      <c r="X941" s="258"/>
      <c r="Y941" s="257"/>
      <c r="Z941" s="258"/>
      <c r="AA941" s="257"/>
      <c r="AB941" s="258"/>
      <c r="AC941" s="257"/>
    </row>
    <row r="942" spans="1:29" ht="25.5">
      <c r="A942" s="250">
        <f>A939+1</f>
        <v>185</v>
      </c>
      <c r="B942" s="251"/>
      <c r="C942" s="647" t="s">
        <v>853</v>
      </c>
      <c r="D942" s="526" t="s">
        <v>3364</v>
      </c>
      <c r="E942" s="251" t="s">
        <v>591</v>
      </c>
      <c r="F942" s="735"/>
      <c r="G942" s="261"/>
      <c r="H942" s="261"/>
      <c r="I942" s="251" t="s">
        <v>591</v>
      </c>
      <c r="J942" s="261"/>
      <c r="K942" s="261"/>
      <c r="L942" s="261"/>
      <c r="M942" s="261"/>
      <c r="N942" s="258"/>
      <c r="O942" s="257"/>
      <c r="P942" s="258"/>
      <c r="Q942" s="257"/>
      <c r="R942" s="258"/>
      <c r="S942" s="257"/>
      <c r="T942" s="257"/>
      <c r="U942" s="257"/>
      <c r="V942" s="258"/>
      <c r="W942" s="257"/>
      <c r="X942" s="258"/>
      <c r="Y942" s="257"/>
      <c r="Z942" s="258"/>
      <c r="AA942" s="257"/>
      <c r="AB942" s="258"/>
      <c r="AC942" s="257"/>
    </row>
    <row r="943" spans="1:29" ht="25.5">
      <c r="A943" s="250"/>
      <c r="B943" s="251"/>
      <c r="C943" s="647"/>
      <c r="D943" s="526" t="s">
        <v>3365</v>
      </c>
      <c r="E943" s="251"/>
      <c r="F943" s="735"/>
      <c r="G943" s="261"/>
      <c r="H943" s="261"/>
      <c r="I943" s="251"/>
      <c r="J943" s="261"/>
      <c r="K943" s="261"/>
      <c r="L943" s="261"/>
      <c r="M943" s="261"/>
      <c r="N943" s="258"/>
      <c r="O943" s="257"/>
      <c r="P943" s="258"/>
      <c r="Q943" s="257"/>
      <c r="R943" s="258"/>
      <c r="S943" s="257"/>
      <c r="T943" s="257"/>
      <c r="U943" s="257"/>
      <c r="V943" s="258"/>
      <c r="W943" s="257"/>
      <c r="X943" s="258"/>
      <c r="Y943" s="257"/>
      <c r="Z943" s="258"/>
      <c r="AA943" s="257"/>
      <c r="AB943" s="258"/>
      <c r="AC943" s="257"/>
    </row>
    <row r="944" spans="1:29" ht="15">
      <c r="A944" s="250"/>
      <c r="B944" s="251"/>
      <c r="C944" s="647"/>
      <c r="D944" s="774" t="s">
        <v>2874</v>
      </c>
      <c r="E944" s="251"/>
      <c r="F944" s="735"/>
      <c r="G944" s="261"/>
      <c r="H944" s="261"/>
      <c r="I944" s="251"/>
      <c r="J944" s="261"/>
      <c r="K944" s="261"/>
      <c r="L944" s="261"/>
      <c r="M944" s="261"/>
      <c r="N944" s="772">
        <f>N415*4*24/1000</f>
        <v>48.96</v>
      </c>
      <c r="O944" s="772"/>
      <c r="P944" s="772"/>
      <c r="Q944" s="772"/>
      <c r="R944" s="772"/>
      <c r="S944" s="772"/>
      <c r="T944" s="772"/>
      <c r="U944" s="772"/>
      <c r="V944" s="772"/>
      <c r="W944" s="772"/>
      <c r="X944" s="772"/>
      <c r="Y944" s="772"/>
      <c r="Z944" s="772"/>
      <c r="AA944" s="772"/>
      <c r="AB944" s="772"/>
      <c r="AC944" s="772"/>
    </row>
    <row r="945" spans="1:29" ht="15">
      <c r="A945" s="250"/>
      <c r="B945" s="251"/>
      <c r="C945" s="648"/>
      <c r="D945" s="830" t="s">
        <v>2498</v>
      </c>
      <c r="E945" s="251"/>
      <c r="F945" s="735"/>
      <c r="G945" s="261"/>
      <c r="H945" s="261"/>
      <c r="I945" s="251"/>
      <c r="J945" s="261"/>
      <c r="K945" s="261"/>
      <c r="L945" s="261"/>
      <c r="M945" s="261"/>
      <c r="N945" s="257">
        <f>297*(0.7/4.8)*4*24/1000</f>
        <v>4.1580000000000004</v>
      </c>
      <c r="O945" s="257"/>
      <c r="P945" s="257">
        <f>297*(0.8/4.8)*2*4*24/1000</f>
        <v>9.5040000000000013</v>
      </c>
      <c r="Q945" s="257"/>
      <c r="R945" s="257">
        <f>297*(1.2/4.8)*4*24/1000</f>
        <v>7.1280000000000001</v>
      </c>
      <c r="S945" s="257"/>
      <c r="T945" s="257"/>
      <c r="U945" s="257"/>
      <c r="V945" s="257"/>
      <c r="W945" s="257"/>
      <c r="X945" s="812"/>
      <c r="Y945" s="257"/>
      <c r="Z945" s="812"/>
      <c r="AA945" s="257"/>
      <c r="AB945" s="812">
        <f>297*4*24/1000-N945-P945-R945</f>
        <v>7.7219999999999978</v>
      </c>
      <c r="AC945" s="257"/>
    </row>
    <row r="946" spans="1:29" ht="15">
      <c r="A946" s="250"/>
      <c r="B946" s="251"/>
      <c r="C946" s="648"/>
      <c r="D946" s="830" t="s">
        <v>2511</v>
      </c>
      <c r="E946" s="251"/>
      <c r="F946" s="735"/>
      <c r="G946" s="261"/>
      <c r="H946" s="261"/>
      <c r="I946" s="251"/>
      <c r="J946" s="261"/>
      <c r="K946" s="261"/>
      <c r="L946" s="261"/>
      <c r="M946" s="261"/>
      <c r="N946" s="257">
        <f>943*0.7/(6.5)*4*24/1000</f>
        <v>9.7491692307692279</v>
      </c>
      <c r="O946" s="257"/>
      <c r="P946" s="257">
        <f>943*1.3/(6.5)*4*24/1000</f>
        <v>18.105600000000003</v>
      </c>
      <c r="Q946" s="257"/>
      <c r="R946" s="257">
        <f>943*1.3/(6.5)*4*24/1000</f>
        <v>18.105600000000003</v>
      </c>
      <c r="S946" s="257"/>
      <c r="T946" s="257"/>
      <c r="U946" s="257"/>
      <c r="V946" s="257"/>
      <c r="W946" s="257"/>
      <c r="X946" s="812"/>
      <c r="Y946" s="257"/>
      <c r="Z946" s="812"/>
      <c r="AA946" s="257"/>
      <c r="AB946" s="812">
        <f>943*4*24/1000-N946-P946-R946</f>
        <v>44.567630769230774</v>
      </c>
      <c r="AC946" s="257"/>
    </row>
    <row r="947" spans="1:29" ht="15">
      <c r="A947" s="250"/>
      <c r="B947" s="251"/>
      <c r="C947" s="648"/>
      <c r="D947" s="830" t="s">
        <v>2512</v>
      </c>
      <c r="E947" s="251"/>
      <c r="F947" s="735"/>
      <c r="G947" s="261"/>
      <c r="H947" s="261"/>
      <c r="I947" s="251"/>
      <c r="J947" s="261"/>
      <c r="K947" s="261"/>
      <c r="L947" s="261"/>
      <c r="M947" s="261"/>
      <c r="N947" s="257">
        <f>(1151+12+80+12+343)*0.7/(5.95)*4*24/1000</f>
        <v>18.047999999999995</v>
      </c>
      <c r="O947" s="257"/>
      <c r="P947" s="257">
        <f>(1151+12+80+12+343)*1.3/(5.95)*4*24/1000</f>
        <v>33.517714285714291</v>
      </c>
      <c r="Q947" s="257"/>
      <c r="R947" s="257">
        <f>(1151+12+80+12+343)*1.3/(5.95)*4*24/1000</f>
        <v>33.517714285714291</v>
      </c>
      <c r="S947" s="257"/>
      <c r="T947" s="257"/>
      <c r="U947" s="257"/>
      <c r="V947" s="257"/>
      <c r="W947" s="257"/>
      <c r="X947" s="812"/>
      <c r="Y947" s="257"/>
      <c r="Z947" s="812"/>
      <c r="AA947" s="257"/>
      <c r="AB947" s="812">
        <f>(1151+12+80+12+343)*4*24/1000-N947-P947-R947</f>
        <v>68.324571428571403</v>
      </c>
      <c r="AC947" s="257"/>
    </row>
    <row r="948" spans="1:29" ht="15">
      <c r="A948" s="250"/>
      <c r="B948" s="251"/>
      <c r="C948" s="648"/>
      <c r="D948" s="831" t="s">
        <v>2446</v>
      </c>
      <c r="E948" s="251"/>
      <c r="F948" s="735"/>
      <c r="G948" s="261"/>
      <c r="H948" s="261"/>
      <c r="I948" s="251"/>
      <c r="J948" s="261"/>
      <c r="K948" s="261"/>
      <c r="L948" s="261"/>
      <c r="M948" s="261"/>
      <c r="N948" s="257">
        <f>(21*(0.8)*(3.5)*2*24/1000+21*(0.8)*1.5*4*24/1000+11*(0.8)*4.5*4*24/1000+11*(0.8)*3.5*2*24/1000)</f>
        <v>10.521600000000001</v>
      </c>
      <c r="O948" s="257"/>
      <c r="P948" s="257">
        <f>22*(5.5+1)*1*4*24/1000</f>
        <v>13.728</v>
      </c>
      <c r="Q948" s="257"/>
      <c r="R948" s="257">
        <f>R933/8*4*24/1000</f>
        <v>25.804800000000004</v>
      </c>
      <c r="S948" s="257"/>
      <c r="T948" s="257"/>
      <c r="U948" s="257"/>
      <c r="V948" s="257"/>
      <c r="W948" s="257"/>
      <c r="X948" s="812"/>
      <c r="Y948" s="257"/>
      <c r="Z948" s="812"/>
      <c r="AA948" s="257"/>
      <c r="AB948" s="812"/>
      <c r="AC948" s="257"/>
    </row>
    <row r="949" spans="1:29" ht="15.6" hidden="1" customHeight="1">
      <c r="A949" s="250"/>
      <c r="B949" s="251"/>
      <c r="C949" s="648"/>
      <c r="D949" s="831" t="s">
        <v>2451</v>
      </c>
      <c r="E949" s="251"/>
      <c r="F949" s="735"/>
      <c r="G949" s="256">
        <f>(180+45+70+40)*3</f>
        <v>1005</v>
      </c>
      <c r="H949" s="261"/>
      <c r="I949" s="251"/>
      <c r="J949" s="256"/>
      <c r="K949" s="256"/>
      <c r="L949" s="256"/>
      <c r="M949" s="256"/>
      <c r="N949" s="257"/>
      <c r="O949" s="257"/>
      <c r="P949" s="257"/>
      <c r="Q949" s="257"/>
      <c r="R949" s="257"/>
      <c r="S949" s="257"/>
      <c r="T949" s="257"/>
      <c r="U949" s="257"/>
      <c r="V949" s="257"/>
      <c r="W949" s="257"/>
      <c r="X949" s="812"/>
      <c r="Y949" s="257"/>
      <c r="Z949" s="812"/>
      <c r="AA949" s="257"/>
      <c r="AB949" s="812"/>
      <c r="AC949" s="257"/>
    </row>
    <row r="950" spans="1:29" ht="15.6" hidden="1" customHeight="1">
      <c r="A950" s="250"/>
      <c r="B950" s="251"/>
      <c r="C950" s="648"/>
      <c r="D950" s="831" t="s">
        <v>927</v>
      </c>
      <c r="E950" s="251"/>
      <c r="F950" s="735"/>
      <c r="G950" s="256">
        <v>0</v>
      </c>
      <c r="H950" s="261"/>
      <c r="I950" s="251"/>
      <c r="J950" s="256"/>
      <c r="K950" s="256"/>
      <c r="L950" s="256"/>
      <c r="M950" s="256"/>
      <c r="N950" s="257"/>
      <c r="O950" s="257"/>
      <c r="P950" s="257"/>
      <c r="Q950" s="257"/>
      <c r="R950" s="257"/>
      <c r="S950" s="257"/>
      <c r="T950" s="257"/>
      <c r="U950" s="257"/>
      <c r="V950" s="257"/>
      <c r="W950" s="257"/>
      <c r="X950" s="812"/>
      <c r="Y950" s="257"/>
      <c r="Z950" s="812"/>
      <c r="AA950" s="257"/>
      <c r="AB950" s="812"/>
      <c r="AC950" s="257"/>
    </row>
    <row r="951" spans="1:29" ht="15">
      <c r="A951" s="250"/>
      <c r="B951" s="251"/>
      <c r="C951" s="648"/>
      <c r="D951" s="833" t="s">
        <v>1899</v>
      </c>
      <c r="E951" s="251"/>
      <c r="F951" s="735"/>
      <c r="G951" s="256"/>
      <c r="H951" s="261"/>
      <c r="I951" s="251"/>
      <c r="J951" s="256"/>
      <c r="K951" s="256"/>
      <c r="L951" s="256"/>
      <c r="M951" s="256"/>
      <c r="N951" s="294">
        <v>11.5</v>
      </c>
      <c r="O951" s="294"/>
      <c r="P951" s="294">
        <v>5.92</v>
      </c>
      <c r="Q951" s="294"/>
      <c r="R951" s="294">
        <v>7.41</v>
      </c>
      <c r="S951" s="294"/>
      <c r="T951" s="294"/>
      <c r="U951" s="294"/>
      <c r="V951" s="294"/>
      <c r="W951" s="294"/>
      <c r="X951" s="813"/>
      <c r="Y951" s="294"/>
      <c r="Z951" s="813"/>
      <c r="AA951" s="294"/>
      <c r="AB951" s="813">
        <v>9.39</v>
      </c>
      <c r="AC951" s="294"/>
    </row>
    <row r="952" spans="1:29" ht="15">
      <c r="A952" s="250"/>
      <c r="B952" s="251"/>
      <c r="C952" s="648"/>
      <c r="D952" s="831" t="s">
        <v>575</v>
      </c>
      <c r="E952" s="251"/>
      <c r="F952" s="735">
        <f>N952+R952+P952+T952+V952+X952+Z952+AB952</f>
        <v>356.72239999999994</v>
      </c>
      <c r="G952" s="872">
        <v>90.63</v>
      </c>
      <c r="H952" s="261">
        <f>O952+S952+Q952+U952+W952+Y952+AA952+AC952</f>
        <v>32329.75</v>
      </c>
      <c r="I952" s="251"/>
      <c r="J952" s="872"/>
      <c r="K952" s="872"/>
      <c r="L952" s="872"/>
      <c r="M952" s="872"/>
      <c r="N952" s="258">
        <f>SUM(N945:N951)</f>
        <v>53.976769230769222</v>
      </c>
      <c r="O952" s="257">
        <f>INT($G952*N952*100+0.5)/100</f>
        <v>4891.91</v>
      </c>
      <c r="P952" s="258">
        <f>SUM(P945:P951)</f>
        <v>80.775314285714288</v>
      </c>
      <c r="Q952" s="257">
        <f>INT($G952*P952*100+0.5)/100</f>
        <v>7320.67</v>
      </c>
      <c r="R952" s="258">
        <f>SUM(R945:R951)</f>
        <v>91.966114285714298</v>
      </c>
      <c r="S952" s="257">
        <f>INT($G952*R952*100+0.5)/100</f>
        <v>8334.89</v>
      </c>
      <c r="T952" s="257"/>
      <c r="U952" s="257"/>
      <c r="V952" s="258">
        <f>SUM(V945:V950)</f>
        <v>0</v>
      </c>
      <c r="W952" s="257">
        <f>INT($G952*V952*100+0.5)/100</f>
        <v>0</v>
      </c>
      <c r="X952" s="258">
        <f>SUM(X945:X951)</f>
        <v>0</v>
      </c>
      <c r="Y952" s="257">
        <f>INT($G952*X952*100+0.5)/100</f>
        <v>0</v>
      </c>
      <c r="Z952" s="258">
        <f>SUM(Z945:Z950)</f>
        <v>0</v>
      </c>
      <c r="AA952" s="257">
        <f>INT($G952*Z952*100+0.5)/100</f>
        <v>0</v>
      </c>
      <c r="AB952" s="258">
        <f>SUM(AB945:AB951)</f>
        <v>130.00420219780216</v>
      </c>
      <c r="AC952" s="257">
        <f>INT($G952*AB952*100+0.5)/100</f>
        <v>11782.28</v>
      </c>
    </row>
    <row r="953" spans="1:29" ht="15">
      <c r="A953" s="250"/>
      <c r="B953" s="251"/>
      <c r="C953" s="647"/>
      <c r="D953" s="292"/>
      <c r="E953" s="251"/>
      <c r="F953" s="735"/>
      <c r="G953" s="261"/>
      <c r="H953" s="261"/>
      <c r="I953" s="251"/>
      <c r="J953" s="261"/>
      <c r="K953" s="261"/>
      <c r="L953" s="261"/>
      <c r="M953" s="261"/>
      <c r="N953" s="258"/>
      <c r="O953" s="257"/>
      <c r="P953" s="258"/>
      <c r="Q953" s="257"/>
      <c r="R953" s="258"/>
      <c r="S953" s="257"/>
      <c r="T953" s="257"/>
      <c r="U953" s="257"/>
      <c r="V953" s="258"/>
      <c r="W953" s="257"/>
      <c r="X953" s="258"/>
      <c r="Y953" s="257"/>
      <c r="Z953" s="258"/>
      <c r="AA953" s="257"/>
      <c r="AB953" s="258"/>
      <c r="AC953" s="257"/>
    </row>
    <row r="954" spans="1:29" ht="15">
      <c r="A954" s="250">
        <f>A942+1</f>
        <v>186</v>
      </c>
      <c r="B954" s="251"/>
      <c r="C954" s="647" t="s">
        <v>856</v>
      </c>
      <c r="D954" s="526" t="s">
        <v>1541</v>
      </c>
      <c r="E954" s="251" t="s">
        <v>1898</v>
      </c>
      <c r="F954" s="735">
        <f>N954+R954+P954+T954+V954+X954+Z954+AB954</f>
        <v>340</v>
      </c>
      <c r="G954" s="872">
        <v>3.75</v>
      </c>
      <c r="H954" s="261">
        <f>O954+S954+Q954+U954+W954+Y954+AA954+AC954</f>
        <v>1275</v>
      </c>
      <c r="I954" s="251" t="s">
        <v>1898</v>
      </c>
      <c r="J954" s="872"/>
      <c r="K954" s="872"/>
      <c r="L954" s="872"/>
      <c r="M954" s="872"/>
      <c r="N954" s="258">
        <f>170*2</f>
        <v>340</v>
      </c>
      <c r="O954" s="257">
        <f>INT($G954*N954*100+0.5)/100</f>
        <v>1275</v>
      </c>
      <c r="P954" s="258">
        <v>0</v>
      </c>
      <c r="Q954" s="257">
        <f>INT($G954*P954*100+0.5)/100</f>
        <v>0</v>
      </c>
      <c r="R954" s="258">
        <v>0</v>
      </c>
      <c r="S954" s="257">
        <f>INT($G954*R954*100+0.5)/100</f>
        <v>0</v>
      </c>
      <c r="T954" s="257"/>
      <c r="U954" s="257"/>
      <c r="V954" s="258">
        <v>0</v>
      </c>
      <c r="W954" s="257">
        <f>INT($G954*V954*100+0.5)/100</f>
        <v>0</v>
      </c>
      <c r="X954" s="258">
        <v>0</v>
      </c>
      <c r="Y954" s="257">
        <f>INT($G954*X954*100+0.5)/100</f>
        <v>0</v>
      </c>
      <c r="Z954" s="258">
        <v>0</v>
      </c>
      <c r="AA954" s="257">
        <f>INT($G954*Z954*100+0.5)/100</f>
        <v>0</v>
      </c>
      <c r="AB954" s="258">
        <v>0</v>
      </c>
      <c r="AC954" s="257">
        <f>INT($G954*AB954*100+0.5)/100</f>
        <v>0</v>
      </c>
    </row>
    <row r="955" spans="1:29" ht="15">
      <c r="A955" s="250"/>
      <c r="B955" s="251"/>
      <c r="C955" s="647"/>
      <c r="D955" s="526" t="s">
        <v>1542</v>
      </c>
      <c r="E955" s="251"/>
      <c r="F955" s="735"/>
      <c r="G955" s="261"/>
      <c r="H955" s="261"/>
      <c r="I955" s="251"/>
      <c r="J955" s="261"/>
      <c r="K955" s="261"/>
      <c r="L955" s="261"/>
      <c r="M955" s="261"/>
      <c r="N955" s="258"/>
      <c r="O955" s="257"/>
      <c r="P955" s="258"/>
      <c r="Q955" s="257"/>
      <c r="R955" s="258"/>
      <c r="S955" s="257"/>
      <c r="T955" s="257"/>
      <c r="U955" s="257"/>
      <c r="V955" s="258"/>
      <c r="W955" s="257"/>
      <c r="X955" s="258"/>
      <c r="Y955" s="257"/>
      <c r="Z955" s="258"/>
      <c r="AA955" s="257"/>
      <c r="AB955" s="258"/>
      <c r="AC955" s="257"/>
    </row>
    <row r="956" spans="1:29" ht="15">
      <c r="A956" s="250"/>
      <c r="B956" s="251"/>
      <c r="C956" s="647"/>
      <c r="D956" s="526"/>
      <c r="E956" s="251"/>
      <c r="F956" s="735"/>
      <c r="G956" s="261"/>
      <c r="H956" s="261"/>
      <c r="I956" s="251"/>
      <c r="J956" s="261"/>
      <c r="K956" s="261"/>
      <c r="L956" s="261"/>
      <c r="M956" s="261"/>
      <c r="N956" s="258"/>
      <c r="O956" s="257"/>
      <c r="P956" s="258"/>
      <c r="Q956" s="257"/>
      <c r="R956" s="258"/>
      <c r="S956" s="257"/>
      <c r="T956" s="257"/>
      <c r="U956" s="257"/>
      <c r="V956" s="258"/>
      <c r="W956" s="257"/>
      <c r="X956" s="258"/>
      <c r="Y956" s="257"/>
      <c r="Z956" s="258"/>
      <c r="AA956" s="257"/>
      <c r="AB956" s="258">
        <f>AB423</f>
        <v>67.8</v>
      </c>
      <c r="AC956" s="257"/>
    </row>
    <row r="957" spans="1:29" s="247" customFormat="1" ht="15">
      <c r="A957" s="284">
        <f>A954+1</f>
        <v>187</v>
      </c>
      <c r="B957" s="237"/>
      <c r="C957" s="652" t="s">
        <v>3189</v>
      </c>
      <c r="D957" s="532" t="s">
        <v>1549</v>
      </c>
      <c r="E957" s="237" t="s">
        <v>2475</v>
      </c>
      <c r="F957" s="733"/>
      <c r="G957" s="243"/>
      <c r="H957" s="243"/>
      <c r="I957" s="237" t="s">
        <v>2475</v>
      </c>
      <c r="J957" s="243"/>
      <c r="K957" s="243"/>
      <c r="L957" s="243"/>
      <c r="M957" s="243"/>
      <c r="N957" s="289"/>
      <c r="O957" s="245"/>
      <c r="P957" s="289"/>
      <c r="Q957" s="245"/>
      <c r="R957" s="289"/>
      <c r="S957" s="245"/>
      <c r="T957" s="245"/>
      <c r="U957" s="245"/>
      <c r="V957" s="289"/>
      <c r="W957" s="245"/>
      <c r="X957" s="289"/>
      <c r="Y957" s="245"/>
      <c r="Z957" s="289"/>
      <c r="AA957" s="245"/>
      <c r="AB957" s="289"/>
      <c r="AC957" s="245"/>
    </row>
    <row r="958" spans="1:29" s="247" customFormat="1" ht="15">
      <c r="A958" s="284"/>
      <c r="B958" s="237"/>
      <c r="C958" s="654"/>
      <c r="D958" s="532" t="s">
        <v>1551</v>
      </c>
      <c r="E958" s="237"/>
      <c r="F958" s="733"/>
      <c r="G958" s="243"/>
      <c r="H958" s="243"/>
      <c r="I958" s="237"/>
      <c r="J958" s="243"/>
      <c r="K958" s="243"/>
      <c r="L958" s="243"/>
      <c r="M958" s="243"/>
      <c r="N958" s="289"/>
      <c r="O958" s="245"/>
      <c r="P958" s="289"/>
      <c r="Q958" s="245"/>
      <c r="R958" s="289"/>
      <c r="S958" s="245"/>
      <c r="T958" s="245"/>
      <c r="U958" s="245"/>
      <c r="V958" s="289"/>
      <c r="W958" s="245"/>
      <c r="X958" s="289"/>
      <c r="Y958" s="245"/>
      <c r="Z958" s="289"/>
      <c r="AA958" s="245"/>
      <c r="AB958" s="289"/>
      <c r="AC958" s="245"/>
    </row>
    <row r="959" spans="1:29" s="247" customFormat="1" ht="15">
      <c r="A959" s="284"/>
      <c r="B959" s="237"/>
      <c r="C959" s="653"/>
      <c r="D959" s="830" t="s">
        <v>2498</v>
      </c>
      <c r="E959" s="237"/>
      <c r="F959" s="733"/>
      <c r="G959" s="243"/>
      <c r="H959" s="243"/>
      <c r="I959" s="237"/>
      <c r="J959" s="243"/>
      <c r="K959" s="243"/>
      <c r="L959" s="243"/>
      <c r="M959" s="243"/>
      <c r="N959" s="289"/>
      <c r="O959" s="245"/>
      <c r="P959" s="289"/>
      <c r="Q959" s="245"/>
      <c r="R959" s="289"/>
      <c r="S959" s="245"/>
      <c r="T959" s="245"/>
      <c r="U959" s="245"/>
      <c r="V959" s="289"/>
      <c r="W959" s="245"/>
      <c r="X959" s="289"/>
      <c r="Y959" s="245"/>
      <c r="Z959" s="289"/>
      <c r="AA959" s="245"/>
      <c r="AB959" s="289"/>
      <c r="AC959" s="245"/>
    </row>
    <row r="960" spans="1:29" s="247" customFormat="1" ht="15">
      <c r="A960" s="284"/>
      <c r="B960" s="237"/>
      <c r="C960" s="653"/>
      <c r="D960" s="830" t="s">
        <v>2511</v>
      </c>
      <c r="E960" s="237"/>
      <c r="F960" s="733"/>
      <c r="G960" s="243"/>
      <c r="H960" s="243"/>
      <c r="I960" s="237"/>
      <c r="J960" s="243"/>
      <c r="K960" s="243"/>
      <c r="L960" s="243"/>
      <c r="M960" s="243"/>
      <c r="N960" s="289"/>
      <c r="O960" s="245"/>
      <c r="P960" s="289"/>
      <c r="Q960" s="245"/>
      <c r="R960" s="289"/>
      <c r="S960" s="245"/>
      <c r="T960" s="245"/>
      <c r="U960" s="245"/>
      <c r="V960" s="289"/>
      <c r="W960" s="245"/>
      <c r="X960" s="289"/>
      <c r="Y960" s="245"/>
      <c r="Z960" s="289"/>
      <c r="AA960" s="245"/>
      <c r="AB960" s="289"/>
      <c r="AC960" s="245"/>
    </row>
    <row r="961" spans="1:30" s="247" customFormat="1" ht="15">
      <c r="A961" s="284"/>
      <c r="B961" s="237"/>
      <c r="C961" s="653"/>
      <c r="D961" s="830" t="s">
        <v>2512</v>
      </c>
      <c r="E961" s="237"/>
      <c r="F961" s="733"/>
      <c r="G961" s="243"/>
      <c r="H961" s="243"/>
      <c r="I961" s="237"/>
      <c r="J961" s="243"/>
      <c r="K961" s="243"/>
      <c r="L961" s="243"/>
      <c r="M961" s="243"/>
      <c r="N961" s="289"/>
      <c r="O961" s="245"/>
      <c r="P961" s="289"/>
      <c r="Q961" s="245"/>
      <c r="R961" s="289"/>
      <c r="S961" s="245"/>
      <c r="T961" s="245"/>
      <c r="U961" s="245"/>
      <c r="V961" s="289"/>
      <c r="W961" s="245"/>
      <c r="X961" s="289">
        <v>60</v>
      </c>
      <c r="Y961" s="245"/>
      <c r="Z961" s="289">
        <f>INT((16+19+31+32)*(3+1.5+1.5))</f>
        <v>588</v>
      </c>
      <c r="AA961" s="245"/>
      <c r="AB961" s="289"/>
      <c r="AC961" s="245"/>
    </row>
    <row r="962" spans="1:30" s="247" customFormat="1" ht="15.6" hidden="1" customHeight="1">
      <c r="A962" s="284"/>
      <c r="B962" s="237"/>
      <c r="C962" s="653"/>
      <c r="D962" s="831" t="s">
        <v>2451</v>
      </c>
      <c r="E962" s="237"/>
      <c r="F962" s="733"/>
      <c r="G962" s="288">
        <v>0</v>
      </c>
      <c r="H962" s="243"/>
      <c r="I962" s="237"/>
      <c r="J962" s="288"/>
      <c r="K962" s="288"/>
      <c r="L962" s="288"/>
      <c r="M962" s="288"/>
      <c r="N962" s="288"/>
      <c r="O962" s="245"/>
      <c r="P962" s="289"/>
      <c r="Q962" s="245"/>
      <c r="R962" s="289"/>
      <c r="S962" s="245"/>
      <c r="T962" s="245"/>
      <c r="U962" s="245"/>
      <c r="V962" s="289"/>
      <c r="W962" s="245"/>
      <c r="X962" s="289"/>
      <c r="Y962" s="245"/>
      <c r="Z962" s="289"/>
      <c r="AA962" s="245"/>
      <c r="AB962" s="289"/>
      <c r="AC962" s="245"/>
    </row>
    <row r="963" spans="1:30" s="247" customFormat="1" ht="15.6" hidden="1" customHeight="1">
      <c r="A963" s="284"/>
      <c r="B963" s="237"/>
      <c r="C963" s="653"/>
      <c r="D963" s="831" t="s">
        <v>2446</v>
      </c>
      <c r="E963" s="237"/>
      <c r="F963" s="733"/>
      <c r="G963" s="288">
        <v>0</v>
      </c>
      <c r="H963" s="243"/>
      <c r="I963" s="237"/>
      <c r="J963" s="288"/>
      <c r="K963" s="288"/>
      <c r="L963" s="288"/>
      <c r="M963" s="288"/>
      <c r="N963" s="289"/>
      <c r="O963" s="245"/>
      <c r="P963" s="289"/>
      <c r="Q963" s="245"/>
      <c r="R963" s="289"/>
      <c r="S963" s="245"/>
      <c r="T963" s="245"/>
      <c r="U963" s="245"/>
      <c r="V963" s="289"/>
      <c r="W963" s="245"/>
      <c r="X963" s="289"/>
      <c r="Y963" s="245"/>
      <c r="Z963" s="289"/>
      <c r="AA963" s="245"/>
      <c r="AB963" s="289"/>
      <c r="AC963" s="245"/>
    </row>
    <row r="964" spans="1:30" s="247" customFormat="1" ht="15">
      <c r="A964" s="284"/>
      <c r="B964" s="237"/>
      <c r="C964" s="653"/>
      <c r="D964" s="833" t="s">
        <v>2524</v>
      </c>
      <c r="E964" s="237"/>
      <c r="F964" s="733"/>
      <c r="G964" s="288"/>
      <c r="H964" s="243"/>
      <c r="I964" s="237"/>
      <c r="J964" s="288"/>
      <c r="K964" s="288"/>
      <c r="L964" s="288"/>
      <c r="M964" s="288"/>
      <c r="N964" s="924"/>
      <c r="O964" s="296"/>
      <c r="P964" s="924"/>
      <c r="Q964" s="296"/>
      <c r="R964" s="924"/>
      <c r="S964" s="296"/>
      <c r="T964" s="296"/>
      <c r="U964" s="296"/>
      <c r="V964" s="924"/>
      <c r="W964" s="296"/>
      <c r="X964" s="924"/>
      <c r="Y964" s="296"/>
      <c r="Z964" s="924">
        <v>12</v>
      </c>
      <c r="AA964" s="296"/>
      <c r="AB964" s="924"/>
      <c r="AC964" s="296"/>
    </row>
    <row r="965" spans="1:30" s="247" customFormat="1" ht="15">
      <c r="A965" s="284"/>
      <c r="B965" s="237"/>
      <c r="C965" s="653"/>
      <c r="D965" s="831" t="s">
        <v>1900</v>
      </c>
      <c r="E965" s="237"/>
      <c r="F965" s="735">
        <f>N965+R965+P965+T965+V965+X965+Z965+AB965</f>
        <v>660</v>
      </c>
      <c r="G965" s="872">
        <v>25.64</v>
      </c>
      <c r="H965" s="261">
        <f>O965+S965+Q965+U965+W965+Y965+AA965+AC965</f>
        <v>16922.400000000001</v>
      </c>
      <c r="I965" s="237"/>
      <c r="J965" s="872"/>
      <c r="K965" s="872"/>
      <c r="L965" s="872"/>
      <c r="M965" s="872"/>
      <c r="N965" s="289">
        <f>SUM(N959:N963)</f>
        <v>0</v>
      </c>
      <c r="O965" s="245">
        <f>INT($G965*N965*100+0.5)/100</f>
        <v>0</v>
      </c>
      <c r="P965" s="289">
        <f>SUM(P959:P963)</f>
        <v>0</v>
      </c>
      <c r="Q965" s="245">
        <f>INT($G965*P965*100+0.5)/100</f>
        <v>0</v>
      </c>
      <c r="R965" s="289">
        <f>SUM(R959:R963)</f>
        <v>0</v>
      </c>
      <c r="S965" s="245">
        <f>INT($G965*R965*100+0.5)/100</f>
        <v>0</v>
      </c>
      <c r="T965" s="245"/>
      <c r="U965" s="245"/>
      <c r="V965" s="289">
        <f>SUM(V959:V963)</f>
        <v>0</v>
      </c>
      <c r="W965" s="245">
        <f>INT($G965*V965*100+0.5)/100</f>
        <v>0</v>
      </c>
      <c r="X965" s="289">
        <f>SUM(X959:X963)</f>
        <v>60</v>
      </c>
      <c r="Y965" s="245">
        <f>INT($G965*X965*100+0.5)/100</f>
        <v>1538.4</v>
      </c>
      <c r="Z965" s="289">
        <f>SUM(Z959:Z964)</f>
        <v>600</v>
      </c>
      <c r="AA965" s="245">
        <f>INT($G965*Z965*100+0.5)/100</f>
        <v>15384</v>
      </c>
      <c r="AB965" s="289">
        <f>SUM(AB959:AB963)</f>
        <v>0</v>
      </c>
      <c r="AC965" s="245">
        <f>INT($G965*AB965*100+0.5)/100</f>
        <v>0</v>
      </c>
    </row>
    <row r="966" spans="1:30" s="247" customFormat="1" ht="15">
      <c r="A966" s="284"/>
      <c r="B966" s="237"/>
      <c r="C966" s="237"/>
      <c r="D966" s="238"/>
      <c r="E966" s="237"/>
      <c r="F966" s="733"/>
      <c r="G966" s="243"/>
      <c r="H966" s="243"/>
      <c r="I966" s="237"/>
      <c r="J966" s="243"/>
      <c r="K966" s="243"/>
      <c r="L966" s="243"/>
      <c r="M966" s="243"/>
      <c r="N966" s="289"/>
      <c r="O966" s="245"/>
      <c r="P966" s="289"/>
      <c r="Q966" s="245"/>
      <c r="R966" s="289"/>
      <c r="S966" s="245"/>
      <c r="T966" s="245"/>
      <c r="U966" s="245"/>
      <c r="V966" s="289"/>
      <c r="W966" s="245"/>
      <c r="X966" s="289"/>
      <c r="Y966" s="245"/>
      <c r="Z966" s="289"/>
      <c r="AA966" s="245"/>
      <c r="AB966" s="289"/>
      <c r="AC966" s="245"/>
    </row>
    <row r="967" spans="1:30" ht="25.5">
      <c r="A967" s="250">
        <f>A957+1</f>
        <v>188</v>
      </c>
      <c r="B967" s="251"/>
      <c r="C967" s="532" t="s">
        <v>2880</v>
      </c>
      <c r="D967" s="526" t="s">
        <v>3191</v>
      </c>
      <c r="E967" s="251" t="s">
        <v>2475</v>
      </c>
      <c r="F967" s="735">
        <f>N967+R967+P967+T967+V967+X967+Z967+AB967</f>
        <v>6</v>
      </c>
      <c r="G967" s="243">
        <v>160.13999999999999</v>
      </c>
      <c r="H967" s="261">
        <f>O967+S967+Q967+U967+W967+Y967+AA967+AC967</f>
        <v>960.84</v>
      </c>
      <c r="I967" s="251" t="s">
        <v>2475</v>
      </c>
      <c r="J967" s="243"/>
      <c r="K967" s="243"/>
      <c r="L967" s="243"/>
      <c r="M967" s="243"/>
      <c r="N967" s="258">
        <v>0</v>
      </c>
      <c r="O967" s="257">
        <f>INT($G967*N967*100+0.5)/100</f>
        <v>0</v>
      </c>
      <c r="P967" s="258">
        <v>0</v>
      </c>
      <c r="Q967" s="257">
        <f>INT($G967*P967*100+0.5)/100</f>
        <v>0</v>
      </c>
      <c r="R967" s="258">
        <v>0</v>
      </c>
      <c r="S967" s="257">
        <f>INT($G967*R967*100+0.5)/100</f>
        <v>0</v>
      </c>
      <c r="T967" s="257"/>
      <c r="U967" s="257"/>
      <c r="V967" s="258">
        <f>V436</f>
        <v>0</v>
      </c>
      <c r="W967" s="257">
        <f>INT($G967*V967*100+0.5)/100</f>
        <v>0</v>
      </c>
      <c r="X967" s="258">
        <v>6</v>
      </c>
      <c r="Y967" s="257">
        <f>INT($G967*X967*100+0.5)/100</f>
        <v>960.84</v>
      </c>
      <c r="Z967" s="258">
        <v>0</v>
      </c>
      <c r="AA967" s="257">
        <f>INT($G967*Z967*100+0.5)/100</f>
        <v>0</v>
      </c>
      <c r="AB967" s="258">
        <v>0</v>
      </c>
      <c r="AC967" s="257">
        <f>INT($G967*AB967*100+0.5)/100</f>
        <v>0</v>
      </c>
    </row>
    <row r="968" spans="1:30" ht="25.5">
      <c r="A968" s="250"/>
      <c r="B968" s="251"/>
      <c r="C968" s="647"/>
      <c r="D968" s="526" t="s">
        <v>3190</v>
      </c>
      <c r="E968" s="251"/>
      <c r="F968" s="735"/>
      <c r="G968" s="261"/>
      <c r="H968" s="261"/>
      <c r="I968" s="251"/>
      <c r="J968" s="261"/>
      <c r="K968" s="261"/>
      <c r="L968" s="261"/>
      <c r="M968" s="261"/>
      <c r="N968" s="258"/>
      <c r="O968" s="257"/>
      <c r="P968" s="258"/>
      <c r="Q968" s="257"/>
      <c r="R968" s="258"/>
      <c r="S968" s="257"/>
      <c r="T968" s="257"/>
      <c r="U968" s="257"/>
      <c r="V968" s="258"/>
      <c r="W968" s="257"/>
      <c r="X968" s="258"/>
      <c r="Y968" s="257"/>
      <c r="Z968" s="258"/>
      <c r="AA968" s="257"/>
      <c r="AB968" s="258"/>
      <c r="AC968" s="257"/>
    </row>
    <row r="969" spans="1:30" ht="15">
      <c r="A969" s="250"/>
      <c r="B969" s="251"/>
      <c r="C969" s="526"/>
      <c r="D969" s="526"/>
      <c r="E969" s="251"/>
      <c r="F969" s="735"/>
      <c r="G969" s="261"/>
      <c r="H969" s="261"/>
      <c r="I969" s="251"/>
      <c r="J969" s="261"/>
      <c r="K969" s="261"/>
      <c r="L969" s="261"/>
      <c r="M969" s="261"/>
      <c r="N969" s="258"/>
      <c r="O969" s="257"/>
      <c r="P969" s="258"/>
      <c r="Q969" s="257"/>
      <c r="R969" s="258"/>
      <c r="S969" s="257"/>
      <c r="T969" s="257"/>
      <c r="U969" s="257"/>
      <c r="V969" s="258"/>
      <c r="W969" s="257"/>
      <c r="X969" s="258"/>
      <c r="Y969" s="257"/>
      <c r="Z969" s="258"/>
      <c r="AA969" s="257"/>
      <c r="AB969" s="258"/>
      <c r="AC969" s="257"/>
    </row>
    <row r="970" spans="1:30" s="303" customFormat="1" ht="15">
      <c r="A970" s="298"/>
      <c r="B970" s="299"/>
      <c r="C970" s="887">
        <v>85</v>
      </c>
      <c r="D970" s="333" t="s">
        <v>1582</v>
      </c>
      <c r="E970" s="299"/>
      <c r="F970" s="782"/>
      <c r="G970" s="271"/>
      <c r="H970" s="271">
        <f>O970+S970+Q970+U970+W970+Y970+AA970+AC970</f>
        <v>218686.53999999998</v>
      </c>
      <c r="I970" s="299"/>
      <c r="J970" s="271"/>
      <c r="K970" s="271"/>
      <c r="L970" s="271"/>
      <c r="M970" s="271"/>
      <c r="N970" s="273"/>
      <c r="O970" s="273">
        <f>SUM(O910:O969)</f>
        <v>28969.489999999998</v>
      </c>
      <c r="P970" s="273"/>
      <c r="Q970" s="273">
        <f>SUM(Q910:Q969)</f>
        <v>41073.17</v>
      </c>
      <c r="R970" s="273"/>
      <c r="S970" s="273">
        <f>SUM(S910:S969)</f>
        <v>40086.25</v>
      </c>
      <c r="T970" s="273"/>
      <c r="U970" s="273">
        <f>SUM(U910:U969)</f>
        <v>1252.92</v>
      </c>
      <c r="V970" s="273"/>
      <c r="W970" s="273">
        <f>SUM(W910:W969)</f>
        <v>3664.7</v>
      </c>
      <c r="X970" s="273"/>
      <c r="Y970" s="273">
        <f>SUM(Y910:Y969)</f>
        <v>36501.24</v>
      </c>
      <c r="Z970" s="273"/>
      <c r="AA970" s="273">
        <f>SUM(AA910:AA969)</f>
        <v>15384</v>
      </c>
      <c r="AB970" s="273"/>
      <c r="AC970" s="273">
        <f>SUM(AC910:AC969)</f>
        <v>51754.770000000004</v>
      </c>
    </row>
    <row r="971" spans="1:30" ht="15">
      <c r="A971" s="250"/>
      <c r="B971" s="251"/>
      <c r="C971" s="329"/>
      <c r="D971" s="330"/>
      <c r="E971" s="251"/>
      <c r="F971" s="735"/>
      <c r="G971" s="261"/>
      <c r="H971" s="737"/>
      <c r="I971" s="251"/>
      <c r="J971" s="261"/>
      <c r="K971" s="261"/>
      <c r="L971" s="261"/>
      <c r="M971" s="261"/>
      <c r="N971" s="258"/>
      <c r="O971" s="494"/>
      <c r="P971" s="258"/>
      <c r="Q971" s="257"/>
      <c r="R971" s="258"/>
      <c r="S971" s="257"/>
      <c r="T971" s="257"/>
      <c r="U971" s="257"/>
      <c r="V971" s="258"/>
      <c r="W971" s="257"/>
      <c r="X971" s="258"/>
      <c r="Y971" s="257"/>
      <c r="Z971" s="258"/>
      <c r="AA971" s="257"/>
      <c r="AB971" s="258"/>
      <c r="AC971" s="257"/>
    </row>
    <row r="972" spans="1:30" ht="47.45" customHeight="1">
      <c r="A972" s="250"/>
      <c r="B972" s="251"/>
      <c r="C972" s="748">
        <v>86</v>
      </c>
      <c r="D972" s="747" t="s">
        <v>934</v>
      </c>
      <c r="E972" s="251"/>
      <c r="F972" s="735"/>
      <c r="G972" s="261"/>
      <c r="H972" s="261"/>
      <c r="I972" s="251"/>
      <c r="J972" s="261"/>
      <c r="K972" s="261"/>
      <c r="L972" s="261"/>
      <c r="M972" s="261"/>
      <c r="N972" s="258"/>
      <c r="O972" s="257"/>
      <c r="P972" s="258"/>
      <c r="Q972" s="257"/>
      <c r="R972" s="258"/>
      <c r="S972" s="257"/>
      <c r="T972" s="257"/>
      <c r="U972" s="257"/>
      <c r="V972" s="258"/>
      <c r="W972" s="257"/>
      <c r="X972" s="258"/>
      <c r="Y972" s="257"/>
      <c r="Z972" s="258"/>
      <c r="AA972" s="257"/>
      <c r="AB972" s="258"/>
      <c r="AC972" s="257"/>
    </row>
    <row r="973" spans="1:30" s="247" customFormat="1" ht="15">
      <c r="A973" s="284">
        <f>A967+1</f>
        <v>189</v>
      </c>
      <c r="B973" s="237"/>
      <c r="C973" s="654" t="s">
        <v>3366</v>
      </c>
      <c r="D973" s="532" t="s">
        <v>2868</v>
      </c>
      <c r="E973" s="237" t="s">
        <v>2475</v>
      </c>
      <c r="F973" s="733"/>
      <c r="G973" s="243"/>
      <c r="H973" s="243"/>
      <c r="I973" s="237" t="s">
        <v>2475</v>
      </c>
      <c r="J973" s="243"/>
      <c r="K973" s="243"/>
      <c r="L973" s="243"/>
      <c r="M973" s="243"/>
      <c r="N973" s="289"/>
      <c r="O973" s="245"/>
      <c r="P973" s="289"/>
      <c r="Q973" s="245"/>
      <c r="R973" s="289"/>
      <c r="S973" s="245"/>
      <c r="T973" s="245"/>
      <c r="U973" s="245"/>
      <c r="V973" s="289"/>
      <c r="W973" s="245"/>
      <c r="X973" s="289"/>
      <c r="Y973" s="245"/>
      <c r="Z973" s="289"/>
      <c r="AA973" s="245"/>
      <c r="AB973" s="289"/>
      <c r="AC973" s="245"/>
    </row>
    <row r="974" spans="1:30" s="247" customFormat="1" ht="15">
      <c r="A974" s="284"/>
      <c r="B974" s="237"/>
      <c r="C974" s="654"/>
      <c r="D974" s="532" t="s">
        <v>2869</v>
      </c>
      <c r="E974" s="237"/>
      <c r="F974" s="733"/>
      <c r="G974" s="243"/>
      <c r="H974" s="243"/>
      <c r="I974" s="237"/>
      <c r="J974" s="243"/>
      <c r="K974" s="243"/>
      <c r="L974" s="243"/>
      <c r="M974" s="243"/>
      <c r="N974" s="289"/>
      <c r="O974" s="245"/>
      <c r="P974" s="289"/>
      <c r="Q974" s="245"/>
      <c r="R974" s="289"/>
      <c r="S974" s="245"/>
      <c r="T974" s="245"/>
      <c r="U974" s="245"/>
      <c r="V974" s="289"/>
      <c r="W974" s="245"/>
      <c r="X974" s="289"/>
      <c r="Y974" s="245"/>
      <c r="Z974" s="289"/>
      <c r="AA974" s="245"/>
      <c r="AB974" s="289"/>
      <c r="AC974" s="245"/>
      <c r="AD974" s="183"/>
    </row>
    <row r="975" spans="1:30" s="247" customFormat="1" ht="15">
      <c r="A975" s="284"/>
      <c r="B975" s="237"/>
      <c r="C975" s="653"/>
      <c r="D975" s="292" t="s">
        <v>2498</v>
      </c>
      <c r="E975" s="237"/>
      <c r="F975" s="733"/>
      <c r="G975" s="243"/>
      <c r="H975" s="243"/>
      <c r="I975" s="237"/>
      <c r="J975" s="243"/>
      <c r="K975" s="243"/>
      <c r="L975" s="243"/>
      <c r="M975" s="243"/>
      <c r="N975" s="289"/>
      <c r="O975" s="245"/>
      <c r="P975" s="289"/>
      <c r="Q975" s="245"/>
      <c r="R975" s="289"/>
      <c r="S975" s="245"/>
      <c r="T975" s="245"/>
      <c r="U975" s="245"/>
      <c r="V975" s="289"/>
      <c r="W975" s="245"/>
      <c r="X975" s="289">
        <v>90</v>
      </c>
      <c r="Y975" s="245"/>
      <c r="Z975" s="289"/>
      <c r="AA975" s="245"/>
      <c r="AB975" s="289"/>
      <c r="AC975" s="245"/>
      <c r="AD975" s="183"/>
    </row>
    <row r="976" spans="1:30" s="247" customFormat="1" ht="15">
      <c r="A976" s="284"/>
      <c r="B976" s="237"/>
      <c r="C976" s="653"/>
      <c r="D976" s="292" t="s">
        <v>2511</v>
      </c>
      <c r="E976" s="237"/>
      <c r="F976" s="733"/>
      <c r="G976" s="243"/>
      <c r="H976" s="243"/>
      <c r="I976" s="237"/>
      <c r="J976" s="243"/>
      <c r="K976" s="243"/>
      <c r="L976" s="243"/>
      <c r="M976" s="243"/>
      <c r="N976" s="289"/>
      <c r="O976" s="245"/>
      <c r="P976" s="289"/>
      <c r="Q976" s="245"/>
      <c r="R976" s="289"/>
      <c r="S976" s="245"/>
      <c r="T976" s="245"/>
      <c r="U976" s="245"/>
      <c r="V976" s="289"/>
      <c r="W976" s="245"/>
      <c r="X976" s="289">
        <f>(23+136.5+101.5)*2</f>
        <v>522</v>
      </c>
      <c r="Y976" s="245"/>
      <c r="Z976" s="289"/>
      <c r="AA976" s="245"/>
      <c r="AB976" s="289"/>
      <c r="AC976" s="245"/>
    </row>
    <row r="977" spans="1:30" s="247" customFormat="1" ht="15">
      <c r="A977" s="284"/>
      <c r="B977" s="237"/>
      <c r="C977" s="653"/>
      <c r="D977" s="292" t="s">
        <v>2512</v>
      </c>
      <c r="E977" s="237"/>
      <c r="F977" s="733"/>
      <c r="G977" s="243"/>
      <c r="H977" s="243"/>
      <c r="I977" s="237"/>
      <c r="J977" s="243"/>
      <c r="K977" s="243"/>
      <c r="L977" s="243"/>
      <c r="M977" s="243"/>
      <c r="N977" s="289"/>
      <c r="O977" s="245"/>
      <c r="P977" s="289"/>
      <c r="Q977" s="245"/>
      <c r="R977" s="289"/>
      <c r="S977" s="245"/>
      <c r="T977" s="245"/>
      <c r="U977" s="245"/>
      <c r="V977" s="289"/>
      <c r="W977" s="245"/>
      <c r="X977" s="289">
        <f>(132.5+10)*2</f>
        <v>285</v>
      </c>
      <c r="Y977" s="245"/>
      <c r="Z977" s="289"/>
      <c r="AA977" s="245"/>
      <c r="AB977" s="289"/>
      <c r="AC977" s="245"/>
      <c r="AD977" s="183"/>
    </row>
    <row r="978" spans="1:30" s="247" customFormat="1" ht="15.6" hidden="1" customHeight="1">
      <c r="A978" s="284"/>
      <c r="B978" s="237"/>
      <c r="C978" s="653"/>
      <c r="D978" s="238" t="s">
        <v>2451</v>
      </c>
      <c r="E978" s="237"/>
      <c r="F978" s="733"/>
      <c r="G978" s="288">
        <v>0</v>
      </c>
      <c r="H978" s="243"/>
      <c r="I978" s="237"/>
      <c r="J978" s="288"/>
      <c r="K978" s="288"/>
      <c r="L978" s="243"/>
      <c r="M978" s="243"/>
      <c r="N978" s="288"/>
      <c r="O978" s="245"/>
      <c r="P978" s="289"/>
      <c r="Q978" s="245"/>
      <c r="R978" s="289"/>
      <c r="S978" s="245"/>
      <c r="T978" s="245"/>
      <c r="U978" s="245"/>
      <c r="V978" s="289"/>
      <c r="W978" s="245"/>
      <c r="X978" s="289"/>
      <c r="Y978" s="245"/>
      <c r="Z978" s="289"/>
      <c r="AA978" s="245"/>
      <c r="AB978" s="289"/>
      <c r="AC978" s="245"/>
    </row>
    <row r="979" spans="1:30" s="247" customFormat="1" ht="15.6" hidden="1" customHeight="1">
      <c r="A979" s="284"/>
      <c r="B979" s="237"/>
      <c r="C979" s="653"/>
      <c r="D979" s="238" t="s">
        <v>2446</v>
      </c>
      <c r="E979" s="237"/>
      <c r="F979" s="733"/>
      <c r="G979" s="288">
        <v>0</v>
      </c>
      <c r="H979" s="243"/>
      <c r="I979" s="237"/>
      <c r="J979" s="288"/>
      <c r="K979" s="288"/>
      <c r="L979" s="243"/>
      <c r="M979" s="243"/>
      <c r="N979" s="289"/>
      <c r="O979" s="245"/>
      <c r="P979" s="289"/>
      <c r="Q979" s="245"/>
      <c r="R979" s="289"/>
      <c r="S979" s="245"/>
      <c r="T979" s="245"/>
      <c r="U979" s="245"/>
      <c r="V979" s="289"/>
      <c r="W979" s="245"/>
      <c r="X979" s="289"/>
      <c r="Y979" s="245"/>
      <c r="Z979" s="289"/>
      <c r="AA979" s="245"/>
      <c r="AB979" s="289"/>
      <c r="AC979" s="245"/>
      <c r="AD979" s="183"/>
    </row>
    <row r="980" spans="1:30" s="247" customFormat="1" ht="15">
      <c r="A980" s="284"/>
      <c r="B980" s="237"/>
      <c r="C980" s="653"/>
      <c r="D980" s="238" t="s">
        <v>2524</v>
      </c>
      <c r="E980" s="237"/>
      <c r="F980" s="733"/>
      <c r="G980" s="288"/>
      <c r="H980" s="243"/>
      <c r="I980" s="237"/>
      <c r="J980" s="288"/>
      <c r="K980" s="288"/>
      <c r="L980" s="243"/>
      <c r="M980" s="243"/>
      <c r="N980" s="924"/>
      <c r="O980" s="296"/>
      <c r="P980" s="924"/>
      <c r="Q980" s="296"/>
      <c r="R980" s="924"/>
      <c r="S980" s="296"/>
      <c r="T980" s="296"/>
      <c r="U980" s="296"/>
      <c r="V980" s="924"/>
      <c r="W980" s="296"/>
      <c r="X980" s="924">
        <f>5*2+10*2+10+2</f>
        <v>42</v>
      </c>
      <c r="Y980" s="296"/>
      <c r="Z980" s="924"/>
      <c r="AA980" s="296"/>
      <c r="AB980" s="924"/>
      <c r="AC980" s="296"/>
    </row>
    <row r="981" spans="1:30" s="247" customFormat="1" ht="15">
      <c r="A981" s="284"/>
      <c r="B981" s="237"/>
      <c r="C981" s="653"/>
      <c r="D981" s="238" t="s">
        <v>1900</v>
      </c>
      <c r="E981" s="237"/>
      <c r="F981" s="735">
        <f>N981+R981+P981+T981+V981+X981+Z981+AB981</f>
        <v>939</v>
      </c>
      <c r="G981" s="872">
        <v>83.56</v>
      </c>
      <c r="H981" s="261">
        <f>O981+S981+Q981+U981+W981+Y981+AA981+AC981</f>
        <v>78462.84</v>
      </c>
      <c r="I981" s="237"/>
      <c r="J981" s="872"/>
      <c r="K981" s="872"/>
      <c r="L981" s="243"/>
      <c r="M981" s="243"/>
      <c r="N981" s="289">
        <f>SUM(N975:N979)</f>
        <v>0</v>
      </c>
      <c r="O981" s="245">
        <f>INT($G981*N981*100+0.5)/100</f>
        <v>0</v>
      </c>
      <c r="P981" s="289">
        <f>SUM(P975:P979)</f>
        <v>0</v>
      </c>
      <c r="Q981" s="245">
        <f>INT($G981*P981*100+0.5)/100</f>
        <v>0</v>
      </c>
      <c r="R981" s="289">
        <f>SUM(R975:R979)</f>
        <v>0</v>
      </c>
      <c r="S981" s="245">
        <f>INT($G981*R981*100+0.5)/100</f>
        <v>0</v>
      </c>
      <c r="T981" s="245"/>
      <c r="U981" s="245"/>
      <c r="V981" s="289">
        <f>SUM(V975:V979)</f>
        <v>0</v>
      </c>
      <c r="W981" s="245">
        <f>INT($G981*V981*100+0.5)/100</f>
        <v>0</v>
      </c>
      <c r="X981" s="289">
        <f>SUM(X975:X980)</f>
        <v>939</v>
      </c>
      <c r="Y981" s="245">
        <f>INT($G981*X981*100+0.5)/100</f>
        <v>78462.84</v>
      </c>
      <c r="Z981" s="289">
        <f>SUM(Z975:Z979)</f>
        <v>0</v>
      </c>
      <c r="AA981" s="245">
        <f>INT($G981*Z981*100+0.5)/100</f>
        <v>0</v>
      </c>
      <c r="AB981" s="289">
        <f>SUM(AB975:AB979)</f>
        <v>0</v>
      </c>
      <c r="AC981" s="245">
        <f>INT($G981*AB981*100+0.5)/100</f>
        <v>0</v>
      </c>
      <c r="AD981" s="183"/>
    </row>
    <row r="982" spans="1:30" s="247" customFormat="1" ht="15">
      <c r="A982" s="284"/>
      <c r="B982" s="237"/>
      <c r="C982" s="653"/>
      <c r="D982" s="238"/>
      <c r="E982" s="237"/>
      <c r="F982" s="733"/>
      <c r="G982" s="243"/>
      <c r="H982" s="243"/>
      <c r="I982" s="237"/>
      <c r="J982" s="243"/>
      <c r="K982" s="243"/>
      <c r="L982" s="243"/>
      <c r="M982" s="243"/>
      <c r="N982" s="289"/>
      <c r="O982" s="245"/>
      <c r="P982" s="289"/>
      <c r="Q982" s="245"/>
      <c r="R982" s="289"/>
      <c r="S982" s="245"/>
      <c r="T982" s="245"/>
      <c r="U982" s="245"/>
      <c r="V982" s="289"/>
      <c r="W982" s="245"/>
      <c r="X982" s="289"/>
      <c r="Y982" s="245"/>
      <c r="Z982" s="289"/>
      <c r="AA982" s="245"/>
      <c r="AB982" s="289"/>
      <c r="AC982" s="245"/>
    </row>
    <row r="983" spans="1:30" ht="15">
      <c r="A983" s="250">
        <f>A973+1</f>
        <v>190</v>
      </c>
      <c r="B983" s="251"/>
      <c r="C983" s="647" t="s">
        <v>858</v>
      </c>
      <c r="D983" s="526" t="s">
        <v>3367</v>
      </c>
      <c r="E983" s="251" t="s">
        <v>2475</v>
      </c>
      <c r="F983" s="735">
        <f>N983+R983+P983+T983+V983+X983+Z983+AB983</f>
        <v>54</v>
      </c>
      <c r="G983" s="872">
        <f>7.3</f>
        <v>7.3</v>
      </c>
      <c r="H983" s="261">
        <f>O983+S983+Q983+U983+W983+Y983+AA983+AC983</f>
        <v>394.2</v>
      </c>
      <c r="I983" s="251" t="s">
        <v>2475</v>
      </c>
      <c r="J983" s="872"/>
      <c r="K983" s="872"/>
      <c r="L983" s="243"/>
      <c r="M983" s="243"/>
      <c r="N983" s="258">
        <v>0</v>
      </c>
      <c r="O983" s="257">
        <f>INT($G983*N983*100+0.5)/100</f>
        <v>0</v>
      </c>
      <c r="P983" s="258">
        <v>0</v>
      </c>
      <c r="Q983" s="257">
        <f>INT($G983*P983*100+0.5)/100</f>
        <v>0</v>
      </c>
      <c r="R983" s="258">
        <v>0</v>
      </c>
      <c r="S983" s="257">
        <f>INT($G983*R983*100+0.5)/100</f>
        <v>0</v>
      </c>
      <c r="T983" s="257"/>
      <c r="U983" s="257"/>
      <c r="V983" s="258">
        <v>0</v>
      </c>
      <c r="W983" s="257">
        <f>INT($G983*V983*100+0.5)/100</f>
        <v>0</v>
      </c>
      <c r="X983" s="258">
        <v>0</v>
      </c>
      <c r="Y983" s="257">
        <f>INT($G983*X983*100+0.5)/100</f>
        <v>0</v>
      </c>
      <c r="Z983" s="258">
        <v>0</v>
      </c>
      <c r="AA983" s="257">
        <f>INT($G983*Z983*100+0.5)/100</f>
        <v>0</v>
      </c>
      <c r="AB983" s="258">
        <f>9*6</f>
        <v>54</v>
      </c>
      <c r="AC983" s="257">
        <f>INT($G983*AB983*100+0.5)/100</f>
        <v>394.2</v>
      </c>
    </row>
    <row r="984" spans="1:30" ht="25.5">
      <c r="A984" s="250"/>
      <c r="B984" s="251"/>
      <c r="C984" s="647"/>
      <c r="D984" s="526" t="s">
        <v>3368</v>
      </c>
      <c r="E984" s="251"/>
      <c r="F984" s="735"/>
      <c r="G984" s="261"/>
      <c r="H984" s="261"/>
      <c r="I984" s="251"/>
      <c r="J984" s="261"/>
      <c r="K984" s="261"/>
      <c r="L984" s="261"/>
      <c r="M984" s="261"/>
      <c r="N984" s="258"/>
      <c r="O984" s="257"/>
      <c r="P984" s="258"/>
      <c r="Q984" s="257"/>
      <c r="R984" s="258"/>
      <c r="S984" s="257"/>
      <c r="T984" s="257"/>
      <c r="U984" s="257"/>
      <c r="V984" s="258"/>
      <c r="W984" s="257"/>
      <c r="X984" s="258"/>
      <c r="Y984" s="257"/>
      <c r="Z984" s="258"/>
      <c r="AA984" s="257"/>
      <c r="AB984" s="258"/>
      <c r="AC984" s="257"/>
      <c r="AD984" s="247"/>
    </row>
    <row r="985" spans="1:30" ht="15">
      <c r="A985" s="250"/>
      <c r="B985" s="251"/>
      <c r="C985" s="647"/>
      <c r="D985" s="292"/>
      <c r="E985" s="251"/>
      <c r="F985" s="735"/>
      <c r="G985" s="261"/>
      <c r="H985" s="261"/>
      <c r="I985" s="251"/>
      <c r="J985" s="261"/>
      <c r="K985" s="261"/>
      <c r="L985" s="261"/>
      <c r="M985" s="261"/>
      <c r="N985" s="258"/>
      <c r="O985" s="257"/>
      <c r="P985" s="258"/>
      <c r="Q985" s="257"/>
      <c r="R985" s="258"/>
      <c r="S985" s="257"/>
      <c r="T985" s="257"/>
      <c r="U985" s="257"/>
      <c r="V985" s="258"/>
      <c r="W985" s="257"/>
      <c r="X985" s="258"/>
      <c r="Y985" s="257"/>
      <c r="Z985" s="258"/>
      <c r="AA985" s="257"/>
      <c r="AB985" s="258"/>
      <c r="AC985" s="257"/>
    </row>
    <row r="986" spans="1:30" ht="15">
      <c r="A986" s="250">
        <f>A983+1</f>
        <v>191</v>
      </c>
      <c r="B986" s="251"/>
      <c r="C986" s="647" t="s">
        <v>859</v>
      </c>
      <c r="D986" s="526" t="s">
        <v>1545</v>
      </c>
      <c r="E986" s="251" t="s">
        <v>1901</v>
      </c>
      <c r="F986" s="735">
        <f>N986+R986+P986+T986+V986+X986+Z986+AB986</f>
        <v>9</v>
      </c>
      <c r="G986" s="872">
        <v>36.5</v>
      </c>
      <c r="H986" s="261">
        <f>O986+S986+Q986+U986+W986+Y986+AA986+AC986</f>
        <v>328.5</v>
      </c>
      <c r="I986" s="251" t="s">
        <v>1901</v>
      </c>
      <c r="J986" s="872"/>
      <c r="K986" s="872"/>
      <c r="L986" s="872"/>
      <c r="M986" s="872"/>
      <c r="N986" s="258">
        <v>0</v>
      </c>
      <c r="O986" s="257">
        <f>INT($G986*N986*100+0.5)/100</f>
        <v>0</v>
      </c>
      <c r="P986" s="258">
        <v>0</v>
      </c>
      <c r="Q986" s="257">
        <f>INT($G986*P986*100+0.5)/100</f>
        <v>0</v>
      </c>
      <c r="R986" s="258">
        <v>0</v>
      </c>
      <c r="S986" s="257">
        <f>INT($G986*R986*100+0.5)/100</f>
        <v>0</v>
      </c>
      <c r="T986" s="257"/>
      <c r="U986" s="257"/>
      <c r="V986" s="258">
        <v>0</v>
      </c>
      <c r="W986" s="257">
        <f>INT($G986*V986*100+0.5)/100</f>
        <v>0</v>
      </c>
      <c r="X986" s="258">
        <v>0</v>
      </c>
      <c r="Y986" s="257">
        <f>INT($G986*X986*100+0.5)/100</f>
        <v>0</v>
      </c>
      <c r="Z986" s="258">
        <v>0</v>
      </c>
      <c r="AA986" s="257">
        <f>INT($G986*Z986*100+0.5)/100</f>
        <v>0</v>
      </c>
      <c r="AB986" s="258">
        <v>9</v>
      </c>
      <c r="AC986" s="257">
        <f>INT($G986*AB986*100+0.5)/100</f>
        <v>328.5</v>
      </c>
      <c r="AD986" s="247"/>
    </row>
    <row r="987" spans="1:30" ht="25.5">
      <c r="A987" s="250"/>
      <c r="B987" s="251"/>
      <c r="C987" s="647"/>
      <c r="D987" s="526" t="s">
        <v>930</v>
      </c>
      <c r="E987" s="251"/>
      <c r="F987" s="735"/>
      <c r="G987" s="261"/>
      <c r="H987" s="261"/>
      <c r="I987" s="251"/>
      <c r="J987" s="261"/>
      <c r="K987" s="261"/>
      <c r="L987" s="261"/>
      <c r="M987" s="261"/>
      <c r="N987" s="258"/>
      <c r="O987" s="257"/>
      <c r="P987" s="258"/>
      <c r="Q987" s="257"/>
      <c r="R987" s="258"/>
      <c r="S987" s="257"/>
      <c r="T987" s="257"/>
      <c r="U987" s="257"/>
      <c r="V987" s="258"/>
      <c r="W987" s="257"/>
      <c r="X987" s="258"/>
      <c r="Y987" s="257"/>
      <c r="Z987" s="258"/>
      <c r="AA987" s="257"/>
      <c r="AB987" s="258"/>
      <c r="AC987" s="257"/>
    </row>
    <row r="988" spans="1:30" ht="15">
      <c r="A988" s="250"/>
      <c r="B988" s="251"/>
      <c r="C988" s="670"/>
      <c r="D988" s="330"/>
      <c r="E988" s="251"/>
      <c r="F988" s="735"/>
      <c r="G988" s="261"/>
      <c r="H988" s="261"/>
      <c r="I988" s="251"/>
      <c r="J988" s="261"/>
      <c r="K988" s="261"/>
      <c r="L988" s="261"/>
      <c r="M988" s="261"/>
      <c r="N988" s="258"/>
      <c r="O988" s="257"/>
      <c r="P988" s="258"/>
      <c r="Q988" s="257"/>
      <c r="R988" s="258"/>
      <c r="S988" s="257"/>
      <c r="T988" s="257"/>
      <c r="U988" s="257"/>
      <c r="V988" s="258"/>
      <c r="W988" s="257"/>
      <c r="X988" s="258"/>
      <c r="Y988" s="257"/>
      <c r="Z988" s="258"/>
      <c r="AA988" s="257"/>
      <c r="AB988" s="258"/>
      <c r="AC988" s="257"/>
      <c r="AD988" s="247"/>
    </row>
    <row r="989" spans="1:30" ht="25.5">
      <c r="A989" s="250">
        <f>A986+1</f>
        <v>192</v>
      </c>
      <c r="B989" s="251"/>
      <c r="C989" s="647" t="s">
        <v>860</v>
      </c>
      <c r="D989" s="526" t="s">
        <v>1546</v>
      </c>
      <c r="E989" s="251" t="s">
        <v>2475</v>
      </c>
      <c r="F989" s="735">
        <f>N989+R989+P989+T989+V989+X989+Z989+AB989</f>
        <v>500</v>
      </c>
      <c r="G989" s="872">
        <v>0.38</v>
      </c>
      <c r="H989" s="261">
        <f>O989+S989+Q989+U989+W989+Y989+AA989+AC989</f>
        <v>190</v>
      </c>
      <c r="I989" s="251" t="s">
        <v>2475</v>
      </c>
      <c r="J989" s="872"/>
      <c r="K989" s="872"/>
      <c r="L989" s="872"/>
      <c r="M989" s="872"/>
      <c r="N989" s="258">
        <v>0</v>
      </c>
      <c r="O989" s="257">
        <f>INT($G989*N989*100+0.5)/100</f>
        <v>0</v>
      </c>
      <c r="P989" s="258">
        <v>0</v>
      </c>
      <c r="Q989" s="257">
        <f>INT($G989*P989*100+0.5)/100</f>
        <v>0</v>
      </c>
      <c r="R989" s="258">
        <v>0</v>
      </c>
      <c r="S989" s="257">
        <f>INT($G989*R989*100+0.5)/100</f>
        <v>0</v>
      </c>
      <c r="T989" s="257"/>
      <c r="U989" s="257"/>
      <c r="V989" s="258">
        <v>0</v>
      </c>
      <c r="W989" s="257">
        <f>INT($G989*V989*100+0.5)/100</f>
        <v>0</v>
      </c>
      <c r="X989" s="258">
        <v>0</v>
      </c>
      <c r="Y989" s="257">
        <f>INT($G989*X989*100+0.5)/100</f>
        <v>0</v>
      </c>
      <c r="Z989" s="258">
        <v>0</v>
      </c>
      <c r="AA989" s="257">
        <f>INT($G989*Z989*100+0.5)/100</f>
        <v>0</v>
      </c>
      <c r="AB989" s="258">
        <v>500</v>
      </c>
      <c r="AC989" s="257">
        <f>INT($G989*AB989*100+0.5)/100</f>
        <v>190</v>
      </c>
    </row>
    <row r="990" spans="1:30" ht="25.5">
      <c r="A990" s="250"/>
      <c r="B990" s="251"/>
      <c r="C990" s="647"/>
      <c r="D990" s="526" t="s">
        <v>347</v>
      </c>
      <c r="E990" s="251"/>
      <c r="F990" s="735"/>
      <c r="G990" s="261"/>
      <c r="H990" s="261"/>
      <c r="I990" s="251"/>
      <c r="J990" s="261"/>
      <c r="K990" s="261"/>
      <c r="L990" s="261"/>
      <c r="M990" s="261"/>
      <c r="N990" s="258"/>
      <c r="O990" s="257"/>
      <c r="P990" s="258"/>
      <c r="Q990" s="257"/>
      <c r="R990" s="258"/>
      <c r="S990" s="257"/>
      <c r="T990" s="257"/>
      <c r="U990" s="257"/>
      <c r="V990" s="258"/>
      <c r="W990" s="257"/>
      <c r="X990" s="258"/>
      <c r="Y990" s="257"/>
      <c r="Z990" s="258"/>
      <c r="AA990" s="257"/>
      <c r="AB990" s="258"/>
      <c r="AC990" s="257"/>
      <c r="AD990" s="247"/>
    </row>
    <row r="991" spans="1:30" ht="15">
      <c r="A991" s="250"/>
      <c r="B991" s="251"/>
      <c r="C991" s="670"/>
      <c r="D991" s="330"/>
      <c r="E991" s="251"/>
      <c r="F991" s="735"/>
      <c r="G991" s="261"/>
      <c r="H991" s="261"/>
      <c r="I991" s="251"/>
      <c r="J991" s="261"/>
      <c r="K991" s="261"/>
      <c r="L991" s="261"/>
      <c r="M991" s="261"/>
      <c r="N991" s="258"/>
      <c r="O991" s="257"/>
      <c r="P991" s="258"/>
      <c r="Q991" s="257"/>
      <c r="R991" s="258"/>
      <c r="S991" s="257"/>
      <c r="T991" s="257"/>
      <c r="U991" s="257"/>
      <c r="V991" s="258"/>
      <c r="W991" s="257"/>
      <c r="X991" s="258"/>
      <c r="Y991" s="257"/>
      <c r="Z991" s="258"/>
      <c r="AA991" s="257"/>
      <c r="AB991" s="258"/>
      <c r="AC991" s="257"/>
    </row>
    <row r="992" spans="1:30" ht="25.5">
      <c r="A992" s="250">
        <f>A989+1</f>
        <v>193</v>
      </c>
      <c r="B992" s="251"/>
      <c r="C992" s="647" t="s">
        <v>861</v>
      </c>
      <c r="D992" s="526" t="s">
        <v>1548</v>
      </c>
      <c r="E992" s="251" t="s">
        <v>1898</v>
      </c>
      <c r="F992" s="735">
        <f>N992+R992+P992+T992+V992+X992+Z992+AB992</f>
        <v>100</v>
      </c>
      <c r="G992" s="872">
        <v>4.13</v>
      </c>
      <c r="H992" s="261">
        <f>O992+S992+Q992+U992+W992+Y992+AA992+AC992</f>
        <v>413</v>
      </c>
      <c r="I992" s="251" t="s">
        <v>1898</v>
      </c>
      <c r="J992" s="872"/>
      <c r="K992" s="872"/>
      <c r="L992" s="872"/>
      <c r="M992" s="872"/>
      <c r="N992" s="258">
        <v>0</v>
      </c>
      <c r="O992" s="257">
        <f>INT($G992*N992*100+0.5)/100</f>
        <v>0</v>
      </c>
      <c r="P992" s="258">
        <v>0</v>
      </c>
      <c r="Q992" s="257">
        <f>INT($G992*P992*100+0.5)/100</f>
        <v>0</v>
      </c>
      <c r="R992" s="258">
        <v>0</v>
      </c>
      <c r="S992" s="257">
        <f>INT($G992*R992*100+0.5)/100</f>
        <v>0</v>
      </c>
      <c r="T992" s="257"/>
      <c r="U992" s="257"/>
      <c r="V992" s="258">
        <v>0</v>
      </c>
      <c r="W992" s="257">
        <f>INT($G992*V992*100+0.5)/100</f>
        <v>0</v>
      </c>
      <c r="X992" s="258">
        <v>0</v>
      </c>
      <c r="Y992" s="257">
        <f>INT($G992*X992*100+0.5)/100</f>
        <v>0</v>
      </c>
      <c r="Z992" s="258">
        <v>0</v>
      </c>
      <c r="AA992" s="257">
        <f>INT($G992*Z992*100+0.5)/100</f>
        <v>0</v>
      </c>
      <c r="AB992" s="258">
        <v>100</v>
      </c>
      <c r="AC992" s="257">
        <f>INT($G992*AB992*100+0.5)/100</f>
        <v>413</v>
      </c>
      <c r="AD992" s="247"/>
    </row>
    <row r="993" spans="1:29" ht="25.5">
      <c r="A993" s="250"/>
      <c r="B993" s="251"/>
      <c r="C993" s="526"/>
      <c r="D993" s="526" t="s">
        <v>1547</v>
      </c>
      <c r="E993" s="202"/>
      <c r="F993" s="735"/>
      <c r="G993" s="261"/>
      <c r="H993" s="261"/>
      <c r="I993" s="202"/>
      <c r="J993" s="261"/>
      <c r="K993" s="261"/>
      <c r="L993" s="261"/>
      <c r="M993" s="261"/>
      <c r="N993" s="258"/>
      <c r="O993" s="257"/>
      <c r="P993" s="258"/>
      <c r="Q993" s="257"/>
      <c r="R993" s="258"/>
      <c r="S993" s="257"/>
      <c r="T993" s="257"/>
      <c r="U993" s="257"/>
      <c r="V993" s="258"/>
      <c r="W993" s="257"/>
      <c r="X993" s="258"/>
      <c r="Y993" s="257"/>
      <c r="Z993" s="258"/>
      <c r="AA993" s="257"/>
      <c r="AB993" s="258"/>
      <c r="AC993" s="257"/>
    </row>
    <row r="994" spans="1:29" ht="15">
      <c r="A994" s="250"/>
      <c r="B994" s="251"/>
      <c r="C994" s="526"/>
      <c r="D994" s="526"/>
      <c r="E994" s="202"/>
      <c r="F994" s="735"/>
      <c r="G994" s="261"/>
      <c r="H994" s="261"/>
      <c r="I994" s="202"/>
      <c r="J994" s="261"/>
      <c r="K994" s="261"/>
      <c r="L994" s="261"/>
      <c r="M994" s="261"/>
      <c r="N994" s="258"/>
      <c r="O994" s="257"/>
      <c r="P994" s="258"/>
      <c r="Q994" s="257"/>
      <c r="R994" s="258"/>
      <c r="S994" s="257"/>
      <c r="T994" s="257"/>
      <c r="U994" s="257"/>
      <c r="V994" s="258"/>
      <c r="W994" s="257"/>
      <c r="X994" s="258"/>
      <c r="Y994" s="257"/>
      <c r="Z994" s="258"/>
      <c r="AA994" s="257"/>
      <c r="AB994" s="258"/>
      <c r="AC994" s="257"/>
    </row>
    <row r="995" spans="1:29" s="303" customFormat="1" ht="39" customHeight="1">
      <c r="A995" s="298"/>
      <c r="B995" s="299"/>
      <c r="C995" s="887">
        <v>86</v>
      </c>
      <c r="D995" s="333" t="s">
        <v>934</v>
      </c>
      <c r="E995" s="299"/>
      <c r="F995" s="782"/>
      <c r="G995" s="271"/>
      <c r="H995" s="271">
        <f>O995+S995+Q995+U995+W995+Y995+AA995+AC995</f>
        <v>79788.539999999994</v>
      </c>
      <c r="I995" s="299"/>
      <c r="J995" s="271"/>
      <c r="K995" s="271"/>
      <c r="L995" s="271"/>
      <c r="M995" s="271"/>
      <c r="N995" s="273"/>
      <c r="O995" s="273">
        <f>SUM(O981:O994)</f>
        <v>0</v>
      </c>
      <c r="P995" s="273"/>
      <c r="Q995" s="273">
        <f>SUM(Q981:Q994)</f>
        <v>0</v>
      </c>
      <c r="R995" s="273"/>
      <c r="S995" s="273">
        <f>SUM(S981:S994)</f>
        <v>0</v>
      </c>
      <c r="T995" s="273"/>
      <c r="U995" s="273">
        <f>SUM(U981:U994)</f>
        <v>0</v>
      </c>
      <c r="V995" s="273"/>
      <c r="W995" s="273">
        <f>SUM(W981:W994)</f>
        <v>0</v>
      </c>
      <c r="X995" s="273"/>
      <c r="Y995" s="273">
        <f>SUM(Y981:Y994)</f>
        <v>78462.84</v>
      </c>
      <c r="Z995" s="273"/>
      <c r="AA995" s="273">
        <f>SUM(AA981:AA994)</f>
        <v>0</v>
      </c>
      <c r="AB995" s="273"/>
      <c r="AC995" s="273">
        <f>SUM(AC981:AC994)</f>
        <v>1325.7</v>
      </c>
    </row>
    <row r="996" spans="1:29" ht="15">
      <c r="A996" s="366"/>
      <c r="B996" s="251"/>
      <c r="C996" s="329"/>
      <c r="D996" s="330"/>
      <c r="E996" s="251"/>
      <c r="F996" s="739"/>
      <c r="G996" s="253"/>
      <c r="H996" s="925"/>
      <c r="I996" s="366"/>
      <c r="J996" s="253"/>
      <c r="K996" s="253"/>
      <c r="L996" s="897"/>
      <c r="M996" s="253"/>
      <c r="N996" s="257"/>
      <c r="O996" s="495"/>
      <c r="P996" s="257"/>
      <c r="Q996" s="257"/>
      <c r="R996" s="257"/>
      <c r="S996" s="257"/>
      <c r="T996" s="225"/>
      <c r="U996" s="797"/>
      <c r="V996" s="568"/>
      <c r="W996" s="257"/>
      <c r="X996" s="257"/>
      <c r="Y996" s="257"/>
      <c r="Z996" s="257"/>
      <c r="AA996" s="257"/>
      <c r="AB996" s="257"/>
      <c r="AC996" s="257"/>
    </row>
    <row r="997" spans="1:29" ht="25.5">
      <c r="A997" s="250"/>
      <c r="B997" s="251"/>
      <c r="C997" s="748" t="s">
        <v>3369</v>
      </c>
      <c r="D997" s="747" t="s">
        <v>936</v>
      </c>
      <c r="E997" s="251"/>
      <c r="F997" s="735"/>
      <c r="G997" s="253"/>
      <c r="H997" s="254"/>
      <c r="I997" s="250"/>
      <c r="J997" s="253"/>
      <c r="K997" s="253"/>
      <c r="L997" s="261"/>
      <c r="M997" s="253"/>
      <c r="N997" s="257"/>
      <c r="O997" s="225"/>
      <c r="P997" s="257"/>
      <c r="Q997" s="257"/>
      <c r="R997" s="257"/>
      <c r="S997" s="257"/>
      <c r="T997" s="225"/>
      <c r="U997" s="257"/>
      <c r="V997" s="568"/>
      <c r="W997" s="257"/>
      <c r="X997" s="257"/>
      <c r="Y997" s="257"/>
      <c r="Z997" s="257"/>
      <c r="AA997" s="257"/>
      <c r="AB997" s="257"/>
      <c r="AC997" s="257"/>
    </row>
    <row r="998" spans="1:29" ht="15">
      <c r="A998" s="250"/>
      <c r="B998" s="251"/>
      <c r="C998" s="329"/>
      <c r="D998" s="836"/>
      <c r="E998" s="251"/>
      <c r="F998" s="735"/>
      <c r="G998" s="253"/>
      <c r="H998" s="254"/>
      <c r="I998" s="251"/>
      <c r="J998" s="253"/>
      <c r="K998" s="253"/>
      <c r="L998" s="261"/>
      <c r="M998" s="253"/>
      <c r="N998" s="257"/>
      <c r="O998" s="225"/>
      <c r="P998" s="257"/>
      <c r="Q998" s="257"/>
      <c r="R998" s="257"/>
      <c r="S998" s="257"/>
      <c r="T998" s="225"/>
      <c r="U998" s="257"/>
      <c r="V998" s="568"/>
      <c r="W998" s="257"/>
      <c r="X998" s="257"/>
      <c r="Y998" s="257"/>
      <c r="Z998" s="257"/>
      <c r="AA998" s="257"/>
      <c r="AB998" s="257"/>
      <c r="AC998" s="257"/>
    </row>
    <row r="999" spans="1:29" ht="15">
      <c r="A999" s="250"/>
      <c r="B999" s="251"/>
      <c r="C999" s="754" t="s">
        <v>3485</v>
      </c>
      <c r="D999" s="292" t="s">
        <v>2658</v>
      </c>
      <c r="E999" s="749"/>
      <c r="F999" s="733"/>
      <c r="G999" s="762"/>
      <c r="H999" s="254"/>
      <c r="I999" s="251"/>
      <c r="J999" s="762"/>
      <c r="K999" s="762"/>
      <c r="L999" s="762"/>
      <c r="M999" s="762"/>
      <c r="N999" s="258"/>
      <c r="O999" s="257"/>
      <c r="P999" s="258"/>
      <c r="Q999" s="257"/>
      <c r="R999" s="258"/>
      <c r="S999" s="257"/>
      <c r="T999" s="257"/>
      <c r="U999" s="257"/>
      <c r="V999" s="258"/>
      <c r="W999" s="257"/>
      <c r="X999" s="258"/>
      <c r="Y999" s="257"/>
      <c r="Z999" s="258"/>
      <c r="AA999" s="257"/>
      <c r="AB999" s="258"/>
      <c r="AC999" s="257"/>
    </row>
    <row r="1000" spans="1:29" ht="15">
      <c r="A1000" s="250"/>
      <c r="B1000" s="251"/>
      <c r="C1000" s="754"/>
      <c r="D1000" s="292" t="s">
        <v>2659</v>
      </c>
      <c r="E1000" s="749"/>
      <c r="F1000" s="733"/>
      <c r="G1000" s="762"/>
      <c r="H1000" s="261"/>
      <c r="I1000" s="251"/>
      <c r="J1000" s="762"/>
      <c r="K1000" s="762"/>
      <c r="L1000" s="762"/>
      <c r="M1000" s="762"/>
      <c r="N1000" s="258"/>
      <c r="O1000" s="257"/>
      <c r="P1000" s="258"/>
      <c r="Q1000" s="257"/>
      <c r="R1000" s="258"/>
      <c r="S1000" s="257"/>
      <c r="T1000" s="257"/>
      <c r="U1000" s="257"/>
      <c r="V1000" s="258"/>
      <c r="W1000" s="257"/>
      <c r="X1000" s="258"/>
      <c r="Y1000" s="257"/>
      <c r="Z1000" s="258"/>
      <c r="AA1000" s="257"/>
      <c r="AB1000" s="258"/>
      <c r="AC1000" s="257"/>
    </row>
    <row r="1001" spans="1:29" ht="15">
      <c r="A1001" s="250"/>
      <c r="B1001" s="251"/>
      <c r="C1001" s="754"/>
      <c r="D1001" s="292"/>
      <c r="E1001" s="749"/>
      <c r="F1001" s="733"/>
      <c r="G1001" s="762"/>
      <c r="H1001" s="261"/>
      <c r="I1001" s="251"/>
      <c r="J1001" s="762"/>
      <c r="K1001" s="762"/>
      <c r="L1001" s="762"/>
      <c r="M1001" s="762"/>
      <c r="N1001" s="258"/>
      <c r="O1001" s="257"/>
      <c r="P1001" s="258"/>
      <c r="Q1001" s="257"/>
      <c r="R1001" s="258"/>
      <c r="S1001" s="257"/>
      <c r="T1001" s="257"/>
      <c r="U1001" s="257"/>
      <c r="V1001" s="258"/>
      <c r="W1001" s="257"/>
      <c r="X1001" s="258"/>
      <c r="Y1001" s="257"/>
      <c r="Z1001" s="258"/>
      <c r="AA1001" s="257"/>
      <c r="AB1001" s="258"/>
      <c r="AC1001" s="257"/>
    </row>
    <row r="1002" spans="1:29" ht="15">
      <c r="A1002" s="250"/>
      <c r="B1002" s="251"/>
      <c r="C1002" s="754" t="s">
        <v>3486</v>
      </c>
      <c r="D1002" s="526" t="s">
        <v>2540</v>
      </c>
      <c r="F1002" s="733"/>
      <c r="G1002" s="762"/>
      <c r="H1002" s="261"/>
      <c r="I1002" s="251"/>
      <c r="J1002" s="762"/>
      <c r="K1002" s="762"/>
      <c r="L1002" s="762"/>
      <c r="M1002" s="762"/>
      <c r="N1002" s="258"/>
      <c r="O1002" s="257"/>
      <c r="P1002" s="258"/>
      <c r="Q1002" s="257"/>
      <c r="R1002" s="258"/>
      <c r="S1002" s="257"/>
      <c r="T1002" s="257"/>
      <c r="U1002" s="257"/>
      <c r="V1002" s="258"/>
      <c r="W1002" s="257"/>
      <c r="X1002" s="258"/>
      <c r="Y1002" s="257"/>
      <c r="Z1002" s="258"/>
      <c r="AA1002" s="257"/>
      <c r="AB1002" s="258"/>
      <c r="AC1002" s="257"/>
    </row>
    <row r="1003" spans="1:29" ht="15">
      <c r="A1003" s="250"/>
      <c r="B1003" s="251"/>
      <c r="C1003" s="754"/>
      <c r="D1003" s="326" t="s">
        <v>2599</v>
      </c>
      <c r="E1003" s="326"/>
      <c r="F1003" s="733"/>
      <c r="G1003" s="762"/>
      <c r="H1003" s="261"/>
      <c r="I1003" s="251"/>
      <c r="J1003" s="762"/>
      <c r="K1003" s="762"/>
      <c r="L1003" s="762"/>
      <c r="M1003" s="762"/>
      <c r="N1003" s="258"/>
      <c r="O1003" s="257"/>
      <c r="P1003" s="258"/>
      <c r="Q1003" s="257"/>
      <c r="R1003" s="258"/>
      <c r="S1003" s="257"/>
      <c r="T1003" s="257"/>
      <c r="U1003" s="257"/>
      <c r="V1003" s="258"/>
      <c r="W1003" s="257"/>
      <c r="X1003" s="258"/>
      <c r="Y1003" s="257"/>
      <c r="Z1003" s="258"/>
      <c r="AA1003" s="257"/>
      <c r="AB1003" s="258"/>
      <c r="AC1003" s="257"/>
    </row>
    <row r="1004" spans="1:29" ht="15">
      <c r="A1004" s="250"/>
      <c r="B1004" s="251"/>
      <c r="C1004" s="754" t="s">
        <v>3487</v>
      </c>
      <c r="D1004" s="292" t="s">
        <v>2541</v>
      </c>
      <c r="F1004" s="733"/>
      <c r="G1004" s="762"/>
      <c r="H1004" s="261"/>
      <c r="I1004" s="251"/>
      <c r="J1004" s="762"/>
      <c r="K1004" s="762"/>
      <c r="L1004" s="762"/>
      <c r="M1004" s="762"/>
      <c r="N1004" s="258"/>
      <c r="O1004" s="257"/>
      <c r="P1004" s="258"/>
      <c r="Q1004" s="257"/>
      <c r="R1004" s="258"/>
      <c r="S1004" s="257"/>
      <c r="T1004" s="257"/>
      <c r="U1004" s="257"/>
      <c r="V1004" s="258"/>
      <c r="W1004" s="257"/>
      <c r="X1004" s="258"/>
      <c r="Y1004" s="257"/>
      <c r="Z1004" s="258"/>
      <c r="AA1004" s="257"/>
      <c r="AB1004" s="258"/>
      <c r="AC1004" s="257"/>
    </row>
    <row r="1005" spans="1:29" ht="15">
      <c r="A1005" s="250"/>
      <c r="B1005" s="251"/>
      <c r="C1005" s="754"/>
      <c r="D1005" s="326" t="s">
        <v>2600</v>
      </c>
      <c r="E1005" s="326"/>
      <c r="F1005" s="733"/>
      <c r="G1005" s="762"/>
      <c r="H1005" s="261"/>
      <c r="I1005" s="251"/>
      <c r="J1005" s="762"/>
      <c r="K1005" s="762"/>
      <c r="L1005" s="762"/>
      <c r="M1005" s="762"/>
      <c r="N1005" s="258"/>
      <c r="O1005" s="257"/>
      <c r="P1005" s="258"/>
      <c r="Q1005" s="257"/>
      <c r="R1005" s="258"/>
      <c r="S1005" s="257"/>
      <c r="T1005" s="257"/>
      <c r="U1005" s="257"/>
      <c r="V1005" s="258"/>
      <c r="W1005" s="257"/>
      <c r="X1005" s="258"/>
      <c r="Y1005" s="257"/>
      <c r="Z1005" s="258"/>
      <c r="AA1005" s="257"/>
      <c r="AB1005" s="258"/>
      <c r="AC1005" s="257"/>
    </row>
    <row r="1006" spans="1:29" ht="15">
      <c r="A1006" s="250"/>
      <c r="B1006" s="251"/>
      <c r="C1006" s="754" t="s">
        <v>3488</v>
      </c>
      <c r="D1006" s="292" t="s">
        <v>2542</v>
      </c>
      <c r="F1006" s="733"/>
      <c r="G1006" s="762"/>
      <c r="H1006" s="261"/>
      <c r="I1006" s="251"/>
      <c r="J1006" s="762"/>
      <c r="K1006" s="762"/>
      <c r="L1006" s="762"/>
      <c r="M1006" s="762"/>
      <c r="N1006" s="258"/>
      <c r="O1006" s="257"/>
      <c r="P1006" s="258"/>
      <c r="Q1006" s="257"/>
      <c r="R1006" s="258"/>
      <c r="S1006" s="257"/>
      <c r="T1006" s="257"/>
      <c r="U1006" s="257"/>
      <c r="V1006" s="258"/>
      <c r="W1006" s="257"/>
      <c r="X1006" s="258"/>
      <c r="Y1006" s="257"/>
      <c r="Z1006" s="258"/>
      <c r="AA1006" s="257"/>
      <c r="AB1006" s="258"/>
      <c r="AC1006" s="257"/>
    </row>
    <row r="1007" spans="1:29" ht="15">
      <c r="A1007" s="250"/>
      <c r="B1007" s="251"/>
      <c r="C1007" s="754"/>
      <c r="D1007" s="326" t="s">
        <v>2601</v>
      </c>
      <c r="E1007" s="326"/>
      <c r="F1007" s="733"/>
      <c r="G1007" s="762"/>
      <c r="H1007" s="261"/>
      <c r="I1007" s="251"/>
      <c r="J1007" s="762"/>
      <c r="K1007" s="762"/>
      <c r="L1007" s="762"/>
      <c r="M1007" s="762"/>
      <c r="N1007" s="258"/>
      <c r="O1007" s="257"/>
      <c r="P1007" s="258"/>
      <c r="Q1007" s="257"/>
      <c r="R1007" s="258"/>
      <c r="S1007" s="257"/>
      <c r="T1007" s="257"/>
      <c r="U1007" s="257"/>
      <c r="V1007" s="258"/>
      <c r="W1007" s="257"/>
      <c r="X1007" s="258"/>
      <c r="Y1007" s="257"/>
      <c r="Z1007" s="258"/>
      <c r="AA1007" s="257"/>
      <c r="AB1007" s="258"/>
      <c r="AC1007" s="257"/>
    </row>
    <row r="1008" spans="1:29" ht="25.5">
      <c r="A1008" s="250">
        <f>A992+1</f>
        <v>194</v>
      </c>
      <c r="B1008" s="251"/>
      <c r="C1008" s="754" t="s">
        <v>2529</v>
      </c>
      <c r="D1008" s="292" t="s">
        <v>2543</v>
      </c>
      <c r="E1008" s="763" t="s">
        <v>2475</v>
      </c>
      <c r="F1008" s="735">
        <f>N1008+R1008+P1008+T1008+V1008+X1008+Z1008+AB1008</f>
        <v>835</v>
      </c>
      <c r="G1008" s="762">
        <v>6.41</v>
      </c>
      <c r="H1008" s="261">
        <f>O1008+S1008+Q1008+U1008+W1008+Y1008+AA1008+AC1008</f>
        <v>5352.35</v>
      </c>
      <c r="I1008" s="251" t="s">
        <v>2475</v>
      </c>
      <c r="J1008" s="762"/>
      <c r="K1008" s="762"/>
      <c r="L1008" s="762"/>
      <c r="M1008" s="762"/>
      <c r="N1008" s="258"/>
      <c r="O1008" s="257"/>
      <c r="P1008" s="258"/>
      <c r="Q1008" s="257"/>
      <c r="R1008" s="258"/>
      <c r="S1008" s="257"/>
      <c r="T1008" s="257"/>
      <c r="U1008" s="257"/>
      <c r="V1008" s="258">
        <v>835</v>
      </c>
      <c r="W1008" s="257">
        <f>INT($G1008*V1008*100+0.5)/100</f>
        <v>5352.35</v>
      </c>
      <c r="X1008" s="258"/>
      <c r="Y1008" s="257"/>
      <c r="Z1008" s="258"/>
      <c r="AA1008" s="257"/>
      <c r="AB1008" s="258"/>
      <c r="AC1008" s="257"/>
    </row>
    <row r="1009" spans="1:29" ht="15">
      <c r="A1009" s="250"/>
      <c r="B1009" s="251"/>
      <c r="C1009" s="754"/>
      <c r="D1009" s="326" t="s">
        <v>2602</v>
      </c>
      <c r="E1009" s="251"/>
      <c r="F1009" s="733"/>
      <c r="G1009" s="762"/>
      <c r="H1009" s="261"/>
      <c r="I1009" s="251"/>
      <c r="J1009" s="762"/>
      <c r="K1009" s="762"/>
      <c r="L1009" s="762"/>
      <c r="M1009" s="762"/>
      <c r="N1009" s="258"/>
      <c r="O1009" s="257"/>
      <c r="P1009" s="258"/>
      <c r="Q1009" s="257"/>
      <c r="R1009" s="258"/>
      <c r="S1009" s="257"/>
      <c r="T1009" s="257"/>
      <c r="U1009" s="257"/>
      <c r="V1009" s="258"/>
      <c r="W1009" s="257"/>
      <c r="X1009" s="258"/>
      <c r="Y1009" s="257"/>
      <c r="Z1009" s="258"/>
      <c r="AA1009" s="257"/>
      <c r="AB1009" s="258"/>
      <c r="AC1009" s="257"/>
    </row>
    <row r="1010" spans="1:29" ht="15">
      <c r="A1010" s="250"/>
      <c r="B1010" s="251"/>
      <c r="C1010" s="754"/>
      <c r="D1010" s="326"/>
      <c r="E1010" s="251"/>
      <c r="F1010" s="733"/>
      <c r="G1010" s="762"/>
      <c r="H1010" s="261"/>
      <c r="I1010" s="251"/>
      <c r="J1010" s="762"/>
      <c r="K1010" s="762"/>
      <c r="L1010" s="762"/>
      <c r="M1010" s="762"/>
      <c r="N1010" s="258"/>
      <c r="O1010" s="257"/>
      <c r="P1010" s="258"/>
      <c r="Q1010" s="257"/>
      <c r="R1010" s="258"/>
      <c r="S1010" s="257"/>
      <c r="T1010" s="257"/>
      <c r="U1010" s="257"/>
      <c r="V1010" s="258"/>
      <c r="W1010" s="257"/>
      <c r="X1010" s="258"/>
      <c r="Y1010" s="257"/>
      <c r="Z1010" s="258"/>
      <c r="AA1010" s="257"/>
      <c r="AB1010" s="258"/>
      <c r="AC1010" s="257"/>
    </row>
    <row r="1011" spans="1:29" ht="15">
      <c r="A1011" s="250"/>
      <c r="B1011" s="251"/>
      <c r="C1011" s="754" t="s">
        <v>3489</v>
      </c>
      <c r="D1011" s="292" t="s">
        <v>2544</v>
      </c>
      <c r="E1011" s="763"/>
      <c r="F1011" s="733"/>
      <c r="G1011" s="762"/>
      <c r="H1011" s="261"/>
      <c r="I1011" s="251"/>
      <c r="J1011" s="762"/>
      <c r="K1011" s="762"/>
      <c r="L1011" s="762"/>
      <c r="M1011" s="762"/>
      <c r="N1011" s="258"/>
      <c r="O1011" s="257"/>
      <c r="P1011" s="258"/>
      <c r="Q1011" s="257"/>
      <c r="R1011" s="258"/>
      <c r="S1011" s="257"/>
      <c r="T1011" s="257"/>
      <c r="U1011" s="257"/>
      <c r="V1011" s="258"/>
      <c r="W1011" s="257"/>
      <c r="X1011" s="258"/>
      <c r="Y1011" s="257"/>
      <c r="Z1011" s="258"/>
      <c r="AA1011" s="257"/>
      <c r="AB1011" s="258"/>
      <c r="AC1011" s="257"/>
    </row>
    <row r="1012" spans="1:29" ht="15">
      <c r="A1012" s="250"/>
      <c r="B1012" s="251"/>
      <c r="C1012" s="754"/>
      <c r="D1012" s="326" t="s">
        <v>2603</v>
      </c>
      <c r="E1012" s="251"/>
      <c r="F1012" s="733"/>
      <c r="G1012" s="762"/>
      <c r="H1012" s="261"/>
      <c r="I1012" s="251"/>
      <c r="J1012" s="762"/>
      <c r="K1012" s="762"/>
      <c r="L1012" s="762"/>
      <c r="M1012" s="762"/>
      <c r="N1012" s="258"/>
      <c r="O1012" s="257"/>
      <c r="P1012" s="258"/>
      <c r="Q1012" s="257"/>
      <c r="R1012" s="258"/>
      <c r="S1012" s="257"/>
      <c r="T1012" s="257"/>
      <c r="U1012" s="257"/>
      <c r="V1012" s="258"/>
      <c r="W1012" s="257"/>
      <c r="X1012" s="258"/>
      <c r="Y1012" s="257"/>
      <c r="Z1012" s="258"/>
      <c r="AA1012" s="257"/>
      <c r="AB1012" s="258"/>
      <c r="AC1012" s="257"/>
    </row>
    <row r="1013" spans="1:29" ht="25.5">
      <c r="A1013" s="250">
        <f>A1008+1</f>
        <v>195</v>
      </c>
      <c r="B1013" s="251"/>
      <c r="C1013" s="754" t="s">
        <v>2530</v>
      </c>
      <c r="D1013" s="292" t="s">
        <v>2545</v>
      </c>
      <c r="E1013" s="763" t="s">
        <v>2475</v>
      </c>
      <c r="F1013" s="735">
        <f>N1013+R1013+P1013+T1013+V1013+X1013+Z1013+AB1013</f>
        <v>77.5</v>
      </c>
      <c r="G1013" s="762">
        <v>3.01</v>
      </c>
      <c r="H1013" s="261">
        <f>O1013+S1013+Q1013+U1013+W1013+Y1013+AA1013+AC1013</f>
        <v>233.28</v>
      </c>
      <c r="I1013" s="251" t="s">
        <v>2475</v>
      </c>
      <c r="J1013" s="762"/>
      <c r="K1013" s="762"/>
      <c r="L1013" s="762"/>
      <c r="M1013" s="762"/>
      <c r="N1013" s="258"/>
      <c r="O1013" s="257"/>
      <c r="P1013" s="258"/>
      <c r="Q1013" s="257"/>
      <c r="R1013" s="258"/>
      <c r="S1013" s="257"/>
      <c r="T1013" s="257"/>
      <c r="U1013" s="257"/>
      <c r="V1013" s="258">
        <v>77.5</v>
      </c>
      <c r="W1013" s="257">
        <f>INT($G1013*V1013*100+0.5)/100</f>
        <v>233.28</v>
      </c>
      <c r="X1013" s="258"/>
      <c r="Y1013" s="257"/>
      <c r="Z1013" s="258"/>
      <c r="AA1013" s="257"/>
      <c r="AB1013" s="258"/>
      <c r="AC1013" s="257"/>
    </row>
    <row r="1014" spans="1:29" ht="15">
      <c r="A1014" s="250"/>
      <c r="B1014" s="251"/>
      <c r="C1014" s="754"/>
      <c r="D1014" s="326" t="s">
        <v>2604</v>
      </c>
      <c r="E1014" s="251"/>
      <c r="F1014" s="733"/>
      <c r="G1014" s="762"/>
      <c r="H1014" s="261"/>
      <c r="I1014" s="251"/>
      <c r="J1014" s="762"/>
      <c r="K1014" s="762"/>
      <c r="L1014" s="762"/>
      <c r="M1014" s="762"/>
      <c r="N1014" s="258"/>
      <c r="O1014" s="257"/>
      <c r="P1014" s="258"/>
      <c r="Q1014" s="257"/>
      <c r="R1014" s="258"/>
      <c r="S1014" s="257"/>
      <c r="T1014" s="257"/>
      <c r="U1014" s="257"/>
      <c r="V1014" s="258"/>
      <c r="W1014" s="257"/>
      <c r="X1014" s="258"/>
      <c r="Y1014" s="257"/>
      <c r="Z1014" s="258"/>
      <c r="AA1014" s="257"/>
      <c r="AB1014" s="258"/>
      <c r="AC1014" s="257"/>
    </row>
    <row r="1015" spans="1:29" ht="15">
      <c r="A1015" s="250"/>
      <c r="B1015" s="251"/>
      <c r="C1015" s="754"/>
      <c r="D1015" s="326"/>
      <c r="E1015" s="251"/>
      <c r="F1015" s="733"/>
      <c r="G1015" s="762"/>
      <c r="H1015" s="261"/>
      <c r="I1015" s="251"/>
      <c r="J1015" s="762"/>
      <c r="K1015" s="762"/>
      <c r="L1015" s="762"/>
      <c r="M1015" s="762"/>
      <c r="N1015" s="258"/>
      <c r="O1015" s="257"/>
      <c r="P1015" s="258"/>
      <c r="Q1015" s="257"/>
      <c r="R1015" s="258"/>
      <c r="S1015" s="257"/>
      <c r="T1015" s="257"/>
      <c r="U1015" s="257"/>
      <c r="V1015" s="258"/>
      <c r="W1015" s="257"/>
      <c r="X1015" s="258"/>
      <c r="Y1015" s="257"/>
      <c r="Z1015" s="258"/>
      <c r="AA1015" s="257"/>
      <c r="AB1015" s="258"/>
      <c r="AC1015" s="257"/>
    </row>
    <row r="1016" spans="1:29" ht="15">
      <c r="A1016" s="250"/>
      <c r="B1016" s="251"/>
      <c r="C1016" s="754" t="s">
        <v>3490</v>
      </c>
      <c r="D1016" s="292" t="s">
        <v>2546</v>
      </c>
      <c r="E1016" s="763"/>
      <c r="F1016" s="733"/>
      <c r="G1016" s="762"/>
      <c r="H1016" s="261"/>
      <c r="I1016" s="251"/>
      <c r="J1016" s="762"/>
      <c r="K1016" s="762"/>
      <c r="L1016" s="762"/>
      <c r="M1016" s="762"/>
      <c r="N1016" s="258"/>
      <c r="O1016" s="257"/>
      <c r="P1016" s="258"/>
      <c r="Q1016" s="257"/>
      <c r="R1016" s="258"/>
      <c r="S1016" s="257"/>
      <c r="T1016" s="257"/>
      <c r="U1016" s="257"/>
      <c r="V1016" s="258"/>
      <c r="W1016" s="257"/>
      <c r="X1016" s="258"/>
      <c r="Y1016" s="257"/>
      <c r="Z1016" s="258"/>
      <c r="AA1016" s="257"/>
      <c r="AB1016" s="258"/>
      <c r="AC1016" s="257"/>
    </row>
    <row r="1017" spans="1:29" ht="15">
      <c r="A1017" s="250"/>
      <c r="B1017" s="251"/>
      <c r="C1017" s="754"/>
      <c r="D1017" s="326" t="s">
        <v>2605</v>
      </c>
      <c r="E1017" s="251"/>
      <c r="F1017" s="733"/>
      <c r="G1017" s="762"/>
      <c r="H1017" s="261"/>
      <c r="I1017" s="251"/>
      <c r="J1017" s="762"/>
      <c r="K1017" s="762"/>
      <c r="L1017" s="762"/>
      <c r="M1017" s="762"/>
      <c r="N1017" s="258"/>
      <c r="O1017" s="257"/>
      <c r="P1017" s="258"/>
      <c r="Q1017" s="257"/>
      <c r="R1017" s="258"/>
      <c r="S1017" s="257"/>
      <c r="T1017" s="257"/>
      <c r="U1017" s="257"/>
      <c r="V1017" s="258"/>
      <c r="W1017" s="257"/>
      <c r="X1017" s="258"/>
      <c r="Y1017" s="257"/>
      <c r="Z1017" s="258"/>
      <c r="AA1017" s="257"/>
      <c r="AB1017" s="258"/>
      <c r="AC1017" s="257"/>
    </row>
    <row r="1018" spans="1:29" ht="15">
      <c r="A1018" s="250"/>
      <c r="B1018" s="251"/>
      <c r="C1018" s="754" t="s">
        <v>3491</v>
      </c>
      <c r="D1018" s="292" t="s">
        <v>2547</v>
      </c>
      <c r="E1018" s="763"/>
      <c r="F1018" s="733"/>
      <c r="G1018" s="762"/>
      <c r="H1018" s="261"/>
      <c r="I1018" s="251"/>
      <c r="J1018" s="762"/>
      <c r="K1018" s="762"/>
      <c r="L1018" s="762"/>
      <c r="M1018" s="762"/>
      <c r="N1018" s="258"/>
      <c r="O1018" s="257"/>
      <c r="P1018" s="258"/>
      <c r="Q1018" s="257"/>
      <c r="R1018" s="258"/>
      <c r="S1018" s="257"/>
      <c r="T1018" s="257"/>
      <c r="U1018" s="257"/>
      <c r="V1018" s="258"/>
      <c r="W1018" s="257"/>
      <c r="X1018" s="258"/>
      <c r="Y1018" s="257"/>
      <c r="Z1018" s="258"/>
      <c r="AA1018" s="257"/>
      <c r="AB1018" s="258"/>
      <c r="AC1018" s="257"/>
    </row>
    <row r="1019" spans="1:29" ht="15">
      <c r="A1019" s="250"/>
      <c r="B1019" s="251"/>
      <c r="C1019" s="754"/>
      <c r="D1019" s="326" t="s">
        <v>2606</v>
      </c>
      <c r="E1019" s="251"/>
      <c r="F1019" s="733"/>
      <c r="G1019" s="762"/>
      <c r="H1019" s="261"/>
      <c r="I1019" s="251"/>
      <c r="J1019" s="762"/>
      <c r="K1019" s="762"/>
      <c r="L1019" s="762"/>
      <c r="M1019" s="762"/>
      <c r="N1019" s="258"/>
      <c r="O1019" s="257"/>
      <c r="P1019" s="258"/>
      <c r="Q1019" s="257"/>
      <c r="R1019" s="258"/>
      <c r="S1019" s="257"/>
      <c r="T1019" s="257"/>
      <c r="U1019" s="257"/>
      <c r="V1019" s="258"/>
      <c r="W1019" s="257"/>
      <c r="X1019" s="258"/>
      <c r="Y1019" s="257"/>
      <c r="Z1019" s="258"/>
      <c r="AA1019" s="257"/>
      <c r="AB1019" s="258"/>
      <c r="AC1019" s="257"/>
    </row>
    <row r="1020" spans="1:29" ht="25.5">
      <c r="A1020" s="250">
        <f>A1013+1</f>
        <v>196</v>
      </c>
      <c r="B1020" s="251"/>
      <c r="C1020" s="754" t="s">
        <v>3492</v>
      </c>
      <c r="D1020" s="292" t="s">
        <v>2548</v>
      </c>
      <c r="E1020" s="763" t="s">
        <v>1901</v>
      </c>
      <c r="F1020" s="735">
        <f>N1020+R1020+P1020+T1020+V1020+X1020+Z1020+AB1020</f>
        <v>3</v>
      </c>
      <c r="G1020" s="762">
        <v>48.87</v>
      </c>
      <c r="H1020" s="261">
        <f>O1020+S1020+Q1020+U1020+W1020+Y1020+AA1020+AC1020</f>
        <v>146.61000000000001</v>
      </c>
      <c r="I1020" s="251" t="s">
        <v>1901</v>
      </c>
      <c r="J1020" s="762"/>
      <c r="K1020" s="762"/>
      <c r="L1020" s="762"/>
      <c r="M1020" s="762"/>
      <c r="N1020" s="258"/>
      <c r="O1020" s="257"/>
      <c r="P1020" s="258"/>
      <c r="Q1020" s="257"/>
      <c r="R1020" s="258"/>
      <c r="S1020" s="257"/>
      <c r="T1020" s="257"/>
      <c r="U1020" s="257"/>
      <c r="V1020" s="258">
        <v>3</v>
      </c>
      <c r="W1020" s="257">
        <f>INT($G1020*V1020*100+0.5)/100</f>
        <v>146.61000000000001</v>
      </c>
      <c r="X1020" s="258"/>
      <c r="Y1020" s="257"/>
      <c r="Z1020" s="258"/>
      <c r="AA1020" s="257"/>
      <c r="AB1020" s="258"/>
      <c r="AC1020" s="257"/>
    </row>
    <row r="1021" spans="1:29" ht="15">
      <c r="A1021" s="250"/>
      <c r="B1021" s="251"/>
      <c r="C1021" s="754"/>
      <c r="D1021" s="326" t="s">
        <v>2607</v>
      </c>
      <c r="E1021" s="251"/>
      <c r="F1021" s="733"/>
      <c r="G1021" s="762"/>
      <c r="H1021" s="261"/>
      <c r="I1021" s="251"/>
      <c r="J1021" s="762"/>
      <c r="K1021" s="762"/>
      <c r="L1021" s="762"/>
      <c r="M1021" s="762"/>
      <c r="N1021" s="258"/>
      <c r="O1021" s="257"/>
      <c r="P1021" s="258"/>
      <c r="Q1021" s="257"/>
      <c r="R1021" s="258"/>
      <c r="S1021" s="257"/>
      <c r="T1021" s="257"/>
      <c r="U1021" s="257"/>
      <c r="V1021" s="258"/>
      <c r="W1021" s="257"/>
      <c r="X1021" s="258"/>
      <c r="Y1021" s="257"/>
      <c r="Z1021" s="258"/>
      <c r="AA1021" s="257"/>
      <c r="AB1021" s="258"/>
      <c r="AC1021" s="257"/>
    </row>
    <row r="1022" spans="1:29" ht="15">
      <c r="A1022" s="250"/>
      <c r="B1022" s="251"/>
      <c r="C1022" s="754"/>
      <c r="D1022" s="326"/>
      <c r="E1022" s="251"/>
      <c r="F1022" s="733"/>
      <c r="G1022" s="762"/>
      <c r="H1022" s="261"/>
      <c r="I1022" s="251"/>
      <c r="J1022" s="762"/>
      <c r="K1022" s="762"/>
      <c r="L1022" s="762"/>
      <c r="M1022" s="762"/>
      <c r="N1022" s="258"/>
      <c r="O1022" s="257"/>
      <c r="P1022" s="258"/>
      <c r="Q1022" s="257"/>
      <c r="R1022" s="258"/>
      <c r="S1022" s="257"/>
      <c r="T1022" s="257"/>
      <c r="U1022" s="257"/>
      <c r="V1022" s="258"/>
      <c r="W1022" s="257"/>
      <c r="X1022" s="258"/>
      <c r="Y1022" s="257"/>
      <c r="Z1022" s="258"/>
      <c r="AA1022" s="257"/>
      <c r="AB1022" s="258"/>
      <c r="AC1022" s="257"/>
    </row>
    <row r="1023" spans="1:29" ht="25.5">
      <c r="A1023" s="250"/>
      <c r="B1023" s="251"/>
      <c r="C1023" s="754" t="s">
        <v>3493</v>
      </c>
      <c r="D1023" s="292" t="s">
        <v>2549</v>
      </c>
      <c r="E1023" s="763"/>
      <c r="F1023" s="733"/>
      <c r="G1023" s="762"/>
      <c r="H1023" s="261"/>
      <c r="I1023" s="251"/>
      <c r="J1023" s="762"/>
      <c r="K1023" s="762"/>
      <c r="L1023" s="762"/>
      <c r="M1023" s="762"/>
      <c r="N1023" s="258"/>
      <c r="O1023" s="257"/>
      <c r="P1023" s="258"/>
      <c r="Q1023" s="257"/>
      <c r="R1023" s="258"/>
      <c r="S1023" s="257"/>
      <c r="T1023" s="257"/>
      <c r="U1023" s="257"/>
      <c r="V1023" s="258"/>
      <c r="W1023" s="257"/>
      <c r="X1023" s="258"/>
      <c r="Y1023" s="257"/>
      <c r="Z1023" s="258"/>
      <c r="AA1023" s="257"/>
      <c r="AB1023" s="258"/>
      <c r="AC1023" s="257"/>
    </row>
    <row r="1024" spans="1:29" ht="15">
      <c r="A1024" s="250"/>
      <c r="B1024" s="251"/>
      <c r="C1024" s="754"/>
      <c r="D1024" s="326" t="s">
        <v>2608</v>
      </c>
      <c r="E1024" s="251"/>
      <c r="F1024" s="733"/>
      <c r="G1024" s="762"/>
      <c r="H1024" s="261"/>
      <c r="I1024" s="251"/>
      <c r="J1024" s="762"/>
      <c r="K1024" s="762"/>
      <c r="L1024" s="762"/>
      <c r="M1024" s="762"/>
      <c r="N1024" s="258"/>
      <c r="O1024" s="257"/>
      <c r="P1024" s="258"/>
      <c r="Q1024" s="257"/>
      <c r="R1024" s="258"/>
      <c r="S1024" s="257"/>
      <c r="T1024" s="257"/>
      <c r="U1024" s="257"/>
      <c r="V1024" s="258"/>
      <c r="W1024" s="257"/>
      <c r="X1024" s="258"/>
      <c r="Y1024" s="257"/>
      <c r="Z1024" s="258"/>
      <c r="AA1024" s="257"/>
      <c r="AB1024" s="258"/>
      <c r="AC1024" s="257"/>
    </row>
    <row r="1025" spans="1:29" ht="25.5">
      <c r="A1025" s="250">
        <f>A1020+1</f>
        <v>197</v>
      </c>
      <c r="B1025" s="251"/>
      <c r="C1025" s="754" t="s">
        <v>3493</v>
      </c>
      <c r="D1025" s="292" t="s">
        <v>2550</v>
      </c>
      <c r="E1025" s="763" t="s">
        <v>1901</v>
      </c>
      <c r="F1025" s="735">
        <f>N1025+R1025+P1025+T1025+V1025+X1025+Z1025+AB1025</f>
        <v>1</v>
      </c>
      <c r="G1025" s="762">
        <v>137.65</v>
      </c>
      <c r="H1025" s="261">
        <f>O1025+S1025+Q1025+U1025+W1025+Y1025+AA1025+AC1025</f>
        <v>137.65</v>
      </c>
      <c r="I1025" s="251" t="s">
        <v>1901</v>
      </c>
      <c r="J1025" s="762"/>
      <c r="K1025" s="762"/>
      <c r="L1025" s="762"/>
      <c r="M1025" s="762"/>
      <c r="N1025" s="258"/>
      <c r="O1025" s="257"/>
      <c r="P1025" s="258"/>
      <c r="Q1025" s="257"/>
      <c r="R1025" s="258"/>
      <c r="S1025" s="257"/>
      <c r="T1025" s="257"/>
      <c r="U1025" s="257"/>
      <c r="V1025" s="258">
        <v>1</v>
      </c>
      <c r="W1025" s="257">
        <f>INT($G1025*V1025*100+0.5)/100</f>
        <v>137.65</v>
      </c>
      <c r="X1025" s="258"/>
      <c r="Y1025" s="257"/>
      <c r="Z1025" s="258"/>
      <c r="AA1025" s="257"/>
      <c r="AB1025" s="258"/>
      <c r="AC1025" s="257"/>
    </row>
    <row r="1026" spans="1:29" ht="15">
      <c r="A1026" s="250"/>
      <c r="B1026" s="251"/>
      <c r="C1026" s="754"/>
      <c r="D1026" s="326" t="s">
        <v>2609</v>
      </c>
      <c r="E1026" s="251"/>
      <c r="F1026" s="733"/>
      <c r="G1026" s="762"/>
      <c r="H1026" s="261"/>
      <c r="I1026" s="251"/>
      <c r="J1026" s="762"/>
      <c r="K1026" s="762"/>
      <c r="L1026" s="762"/>
      <c r="M1026" s="762"/>
      <c r="N1026" s="258"/>
      <c r="O1026" s="257"/>
      <c r="P1026" s="258"/>
      <c r="Q1026" s="257"/>
      <c r="R1026" s="258"/>
      <c r="S1026" s="257"/>
      <c r="T1026" s="257"/>
      <c r="U1026" s="257"/>
      <c r="V1026" s="258"/>
      <c r="W1026" s="257"/>
      <c r="X1026" s="258"/>
      <c r="Y1026" s="257"/>
      <c r="Z1026" s="258"/>
      <c r="AA1026" s="257"/>
      <c r="AB1026" s="258"/>
      <c r="AC1026" s="257"/>
    </row>
    <row r="1027" spans="1:29" ht="15">
      <c r="A1027" s="250"/>
      <c r="B1027" s="251"/>
      <c r="C1027" s="754"/>
      <c r="D1027" s="326"/>
      <c r="E1027" s="251"/>
      <c r="F1027" s="733"/>
      <c r="G1027" s="762"/>
      <c r="H1027" s="261"/>
      <c r="I1027" s="251"/>
      <c r="J1027" s="762"/>
      <c r="K1027" s="762"/>
      <c r="L1027" s="762"/>
      <c r="M1027" s="762"/>
      <c r="N1027" s="258"/>
      <c r="O1027" s="257"/>
      <c r="P1027" s="258"/>
      <c r="Q1027" s="257"/>
      <c r="R1027" s="258"/>
      <c r="S1027" s="257"/>
      <c r="T1027" s="257"/>
      <c r="U1027" s="257"/>
      <c r="V1027" s="258"/>
      <c r="W1027" s="257"/>
      <c r="X1027" s="258"/>
      <c r="Y1027" s="257"/>
      <c r="Z1027" s="258"/>
      <c r="AA1027" s="257"/>
      <c r="AB1027" s="258"/>
      <c r="AC1027" s="257"/>
    </row>
    <row r="1028" spans="1:29" ht="15">
      <c r="A1028" s="250"/>
      <c r="B1028" s="251"/>
      <c r="C1028" s="754" t="s">
        <v>3494</v>
      </c>
      <c r="D1028" s="292" t="s">
        <v>2551</v>
      </c>
      <c r="E1028" s="763"/>
      <c r="F1028" s="733"/>
      <c r="G1028" s="762"/>
      <c r="H1028" s="261"/>
      <c r="I1028" s="251"/>
      <c r="J1028" s="762"/>
      <c r="K1028" s="762"/>
      <c r="L1028" s="762"/>
      <c r="M1028" s="762"/>
      <c r="N1028" s="258"/>
      <c r="O1028" s="257"/>
      <c r="P1028" s="258"/>
      <c r="Q1028" s="257"/>
      <c r="R1028" s="258"/>
      <c r="S1028" s="257"/>
      <c r="T1028" s="257"/>
      <c r="U1028" s="257"/>
      <c r="V1028" s="258"/>
      <c r="W1028" s="257"/>
      <c r="X1028" s="258"/>
      <c r="Y1028" s="257"/>
      <c r="Z1028" s="258"/>
      <c r="AA1028" s="257"/>
      <c r="AB1028" s="258"/>
      <c r="AC1028" s="257"/>
    </row>
    <row r="1029" spans="1:29" ht="15">
      <c r="A1029" s="250"/>
      <c r="B1029" s="251"/>
      <c r="C1029" s="754"/>
      <c r="D1029" s="326" t="s">
        <v>2610</v>
      </c>
      <c r="E1029" s="251"/>
      <c r="F1029" s="733"/>
      <c r="G1029" s="762"/>
      <c r="H1029" s="261"/>
      <c r="I1029" s="251"/>
      <c r="J1029" s="762"/>
      <c r="K1029" s="762"/>
      <c r="L1029" s="762"/>
      <c r="M1029" s="762"/>
      <c r="N1029" s="258"/>
      <c r="O1029" s="257"/>
      <c r="P1029" s="258"/>
      <c r="Q1029" s="257"/>
      <c r="R1029" s="258"/>
      <c r="S1029" s="257"/>
      <c r="T1029" s="257"/>
      <c r="U1029" s="257"/>
      <c r="V1029" s="258"/>
      <c r="W1029" s="257"/>
      <c r="X1029" s="258"/>
      <c r="Y1029" s="257"/>
      <c r="Z1029" s="258"/>
      <c r="AA1029" s="257"/>
      <c r="AB1029" s="258"/>
      <c r="AC1029" s="257"/>
    </row>
    <row r="1030" spans="1:29" ht="15">
      <c r="A1030" s="250"/>
      <c r="B1030" s="251"/>
      <c r="C1030" s="754" t="s">
        <v>3495</v>
      </c>
      <c r="D1030" s="292" t="s">
        <v>2552</v>
      </c>
      <c r="E1030" s="763"/>
      <c r="F1030" s="733"/>
      <c r="G1030" s="762"/>
      <c r="H1030" s="261"/>
      <c r="I1030" s="251"/>
      <c r="J1030" s="762"/>
      <c r="K1030" s="762"/>
      <c r="L1030" s="762"/>
      <c r="M1030" s="762"/>
      <c r="N1030" s="258"/>
      <c r="O1030" s="257"/>
      <c r="P1030" s="258"/>
      <c r="Q1030" s="257"/>
      <c r="R1030" s="258"/>
      <c r="S1030" s="257"/>
      <c r="T1030" s="257"/>
      <c r="U1030" s="257"/>
      <c r="V1030" s="258"/>
      <c r="W1030" s="257"/>
      <c r="X1030" s="258"/>
      <c r="Y1030" s="257"/>
      <c r="Z1030" s="258"/>
      <c r="AA1030" s="257"/>
      <c r="AB1030" s="258"/>
      <c r="AC1030" s="257"/>
    </row>
    <row r="1031" spans="1:29" ht="15">
      <c r="A1031" s="250"/>
      <c r="B1031" s="251"/>
      <c r="C1031" s="754"/>
      <c r="D1031" s="326" t="s">
        <v>2611</v>
      </c>
      <c r="E1031" s="251"/>
      <c r="F1031" s="733"/>
      <c r="G1031" s="762"/>
      <c r="H1031" s="261"/>
      <c r="I1031" s="251"/>
      <c r="J1031" s="762"/>
      <c r="K1031" s="762"/>
      <c r="L1031" s="762"/>
      <c r="M1031" s="762"/>
      <c r="N1031" s="258"/>
      <c r="O1031" s="257"/>
      <c r="P1031" s="258"/>
      <c r="Q1031" s="257"/>
      <c r="R1031" s="258"/>
      <c r="S1031" s="257"/>
      <c r="T1031" s="257"/>
      <c r="U1031" s="257"/>
      <c r="V1031" s="258"/>
      <c r="W1031" s="257"/>
      <c r="X1031" s="258"/>
      <c r="Y1031" s="257"/>
      <c r="Z1031" s="258"/>
      <c r="AA1031" s="257"/>
      <c r="AB1031" s="258"/>
      <c r="AC1031" s="257"/>
    </row>
    <row r="1032" spans="1:29" ht="15">
      <c r="A1032" s="250"/>
      <c r="B1032" s="251"/>
      <c r="C1032" s="754" t="s">
        <v>3496</v>
      </c>
      <c r="D1032" s="292" t="s">
        <v>2553</v>
      </c>
      <c r="E1032" s="763"/>
      <c r="F1032" s="733"/>
      <c r="G1032" s="762"/>
      <c r="H1032" s="261"/>
      <c r="I1032" s="251"/>
      <c r="J1032" s="762"/>
      <c r="K1032" s="762"/>
      <c r="L1032" s="762"/>
      <c r="M1032" s="762"/>
      <c r="N1032" s="258"/>
      <c r="O1032" s="257"/>
      <c r="P1032" s="258"/>
      <c r="Q1032" s="257"/>
      <c r="R1032" s="258"/>
      <c r="S1032" s="257"/>
      <c r="T1032" s="257"/>
      <c r="U1032" s="257"/>
      <c r="V1032" s="258"/>
      <c r="W1032" s="257"/>
      <c r="X1032" s="258"/>
      <c r="Y1032" s="257"/>
      <c r="Z1032" s="258"/>
      <c r="AA1032" s="257"/>
      <c r="AB1032" s="258"/>
      <c r="AC1032" s="257"/>
    </row>
    <row r="1033" spans="1:29" ht="15">
      <c r="A1033" s="250"/>
      <c r="B1033" s="251"/>
      <c r="C1033" s="754"/>
      <c r="D1033" s="326" t="s">
        <v>2612</v>
      </c>
      <c r="E1033" s="251"/>
      <c r="F1033" s="733"/>
      <c r="G1033" s="762"/>
      <c r="H1033" s="261"/>
      <c r="I1033" s="251"/>
      <c r="J1033" s="762"/>
      <c r="K1033" s="762"/>
      <c r="L1033" s="762"/>
      <c r="M1033" s="762"/>
      <c r="N1033" s="258"/>
      <c r="O1033" s="257"/>
      <c r="P1033" s="258"/>
      <c r="Q1033" s="257"/>
      <c r="R1033" s="258"/>
      <c r="S1033" s="257"/>
      <c r="T1033" s="257"/>
      <c r="U1033" s="257"/>
      <c r="V1033" s="258"/>
      <c r="W1033" s="257"/>
      <c r="X1033" s="258"/>
      <c r="Y1033" s="257"/>
      <c r="Z1033" s="258"/>
      <c r="AA1033" s="257"/>
      <c r="AB1033" s="258"/>
      <c r="AC1033" s="257"/>
    </row>
    <row r="1034" spans="1:29" ht="25.5">
      <c r="A1034" s="250">
        <f>A1025+1</f>
        <v>198</v>
      </c>
      <c r="B1034" s="251"/>
      <c r="C1034" s="754" t="s">
        <v>2531</v>
      </c>
      <c r="D1034" s="292" t="s">
        <v>2554</v>
      </c>
      <c r="E1034" s="763" t="s">
        <v>2475</v>
      </c>
      <c r="F1034" s="735">
        <f>N1034+R1034+P1034+T1034+V1034+X1034+Z1034+AB1034</f>
        <v>688</v>
      </c>
      <c r="G1034" s="762">
        <v>5.12</v>
      </c>
      <c r="H1034" s="261">
        <f>O1034+S1034+Q1034+U1034+W1034+Y1034+AA1034+AC1034</f>
        <v>3522.56</v>
      </c>
      <c r="I1034" s="251" t="s">
        <v>2475</v>
      </c>
      <c r="J1034" s="762"/>
      <c r="K1034" s="762"/>
      <c r="L1034" s="762"/>
      <c r="M1034" s="762"/>
      <c r="N1034" s="258"/>
      <c r="O1034" s="257"/>
      <c r="P1034" s="258"/>
      <c r="Q1034" s="257"/>
      <c r="R1034" s="258"/>
      <c r="S1034" s="257"/>
      <c r="T1034" s="257"/>
      <c r="U1034" s="257"/>
      <c r="V1034" s="258">
        <v>688</v>
      </c>
      <c r="W1034" s="257">
        <f>INT($G1034*V1034*100+0.5)/100</f>
        <v>3522.56</v>
      </c>
      <c r="X1034" s="258"/>
      <c r="Y1034" s="257"/>
      <c r="Z1034" s="258"/>
      <c r="AA1034" s="257"/>
      <c r="AB1034" s="258"/>
      <c r="AC1034" s="257"/>
    </row>
    <row r="1035" spans="1:29" ht="15">
      <c r="A1035" s="250"/>
      <c r="B1035" s="251"/>
      <c r="C1035" s="754"/>
      <c r="D1035" s="326" t="s">
        <v>2613</v>
      </c>
      <c r="E1035" s="251"/>
      <c r="F1035" s="733"/>
      <c r="G1035" s="762"/>
      <c r="H1035" s="261"/>
      <c r="I1035" s="251"/>
      <c r="J1035" s="762"/>
      <c r="K1035" s="762"/>
      <c r="L1035" s="762"/>
      <c r="M1035" s="762"/>
      <c r="N1035" s="258"/>
      <c r="O1035" s="257"/>
      <c r="P1035" s="258"/>
      <c r="Q1035" s="257"/>
      <c r="R1035" s="258"/>
      <c r="S1035" s="257"/>
      <c r="T1035" s="257"/>
      <c r="U1035" s="257"/>
      <c r="V1035" s="258"/>
      <c r="W1035" s="257"/>
      <c r="X1035" s="258"/>
      <c r="Y1035" s="257"/>
      <c r="Z1035" s="258"/>
      <c r="AA1035" s="257"/>
      <c r="AB1035" s="258"/>
      <c r="AC1035" s="257"/>
    </row>
    <row r="1036" spans="1:29" ht="15">
      <c r="A1036" s="250"/>
      <c r="B1036" s="251"/>
      <c r="C1036" s="754"/>
      <c r="D1036" s="326"/>
      <c r="E1036" s="251"/>
      <c r="F1036" s="733"/>
      <c r="G1036" s="762"/>
      <c r="H1036" s="261"/>
      <c r="I1036" s="251"/>
      <c r="J1036" s="762"/>
      <c r="K1036" s="762"/>
      <c r="L1036" s="762"/>
      <c r="M1036" s="762"/>
      <c r="N1036" s="258"/>
      <c r="O1036" s="257"/>
      <c r="P1036" s="258"/>
      <c r="Q1036" s="257"/>
      <c r="R1036" s="258"/>
      <c r="S1036" s="257"/>
      <c r="T1036" s="257"/>
      <c r="U1036" s="257"/>
      <c r="V1036" s="258"/>
      <c r="W1036" s="257"/>
      <c r="X1036" s="258"/>
      <c r="Y1036" s="257"/>
      <c r="Z1036" s="258"/>
      <c r="AA1036" s="257"/>
      <c r="AB1036" s="258"/>
      <c r="AC1036" s="257"/>
    </row>
    <row r="1037" spans="1:29" ht="15">
      <c r="A1037" s="250"/>
      <c r="B1037" s="251"/>
      <c r="C1037" s="754" t="s">
        <v>3497</v>
      </c>
      <c r="D1037" s="292" t="s">
        <v>2555</v>
      </c>
      <c r="E1037" s="763"/>
      <c r="F1037" s="733"/>
      <c r="G1037" s="762"/>
      <c r="H1037" s="261"/>
      <c r="I1037" s="251"/>
      <c r="J1037" s="762"/>
      <c r="K1037" s="762"/>
      <c r="L1037" s="762"/>
      <c r="M1037" s="762"/>
      <c r="N1037" s="258"/>
      <c r="O1037" s="257"/>
      <c r="P1037" s="258"/>
      <c r="Q1037" s="257"/>
      <c r="R1037" s="258"/>
      <c r="S1037" s="257"/>
      <c r="T1037" s="257"/>
      <c r="U1037" s="257"/>
      <c r="V1037" s="258"/>
      <c r="W1037" s="257"/>
      <c r="X1037" s="258"/>
      <c r="Y1037" s="257"/>
      <c r="Z1037" s="258"/>
      <c r="AA1037" s="257"/>
      <c r="AB1037" s="258"/>
      <c r="AC1037" s="257"/>
    </row>
    <row r="1038" spans="1:29" ht="15">
      <c r="A1038" s="250"/>
      <c r="B1038" s="251"/>
      <c r="C1038" s="754"/>
      <c r="D1038" s="326" t="s">
        <v>2614</v>
      </c>
      <c r="E1038" s="251"/>
      <c r="F1038" s="733"/>
      <c r="G1038" s="762"/>
      <c r="H1038" s="261"/>
      <c r="I1038" s="251"/>
      <c r="J1038" s="762"/>
      <c r="K1038" s="762"/>
      <c r="L1038" s="762"/>
      <c r="M1038" s="762"/>
      <c r="N1038" s="258"/>
      <c r="O1038" s="257"/>
      <c r="P1038" s="258"/>
      <c r="Q1038" s="257"/>
      <c r="R1038" s="258"/>
      <c r="S1038" s="257"/>
      <c r="T1038" s="257"/>
      <c r="U1038" s="257"/>
      <c r="V1038" s="258"/>
      <c r="W1038" s="257"/>
      <c r="X1038" s="258"/>
      <c r="Y1038" s="257"/>
      <c r="Z1038" s="258"/>
      <c r="AA1038" s="257"/>
      <c r="AB1038" s="258"/>
      <c r="AC1038" s="257"/>
    </row>
    <row r="1039" spans="1:29" ht="15">
      <c r="A1039" s="250"/>
      <c r="B1039" s="251"/>
      <c r="C1039" s="754" t="s">
        <v>3498</v>
      </c>
      <c r="D1039" s="292" t="s">
        <v>2556</v>
      </c>
      <c r="E1039" s="763"/>
      <c r="F1039" s="733"/>
      <c r="G1039" s="762"/>
      <c r="H1039" s="261"/>
      <c r="I1039" s="251"/>
      <c r="J1039" s="762"/>
      <c r="K1039" s="762"/>
      <c r="L1039" s="762"/>
      <c r="M1039" s="762"/>
      <c r="N1039" s="258"/>
      <c r="O1039" s="257"/>
      <c r="P1039" s="258"/>
      <c r="Q1039" s="257"/>
      <c r="R1039" s="258"/>
      <c r="S1039" s="257"/>
      <c r="T1039" s="257"/>
      <c r="U1039" s="257"/>
      <c r="V1039" s="258"/>
      <c r="W1039" s="257"/>
      <c r="X1039" s="258"/>
      <c r="Y1039" s="257"/>
      <c r="Z1039" s="258"/>
      <c r="AA1039" s="257"/>
      <c r="AB1039" s="258"/>
      <c r="AC1039" s="257"/>
    </row>
    <row r="1040" spans="1:29" ht="15">
      <c r="A1040" s="250"/>
      <c r="B1040" s="251"/>
      <c r="C1040" s="754"/>
      <c r="D1040" s="326" t="s">
        <v>2615</v>
      </c>
      <c r="E1040" s="251"/>
      <c r="F1040" s="733"/>
      <c r="G1040" s="762"/>
      <c r="H1040" s="261"/>
      <c r="I1040" s="251"/>
      <c r="J1040" s="762"/>
      <c r="K1040" s="762"/>
      <c r="L1040" s="762"/>
      <c r="M1040" s="762"/>
      <c r="N1040" s="258"/>
      <c r="O1040" s="257"/>
      <c r="P1040" s="258"/>
      <c r="Q1040" s="257"/>
      <c r="R1040" s="258"/>
      <c r="S1040" s="257"/>
      <c r="T1040" s="257"/>
      <c r="U1040" s="257"/>
      <c r="V1040" s="258"/>
      <c r="W1040" s="257"/>
      <c r="X1040" s="258"/>
      <c r="Y1040" s="257"/>
      <c r="Z1040" s="258"/>
      <c r="AA1040" s="257"/>
      <c r="AB1040" s="258"/>
      <c r="AC1040" s="257"/>
    </row>
    <row r="1041" spans="1:29" ht="25.5">
      <c r="A1041" s="250">
        <f>A1034+1</f>
        <v>199</v>
      </c>
      <c r="B1041" s="251"/>
      <c r="C1041" s="754" t="s">
        <v>2532</v>
      </c>
      <c r="D1041" s="292" t="s">
        <v>2557</v>
      </c>
      <c r="E1041" s="763" t="s">
        <v>1901</v>
      </c>
      <c r="F1041" s="735">
        <f>N1041+R1041+P1041+T1041+V1041+X1041+Z1041+AB1041</f>
        <v>3</v>
      </c>
      <c r="G1041" s="762">
        <v>88.85</v>
      </c>
      <c r="H1041" s="261">
        <f>O1041+S1041+Q1041+U1041+W1041+Y1041+AA1041+AC1041</f>
        <v>266.55</v>
      </c>
      <c r="I1041" s="251" t="s">
        <v>1901</v>
      </c>
      <c r="J1041" s="762"/>
      <c r="K1041" s="762"/>
      <c r="L1041" s="762"/>
      <c r="M1041" s="762"/>
      <c r="N1041" s="258"/>
      <c r="O1041" s="257"/>
      <c r="P1041" s="258"/>
      <c r="Q1041" s="257"/>
      <c r="R1041" s="258"/>
      <c r="S1041" s="257"/>
      <c r="T1041" s="257"/>
      <c r="U1041" s="257"/>
      <c r="V1041" s="258">
        <v>3</v>
      </c>
      <c r="W1041" s="257">
        <f>INT($G1041*V1041*100+0.5)/100</f>
        <v>266.55</v>
      </c>
      <c r="X1041" s="258"/>
      <c r="Y1041" s="257"/>
      <c r="Z1041" s="258"/>
      <c r="AA1041" s="257"/>
      <c r="AB1041" s="258"/>
      <c r="AC1041" s="257"/>
    </row>
    <row r="1042" spans="1:29" ht="15">
      <c r="A1042" s="250"/>
      <c r="B1042" s="251"/>
      <c r="C1042" s="754"/>
      <c r="D1042" s="326" t="s">
        <v>2616</v>
      </c>
      <c r="E1042" s="251"/>
      <c r="F1042" s="733"/>
      <c r="G1042" s="762"/>
      <c r="H1042" s="261"/>
      <c r="I1042" s="251"/>
      <c r="J1042" s="762"/>
      <c r="K1042" s="762"/>
      <c r="L1042" s="762"/>
      <c r="M1042" s="762"/>
      <c r="N1042" s="258"/>
      <c r="O1042" s="257"/>
      <c r="P1042" s="258"/>
      <c r="Q1042" s="257"/>
      <c r="R1042" s="258"/>
      <c r="S1042" s="257"/>
      <c r="T1042" s="257"/>
      <c r="U1042" s="257"/>
      <c r="V1042" s="258"/>
      <c r="W1042" s="257"/>
      <c r="X1042" s="258"/>
      <c r="Y1042" s="257"/>
      <c r="Z1042" s="258"/>
      <c r="AA1042" s="257"/>
      <c r="AB1042" s="258"/>
      <c r="AC1042" s="257"/>
    </row>
    <row r="1043" spans="1:29" ht="15">
      <c r="A1043" s="250"/>
      <c r="B1043" s="251"/>
      <c r="C1043" s="754"/>
      <c r="D1043" s="326"/>
      <c r="E1043" s="251"/>
      <c r="F1043" s="733"/>
      <c r="G1043" s="762"/>
      <c r="H1043" s="261"/>
      <c r="I1043" s="251"/>
      <c r="J1043" s="762"/>
      <c r="K1043" s="762"/>
      <c r="L1043" s="762"/>
      <c r="M1043" s="762"/>
      <c r="N1043" s="258"/>
      <c r="O1043" s="257"/>
      <c r="P1043" s="258"/>
      <c r="Q1043" s="257"/>
      <c r="R1043" s="258"/>
      <c r="S1043" s="257"/>
      <c r="T1043" s="257"/>
      <c r="U1043" s="257"/>
      <c r="V1043" s="258"/>
      <c r="W1043" s="257"/>
      <c r="X1043" s="258"/>
      <c r="Y1043" s="257"/>
      <c r="Z1043" s="258"/>
      <c r="AA1043" s="257"/>
      <c r="AB1043" s="258"/>
      <c r="AC1043" s="257"/>
    </row>
    <row r="1044" spans="1:29" ht="15">
      <c r="A1044" s="250"/>
      <c r="B1044" s="251"/>
      <c r="C1044" s="754" t="s">
        <v>3499</v>
      </c>
      <c r="D1044" s="292" t="s">
        <v>2558</v>
      </c>
      <c r="E1044" s="763"/>
      <c r="F1044" s="733"/>
      <c r="G1044" s="762"/>
      <c r="H1044" s="261"/>
      <c r="I1044" s="251"/>
      <c r="J1044" s="762"/>
      <c r="K1044" s="762"/>
      <c r="L1044" s="762"/>
      <c r="M1044" s="762"/>
      <c r="N1044" s="258"/>
      <c r="O1044" s="257"/>
      <c r="P1044" s="258"/>
      <c r="Q1044" s="257"/>
      <c r="R1044" s="258"/>
      <c r="S1044" s="257"/>
      <c r="T1044" s="257"/>
      <c r="U1044" s="257"/>
      <c r="V1044" s="258"/>
      <c r="W1044" s="257"/>
      <c r="X1044" s="258"/>
      <c r="Y1044" s="257"/>
      <c r="Z1044" s="258"/>
      <c r="AA1044" s="257"/>
      <c r="AB1044" s="258"/>
      <c r="AC1044" s="257"/>
    </row>
    <row r="1045" spans="1:29" ht="15">
      <c r="A1045" s="250"/>
      <c r="B1045" s="251"/>
      <c r="C1045" s="754"/>
      <c r="D1045" s="326" t="s">
        <v>2617</v>
      </c>
      <c r="E1045" s="251"/>
      <c r="F1045" s="733"/>
      <c r="G1045" s="762"/>
      <c r="H1045" s="261"/>
      <c r="I1045" s="251"/>
      <c r="J1045" s="762"/>
      <c r="K1045" s="762"/>
      <c r="L1045" s="762"/>
      <c r="M1045" s="762"/>
      <c r="N1045" s="258"/>
      <c r="O1045" s="257"/>
      <c r="P1045" s="258"/>
      <c r="Q1045" s="257"/>
      <c r="R1045" s="258"/>
      <c r="S1045" s="257"/>
      <c r="T1045" s="257"/>
      <c r="U1045" s="257"/>
      <c r="V1045" s="258"/>
      <c r="W1045" s="257"/>
      <c r="X1045" s="258"/>
      <c r="Y1045" s="257"/>
      <c r="Z1045" s="258"/>
      <c r="AA1045" s="257"/>
      <c r="AB1045" s="258"/>
      <c r="AC1045" s="257"/>
    </row>
    <row r="1046" spans="1:29" ht="25.5">
      <c r="A1046" s="250">
        <f>A1041+1</f>
        <v>200</v>
      </c>
      <c r="B1046" s="251"/>
      <c r="C1046" s="754" t="s">
        <v>2533</v>
      </c>
      <c r="D1046" s="292" t="s">
        <v>2559</v>
      </c>
      <c r="E1046" s="763" t="s">
        <v>1901</v>
      </c>
      <c r="F1046" s="735">
        <f>N1046+R1046+P1046+T1046+V1046+X1046+Z1046+AB1046</f>
        <v>3</v>
      </c>
      <c r="G1046" s="762">
        <v>245</v>
      </c>
      <c r="H1046" s="261">
        <f>O1046+S1046+Q1046+U1046+W1046+Y1046+AA1046+AC1046</f>
        <v>735</v>
      </c>
      <c r="I1046" s="251" t="s">
        <v>1901</v>
      </c>
      <c r="J1046" s="762"/>
      <c r="K1046" s="762"/>
      <c r="L1046" s="762"/>
      <c r="M1046" s="762"/>
      <c r="N1046" s="258"/>
      <c r="O1046" s="257"/>
      <c r="P1046" s="258"/>
      <c r="Q1046" s="257"/>
      <c r="R1046" s="258"/>
      <c r="S1046" s="257"/>
      <c r="T1046" s="257"/>
      <c r="U1046" s="257"/>
      <c r="V1046" s="258">
        <v>3</v>
      </c>
      <c r="W1046" s="257">
        <f>INT($G1046*V1046*100+0.5)/100</f>
        <v>735</v>
      </c>
      <c r="X1046" s="258"/>
      <c r="Y1046" s="257"/>
      <c r="Z1046" s="258"/>
      <c r="AA1046" s="257"/>
      <c r="AB1046" s="258"/>
      <c r="AC1046" s="257"/>
    </row>
    <row r="1047" spans="1:29" ht="15">
      <c r="A1047" s="250"/>
      <c r="B1047" s="251"/>
      <c r="C1047" s="754"/>
      <c r="D1047" s="326" t="s">
        <v>2618</v>
      </c>
      <c r="E1047" s="251"/>
      <c r="F1047" s="733"/>
      <c r="G1047" s="762"/>
      <c r="H1047" s="261"/>
      <c r="I1047" s="251"/>
      <c r="J1047" s="762"/>
      <c r="K1047" s="762"/>
      <c r="L1047" s="762"/>
      <c r="M1047" s="762"/>
      <c r="N1047" s="258"/>
      <c r="O1047" s="257"/>
      <c r="P1047" s="258"/>
      <c r="Q1047" s="257"/>
      <c r="R1047" s="258"/>
      <c r="S1047" s="257"/>
      <c r="T1047" s="257"/>
      <c r="U1047" s="257"/>
      <c r="V1047" s="258"/>
      <c r="W1047" s="257"/>
      <c r="X1047" s="258"/>
      <c r="Y1047" s="257"/>
      <c r="Z1047" s="258"/>
      <c r="AA1047" s="257"/>
      <c r="AB1047" s="258"/>
      <c r="AC1047" s="257"/>
    </row>
    <row r="1048" spans="1:29" ht="15">
      <c r="A1048" s="250"/>
      <c r="B1048" s="251"/>
      <c r="C1048" s="754"/>
      <c r="D1048" s="326"/>
      <c r="E1048" s="251"/>
      <c r="F1048" s="733"/>
      <c r="G1048" s="762"/>
      <c r="H1048" s="261"/>
      <c r="I1048" s="251"/>
      <c r="J1048" s="762"/>
      <c r="K1048" s="762"/>
      <c r="L1048" s="762"/>
      <c r="M1048" s="762"/>
      <c r="N1048" s="258"/>
      <c r="O1048" s="257"/>
      <c r="P1048" s="258"/>
      <c r="Q1048" s="257"/>
      <c r="R1048" s="258"/>
      <c r="S1048" s="257"/>
      <c r="T1048" s="257"/>
      <c r="U1048" s="257"/>
      <c r="V1048" s="258"/>
      <c r="W1048" s="257"/>
      <c r="X1048" s="258"/>
      <c r="Y1048" s="257"/>
      <c r="Z1048" s="258"/>
      <c r="AA1048" s="257"/>
      <c r="AB1048" s="258"/>
      <c r="AC1048" s="257"/>
    </row>
    <row r="1049" spans="1:29" ht="15">
      <c r="A1049" s="250"/>
      <c r="B1049" s="251"/>
      <c r="C1049" s="754" t="s">
        <v>3500</v>
      </c>
      <c r="D1049" s="292" t="s">
        <v>2560</v>
      </c>
      <c r="E1049" s="763"/>
      <c r="F1049" s="733"/>
      <c r="G1049" s="762"/>
      <c r="H1049" s="261"/>
      <c r="I1049" s="251"/>
      <c r="J1049" s="762"/>
      <c r="K1049" s="762"/>
      <c r="L1049" s="762"/>
      <c r="M1049" s="762"/>
      <c r="N1049" s="258"/>
      <c r="O1049" s="257"/>
      <c r="P1049" s="258"/>
      <c r="Q1049" s="257"/>
      <c r="R1049" s="258"/>
      <c r="S1049" s="257"/>
      <c r="T1049" s="257"/>
      <c r="U1049" s="257"/>
      <c r="V1049" s="258"/>
      <c r="W1049" s="257"/>
      <c r="X1049" s="258"/>
      <c r="Y1049" s="257"/>
      <c r="Z1049" s="258"/>
      <c r="AA1049" s="257"/>
      <c r="AB1049" s="258"/>
      <c r="AC1049" s="257"/>
    </row>
    <row r="1050" spans="1:29" ht="15">
      <c r="A1050" s="250"/>
      <c r="B1050" s="251"/>
      <c r="C1050" s="754"/>
      <c r="D1050" s="326" t="s">
        <v>2619</v>
      </c>
      <c r="E1050" s="251"/>
      <c r="F1050" s="733"/>
      <c r="G1050" s="762"/>
      <c r="H1050" s="261"/>
      <c r="I1050" s="251"/>
      <c r="J1050" s="762"/>
      <c r="K1050" s="762"/>
      <c r="L1050" s="762"/>
      <c r="M1050" s="762"/>
      <c r="N1050" s="258"/>
      <c r="O1050" s="257"/>
      <c r="P1050" s="258"/>
      <c r="Q1050" s="257"/>
      <c r="R1050" s="258"/>
      <c r="S1050" s="257"/>
      <c r="T1050" s="257"/>
      <c r="U1050" s="257"/>
      <c r="V1050" s="258"/>
      <c r="W1050" s="257"/>
      <c r="X1050" s="258"/>
      <c r="Y1050" s="257"/>
      <c r="Z1050" s="258"/>
      <c r="AA1050" s="257"/>
      <c r="AB1050" s="258"/>
      <c r="AC1050" s="257"/>
    </row>
    <row r="1051" spans="1:29" ht="15">
      <c r="A1051" s="250"/>
      <c r="B1051" s="251"/>
      <c r="C1051" s="754" t="s">
        <v>3501</v>
      </c>
      <c r="D1051" s="292" t="s">
        <v>2561</v>
      </c>
      <c r="E1051" s="763"/>
      <c r="F1051" s="733"/>
      <c r="G1051" s="762"/>
      <c r="H1051" s="261"/>
      <c r="I1051" s="251"/>
      <c r="J1051" s="762"/>
      <c r="K1051" s="762"/>
      <c r="L1051" s="762"/>
      <c r="M1051" s="762"/>
      <c r="N1051" s="258"/>
      <c r="O1051" s="257"/>
      <c r="P1051" s="258"/>
      <c r="Q1051" s="257"/>
      <c r="R1051" s="258"/>
      <c r="S1051" s="257"/>
      <c r="T1051" s="257"/>
      <c r="U1051" s="257"/>
      <c r="V1051" s="258"/>
      <c r="W1051" s="257"/>
      <c r="X1051" s="258"/>
      <c r="Y1051" s="257"/>
      <c r="Z1051" s="258"/>
      <c r="AA1051" s="257"/>
      <c r="AB1051" s="258"/>
      <c r="AC1051" s="257"/>
    </row>
    <row r="1052" spans="1:29" ht="15">
      <c r="A1052" s="250"/>
      <c r="B1052" s="251"/>
      <c r="C1052" s="754"/>
      <c r="D1052" s="326" t="s">
        <v>2620</v>
      </c>
      <c r="E1052" s="251"/>
      <c r="F1052" s="733"/>
      <c r="G1052" s="762"/>
      <c r="H1052" s="261"/>
      <c r="I1052" s="251"/>
      <c r="J1052" s="762"/>
      <c r="K1052" s="762"/>
      <c r="L1052" s="762"/>
      <c r="M1052" s="762"/>
      <c r="N1052" s="258"/>
      <c r="O1052" s="257"/>
      <c r="P1052" s="258"/>
      <c r="Q1052" s="257"/>
      <c r="R1052" s="258"/>
      <c r="S1052" s="257"/>
      <c r="T1052" s="257"/>
      <c r="U1052" s="257"/>
      <c r="V1052" s="258"/>
      <c r="W1052" s="257"/>
      <c r="X1052" s="258"/>
      <c r="Y1052" s="257"/>
      <c r="Z1052" s="258"/>
      <c r="AA1052" s="257"/>
      <c r="AB1052" s="258"/>
      <c r="AC1052" s="257"/>
    </row>
    <row r="1053" spans="1:29" ht="25.5">
      <c r="A1053" s="250">
        <f>A1046+1</f>
        <v>201</v>
      </c>
      <c r="B1053" s="251"/>
      <c r="C1053" s="754" t="s">
        <v>3502</v>
      </c>
      <c r="D1053" s="292" t="s">
        <v>2562</v>
      </c>
      <c r="E1053" s="763" t="s">
        <v>1901</v>
      </c>
      <c r="F1053" s="735">
        <f>N1053+R1053+P1053+T1053+V1053+X1053+Z1053+AB1053</f>
        <v>32</v>
      </c>
      <c r="G1053" s="762">
        <v>239.8</v>
      </c>
      <c r="H1053" s="261">
        <f>O1053+S1053+Q1053+U1053+W1053+Y1053+AA1053+AC1053</f>
        <v>7673.6</v>
      </c>
      <c r="I1053" s="251" t="s">
        <v>1901</v>
      </c>
      <c r="J1053" s="762"/>
      <c r="K1053" s="762"/>
      <c r="L1053" s="762"/>
      <c r="M1053" s="762"/>
      <c r="N1053" s="258"/>
      <c r="O1053" s="257"/>
      <c r="P1053" s="258"/>
      <c r="Q1053" s="257"/>
      <c r="R1053" s="258"/>
      <c r="S1053" s="257"/>
      <c r="T1053" s="257"/>
      <c r="U1053" s="257"/>
      <c r="V1053" s="258">
        <f>12+19+1</f>
        <v>32</v>
      </c>
      <c r="W1053" s="257">
        <f>INT($G1053*V1053*100+0.5)/100</f>
        <v>7673.6</v>
      </c>
      <c r="X1053" s="258"/>
      <c r="Y1053" s="257"/>
      <c r="Z1053" s="258"/>
      <c r="AA1053" s="257"/>
      <c r="AB1053" s="258"/>
      <c r="AC1053" s="257"/>
    </row>
    <row r="1054" spans="1:29" ht="15">
      <c r="A1054" s="250"/>
      <c r="B1054" s="251"/>
      <c r="C1054" s="754"/>
      <c r="D1054" s="326" t="s">
        <v>2621</v>
      </c>
      <c r="E1054" s="251"/>
      <c r="F1054" s="733"/>
      <c r="G1054" s="762"/>
      <c r="H1054" s="261"/>
      <c r="I1054" s="251"/>
      <c r="J1054" s="762"/>
      <c r="K1054" s="762"/>
      <c r="L1054" s="762"/>
      <c r="M1054" s="762"/>
      <c r="N1054" s="258"/>
      <c r="O1054" s="257"/>
      <c r="P1054" s="258"/>
      <c r="Q1054" s="257"/>
      <c r="R1054" s="258"/>
      <c r="S1054" s="257"/>
      <c r="T1054" s="257"/>
      <c r="U1054" s="257"/>
      <c r="V1054" s="258"/>
      <c r="W1054" s="257"/>
      <c r="X1054" s="258"/>
      <c r="Y1054" s="257"/>
      <c r="Z1054" s="258"/>
      <c r="AA1054" s="257"/>
      <c r="AB1054" s="258"/>
      <c r="AC1054" s="257"/>
    </row>
    <row r="1055" spans="1:29" ht="15">
      <c r="A1055" s="250"/>
      <c r="B1055" s="251"/>
      <c r="C1055" s="754"/>
      <c r="D1055" s="326"/>
      <c r="E1055" s="251"/>
      <c r="F1055" s="733"/>
      <c r="G1055" s="762"/>
      <c r="H1055" s="261"/>
      <c r="I1055" s="251"/>
      <c r="J1055" s="762"/>
      <c r="K1055" s="762"/>
      <c r="L1055" s="762"/>
      <c r="M1055" s="762"/>
      <c r="N1055" s="258"/>
      <c r="O1055" s="257"/>
      <c r="P1055" s="258"/>
      <c r="Q1055" s="257"/>
      <c r="R1055" s="258"/>
      <c r="S1055" s="257"/>
      <c r="T1055" s="257"/>
      <c r="U1055" s="257"/>
      <c r="V1055" s="258"/>
      <c r="W1055" s="257"/>
      <c r="X1055" s="258"/>
      <c r="Y1055" s="257"/>
      <c r="Z1055" s="258"/>
      <c r="AA1055" s="257"/>
      <c r="AB1055" s="258"/>
      <c r="AC1055" s="257"/>
    </row>
    <row r="1056" spans="1:29" ht="15">
      <c r="A1056" s="250"/>
      <c r="B1056" s="251"/>
      <c r="C1056" s="754" t="s">
        <v>3503</v>
      </c>
      <c r="D1056" s="292" t="s">
        <v>2563</v>
      </c>
      <c r="E1056" s="763"/>
      <c r="F1056" s="733"/>
      <c r="G1056" s="762"/>
      <c r="H1056" s="261"/>
      <c r="I1056" s="251"/>
      <c r="J1056" s="762"/>
      <c r="K1056" s="762"/>
      <c r="L1056" s="762"/>
      <c r="M1056" s="762"/>
      <c r="N1056" s="258"/>
      <c r="O1056" s="257"/>
      <c r="P1056" s="258"/>
      <c r="Q1056" s="257"/>
      <c r="R1056" s="258"/>
      <c r="S1056" s="257"/>
      <c r="T1056" s="257"/>
      <c r="U1056" s="257"/>
      <c r="V1056" s="258"/>
      <c r="W1056" s="257"/>
      <c r="X1056" s="258"/>
      <c r="Y1056" s="257"/>
      <c r="Z1056" s="258"/>
      <c r="AA1056" s="257"/>
      <c r="AB1056" s="258"/>
      <c r="AC1056" s="257"/>
    </row>
    <row r="1057" spans="1:29" ht="15">
      <c r="A1057" s="250"/>
      <c r="B1057" s="251"/>
      <c r="C1057" s="754"/>
      <c r="D1057" s="326" t="s">
        <v>2622</v>
      </c>
      <c r="E1057" s="251"/>
      <c r="F1057" s="733"/>
      <c r="G1057" s="762"/>
      <c r="H1057" s="261"/>
      <c r="I1057" s="251"/>
      <c r="J1057" s="762"/>
      <c r="K1057" s="762"/>
      <c r="L1057" s="762"/>
      <c r="M1057" s="762"/>
      <c r="N1057" s="258"/>
      <c r="O1057" s="257"/>
      <c r="P1057" s="258"/>
      <c r="Q1057" s="257"/>
      <c r="R1057" s="258"/>
      <c r="S1057" s="257"/>
      <c r="T1057" s="257"/>
      <c r="U1057" s="257"/>
      <c r="V1057" s="258"/>
      <c r="W1057" s="257"/>
      <c r="X1057" s="258"/>
      <c r="Y1057" s="257"/>
      <c r="Z1057" s="258"/>
      <c r="AA1057" s="257"/>
      <c r="AB1057" s="258"/>
      <c r="AC1057" s="257"/>
    </row>
    <row r="1058" spans="1:29" ht="15">
      <c r="A1058" s="250"/>
      <c r="B1058" s="251"/>
      <c r="C1058" s="754"/>
      <c r="D1058" s="326"/>
      <c r="E1058" s="251"/>
      <c r="F1058" s="733"/>
      <c r="G1058" s="762"/>
      <c r="H1058" s="261"/>
      <c r="I1058" s="251"/>
      <c r="J1058" s="762"/>
      <c r="K1058" s="762"/>
      <c r="L1058" s="762"/>
      <c r="M1058" s="762"/>
      <c r="N1058" s="258"/>
      <c r="O1058" s="257"/>
      <c r="P1058" s="258"/>
      <c r="Q1058" s="257"/>
      <c r="R1058" s="258"/>
      <c r="S1058" s="257"/>
      <c r="T1058" s="257"/>
      <c r="U1058" s="257"/>
      <c r="V1058" s="258"/>
      <c r="W1058" s="257"/>
      <c r="X1058" s="258"/>
      <c r="Y1058" s="257"/>
      <c r="Z1058" s="258"/>
      <c r="AA1058" s="257"/>
      <c r="AB1058" s="258"/>
      <c r="AC1058" s="257"/>
    </row>
    <row r="1059" spans="1:29" ht="15">
      <c r="A1059" s="250"/>
      <c r="B1059" s="251"/>
      <c r="C1059" s="754" t="s">
        <v>3504</v>
      </c>
      <c r="D1059" s="292" t="s">
        <v>2564</v>
      </c>
      <c r="E1059" s="763"/>
      <c r="F1059" s="733"/>
      <c r="G1059" s="762"/>
      <c r="H1059" s="261"/>
      <c r="I1059" s="251"/>
      <c r="J1059" s="762"/>
      <c r="K1059" s="762"/>
      <c r="L1059" s="762"/>
      <c r="M1059" s="762"/>
      <c r="N1059" s="258"/>
      <c r="O1059" s="257"/>
      <c r="P1059" s="258"/>
      <c r="Q1059" s="257"/>
      <c r="R1059" s="258"/>
      <c r="S1059" s="257"/>
      <c r="T1059" s="257"/>
      <c r="U1059" s="257"/>
      <c r="V1059" s="258"/>
      <c r="W1059" s="257"/>
      <c r="X1059" s="258"/>
      <c r="Y1059" s="257"/>
      <c r="Z1059" s="258"/>
      <c r="AA1059" s="257"/>
      <c r="AB1059" s="258"/>
      <c r="AC1059" s="257"/>
    </row>
    <row r="1060" spans="1:29" ht="15">
      <c r="A1060" s="250"/>
      <c r="B1060" s="251"/>
      <c r="C1060" s="754"/>
      <c r="D1060" s="326" t="s">
        <v>2623</v>
      </c>
      <c r="E1060" s="251"/>
      <c r="F1060" s="733"/>
      <c r="G1060" s="762"/>
      <c r="H1060" s="261"/>
      <c r="I1060" s="251"/>
      <c r="J1060" s="762"/>
      <c r="K1060" s="762"/>
      <c r="L1060" s="762"/>
      <c r="M1060" s="762"/>
      <c r="N1060" s="258"/>
      <c r="O1060" s="257"/>
      <c r="P1060" s="258"/>
      <c r="Q1060" s="257"/>
      <c r="R1060" s="258"/>
      <c r="S1060" s="257"/>
      <c r="T1060" s="257"/>
      <c r="U1060" s="257"/>
      <c r="V1060" s="258"/>
      <c r="W1060" s="257"/>
      <c r="X1060" s="258"/>
      <c r="Y1060" s="257"/>
      <c r="Z1060" s="258"/>
      <c r="AA1060" s="257"/>
      <c r="AB1060" s="258"/>
      <c r="AC1060" s="257"/>
    </row>
    <row r="1061" spans="1:29" ht="25.5">
      <c r="A1061" s="250">
        <f>A1053+1</f>
        <v>202</v>
      </c>
      <c r="B1061" s="251"/>
      <c r="C1061" s="754" t="s">
        <v>3505</v>
      </c>
      <c r="D1061" s="292" t="s">
        <v>2565</v>
      </c>
      <c r="E1061" s="763" t="s">
        <v>2475</v>
      </c>
      <c r="F1061" s="735">
        <f>N1061+R1061+P1061+T1061+V1061+X1061+Z1061+AB1061</f>
        <v>407</v>
      </c>
      <c r="G1061" s="762">
        <v>0.9</v>
      </c>
      <c r="H1061" s="261">
        <f>O1061+S1061+Q1061+U1061+W1061+Y1061+AA1061+AC1061</f>
        <v>366.3</v>
      </c>
      <c r="I1061" s="251" t="s">
        <v>2475</v>
      </c>
      <c r="J1061" s="762"/>
      <c r="K1061" s="762"/>
      <c r="L1061" s="762"/>
      <c r="M1061" s="762"/>
      <c r="N1061" s="258"/>
      <c r="O1061" s="257"/>
      <c r="P1061" s="258"/>
      <c r="Q1061" s="257"/>
      <c r="R1061" s="258"/>
      <c r="S1061" s="257"/>
      <c r="T1061" s="257"/>
      <c r="U1061" s="257"/>
      <c r="V1061" s="258">
        <v>407</v>
      </c>
      <c r="W1061" s="257">
        <f>INT($G1061*V1061*100+0.5)/100</f>
        <v>366.3</v>
      </c>
      <c r="X1061" s="258"/>
      <c r="Y1061" s="257"/>
      <c r="Z1061" s="258"/>
      <c r="AA1061" s="257"/>
      <c r="AB1061" s="258"/>
      <c r="AC1061" s="257"/>
    </row>
    <row r="1062" spans="1:29" ht="15">
      <c r="A1062" s="250"/>
      <c r="B1062" s="251"/>
      <c r="C1062" s="754"/>
      <c r="D1062" s="326" t="s">
        <v>2624</v>
      </c>
      <c r="E1062" s="251"/>
      <c r="F1062" s="733"/>
      <c r="G1062" s="762"/>
      <c r="H1062" s="261"/>
      <c r="I1062" s="251"/>
      <c r="J1062" s="762"/>
      <c r="K1062" s="762"/>
      <c r="L1062" s="762"/>
      <c r="M1062" s="762"/>
      <c r="N1062" s="258"/>
      <c r="O1062" s="257"/>
      <c r="P1062" s="258"/>
      <c r="Q1062" s="257"/>
      <c r="R1062" s="258"/>
      <c r="S1062" s="257"/>
      <c r="T1062" s="257"/>
      <c r="U1062" s="257"/>
      <c r="V1062" s="258"/>
      <c r="W1062" s="257"/>
      <c r="X1062" s="258"/>
      <c r="Y1062" s="257"/>
      <c r="Z1062" s="258"/>
      <c r="AA1062" s="257"/>
      <c r="AB1062" s="258"/>
      <c r="AC1062" s="257"/>
    </row>
    <row r="1063" spans="1:29" ht="15">
      <c r="A1063" s="250"/>
      <c r="B1063" s="251"/>
      <c r="C1063" s="754"/>
      <c r="D1063" s="326"/>
      <c r="E1063" s="251"/>
      <c r="F1063" s="733"/>
      <c r="G1063" s="762"/>
      <c r="H1063" s="261"/>
      <c r="I1063" s="251"/>
      <c r="J1063" s="762"/>
      <c r="K1063" s="762"/>
      <c r="L1063" s="762"/>
      <c r="M1063" s="762"/>
      <c r="N1063" s="258"/>
      <c r="O1063" s="257"/>
      <c r="P1063" s="258"/>
      <c r="Q1063" s="257"/>
      <c r="R1063" s="258"/>
      <c r="S1063" s="257"/>
      <c r="T1063" s="257"/>
      <c r="U1063" s="257"/>
      <c r="V1063" s="258"/>
      <c r="W1063" s="257"/>
      <c r="X1063" s="258"/>
      <c r="Y1063" s="257"/>
      <c r="Z1063" s="258"/>
      <c r="AA1063" s="257"/>
      <c r="AB1063" s="258"/>
      <c r="AC1063" s="257"/>
    </row>
    <row r="1064" spans="1:29" ht="25.5">
      <c r="A1064" s="250">
        <f>A1061+1</f>
        <v>203</v>
      </c>
      <c r="B1064" s="251"/>
      <c r="C1064" s="754" t="s">
        <v>3506</v>
      </c>
      <c r="D1064" s="292" t="s">
        <v>2566</v>
      </c>
      <c r="E1064" s="763" t="s">
        <v>1901</v>
      </c>
      <c r="F1064" s="735">
        <f>N1064+R1064+P1064+T1064+V1064+X1064+Z1064+AB1064</f>
        <v>31</v>
      </c>
      <c r="G1064" s="762">
        <v>0.9</v>
      </c>
      <c r="H1064" s="261">
        <f>O1064+S1064+Q1064+U1064+W1064+Y1064+AA1064+AC1064</f>
        <v>27.9</v>
      </c>
      <c r="I1064" s="251" t="s">
        <v>1901</v>
      </c>
      <c r="J1064" s="762"/>
      <c r="K1064" s="762"/>
      <c r="L1064" s="762"/>
      <c r="M1064" s="762"/>
      <c r="N1064" s="258"/>
      <c r="O1064" s="257"/>
      <c r="P1064" s="258"/>
      <c r="Q1064" s="257"/>
      <c r="R1064" s="258"/>
      <c r="S1064" s="257"/>
      <c r="T1064" s="257"/>
      <c r="U1064" s="257"/>
      <c r="V1064" s="258">
        <v>31</v>
      </c>
      <c r="W1064" s="257">
        <f>INT($G1064*V1064*100+0.5)/100</f>
        <v>27.9</v>
      </c>
      <c r="X1064" s="258"/>
      <c r="Y1064" s="257"/>
      <c r="Z1064" s="258"/>
      <c r="AA1064" s="257"/>
      <c r="AB1064" s="258"/>
      <c r="AC1064" s="257"/>
    </row>
    <row r="1065" spans="1:29" ht="15">
      <c r="A1065" s="250"/>
      <c r="B1065" s="251"/>
      <c r="C1065" s="754"/>
      <c r="D1065" s="326" t="s">
        <v>2625</v>
      </c>
      <c r="E1065" s="251"/>
      <c r="F1065" s="733"/>
      <c r="G1065" s="762"/>
      <c r="H1065" s="261"/>
      <c r="I1065" s="251"/>
      <c r="J1065" s="762"/>
      <c r="K1065" s="762"/>
      <c r="L1065" s="762"/>
      <c r="M1065" s="762"/>
      <c r="N1065" s="258"/>
      <c r="O1065" s="257"/>
      <c r="P1065" s="258"/>
      <c r="Q1065" s="257"/>
      <c r="R1065" s="258"/>
      <c r="S1065" s="257"/>
      <c r="T1065" s="257"/>
      <c r="U1065" s="257"/>
      <c r="V1065" s="258"/>
      <c r="W1065" s="257"/>
      <c r="X1065" s="258"/>
      <c r="Y1065" s="257"/>
      <c r="Z1065" s="258"/>
      <c r="AA1065" s="257"/>
      <c r="AB1065" s="258"/>
      <c r="AC1065" s="257"/>
    </row>
    <row r="1066" spans="1:29" ht="15">
      <c r="A1066" s="250"/>
      <c r="B1066" s="251"/>
      <c r="C1066" s="754"/>
      <c r="D1066" s="326"/>
      <c r="E1066" s="251"/>
      <c r="F1066" s="733"/>
      <c r="G1066" s="762"/>
      <c r="H1066" s="261"/>
      <c r="I1066" s="251"/>
      <c r="J1066" s="762"/>
      <c r="K1066" s="762"/>
      <c r="L1066" s="762"/>
      <c r="M1066" s="762"/>
      <c r="N1066" s="258"/>
      <c r="O1066" s="257"/>
      <c r="P1066" s="258"/>
      <c r="Q1066" s="257"/>
      <c r="R1066" s="258"/>
      <c r="S1066" s="257"/>
      <c r="T1066" s="257"/>
      <c r="U1066" s="257"/>
      <c r="V1066" s="258"/>
      <c r="W1066" s="257"/>
      <c r="X1066" s="258"/>
      <c r="Y1066" s="257"/>
      <c r="Z1066" s="258"/>
      <c r="AA1066" s="257"/>
      <c r="AB1066" s="258"/>
      <c r="AC1066" s="257"/>
    </row>
    <row r="1067" spans="1:29" ht="15">
      <c r="A1067" s="250"/>
      <c r="B1067" s="251"/>
      <c r="C1067" s="754" t="s">
        <v>3507</v>
      </c>
      <c r="D1067" s="292" t="s">
        <v>2567</v>
      </c>
      <c r="E1067" s="763"/>
      <c r="F1067" s="733"/>
      <c r="G1067" s="762"/>
      <c r="H1067" s="261"/>
      <c r="I1067" s="251"/>
      <c r="J1067" s="762"/>
      <c r="K1067" s="762"/>
      <c r="L1067" s="762"/>
      <c r="M1067" s="762"/>
      <c r="N1067" s="258"/>
      <c r="O1067" s="257"/>
      <c r="P1067" s="258"/>
      <c r="Q1067" s="257"/>
      <c r="R1067" s="258"/>
      <c r="S1067" s="257"/>
      <c r="T1067" s="257"/>
      <c r="U1067" s="257"/>
      <c r="V1067" s="258"/>
      <c r="W1067" s="257"/>
      <c r="X1067" s="258"/>
      <c r="Y1067" s="257"/>
      <c r="Z1067" s="258"/>
      <c r="AA1067" s="257"/>
      <c r="AB1067" s="258"/>
      <c r="AC1067" s="257"/>
    </row>
    <row r="1068" spans="1:29" ht="15">
      <c r="A1068" s="250"/>
      <c r="B1068" s="251"/>
      <c r="C1068" s="754"/>
      <c r="D1068" s="326" t="s">
        <v>2626</v>
      </c>
      <c r="E1068" s="251"/>
      <c r="F1068" s="733"/>
      <c r="G1068" s="762"/>
      <c r="H1068" s="261"/>
      <c r="I1068" s="251"/>
      <c r="J1068" s="762"/>
      <c r="K1068" s="762"/>
      <c r="L1068" s="762"/>
      <c r="M1068" s="762"/>
      <c r="N1068" s="258"/>
      <c r="O1068" s="257"/>
      <c r="P1068" s="258"/>
      <c r="Q1068" s="257"/>
      <c r="R1068" s="258"/>
      <c r="S1068" s="257"/>
      <c r="T1068" s="257"/>
      <c r="U1068" s="257"/>
      <c r="V1068" s="258"/>
      <c r="W1068" s="257"/>
      <c r="X1068" s="258"/>
      <c r="Y1068" s="257"/>
      <c r="Z1068" s="258"/>
      <c r="AA1068" s="257"/>
      <c r="AB1068" s="258"/>
      <c r="AC1068" s="257"/>
    </row>
    <row r="1069" spans="1:29" ht="15">
      <c r="A1069" s="250"/>
      <c r="B1069" s="251"/>
      <c r="C1069" s="754" t="s">
        <v>3508</v>
      </c>
      <c r="D1069" s="292" t="s">
        <v>2568</v>
      </c>
      <c r="E1069" s="763"/>
      <c r="F1069" s="733"/>
      <c r="G1069" s="762"/>
      <c r="H1069" s="261"/>
      <c r="I1069" s="251"/>
      <c r="J1069" s="762"/>
      <c r="K1069" s="762"/>
      <c r="L1069" s="762"/>
      <c r="M1069" s="762"/>
      <c r="N1069" s="258"/>
      <c r="O1069" s="257"/>
      <c r="P1069" s="258"/>
      <c r="Q1069" s="257"/>
      <c r="R1069" s="258"/>
      <c r="S1069" s="257"/>
      <c r="T1069" s="257"/>
      <c r="U1069" s="257"/>
      <c r="V1069" s="258"/>
      <c r="W1069" s="257"/>
      <c r="X1069" s="258"/>
      <c r="Y1069" s="257"/>
      <c r="Z1069" s="258"/>
      <c r="AA1069" s="257"/>
      <c r="AB1069" s="258"/>
      <c r="AC1069" s="257"/>
    </row>
    <row r="1070" spans="1:29" ht="15">
      <c r="A1070" s="250"/>
      <c r="B1070" s="251"/>
      <c r="C1070" s="754"/>
      <c r="D1070" s="326" t="s">
        <v>2627</v>
      </c>
      <c r="E1070" s="251"/>
      <c r="F1070" s="733"/>
      <c r="G1070" s="762"/>
      <c r="H1070" s="261"/>
      <c r="I1070" s="251"/>
      <c r="J1070" s="762"/>
      <c r="K1070" s="762"/>
      <c r="L1070" s="762"/>
      <c r="M1070" s="762"/>
      <c r="N1070" s="258"/>
      <c r="O1070" s="257"/>
      <c r="P1070" s="258"/>
      <c r="Q1070" s="257"/>
      <c r="R1070" s="258"/>
      <c r="S1070" s="257"/>
      <c r="T1070" s="257"/>
      <c r="U1070" s="257"/>
      <c r="V1070" s="258"/>
      <c r="W1070" s="257"/>
      <c r="X1070" s="258"/>
      <c r="Y1070" s="257"/>
      <c r="Z1070" s="258"/>
      <c r="AA1070" s="257"/>
      <c r="AB1070" s="258"/>
      <c r="AC1070" s="257"/>
    </row>
    <row r="1071" spans="1:29" ht="15">
      <c r="A1071" s="250"/>
      <c r="B1071" s="251"/>
      <c r="C1071" s="754" t="s">
        <v>3509</v>
      </c>
      <c r="D1071" s="292" t="s">
        <v>2569</v>
      </c>
      <c r="E1071" s="763"/>
      <c r="F1071" s="733"/>
      <c r="G1071" s="762"/>
      <c r="H1071" s="261"/>
      <c r="I1071" s="251"/>
      <c r="J1071" s="762"/>
      <c r="K1071" s="762"/>
      <c r="L1071" s="762"/>
      <c r="M1071" s="762"/>
      <c r="N1071" s="258"/>
      <c r="O1071" s="257"/>
      <c r="P1071" s="258"/>
      <c r="Q1071" s="257"/>
      <c r="R1071" s="258"/>
      <c r="S1071" s="257"/>
      <c r="T1071" s="257"/>
      <c r="U1071" s="257"/>
      <c r="V1071" s="258"/>
      <c r="W1071" s="257"/>
      <c r="X1071" s="258"/>
      <c r="Y1071" s="257"/>
      <c r="Z1071" s="258"/>
      <c r="AA1071" s="257"/>
      <c r="AB1071" s="258"/>
      <c r="AC1071" s="257"/>
    </row>
    <row r="1072" spans="1:29" ht="15">
      <c r="A1072" s="250"/>
      <c r="B1072" s="251"/>
      <c r="C1072" s="754"/>
      <c r="D1072" s="326" t="s">
        <v>2628</v>
      </c>
      <c r="E1072" s="251"/>
      <c r="F1072" s="733"/>
      <c r="G1072" s="762"/>
      <c r="H1072" s="261"/>
      <c r="I1072" s="251"/>
      <c r="J1072" s="762"/>
      <c r="K1072" s="762"/>
      <c r="L1072" s="762"/>
      <c r="M1072" s="762"/>
      <c r="N1072" s="258"/>
      <c r="O1072" s="257"/>
      <c r="P1072" s="258"/>
      <c r="Q1072" s="257"/>
      <c r="R1072" s="258"/>
      <c r="S1072" s="257"/>
      <c r="T1072" s="257"/>
      <c r="U1072" s="257"/>
      <c r="V1072" s="258"/>
      <c r="W1072" s="257"/>
      <c r="X1072" s="258"/>
      <c r="Y1072" s="257"/>
      <c r="Z1072" s="258"/>
      <c r="AA1072" s="257"/>
      <c r="AB1072" s="258"/>
      <c r="AC1072" s="257"/>
    </row>
    <row r="1073" spans="1:29" ht="25.5">
      <c r="A1073" s="250">
        <f>A1064+1</f>
        <v>204</v>
      </c>
      <c r="B1073" s="251"/>
      <c r="C1073" s="754" t="s">
        <v>3510</v>
      </c>
      <c r="D1073" s="292" t="s">
        <v>2570</v>
      </c>
      <c r="E1073" s="763" t="s">
        <v>1901</v>
      </c>
      <c r="F1073" s="735">
        <f>N1073+R1073+P1073+T1073+V1073+X1073+Z1073+AB1073</f>
        <v>31</v>
      </c>
      <c r="G1073" s="762">
        <v>2463.84</v>
      </c>
      <c r="H1073" s="261">
        <f>O1073+S1073+Q1073+U1073+W1073+Y1073+AA1073+AC1073</f>
        <v>76379.039999999994</v>
      </c>
      <c r="I1073" s="251" t="s">
        <v>1901</v>
      </c>
      <c r="J1073" s="762"/>
      <c r="K1073" s="762"/>
      <c r="L1073" s="762"/>
      <c r="M1073" s="762"/>
      <c r="N1073" s="258"/>
      <c r="O1073" s="257"/>
      <c r="P1073" s="258"/>
      <c r="Q1073" s="257"/>
      <c r="R1073" s="258"/>
      <c r="S1073" s="257"/>
      <c r="T1073" s="257"/>
      <c r="U1073" s="257"/>
      <c r="V1073" s="258">
        <v>31</v>
      </c>
      <c r="W1073" s="257">
        <f>INT($G1073*V1073*100+0.5)/100</f>
        <v>76379.039999999994</v>
      </c>
      <c r="X1073" s="258"/>
      <c r="Y1073" s="257"/>
      <c r="Z1073" s="258"/>
      <c r="AA1073" s="257"/>
      <c r="AB1073" s="258"/>
      <c r="AC1073" s="257"/>
    </row>
    <row r="1074" spans="1:29" ht="25.5">
      <c r="A1074" s="250"/>
      <c r="B1074" s="251"/>
      <c r="C1074" s="754"/>
      <c r="D1074" s="854" t="s">
        <v>2629</v>
      </c>
      <c r="E1074" s="251"/>
      <c r="F1074" s="733"/>
      <c r="G1074" s="762"/>
      <c r="H1074" s="261"/>
      <c r="I1074" s="251"/>
      <c r="J1074" s="762"/>
      <c r="K1074" s="762"/>
      <c r="L1074" s="762"/>
      <c r="M1074" s="762"/>
      <c r="N1074" s="258"/>
      <c r="O1074" s="257"/>
      <c r="P1074" s="258"/>
      <c r="Q1074" s="257"/>
      <c r="R1074" s="258"/>
      <c r="S1074" s="257"/>
      <c r="T1074" s="257"/>
      <c r="U1074" s="257"/>
      <c r="V1074" s="258"/>
      <c r="W1074" s="257"/>
      <c r="X1074" s="258"/>
      <c r="Y1074" s="257"/>
      <c r="Z1074" s="258"/>
      <c r="AA1074" s="257"/>
      <c r="AB1074" s="258"/>
      <c r="AC1074" s="257"/>
    </row>
    <row r="1075" spans="1:29" ht="15">
      <c r="A1075" s="250"/>
      <c r="B1075" s="251"/>
      <c r="C1075" s="754"/>
      <c r="D1075" s="326"/>
      <c r="E1075" s="251"/>
      <c r="F1075" s="733"/>
      <c r="G1075" s="762"/>
      <c r="H1075" s="261"/>
      <c r="I1075" s="251"/>
      <c r="J1075" s="762"/>
      <c r="K1075" s="762"/>
      <c r="L1075" s="762"/>
      <c r="M1075" s="762"/>
      <c r="N1075" s="258"/>
      <c r="O1075" s="257"/>
      <c r="P1075" s="258"/>
      <c r="Q1075" s="257"/>
      <c r="R1075" s="258"/>
      <c r="S1075" s="257"/>
      <c r="T1075" s="257"/>
      <c r="U1075" s="257"/>
      <c r="V1075" s="258"/>
      <c r="W1075" s="257"/>
      <c r="X1075" s="258"/>
      <c r="Y1075" s="257"/>
      <c r="Z1075" s="258"/>
      <c r="AA1075" s="257"/>
      <c r="AB1075" s="258"/>
      <c r="AC1075" s="257"/>
    </row>
    <row r="1076" spans="1:29" ht="15">
      <c r="A1076" s="250"/>
      <c r="B1076" s="251"/>
      <c r="C1076" s="754" t="s">
        <v>3511</v>
      </c>
      <c r="D1076" s="292" t="s">
        <v>2571</v>
      </c>
      <c r="E1076" s="763"/>
      <c r="F1076" s="733"/>
      <c r="G1076" s="762"/>
      <c r="H1076" s="261"/>
      <c r="I1076" s="251"/>
      <c r="J1076" s="762"/>
      <c r="K1076" s="762"/>
      <c r="L1076" s="762"/>
      <c r="M1076" s="762"/>
      <c r="N1076" s="258"/>
      <c r="O1076" s="257"/>
      <c r="P1076" s="258"/>
      <c r="Q1076" s="257"/>
      <c r="R1076" s="258"/>
      <c r="S1076" s="257"/>
      <c r="T1076" s="257"/>
      <c r="U1076" s="257"/>
      <c r="V1076" s="258"/>
      <c r="W1076" s="257"/>
      <c r="X1076" s="258"/>
      <c r="Y1076" s="257"/>
      <c r="Z1076" s="258"/>
      <c r="AA1076" s="257"/>
      <c r="AB1076" s="258"/>
      <c r="AC1076" s="257"/>
    </row>
    <row r="1077" spans="1:29" ht="15">
      <c r="A1077" s="250"/>
      <c r="B1077" s="251"/>
      <c r="C1077" s="754"/>
      <c r="D1077" s="326" t="s">
        <v>2630</v>
      </c>
      <c r="E1077" s="251"/>
      <c r="F1077" s="733"/>
      <c r="G1077" s="762"/>
      <c r="H1077" s="261"/>
      <c r="I1077" s="251"/>
      <c r="J1077" s="762"/>
      <c r="K1077" s="762"/>
      <c r="L1077" s="762"/>
      <c r="M1077" s="762"/>
      <c r="N1077" s="258"/>
      <c r="O1077" s="257"/>
      <c r="P1077" s="258"/>
      <c r="Q1077" s="257"/>
      <c r="R1077" s="258"/>
      <c r="S1077" s="257"/>
      <c r="T1077" s="257"/>
      <c r="U1077" s="257"/>
      <c r="V1077" s="258"/>
      <c r="W1077" s="257"/>
      <c r="X1077" s="258"/>
      <c r="Y1077" s="257"/>
      <c r="Z1077" s="258"/>
      <c r="AA1077" s="257"/>
      <c r="AB1077" s="258"/>
      <c r="AC1077" s="257"/>
    </row>
    <row r="1078" spans="1:29" ht="15">
      <c r="A1078" s="250"/>
      <c r="B1078" s="251"/>
      <c r="C1078" s="754" t="s">
        <v>3512</v>
      </c>
      <c r="D1078" s="292" t="s">
        <v>2572</v>
      </c>
      <c r="E1078" s="763"/>
      <c r="F1078" s="733"/>
      <c r="G1078" s="762"/>
      <c r="H1078" s="261"/>
      <c r="I1078" s="251"/>
      <c r="J1078" s="762"/>
      <c r="K1078" s="762"/>
      <c r="L1078" s="762"/>
      <c r="M1078" s="762"/>
      <c r="N1078" s="258"/>
      <c r="O1078" s="257"/>
      <c r="P1078" s="258"/>
      <c r="Q1078" s="257"/>
      <c r="R1078" s="258"/>
      <c r="S1078" s="257"/>
      <c r="T1078" s="257"/>
      <c r="U1078" s="257"/>
      <c r="V1078" s="258"/>
      <c r="W1078" s="257"/>
      <c r="X1078" s="258"/>
      <c r="Y1078" s="257"/>
      <c r="Z1078" s="258"/>
      <c r="AA1078" s="257"/>
      <c r="AB1078" s="258"/>
      <c r="AC1078" s="257"/>
    </row>
    <row r="1079" spans="1:29" ht="15">
      <c r="A1079" s="250"/>
      <c r="B1079" s="251"/>
      <c r="C1079" s="754"/>
      <c r="D1079" s="326" t="s">
        <v>2631</v>
      </c>
      <c r="E1079" s="251"/>
      <c r="F1079" s="733"/>
      <c r="G1079" s="762"/>
      <c r="H1079" s="261"/>
      <c r="I1079" s="251"/>
      <c r="J1079" s="762"/>
      <c r="K1079" s="762"/>
      <c r="L1079" s="762"/>
      <c r="M1079" s="762"/>
      <c r="N1079" s="258"/>
      <c r="O1079" s="257"/>
      <c r="P1079" s="258"/>
      <c r="Q1079" s="257"/>
      <c r="R1079" s="258"/>
      <c r="S1079" s="257"/>
      <c r="T1079" s="257"/>
      <c r="U1079" s="257"/>
      <c r="V1079" s="258"/>
      <c r="W1079" s="257"/>
      <c r="X1079" s="258"/>
      <c r="Y1079" s="257"/>
      <c r="Z1079" s="258"/>
      <c r="AA1079" s="257"/>
      <c r="AB1079" s="258"/>
      <c r="AC1079" s="257"/>
    </row>
    <row r="1080" spans="1:29" ht="15">
      <c r="A1080" s="250"/>
      <c r="B1080" s="251"/>
      <c r="C1080" s="754" t="s">
        <v>3513</v>
      </c>
      <c r="D1080" s="292" t="s">
        <v>2573</v>
      </c>
      <c r="E1080" s="763"/>
      <c r="F1080" s="733"/>
      <c r="G1080" s="762"/>
      <c r="H1080" s="261"/>
      <c r="I1080" s="251"/>
      <c r="J1080" s="762"/>
      <c r="K1080" s="762"/>
      <c r="L1080" s="762"/>
      <c r="M1080" s="762"/>
      <c r="N1080" s="258"/>
      <c r="O1080" s="257"/>
      <c r="P1080" s="258"/>
      <c r="Q1080" s="257"/>
      <c r="R1080" s="258"/>
      <c r="S1080" s="257"/>
      <c r="T1080" s="257"/>
      <c r="U1080" s="257"/>
      <c r="V1080" s="258"/>
      <c r="W1080" s="257"/>
      <c r="X1080" s="258"/>
      <c r="Y1080" s="257"/>
      <c r="Z1080" s="258"/>
      <c r="AA1080" s="257"/>
      <c r="AB1080" s="258"/>
      <c r="AC1080" s="257"/>
    </row>
    <row r="1081" spans="1:29" ht="15">
      <c r="A1081" s="250"/>
      <c r="B1081" s="251"/>
      <c r="C1081" s="754"/>
      <c r="D1081" s="326" t="s">
        <v>2632</v>
      </c>
      <c r="E1081" s="251"/>
      <c r="F1081" s="733"/>
      <c r="G1081" s="762"/>
      <c r="H1081" s="261"/>
      <c r="I1081" s="251"/>
      <c r="J1081" s="762"/>
      <c r="K1081" s="762"/>
      <c r="L1081" s="762"/>
      <c r="M1081" s="762"/>
      <c r="N1081" s="258"/>
      <c r="O1081" s="257"/>
      <c r="P1081" s="258"/>
      <c r="Q1081" s="257"/>
      <c r="R1081" s="258"/>
      <c r="S1081" s="257"/>
      <c r="T1081" s="257"/>
      <c r="U1081" s="257"/>
      <c r="V1081" s="258"/>
      <c r="W1081" s="257"/>
      <c r="X1081" s="258"/>
      <c r="Y1081" s="257"/>
      <c r="Z1081" s="258"/>
      <c r="AA1081" s="257"/>
      <c r="AB1081" s="258"/>
      <c r="AC1081" s="257"/>
    </row>
    <row r="1082" spans="1:29" ht="25.5">
      <c r="A1082" s="250">
        <f>A1073+1</f>
        <v>205</v>
      </c>
      <c r="B1082" s="251"/>
      <c r="C1082" s="754" t="s">
        <v>2534</v>
      </c>
      <c r="D1082" s="292" t="s">
        <v>2574</v>
      </c>
      <c r="E1082" s="763" t="s">
        <v>2475</v>
      </c>
      <c r="F1082" s="735">
        <f>N1082+R1082+P1082+T1082+V1082+X1082+Z1082+AB1082</f>
        <v>569</v>
      </c>
      <c r="G1082" s="762">
        <v>6.64</v>
      </c>
      <c r="H1082" s="261">
        <f>O1082+S1082+Q1082+U1082+W1082+Y1082+AA1082+AC1082</f>
        <v>3778.16</v>
      </c>
      <c r="I1082" s="251" t="s">
        <v>2475</v>
      </c>
      <c r="J1082" s="762"/>
      <c r="K1082" s="762"/>
      <c r="L1082" s="762"/>
      <c r="M1082" s="762"/>
      <c r="N1082" s="258"/>
      <c r="O1082" s="257"/>
      <c r="P1082" s="258"/>
      <c r="Q1082" s="257"/>
      <c r="R1082" s="258"/>
      <c r="S1082" s="257"/>
      <c r="T1082" s="257"/>
      <c r="U1082" s="257"/>
      <c r="V1082" s="258">
        <v>569</v>
      </c>
      <c r="W1082" s="257">
        <f>INT($G1082*V1082*100+0.5)/100</f>
        <v>3778.16</v>
      </c>
      <c r="X1082" s="258"/>
      <c r="Y1082" s="257"/>
      <c r="Z1082" s="258"/>
      <c r="AA1082" s="257"/>
      <c r="AB1082" s="258"/>
      <c r="AC1082" s="257"/>
    </row>
    <row r="1083" spans="1:29" ht="15">
      <c r="A1083" s="250"/>
      <c r="B1083" s="251"/>
      <c r="C1083" s="754"/>
      <c r="D1083" s="326" t="s">
        <v>2633</v>
      </c>
      <c r="E1083" s="251"/>
      <c r="F1083" s="733"/>
      <c r="G1083" s="762"/>
      <c r="H1083" s="261"/>
      <c r="I1083" s="251"/>
      <c r="J1083" s="762"/>
      <c r="K1083" s="762"/>
      <c r="L1083" s="762"/>
      <c r="M1083" s="762"/>
      <c r="N1083" s="258"/>
      <c r="O1083" s="257"/>
      <c r="P1083" s="258"/>
      <c r="Q1083" s="257"/>
      <c r="R1083" s="258"/>
      <c r="S1083" s="257"/>
      <c r="T1083" s="257"/>
      <c r="U1083" s="257"/>
      <c r="V1083" s="258"/>
      <c r="W1083" s="257"/>
      <c r="X1083" s="258"/>
      <c r="Y1083" s="257"/>
      <c r="Z1083" s="258"/>
      <c r="AA1083" s="257"/>
      <c r="AB1083" s="258"/>
      <c r="AC1083" s="257"/>
    </row>
    <row r="1084" spans="1:29" ht="15">
      <c r="A1084" s="250"/>
      <c r="B1084" s="251"/>
      <c r="C1084" s="754"/>
      <c r="D1084" s="326"/>
      <c r="E1084" s="251"/>
      <c r="F1084" s="733"/>
      <c r="G1084" s="762"/>
      <c r="H1084" s="261"/>
      <c r="I1084" s="251"/>
      <c r="J1084" s="762"/>
      <c r="K1084" s="762"/>
      <c r="L1084" s="762"/>
      <c r="M1084" s="762"/>
      <c r="N1084" s="258"/>
      <c r="O1084" s="257"/>
      <c r="P1084" s="258"/>
      <c r="Q1084" s="257"/>
      <c r="R1084" s="258"/>
      <c r="S1084" s="257"/>
      <c r="T1084" s="257"/>
      <c r="U1084" s="257"/>
      <c r="V1084" s="258"/>
      <c r="W1084" s="257"/>
      <c r="X1084" s="258"/>
      <c r="Y1084" s="257"/>
      <c r="Z1084" s="258"/>
      <c r="AA1084" s="257"/>
      <c r="AB1084" s="258"/>
      <c r="AC1084" s="257"/>
    </row>
    <row r="1085" spans="1:29" ht="15">
      <c r="A1085" s="250"/>
      <c r="B1085" s="251"/>
      <c r="C1085" s="754" t="s">
        <v>3514</v>
      </c>
      <c r="D1085" s="292" t="s">
        <v>2575</v>
      </c>
      <c r="E1085" s="763"/>
      <c r="F1085" s="733"/>
      <c r="G1085" s="762"/>
      <c r="H1085" s="261"/>
      <c r="I1085" s="251"/>
      <c r="J1085" s="762"/>
      <c r="K1085" s="762"/>
      <c r="L1085" s="762"/>
      <c r="M1085" s="762"/>
      <c r="N1085" s="258"/>
      <c r="O1085" s="257"/>
      <c r="P1085" s="258"/>
      <c r="Q1085" s="257"/>
      <c r="R1085" s="258"/>
      <c r="S1085" s="257"/>
      <c r="T1085" s="257"/>
      <c r="U1085" s="257"/>
      <c r="V1085" s="258"/>
      <c r="W1085" s="257"/>
      <c r="X1085" s="258"/>
      <c r="Y1085" s="257"/>
      <c r="Z1085" s="258"/>
      <c r="AA1085" s="257"/>
      <c r="AB1085" s="258"/>
      <c r="AC1085" s="257"/>
    </row>
    <row r="1086" spans="1:29" ht="15">
      <c r="A1086" s="250"/>
      <c r="B1086" s="251"/>
      <c r="C1086" s="754"/>
      <c r="D1086" s="326" t="s">
        <v>2634</v>
      </c>
      <c r="E1086" s="251"/>
      <c r="F1086" s="733"/>
      <c r="G1086" s="762"/>
      <c r="H1086" s="261"/>
      <c r="I1086" s="251"/>
      <c r="J1086" s="762"/>
      <c r="K1086" s="762"/>
      <c r="L1086" s="762"/>
      <c r="M1086" s="762"/>
      <c r="N1086" s="258"/>
      <c r="O1086" s="257"/>
      <c r="P1086" s="258"/>
      <c r="Q1086" s="257"/>
      <c r="R1086" s="258"/>
      <c r="S1086" s="257"/>
      <c r="T1086" s="257"/>
      <c r="U1086" s="257"/>
      <c r="V1086" s="258"/>
      <c r="W1086" s="257"/>
      <c r="X1086" s="258"/>
      <c r="Y1086" s="257"/>
      <c r="Z1086" s="258"/>
      <c r="AA1086" s="257"/>
      <c r="AB1086" s="258"/>
      <c r="AC1086" s="257"/>
    </row>
    <row r="1087" spans="1:29" ht="25.5">
      <c r="A1087" s="250">
        <f>A1082+1</f>
        <v>206</v>
      </c>
      <c r="B1087" s="251"/>
      <c r="C1087" s="754" t="s">
        <v>2535</v>
      </c>
      <c r="D1087" s="292" t="s">
        <v>2576</v>
      </c>
      <c r="E1087" s="763" t="s">
        <v>1901</v>
      </c>
      <c r="F1087" s="735">
        <f>N1087+R1087+P1087+T1087+V1087+X1087+Z1087+AB1087</f>
        <v>3</v>
      </c>
      <c r="G1087" s="762">
        <v>78.599999999999994</v>
      </c>
      <c r="H1087" s="261">
        <f>O1087+S1087+Q1087+U1087+W1087+Y1087+AA1087+AC1087</f>
        <v>235.8</v>
      </c>
      <c r="I1087" s="251" t="s">
        <v>1901</v>
      </c>
      <c r="J1087" s="762"/>
      <c r="K1087" s="762"/>
      <c r="L1087" s="762"/>
      <c r="M1087" s="762"/>
      <c r="N1087" s="258"/>
      <c r="O1087" s="257"/>
      <c r="P1087" s="258"/>
      <c r="Q1087" s="257"/>
      <c r="R1087" s="258"/>
      <c r="S1087" s="257"/>
      <c r="T1087" s="257"/>
      <c r="U1087" s="257"/>
      <c r="V1087" s="258">
        <v>3</v>
      </c>
      <c r="W1087" s="257">
        <f>INT($G1087*V1087*100+0.5)/100</f>
        <v>235.8</v>
      </c>
      <c r="X1087" s="258"/>
      <c r="Y1087" s="257"/>
      <c r="Z1087" s="258"/>
      <c r="AA1087" s="257"/>
      <c r="AB1087" s="258"/>
      <c r="AC1087" s="257"/>
    </row>
    <row r="1088" spans="1:29" ht="15">
      <c r="A1088" s="250"/>
      <c r="B1088" s="251"/>
      <c r="C1088" s="754"/>
      <c r="D1088" s="326" t="s">
        <v>2635</v>
      </c>
      <c r="E1088" s="251"/>
      <c r="F1088" s="733"/>
      <c r="G1088" s="762"/>
      <c r="H1088" s="261"/>
      <c r="I1088" s="251"/>
      <c r="J1088" s="762"/>
      <c r="K1088" s="762"/>
      <c r="L1088" s="762"/>
      <c r="M1088" s="762"/>
      <c r="N1088" s="258"/>
      <c r="O1088" s="257"/>
      <c r="P1088" s="258"/>
      <c r="Q1088" s="257"/>
      <c r="R1088" s="258"/>
      <c r="S1088" s="257"/>
      <c r="T1088" s="257"/>
      <c r="U1088" s="257"/>
      <c r="V1088" s="258"/>
      <c r="W1088" s="257"/>
      <c r="X1088" s="258"/>
      <c r="Y1088" s="257"/>
      <c r="Z1088" s="258"/>
      <c r="AA1088" s="257"/>
      <c r="AB1088" s="258"/>
      <c r="AC1088" s="257"/>
    </row>
    <row r="1089" spans="1:29" ht="15">
      <c r="A1089" s="250"/>
      <c r="B1089" s="251"/>
      <c r="C1089" s="754"/>
      <c r="D1089" s="326"/>
      <c r="E1089" s="251"/>
      <c r="F1089" s="733"/>
      <c r="G1089" s="762"/>
      <c r="H1089" s="261"/>
      <c r="I1089" s="251"/>
      <c r="J1089" s="762"/>
      <c r="K1089" s="762"/>
      <c r="L1089" s="762"/>
      <c r="M1089" s="762"/>
      <c r="N1089" s="258"/>
      <c r="O1089" s="257"/>
      <c r="P1089" s="258"/>
      <c r="Q1089" s="257"/>
      <c r="R1089" s="258"/>
      <c r="S1089" s="257"/>
      <c r="T1089" s="257"/>
      <c r="U1089" s="257"/>
      <c r="V1089" s="258"/>
      <c r="W1089" s="257"/>
      <c r="X1089" s="258"/>
      <c r="Y1089" s="257"/>
      <c r="Z1089" s="258"/>
      <c r="AA1089" s="257"/>
      <c r="AB1089" s="258"/>
      <c r="AC1089" s="257"/>
    </row>
    <row r="1090" spans="1:29" ht="15">
      <c r="A1090" s="250"/>
      <c r="B1090" s="251"/>
      <c r="C1090" s="754" t="s">
        <v>3515</v>
      </c>
      <c r="D1090" s="292" t="s">
        <v>2577</v>
      </c>
      <c r="E1090" s="763"/>
      <c r="F1090" s="733"/>
      <c r="G1090" s="762"/>
      <c r="H1090" s="261"/>
      <c r="I1090" s="251"/>
      <c r="J1090" s="762"/>
      <c r="K1090" s="762"/>
      <c r="L1090" s="762"/>
      <c r="M1090" s="762"/>
      <c r="N1090" s="258"/>
      <c r="O1090" s="257"/>
      <c r="P1090" s="258"/>
      <c r="Q1090" s="257"/>
      <c r="R1090" s="258"/>
      <c r="S1090" s="257"/>
      <c r="T1090" s="257"/>
      <c r="U1090" s="257"/>
      <c r="V1090" s="258"/>
      <c r="W1090" s="257"/>
      <c r="X1090" s="258"/>
      <c r="Y1090" s="257"/>
      <c r="Z1090" s="258"/>
      <c r="AA1090" s="257"/>
      <c r="AB1090" s="258"/>
      <c r="AC1090" s="257"/>
    </row>
    <row r="1091" spans="1:29" ht="15">
      <c r="A1091" s="250"/>
      <c r="B1091" s="251"/>
      <c r="C1091" s="754"/>
      <c r="D1091" s="326" t="s">
        <v>2636</v>
      </c>
      <c r="E1091" s="251"/>
      <c r="F1091" s="733"/>
      <c r="G1091" s="762"/>
      <c r="H1091" s="261"/>
      <c r="I1091" s="251"/>
      <c r="J1091" s="762"/>
      <c r="K1091" s="762"/>
      <c r="L1091" s="762"/>
      <c r="M1091" s="762"/>
      <c r="N1091" s="258"/>
      <c r="O1091" s="257"/>
      <c r="P1091" s="258"/>
      <c r="Q1091" s="257"/>
      <c r="R1091" s="258"/>
      <c r="S1091" s="257"/>
      <c r="T1091" s="257"/>
      <c r="U1091" s="257"/>
      <c r="V1091" s="258"/>
      <c r="W1091" s="257"/>
      <c r="X1091" s="258"/>
      <c r="Y1091" s="257"/>
      <c r="Z1091" s="258"/>
      <c r="AA1091" s="257"/>
      <c r="AB1091" s="258"/>
      <c r="AC1091" s="257"/>
    </row>
    <row r="1092" spans="1:29" ht="15">
      <c r="A1092" s="250"/>
      <c r="B1092" s="251"/>
      <c r="C1092" s="754" t="s">
        <v>3516</v>
      </c>
      <c r="D1092" s="292" t="s">
        <v>2578</v>
      </c>
      <c r="E1092" s="763"/>
      <c r="F1092" s="733"/>
      <c r="G1092" s="762"/>
      <c r="H1092" s="261"/>
      <c r="I1092" s="251"/>
      <c r="J1092" s="762"/>
      <c r="K1092" s="762"/>
      <c r="L1092" s="762"/>
      <c r="M1092" s="762"/>
      <c r="N1092" s="258"/>
      <c r="O1092" s="257"/>
      <c r="P1092" s="258"/>
      <c r="Q1092" s="257"/>
      <c r="R1092" s="258"/>
      <c r="S1092" s="257"/>
      <c r="T1092" s="257"/>
      <c r="U1092" s="257"/>
      <c r="V1092" s="258"/>
      <c r="W1092" s="257"/>
      <c r="X1092" s="258"/>
      <c r="Y1092" s="257"/>
      <c r="Z1092" s="258"/>
      <c r="AA1092" s="257"/>
      <c r="AB1092" s="258"/>
      <c r="AC1092" s="257"/>
    </row>
    <row r="1093" spans="1:29" ht="15">
      <c r="A1093" s="250"/>
      <c r="B1093" s="251"/>
      <c r="C1093" s="754"/>
      <c r="D1093" s="326" t="s">
        <v>2637</v>
      </c>
      <c r="E1093" s="251"/>
      <c r="F1093" s="733"/>
      <c r="G1093" s="762"/>
      <c r="H1093" s="261"/>
      <c r="I1093" s="251"/>
      <c r="J1093" s="762"/>
      <c r="K1093" s="762"/>
      <c r="L1093" s="762"/>
      <c r="M1093" s="762"/>
      <c r="N1093" s="258"/>
      <c r="O1093" s="257"/>
      <c r="P1093" s="258"/>
      <c r="Q1093" s="257"/>
      <c r="R1093" s="258"/>
      <c r="S1093" s="257"/>
      <c r="T1093" s="257"/>
      <c r="U1093" s="257"/>
      <c r="V1093" s="258"/>
      <c r="W1093" s="257"/>
      <c r="X1093" s="258"/>
      <c r="Y1093" s="257"/>
      <c r="Z1093" s="258"/>
      <c r="AA1093" s="257"/>
      <c r="AB1093" s="258"/>
      <c r="AC1093" s="257"/>
    </row>
    <row r="1094" spans="1:29" ht="25.5">
      <c r="A1094" s="250">
        <f>A1087+1</f>
        <v>207</v>
      </c>
      <c r="B1094" s="251"/>
      <c r="C1094" s="754" t="s">
        <v>3517</v>
      </c>
      <c r="D1094" s="292" t="s">
        <v>2579</v>
      </c>
      <c r="E1094" s="763" t="s">
        <v>1901</v>
      </c>
      <c r="F1094" s="735">
        <f>N1094+R1094+P1094+T1094+V1094+X1094+Z1094+AB1094</f>
        <v>31</v>
      </c>
      <c r="G1094" s="762">
        <v>3.15</v>
      </c>
      <c r="H1094" s="261">
        <f>O1094+S1094+Q1094+U1094+W1094+Y1094+AA1094+AC1094</f>
        <v>97.65</v>
      </c>
      <c r="I1094" s="251" t="s">
        <v>1901</v>
      </c>
      <c r="J1094" s="762"/>
      <c r="K1094" s="762"/>
      <c r="L1094" s="762"/>
      <c r="M1094" s="762"/>
      <c r="N1094" s="258"/>
      <c r="O1094" s="257"/>
      <c r="P1094" s="258"/>
      <c r="Q1094" s="257"/>
      <c r="R1094" s="258"/>
      <c r="S1094" s="257"/>
      <c r="T1094" s="257"/>
      <c r="U1094" s="257"/>
      <c r="V1094" s="258">
        <v>31</v>
      </c>
      <c r="W1094" s="257">
        <f>INT($G1094*V1094*100+0.5)/100</f>
        <v>97.65</v>
      </c>
      <c r="X1094" s="258"/>
      <c r="Y1094" s="257"/>
      <c r="Z1094" s="258"/>
      <c r="AA1094" s="257"/>
      <c r="AB1094" s="258"/>
      <c r="AC1094" s="257"/>
    </row>
    <row r="1095" spans="1:29" ht="15">
      <c r="A1095" s="250"/>
      <c r="B1095" s="251"/>
      <c r="C1095" s="754"/>
      <c r="D1095" s="326" t="s">
        <v>2638</v>
      </c>
      <c r="E1095" s="251"/>
      <c r="F1095" s="733"/>
      <c r="G1095" s="762"/>
      <c r="H1095" s="261"/>
      <c r="I1095" s="251"/>
      <c r="J1095" s="762"/>
      <c r="K1095" s="762"/>
      <c r="L1095" s="762"/>
      <c r="M1095" s="762"/>
      <c r="N1095" s="258"/>
      <c r="O1095" s="257"/>
      <c r="P1095" s="258"/>
      <c r="Q1095" s="257"/>
      <c r="R1095" s="258"/>
      <c r="S1095" s="257"/>
      <c r="T1095" s="257"/>
      <c r="U1095" s="257"/>
      <c r="V1095" s="258"/>
      <c r="W1095" s="257"/>
      <c r="X1095" s="258"/>
      <c r="Y1095" s="257"/>
      <c r="Z1095" s="258"/>
      <c r="AA1095" s="257"/>
      <c r="AB1095" s="258"/>
      <c r="AC1095" s="257"/>
    </row>
    <row r="1096" spans="1:29" ht="15">
      <c r="A1096" s="250"/>
      <c r="B1096" s="251"/>
      <c r="C1096" s="754"/>
      <c r="D1096" s="326"/>
      <c r="E1096" s="251"/>
      <c r="F1096" s="733"/>
      <c r="G1096" s="762"/>
      <c r="H1096" s="261"/>
      <c r="I1096" s="251"/>
      <c r="J1096" s="762"/>
      <c r="K1096" s="762"/>
      <c r="L1096" s="762"/>
      <c r="M1096" s="762"/>
      <c r="N1096" s="258"/>
      <c r="O1096" s="257"/>
      <c r="P1096" s="258"/>
      <c r="Q1096" s="257"/>
      <c r="R1096" s="258"/>
      <c r="S1096" s="257"/>
      <c r="T1096" s="257"/>
      <c r="U1096" s="257"/>
      <c r="V1096" s="258"/>
      <c r="W1096" s="257"/>
      <c r="X1096" s="258"/>
      <c r="Y1096" s="257"/>
      <c r="Z1096" s="258"/>
      <c r="AA1096" s="257"/>
      <c r="AB1096" s="258"/>
      <c r="AC1096" s="257"/>
    </row>
    <row r="1097" spans="1:29" ht="25.5">
      <c r="A1097" s="250">
        <f>A1094+1</f>
        <v>208</v>
      </c>
      <c r="B1097" s="251"/>
      <c r="C1097" s="754" t="s">
        <v>3518</v>
      </c>
      <c r="D1097" s="292" t="s">
        <v>2580</v>
      </c>
      <c r="E1097" s="763" t="s">
        <v>1901</v>
      </c>
      <c r="F1097" s="735">
        <f>N1097+R1097+P1097+T1097+V1097+X1097+Z1097+AB1097</f>
        <v>17</v>
      </c>
      <c r="G1097" s="762">
        <v>3.42</v>
      </c>
      <c r="H1097" s="261">
        <f>O1097+S1097+Q1097+U1097+W1097+Y1097+AA1097+AC1097</f>
        <v>58.14</v>
      </c>
      <c r="I1097" s="251" t="s">
        <v>1901</v>
      </c>
      <c r="J1097" s="762"/>
      <c r="K1097" s="762"/>
      <c r="L1097" s="762"/>
      <c r="M1097" s="762"/>
      <c r="N1097" s="258"/>
      <c r="O1097" s="257"/>
      <c r="P1097" s="258"/>
      <c r="Q1097" s="257"/>
      <c r="R1097" s="258"/>
      <c r="S1097" s="257"/>
      <c r="T1097" s="257"/>
      <c r="U1097" s="257"/>
      <c r="V1097" s="258">
        <v>17</v>
      </c>
      <c r="W1097" s="257">
        <f>INT($G1097*V1097*100+0.5)/100</f>
        <v>58.14</v>
      </c>
      <c r="X1097" s="258"/>
      <c r="Y1097" s="257"/>
      <c r="Z1097" s="258"/>
      <c r="AA1097" s="257"/>
      <c r="AB1097" s="258"/>
      <c r="AC1097" s="257"/>
    </row>
    <row r="1098" spans="1:29" ht="15">
      <c r="A1098" s="250"/>
      <c r="B1098" s="251"/>
      <c r="C1098" s="754"/>
      <c r="D1098" s="326" t="s">
        <v>2639</v>
      </c>
      <c r="E1098" s="251"/>
      <c r="F1098" s="733"/>
      <c r="G1098" s="762"/>
      <c r="H1098" s="261"/>
      <c r="I1098" s="251"/>
      <c r="J1098" s="762"/>
      <c r="K1098" s="762"/>
      <c r="L1098" s="762"/>
      <c r="M1098" s="762"/>
      <c r="N1098" s="258"/>
      <c r="O1098" s="257"/>
      <c r="P1098" s="258"/>
      <c r="Q1098" s="257"/>
      <c r="R1098" s="258"/>
      <c r="S1098" s="257"/>
      <c r="T1098" s="257"/>
      <c r="U1098" s="257"/>
      <c r="V1098" s="258"/>
      <c r="W1098" s="257"/>
      <c r="X1098" s="258"/>
      <c r="Y1098" s="257"/>
      <c r="Z1098" s="258"/>
      <c r="AA1098" s="257"/>
      <c r="AB1098" s="258"/>
      <c r="AC1098" s="257"/>
    </row>
    <row r="1099" spans="1:29" ht="15">
      <c r="A1099" s="250"/>
      <c r="B1099" s="251"/>
      <c r="C1099" s="754"/>
      <c r="D1099" s="326"/>
      <c r="E1099" s="251"/>
      <c r="F1099" s="733"/>
      <c r="G1099" s="762"/>
      <c r="H1099" s="261"/>
      <c r="I1099" s="251"/>
      <c r="J1099" s="762"/>
      <c r="K1099" s="762"/>
      <c r="L1099" s="762"/>
      <c r="M1099" s="762"/>
      <c r="N1099" s="258"/>
      <c r="O1099" s="257"/>
      <c r="P1099" s="258"/>
      <c r="Q1099" s="257"/>
      <c r="R1099" s="258"/>
      <c r="S1099" s="257"/>
      <c r="T1099" s="257"/>
      <c r="U1099" s="257"/>
      <c r="V1099" s="258"/>
      <c r="W1099" s="257"/>
      <c r="X1099" s="258"/>
      <c r="Y1099" s="257"/>
      <c r="Z1099" s="258"/>
      <c r="AA1099" s="257"/>
      <c r="AB1099" s="258"/>
      <c r="AC1099" s="257"/>
    </row>
    <row r="1100" spans="1:29" ht="15">
      <c r="A1100" s="250"/>
      <c r="B1100" s="251"/>
      <c r="C1100" s="754" t="s">
        <v>3519</v>
      </c>
      <c r="D1100" s="292" t="s">
        <v>2581</v>
      </c>
      <c r="E1100" s="763"/>
      <c r="F1100" s="733"/>
      <c r="G1100" s="762"/>
      <c r="H1100" s="261"/>
      <c r="I1100" s="251"/>
      <c r="J1100" s="762"/>
      <c r="K1100" s="762"/>
      <c r="L1100" s="762"/>
      <c r="M1100" s="762"/>
      <c r="N1100" s="258"/>
      <c r="O1100" s="257"/>
      <c r="P1100" s="258"/>
      <c r="Q1100" s="257"/>
      <c r="R1100" s="258"/>
      <c r="S1100" s="257"/>
      <c r="T1100" s="257"/>
      <c r="U1100" s="257"/>
      <c r="V1100" s="258"/>
      <c r="W1100" s="257"/>
      <c r="X1100" s="258"/>
      <c r="Y1100" s="257"/>
      <c r="Z1100" s="258"/>
      <c r="AA1100" s="257"/>
      <c r="AB1100" s="258"/>
      <c r="AC1100" s="257"/>
    </row>
    <row r="1101" spans="1:29" ht="15">
      <c r="A1101" s="250"/>
      <c r="B1101" s="251"/>
      <c r="C1101" s="754"/>
      <c r="D1101" s="326" t="s">
        <v>2640</v>
      </c>
      <c r="E1101" s="251"/>
      <c r="F1101" s="733"/>
      <c r="G1101" s="762"/>
      <c r="H1101" s="261"/>
      <c r="I1101" s="251"/>
      <c r="J1101" s="762"/>
      <c r="K1101" s="762"/>
      <c r="L1101" s="762"/>
      <c r="M1101" s="762"/>
      <c r="N1101" s="258"/>
      <c r="O1101" s="257"/>
      <c r="P1101" s="258"/>
      <c r="Q1101" s="257"/>
      <c r="R1101" s="258"/>
      <c r="S1101" s="257"/>
      <c r="T1101" s="257"/>
      <c r="U1101" s="257"/>
      <c r="V1101" s="258"/>
      <c r="W1101" s="257"/>
      <c r="X1101" s="258"/>
      <c r="Y1101" s="257"/>
      <c r="Z1101" s="258"/>
      <c r="AA1101" s="257"/>
      <c r="AB1101" s="258"/>
      <c r="AC1101" s="257"/>
    </row>
    <row r="1102" spans="1:29" ht="15">
      <c r="A1102" s="250"/>
      <c r="B1102" s="251"/>
      <c r="C1102" s="754" t="s">
        <v>3520</v>
      </c>
      <c r="D1102" s="292" t="s">
        <v>2582</v>
      </c>
      <c r="E1102" s="763"/>
      <c r="F1102" s="733"/>
      <c r="G1102" s="762"/>
      <c r="H1102" s="261"/>
      <c r="I1102" s="251"/>
      <c r="J1102" s="762"/>
      <c r="K1102" s="762"/>
      <c r="L1102" s="762"/>
      <c r="M1102" s="762"/>
      <c r="N1102" s="258"/>
      <c r="O1102" s="257"/>
      <c r="P1102" s="258"/>
      <c r="Q1102" s="257"/>
      <c r="R1102" s="258"/>
      <c r="S1102" s="257"/>
      <c r="T1102" s="257"/>
      <c r="U1102" s="257"/>
      <c r="V1102" s="258"/>
      <c r="W1102" s="257"/>
      <c r="X1102" s="258"/>
      <c r="Y1102" s="257"/>
      <c r="Z1102" s="258"/>
      <c r="AA1102" s="257"/>
      <c r="AB1102" s="258"/>
      <c r="AC1102" s="257"/>
    </row>
    <row r="1103" spans="1:29" ht="15">
      <c r="A1103" s="250"/>
      <c r="B1103" s="251"/>
      <c r="C1103" s="754"/>
      <c r="D1103" s="326" t="s">
        <v>2641</v>
      </c>
      <c r="E1103" s="251"/>
      <c r="F1103" s="733"/>
      <c r="G1103" s="762"/>
      <c r="H1103" s="261"/>
      <c r="I1103" s="251"/>
      <c r="J1103" s="762"/>
      <c r="K1103" s="762"/>
      <c r="L1103" s="762"/>
      <c r="M1103" s="762"/>
      <c r="N1103" s="258"/>
      <c r="O1103" s="257"/>
      <c r="P1103" s="258"/>
      <c r="Q1103" s="257"/>
      <c r="R1103" s="258"/>
      <c r="S1103" s="257"/>
      <c r="T1103" s="257"/>
      <c r="U1103" s="257"/>
      <c r="V1103" s="258"/>
      <c r="W1103" s="257"/>
      <c r="X1103" s="258"/>
      <c r="Y1103" s="257"/>
      <c r="Z1103" s="258"/>
      <c r="AA1103" s="257"/>
      <c r="AB1103" s="258"/>
      <c r="AC1103" s="257"/>
    </row>
    <row r="1104" spans="1:29" ht="25.5">
      <c r="A1104" s="250">
        <f>A1097+1</f>
        <v>209</v>
      </c>
      <c r="B1104" s="251"/>
      <c r="C1104" s="754" t="s">
        <v>3521</v>
      </c>
      <c r="D1104" s="292" t="s">
        <v>2583</v>
      </c>
      <c r="E1104" s="763" t="s">
        <v>2657</v>
      </c>
      <c r="F1104" s="735">
        <f>N1104+R1104+P1104+T1104+V1104+X1104+Z1104+AB1104</f>
        <v>1</v>
      </c>
      <c r="G1104" s="762">
        <v>80</v>
      </c>
      <c r="H1104" s="261">
        <f>O1104+S1104+Q1104+U1104+W1104+Y1104+AA1104+AC1104</f>
        <v>80</v>
      </c>
      <c r="I1104" s="251" t="s">
        <v>2657</v>
      </c>
      <c r="J1104" s="762"/>
      <c r="K1104" s="762"/>
      <c r="L1104" s="762"/>
      <c r="M1104" s="762"/>
      <c r="N1104" s="258"/>
      <c r="O1104" s="257"/>
      <c r="P1104" s="258"/>
      <c r="Q1104" s="257"/>
      <c r="R1104" s="258"/>
      <c r="S1104" s="257"/>
      <c r="T1104" s="257"/>
      <c r="U1104" s="257"/>
      <c r="V1104" s="258">
        <v>1</v>
      </c>
      <c r="W1104" s="257">
        <f>INT($G1104*V1104*100+0.5)/100</f>
        <v>80</v>
      </c>
      <c r="X1104" s="258"/>
      <c r="Y1104" s="257"/>
      <c r="Z1104" s="258"/>
      <c r="AA1104" s="257"/>
      <c r="AB1104" s="258"/>
      <c r="AC1104" s="257"/>
    </row>
    <row r="1105" spans="1:29" ht="15">
      <c r="A1105" s="250"/>
      <c r="B1105" s="251"/>
      <c r="C1105" s="754"/>
      <c r="D1105" s="326" t="s">
        <v>2642</v>
      </c>
      <c r="E1105" s="251"/>
      <c r="F1105" s="733"/>
      <c r="G1105" s="762"/>
      <c r="H1105" s="261"/>
      <c r="I1105" s="251"/>
      <c r="J1105" s="762"/>
      <c r="K1105" s="762"/>
      <c r="L1105" s="762"/>
      <c r="M1105" s="762"/>
      <c r="N1105" s="258"/>
      <c r="O1105" s="257"/>
      <c r="P1105" s="258"/>
      <c r="Q1105" s="257"/>
      <c r="R1105" s="258"/>
      <c r="S1105" s="257"/>
      <c r="T1105" s="257"/>
      <c r="U1105" s="257"/>
      <c r="V1105" s="258"/>
      <c r="W1105" s="257"/>
      <c r="X1105" s="258"/>
      <c r="Y1105" s="257"/>
      <c r="Z1105" s="258"/>
      <c r="AA1105" s="257"/>
      <c r="AB1105" s="258"/>
      <c r="AC1105" s="257"/>
    </row>
    <row r="1106" spans="1:29" ht="15">
      <c r="A1106" s="250"/>
      <c r="B1106" s="251"/>
      <c r="C1106" s="754"/>
      <c r="D1106" s="326"/>
      <c r="E1106" s="251"/>
      <c r="F1106" s="733"/>
      <c r="G1106" s="762"/>
      <c r="H1106" s="261"/>
      <c r="I1106" s="251"/>
      <c r="J1106" s="762"/>
      <c r="K1106" s="762"/>
      <c r="L1106" s="762"/>
      <c r="M1106" s="762"/>
      <c r="N1106" s="258"/>
      <c r="O1106" s="257"/>
      <c r="P1106" s="258"/>
      <c r="Q1106" s="257"/>
      <c r="R1106" s="258"/>
      <c r="S1106" s="257"/>
      <c r="T1106" s="257"/>
      <c r="U1106" s="257"/>
      <c r="V1106" s="258"/>
      <c r="W1106" s="257"/>
      <c r="X1106" s="258"/>
      <c r="Y1106" s="257"/>
      <c r="Z1106" s="258"/>
      <c r="AA1106" s="257"/>
      <c r="AB1106" s="258"/>
      <c r="AC1106" s="257"/>
    </row>
    <row r="1107" spans="1:29" ht="15">
      <c r="A1107" s="250"/>
      <c r="B1107" s="251"/>
      <c r="C1107" s="754" t="s">
        <v>3522</v>
      </c>
      <c r="D1107" s="292" t="s">
        <v>2584</v>
      </c>
      <c r="E1107" s="763"/>
      <c r="F1107" s="733"/>
      <c r="G1107" s="762"/>
      <c r="H1107" s="261"/>
      <c r="I1107" s="251"/>
      <c r="J1107" s="762"/>
      <c r="K1107" s="762"/>
      <c r="L1107" s="762"/>
      <c r="M1107" s="762"/>
      <c r="N1107" s="258"/>
      <c r="O1107" s="257"/>
      <c r="P1107" s="258"/>
      <c r="Q1107" s="257"/>
      <c r="R1107" s="258"/>
      <c r="S1107" s="257"/>
      <c r="T1107" s="257"/>
      <c r="U1107" s="257"/>
      <c r="V1107" s="258"/>
      <c r="W1107" s="257"/>
      <c r="X1107" s="258"/>
      <c r="Y1107" s="257"/>
      <c r="Z1107" s="258"/>
      <c r="AA1107" s="257"/>
      <c r="AB1107" s="258"/>
      <c r="AC1107" s="257"/>
    </row>
    <row r="1108" spans="1:29" ht="15">
      <c r="A1108" s="250"/>
      <c r="B1108" s="251"/>
      <c r="C1108" s="754"/>
      <c r="D1108" s="326" t="s">
        <v>2643</v>
      </c>
      <c r="E1108" s="251"/>
      <c r="F1108" s="733"/>
      <c r="G1108" s="762"/>
      <c r="H1108" s="261"/>
      <c r="I1108" s="251"/>
      <c r="J1108" s="762"/>
      <c r="K1108" s="762"/>
      <c r="L1108" s="762"/>
      <c r="M1108" s="762"/>
      <c r="N1108" s="258"/>
      <c r="O1108" s="257"/>
      <c r="P1108" s="258"/>
      <c r="Q1108" s="257"/>
      <c r="R1108" s="258"/>
      <c r="S1108" s="257"/>
      <c r="T1108" s="257"/>
      <c r="U1108" s="257"/>
      <c r="V1108" s="258"/>
      <c r="W1108" s="257"/>
      <c r="X1108" s="258"/>
      <c r="Y1108" s="257"/>
      <c r="Z1108" s="258"/>
      <c r="AA1108" s="257"/>
      <c r="AB1108" s="258"/>
      <c r="AC1108" s="257"/>
    </row>
    <row r="1109" spans="1:29" ht="15">
      <c r="A1109" s="250"/>
      <c r="B1109" s="251"/>
      <c r="C1109" s="754" t="s">
        <v>3523</v>
      </c>
      <c r="D1109" s="292" t="s">
        <v>2585</v>
      </c>
      <c r="E1109" s="763"/>
      <c r="F1109" s="733"/>
      <c r="G1109" s="762"/>
      <c r="H1109" s="261"/>
      <c r="I1109" s="251"/>
      <c r="J1109" s="762"/>
      <c r="K1109" s="762"/>
      <c r="L1109" s="762"/>
      <c r="M1109" s="762"/>
      <c r="N1109" s="258"/>
      <c r="O1109" s="257"/>
      <c r="P1109" s="258"/>
      <c r="Q1109" s="257"/>
      <c r="R1109" s="258"/>
      <c r="S1109" s="257"/>
      <c r="T1109" s="257"/>
      <c r="U1109" s="257"/>
      <c r="V1109" s="258"/>
      <c r="W1109" s="257"/>
      <c r="X1109" s="258"/>
      <c r="Y1109" s="257"/>
      <c r="Z1109" s="258"/>
      <c r="AA1109" s="257"/>
      <c r="AB1109" s="258"/>
      <c r="AC1109" s="257"/>
    </row>
    <row r="1110" spans="1:29" ht="15">
      <c r="A1110" s="250"/>
      <c r="B1110" s="251"/>
      <c r="C1110" s="754"/>
      <c r="D1110" s="326" t="s">
        <v>2644</v>
      </c>
      <c r="E1110" s="251"/>
      <c r="F1110" s="733"/>
      <c r="G1110" s="762"/>
      <c r="H1110" s="261"/>
      <c r="I1110" s="251"/>
      <c r="J1110" s="762"/>
      <c r="K1110" s="762"/>
      <c r="L1110" s="762"/>
      <c r="M1110" s="762"/>
      <c r="N1110" s="258"/>
      <c r="O1110" s="257"/>
      <c r="P1110" s="258"/>
      <c r="Q1110" s="257"/>
      <c r="R1110" s="258"/>
      <c r="S1110" s="257"/>
      <c r="T1110" s="257"/>
      <c r="U1110" s="257"/>
      <c r="V1110" s="258"/>
      <c r="W1110" s="257"/>
      <c r="X1110" s="258"/>
      <c r="Y1110" s="257"/>
      <c r="Z1110" s="258"/>
      <c r="AA1110" s="257"/>
      <c r="AB1110" s="258"/>
      <c r="AC1110" s="257"/>
    </row>
    <row r="1111" spans="1:29" ht="15">
      <c r="A1111" s="250"/>
      <c r="B1111" s="251"/>
      <c r="C1111" s="754" t="s">
        <v>3524</v>
      </c>
      <c r="D1111" s="292" t="s">
        <v>2586</v>
      </c>
      <c r="E1111" s="763"/>
      <c r="F1111" s="733"/>
      <c r="G1111" s="762"/>
      <c r="H1111" s="261"/>
      <c r="I1111" s="251"/>
      <c r="J1111" s="762"/>
      <c r="K1111" s="762"/>
      <c r="L1111" s="762"/>
      <c r="M1111" s="762"/>
      <c r="N1111" s="258"/>
      <c r="O1111" s="257"/>
      <c r="P1111" s="258"/>
      <c r="Q1111" s="257"/>
      <c r="R1111" s="258"/>
      <c r="S1111" s="257"/>
      <c r="T1111" s="257"/>
      <c r="U1111" s="257"/>
      <c r="V1111" s="258"/>
      <c r="W1111" s="257"/>
      <c r="X1111" s="258"/>
      <c r="Y1111" s="257"/>
      <c r="Z1111" s="258"/>
      <c r="AA1111" s="257"/>
      <c r="AB1111" s="258"/>
      <c r="AC1111" s="257"/>
    </row>
    <row r="1112" spans="1:29" ht="15">
      <c r="A1112" s="250"/>
      <c r="B1112" s="251"/>
      <c r="C1112" s="754"/>
      <c r="D1112" s="326" t="s">
        <v>2645</v>
      </c>
      <c r="E1112" s="251"/>
      <c r="F1112" s="733"/>
      <c r="G1112" s="762"/>
      <c r="H1112" s="261"/>
      <c r="I1112" s="251"/>
      <c r="J1112" s="762"/>
      <c r="K1112" s="762"/>
      <c r="L1112" s="762"/>
      <c r="M1112" s="762"/>
      <c r="N1112" s="258"/>
      <c r="O1112" s="257"/>
      <c r="P1112" s="258"/>
      <c r="Q1112" s="257"/>
      <c r="R1112" s="258"/>
      <c r="S1112" s="257"/>
      <c r="T1112" s="257"/>
      <c r="U1112" s="257"/>
      <c r="V1112" s="258"/>
      <c r="W1112" s="257"/>
      <c r="X1112" s="258"/>
      <c r="Y1112" s="257"/>
      <c r="Z1112" s="258"/>
      <c r="AA1112" s="257"/>
      <c r="AB1112" s="258"/>
      <c r="AC1112" s="257"/>
    </row>
    <row r="1113" spans="1:29" ht="25.5">
      <c r="A1113" s="250">
        <f>A1104+1</f>
        <v>210</v>
      </c>
      <c r="B1113" s="251"/>
      <c r="C1113" s="754" t="s">
        <v>2536</v>
      </c>
      <c r="D1113" s="292" t="s">
        <v>2587</v>
      </c>
      <c r="E1113" s="763" t="s">
        <v>1901</v>
      </c>
      <c r="F1113" s="735">
        <f>N1113+R1113+P1113+T1113+V1113+X1113+Z1113+AB1113</f>
        <v>36</v>
      </c>
      <c r="G1113" s="762">
        <v>34.64</v>
      </c>
      <c r="H1113" s="261">
        <f>O1113+S1113+Q1113+U1113+W1113+Y1113+AA1113+AC1113</f>
        <v>1247.04</v>
      </c>
      <c r="I1113" s="251" t="s">
        <v>1901</v>
      </c>
      <c r="J1113" s="762"/>
      <c r="K1113" s="762"/>
      <c r="L1113" s="762"/>
      <c r="M1113" s="762"/>
      <c r="N1113" s="258"/>
      <c r="O1113" s="257"/>
      <c r="P1113" s="258"/>
      <c r="Q1113" s="257"/>
      <c r="R1113" s="258"/>
      <c r="S1113" s="257"/>
      <c r="T1113" s="257"/>
      <c r="U1113" s="257"/>
      <c r="V1113" s="258">
        <v>36</v>
      </c>
      <c r="W1113" s="257">
        <f>INT($G1113*V1113*100+0.5)/100</f>
        <v>1247.04</v>
      </c>
      <c r="X1113" s="258"/>
      <c r="Y1113" s="257"/>
      <c r="Z1113" s="258"/>
      <c r="AA1113" s="257"/>
      <c r="AB1113" s="258"/>
      <c r="AC1113" s="257"/>
    </row>
    <row r="1114" spans="1:29" ht="15">
      <c r="A1114" s="250"/>
      <c r="B1114" s="251"/>
      <c r="C1114" s="754"/>
      <c r="D1114" s="292"/>
      <c r="E1114" s="763"/>
      <c r="F1114" s="733"/>
      <c r="G1114" s="762"/>
      <c r="H1114" s="261"/>
      <c r="I1114" s="251"/>
      <c r="J1114" s="762"/>
      <c r="K1114" s="762"/>
      <c r="L1114" s="762"/>
      <c r="M1114" s="762"/>
      <c r="N1114" s="258"/>
      <c r="O1114" s="257"/>
      <c r="P1114" s="258"/>
      <c r="Q1114" s="257"/>
      <c r="R1114" s="258"/>
      <c r="S1114" s="257"/>
      <c r="T1114" s="257"/>
      <c r="U1114" s="257"/>
      <c r="V1114" s="258"/>
      <c r="W1114" s="257"/>
      <c r="X1114" s="258"/>
      <c r="Y1114" s="257"/>
      <c r="Z1114" s="258"/>
      <c r="AA1114" s="257"/>
      <c r="AB1114" s="258"/>
      <c r="AC1114" s="257"/>
    </row>
    <row r="1115" spans="1:29" ht="15">
      <c r="A1115" s="250"/>
      <c r="B1115" s="251"/>
      <c r="C1115" s="754"/>
      <c r="D1115" s="326" t="s">
        <v>2646</v>
      </c>
      <c r="E1115" s="251"/>
      <c r="F1115" s="733"/>
      <c r="G1115" s="762"/>
      <c r="H1115" s="261"/>
      <c r="I1115" s="251"/>
      <c r="J1115" s="762"/>
      <c r="K1115" s="762"/>
      <c r="L1115" s="762"/>
      <c r="M1115" s="762"/>
      <c r="N1115" s="258"/>
      <c r="O1115" s="257"/>
      <c r="P1115" s="258"/>
      <c r="Q1115" s="257"/>
      <c r="R1115" s="258"/>
      <c r="S1115" s="257"/>
      <c r="T1115" s="257"/>
      <c r="U1115" s="257"/>
      <c r="V1115" s="258"/>
      <c r="W1115" s="257"/>
      <c r="X1115" s="258"/>
      <c r="Y1115" s="257"/>
      <c r="Z1115" s="258"/>
      <c r="AA1115" s="257"/>
      <c r="AB1115" s="258"/>
      <c r="AC1115" s="257"/>
    </row>
    <row r="1116" spans="1:29" ht="15">
      <c r="A1116" s="250"/>
      <c r="B1116" s="251"/>
      <c r="C1116" s="754" t="s">
        <v>3525</v>
      </c>
      <c r="D1116" s="292" t="s">
        <v>2588</v>
      </c>
      <c r="E1116" s="763"/>
      <c r="F1116" s="733"/>
      <c r="G1116" s="762"/>
      <c r="H1116" s="261"/>
      <c r="I1116" s="251"/>
      <c r="J1116" s="762"/>
      <c r="K1116" s="762"/>
      <c r="L1116" s="762"/>
      <c r="M1116" s="762"/>
      <c r="N1116" s="258"/>
      <c r="O1116" s="257"/>
      <c r="P1116" s="258"/>
      <c r="Q1116" s="257"/>
      <c r="R1116" s="258"/>
      <c r="S1116" s="257"/>
      <c r="T1116" s="257"/>
      <c r="U1116" s="257"/>
      <c r="V1116" s="258"/>
      <c r="W1116" s="257"/>
      <c r="X1116" s="258"/>
      <c r="Y1116" s="257"/>
      <c r="Z1116" s="258"/>
      <c r="AA1116" s="257"/>
      <c r="AB1116" s="258"/>
      <c r="AC1116" s="257"/>
    </row>
    <row r="1117" spans="1:29" ht="15">
      <c r="A1117" s="250"/>
      <c r="B1117" s="251"/>
      <c r="C1117" s="754"/>
      <c r="D1117" s="326" t="s">
        <v>2647</v>
      </c>
      <c r="E1117" s="251"/>
      <c r="F1117" s="733"/>
      <c r="G1117" s="762"/>
      <c r="H1117" s="261"/>
      <c r="I1117" s="251"/>
      <c r="J1117" s="762"/>
      <c r="K1117" s="762"/>
      <c r="L1117" s="762"/>
      <c r="M1117" s="762"/>
      <c r="N1117" s="258"/>
      <c r="O1117" s="257"/>
      <c r="P1117" s="258"/>
      <c r="Q1117" s="257"/>
      <c r="R1117" s="258"/>
      <c r="S1117" s="257"/>
      <c r="T1117" s="257"/>
      <c r="U1117" s="257"/>
      <c r="V1117" s="258"/>
      <c r="W1117" s="257"/>
      <c r="X1117" s="258"/>
      <c r="Y1117" s="257"/>
      <c r="Z1117" s="258"/>
      <c r="AA1117" s="257"/>
      <c r="AB1117" s="258"/>
      <c r="AC1117" s="257"/>
    </row>
    <row r="1118" spans="1:29" ht="15">
      <c r="A1118" s="250"/>
      <c r="B1118" s="251"/>
      <c r="C1118" s="754" t="s">
        <v>3526</v>
      </c>
      <c r="D1118" s="292" t="s">
        <v>2589</v>
      </c>
      <c r="E1118" s="763"/>
      <c r="F1118" s="733"/>
      <c r="G1118" s="762"/>
      <c r="H1118" s="261"/>
      <c r="I1118" s="251"/>
      <c r="J1118" s="762"/>
      <c r="K1118" s="762"/>
      <c r="L1118" s="762"/>
      <c r="M1118" s="762"/>
      <c r="N1118" s="258"/>
      <c r="O1118" s="257"/>
      <c r="P1118" s="258"/>
      <c r="Q1118" s="257"/>
      <c r="R1118" s="258"/>
      <c r="S1118" s="257"/>
      <c r="T1118" s="257"/>
      <c r="U1118" s="257"/>
      <c r="V1118" s="258"/>
      <c r="W1118" s="257"/>
      <c r="X1118" s="258"/>
      <c r="Y1118" s="257"/>
      <c r="Z1118" s="258"/>
      <c r="AA1118" s="257"/>
      <c r="AB1118" s="258"/>
      <c r="AC1118" s="257"/>
    </row>
    <row r="1119" spans="1:29" ht="15">
      <c r="A1119" s="250"/>
      <c r="B1119" s="251"/>
      <c r="C1119" s="754"/>
      <c r="D1119" s="326" t="s">
        <v>2648</v>
      </c>
      <c r="E1119" s="251"/>
      <c r="F1119" s="733"/>
      <c r="G1119" s="762"/>
      <c r="H1119" s="261"/>
      <c r="I1119" s="251"/>
      <c r="J1119" s="762"/>
      <c r="K1119" s="762"/>
      <c r="L1119" s="762"/>
      <c r="M1119" s="762"/>
      <c r="N1119" s="258"/>
      <c r="O1119" s="257"/>
      <c r="P1119" s="258"/>
      <c r="Q1119" s="257"/>
      <c r="R1119" s="258"/>
      <c r="S1119" s="257"/>
      <c r="T1119" s="257"/>
      <c r="U1119" s="257"/>
      <c r="V1119" s="258"/>
      <c r="W1119" s="257"/>
      <c r="X1119" s="258"/>
      <c r="Y1119" s="257"/>
      <c r="Z1119" s="258"/>
      <c r="AA1119" s="257"/>
      <c r="AB1119" s="258"/>
      <c r="AC1119" s="257"/>
    </row>
    <row r="1120" spans="1:29" ht="25.5">
      <c r="A1120" s="250">
        <f>A1113+1</f>
        <v>211</v>
      </c>
      <c r="B1120" s="251"/>
      <c r="C1120" s="754" t="s">
        <v>2537</v>
      </c>
      <c r="D1120" s="292" t="s">
        <v>2590</v>
      </c>
      <c r="E1120" s="763" t="s">
        <v>545</v>
      </c>
      <c r="F1120" s="735">
        <f>N1120+R1120+P1120+T1120+V1120+X1120+Z1120+AB1120</f>
        <v>14</v>
      </c>
      <c r="G1120" s="762">
        <v>35.97</v>
      </c>
      <c r="H1120" s="261">
        <f>O1120+S1120+Q1120+U1120+W1120+Y1120+AA1120+AC1120</f>
        <v>503.58</v>
      </c>
      <c r="I1120" s="251" t="s">
        <v>545</v>
      </c>
      <c r="J1120" s="762"/>
      <c r="K1120" s="762"/>
      <c r="L1120" s="762"/>
      <c r="M1120" s="762"/>
      <c r="N1120" s="258"/>
      <c r="O1120" s="257"/>
      <c r="P1120" s="258"/>
      <c r="Q1120" s="257"/>
      <c r="R1120" s="258"/>
      <c r="S1120" s="257"/>
      <c r="T1120" s="257"/>
      <c r="U1120" s="257"/>
      <c r="V1120" s="258">
        <v>14</v>
      </c>
      <c r="W1120" s="257">
        <f>INT($G1120*V1120*100+0.5)/100</f>
        <v>503.58</v>
      </c>
      <c r="X1120" s="258"/>
      <c r="Y1120" s="257"/>
      <c r="Z1120" s="258"/>
      <c r="AA1120" s="257"/>
      <c r="AB1120" s="258"/>
      <c r="AC1120" s="257"/>
    </row>
    <row r="1121" spans="1:29" ht="15">
      <c r="A1121" s="250"/>
      <c r="B1121" s="251"/>
      <c r="C1121" s="754"/>
      <c r="D1121" s="326" t="s">
        <v>2649</v>
      </c>
      <c r="E1121" s="251"/>
      <c r="F1121" s="733"/>
      <c r="G1121" s="762"/>
      <c r="H1121" s="261"/>
      <c r="I1121" s="251"/>
      <c r="J1121" s="762"/>
      <c r="K1121" s="762"/>
      <c r="L1121" s="762"/>
      <c r="M1121" s="762"/>
      <c r="N1121" s="258"/>
      <c r="O1121" s="257"/>
      <c r="P1121" s="258"/>
      <c r="Q1121" s="257"/>
      <c r="R1121" s="258"/>
      <c r="S1121" s="257"/>
      <c r="T1121" s="257"/>
      <c r="U1121" s="257"/>
      <c r="V1121" s="258"/>
      <c r="W1121" s="257"/>
      <c r="X1121" s="258"/>
      <c r="Y1121" s="257"/>
      <c r="Z1121" s="258"/>
      <c r="AA1121" s="257"/>
      <c r="AB1121" s="258"/>
      <c r="AC1121" s="257"/>
    </row>
    <row r="1122" spans="1:29" ht="15">
      <c r="A1122" s="250"/>
      <c r="B1122" s="251"/>
      <c r="C1122" s="754"/>
      <c r="D1122" s="326"/>
      <c r="E1122" s="251"/>
      <c r="F1122" s="733"/>
      <c r="G1122" s="762"/>
      <c r="H1122" s="261"/>
      <c r="I1122" s="251"/>
      <c r="J1122" s="762"/>
      <c r="K1122" s="762"/>
      <c r="L1122" s="762"/>
      <c r="M1122" s="762"/>
      <c r="N1122" s="258"/>
      <c r="O1122" s="257"/>
      <c r="P1122" s="258"/>
      <c r="Q1122" s="257"/>
      <c r="R1122" s="258"/>
      <c r="S1122" s="257"/>
      <c r="T1122" s="257"/>
      <c r="U1122" s="257"/>
      <c r="V1122" s="258"/>
      <c r="W1122" s="257"/>
      <c r="X1122" s="258"/>
      <c r="Y1122" s="257"/>
      <c r="Z1122" s="258"/>
      <c r="AA1122" s="257"/>
      <c r="AB1122" s="258"/>
      <c r="AC1122" s="257"/>
    </row>
    <row r="1123" spans="1:29" ht="15">
      <c r="A1123" s="250"/>
      <c r="B1123" s="251"/>
      <c r="C1123" s="754" t="s">
        <v>3527</v>
      </c>
      <c r="D1123" s="292" t="s">
        <v>2591</v>
      </c>
      <c r="E1123" s="251"/>
      <c r="F1123" s="733"/>
      <c r="G1123" s="762"/>
      <c r="H1123" s="261"/>
      <c r="I1123" s="251"/>
      <c r="J1123" s="762"/>
      <c r="K1123" s="762"/>
      <c r="L1123" s="762"/>
      <c r="M1123" s="762"/>
      <c r="N1123" s="258"/>
      <c r="O1123" s="257"/>
      <c r="P1123" s="258"/>
      <c r="Q1123" s="257"/>
      <c r="R1123" s="258"/>
      <c r="S1123" s="257"/>
      <c r="T1123" s="257"/>
      <c r="U1123" s="257"/>
      <c r="V1123" s="258"/>
      <c r="W1123" s="257"/>
      <c r="X1123" s="258"/>
      <c r="Y1123" s="257"/>
      <c r="Z1123" s="258"/>
      <c r="AA1123" s="257"/>
      <c r="AB1123" s="258"/>
      <c r="AC1123" s="257"/>
    </row>
    <row r="1124" spans="1:29" ht="15">
      <c r="A1124" s="250"/>
      <c r="B1124" s="251"/>
      <c r="C1124" s="754"/>
      <c r="D1124" s="326" t="s">
        <v>2650</v>
      </c>
      <c r="E1124" s="251"/>
      <c r="F1124" s="733"/>
      <c r="G1124" s="762"/>
      <c r="H1124" s="261"/>
      <c r="I1124" s="251"/>
      <c r="J1124" s="762"/>
      <c r="K1124" s="762"/>
      <c r="L1124" s="762"/>
      <c r="M1124" s="762"/>
      <c r="N1124" s="258"/>
      <c r="O1124" s="257"/>
      <c r="P1124" s="258"/>
      <c r="Q1124" s="257"/>
      <c r="R1124" s="258"/>
      <c r="S1124" s="257"/>
      <c r="T1124" s="257"/>
      <c r="U1124" s="257"/>
      <c r="V1124" s="258"/>
      <c r="W1124" s="257"/>
      <c r="X1124" s="258"/>
      <c r="Y1124" s="257"/>
      <c r="Z1124" s="258"/>
      <c r="AA1124" s="257"/>
      <c r="AB1124" s="258"/>
      <c r="AC1124" s="257"/>
    </row>
    <row r="1125" spans="1:29" ht="15">
      <c r="A1125" s="250"/>
      <c r="B1125" s="251"/>
      <c r="C1125" s="754" t="s">
        <v>3528</v>
      </c>
      <c r="D1125" s="292" t="s">
        <v>2592</v>
      </c>
      <c r="E1125" s="251"/>
      <c r="F1125" s="733"/>
      <c r="G1125" s="762"/>
      <c r="H1125" s="261"/>
      <c r="I1125" s="251"/>
      <c r="J1125" s="762"/>
      <c r="K1125" s="762"/>
      <c r="L1125" s="762"/>
      <c r="M1125" s="762"/>
      <c r="N1125" s="258"/>
      <c r="O1125" s="257"/>
      <c r="P1125" s="258"/>
      <c r="Q1125" s="257"/>
      <c r="R1125" s="258"/>
      <c r="S1125" s="257"/>
      <c r="T1125" s="257"/>
      <c r="U1125" s="257"/>
      <c r="V1125" s="258"/>
      <c r="W1125" s="257"/>
      <c r="X1125" s="258"/>
      <c r="Y1125" s="257"/>
      <c r="Z1125" s="258"/>
      <c r="AA1125" s="257"/>
      <c r="AB1125" s="258"/>
      <c r="AC1125" s="257"/>
    </row>
    <row r="1126" spans="1:29" ht="15">
      <c r="A1126" s="250"/>
      <c r="B1126" s="251"/>
      <c r="C1126" s="754"/>
      <c r="D1126" s="326" t="s">
        <v>2651</v>
      </c>
      <c r="E1126" s="251"/>
      <c r="F1126" s="733"/>
      <c r="G1126" s="762"/>
      <c r="H1126" s="261"/>
      <c r="I1126" s="251"/>
      <c r="J1126" s="762"/>
      <c r="K1126" s="762"/>
      <c r="L1126" s="762"/>
      <c r="M1126" s="762"/>
      <c r="N1126" s="258"/>
      <c r="O1126" s="257"/>
      <c r="P1126" s="258"/>
      <c r="Q1126" s="257"/>
      <c r="R1126" s="258"/>
      <c r="S1126" s="257"/>
      <c r="T1126" s="257"/>
      <c r="U1126" s="257"/>
      <c r="V1126" s="258"/>
      <c r="W1126" s="257"/>
      <c r="X1126" s="258"/>
      <c r="Y1126" s="257"/>
      <c r="Z1126" s="258"/>
      <c r="AA1126" s="257"/>
      <c r="AB1126" s="258"/>
      <c r="AC1126" s="257"/>
    </row>
    <row r="1127" spans="1:29" ht="15">
      <c r="A1127" s="250"/>
      <c r="B1127" s="251"/>
      <c r="C1127" s="754" t="s">
        <v>3529</v>
      </c>
      <c r="D1127" s="292" t="s">
        <v>2593</v>
      </c>
      <c r="E1127" s="251"/>
      <c r="F1127" s="733"/>
      <c r="G1127" s="762"/>
      <c r="H1127" s="261"/>
      <c r="I1127" s="251"/>
      <c r="J1127" s="762"/>
      <c r="K1127" s="762"/>
      <c r="L1127" s="762"/>
      <c r="M1127" s="762"/>
      <c r="N1127" s="258"/>
      <c r="O1127" s="257"/>
      <c r="P1127" s="258"/>
      <c r="Q1127" s="257"/>
      <c r="R1127" s="258"/>
      <c r="S1127" s="257"/>
      <c r="T1127" s="257"/>
      <c r="U1127" s="257"/>
      <c r="V1127" s="258"/>
      <c r="W1127" s="257"/>
      <c r="X1127" s="258"/>
      <c r="Y1127" s="257"/>
      <c r="Z1127" s="258"/>
      <c r="AA1127" s="257"/>
      <c r="AB1127" s="258"/>
      <c r="AC1127" s="257"/>
    </row>
    <row r="1128" spans="1:29" ht="15">
      <c r="A1128" s="250"/>
      <c r="B1128" s="251"/>
      <c r="C1128" s="754"/>
      <c r="D1128" s="292"/>
      <c r="E1128" s="251"/>
      <c r="F1128" s="733"/>
      <c r="G1128" s="762"/>
      <c r="H1128" s="261"/>
      <c r="I1128" s="251"/>
      <c r="J1128" s="762"/>
      <c r="K1128" s="762"/>
      <c r="L1128" s="762"/>
      <c r="M1128" s="762"/>
      <c r="N1128" s="258"/>
      <c r="O1128" s="257"/>
      <c r="P1128" s="258"/>
      <c r="Q1128" s="257"/>
      <c r="R1128" s="258"/>
      <c r="S1128" s="257"/>
      <c r="T1128" s="257"/>
      <c r="U1128" s="257"/>
      <c r="V1128" s="258"/>
      <c r="W1128" s="257"/>
      <c r="X1128" s="258"/>
      <c r="Y1128" s="257"/>
      <c r="Z1128" s="258"/>
      <c r="AA1128" s="257"/>
      <c r="AB1128" s="258"/>
      <c r="AC1128" s="257"/>
    </row>
    <row r="1129" spans="1:29" ht="25.5">
      <c r="A1129" s="250">
        <f>A1120+1</f>
        <v>212</v>
      </c>
      <c r="B1129" s="251"/>
      <c r="C1129" s="754" t="s">
        <v>2538</v>
      </c>
      <c r="D1129" s="292" t="s">
        <v>2594</v>
      </c>
      <c r="E1129" s="251" t="s">
        <v>545</v>
      </c>
      <c r="F1129" s="735">
        <f>N1129+R1129+P1129+T1129+V1129+X1129+Z1129+AB1129</f>
        <v>27</v>
      </c>
      <c r="G1129" s="762">
        <v>35.97</v>
      </c>
      <c r="H1129" s="261">
        <f>O1129+S1129+Q1129+U1129+W1129+Y1129+AA1129+AC1129</f>
        <v>971.19</v>
      </c>
      <c r="I1129" s="251" t="s">
        <v>545</v>
      </c>
      <c r="J1129" s="762"/>
      <c r="K1129" s="762"/>
      <c r="L1129" s="762"/>
      <c r="M1129" s="762"/>
      <c r="N1129" s="258"/>
      <c r="O1129" s="257"/>
      <c r="P1129" s="258"/>
      <c r="Q1129" s="257"/>
      <c r="R1129" s="258"/>
      <c r="S1129" s="257"/>
      <c r="T1129" s="257"/>
      <c r="U1129" s="257"/>
      <c r="V1129" s="258">
        <v>27</v>
      </c>
      <c r="W1129" s="257">
        <f>INT($G1129*V1129*100+0.5)/100</f>
        <v>971.19</v>
      </c>
      <c r="X1129" s="258"/>
      <c r="Y1129" s="257"/>
      <c r="Z1129" s="258"/>
      <c r="AA1129" s="257"/>
      <c r="AB1129" s="258"/>
      <c r="AC1129" s="257"/>
    </row>
    <row r="1130" spans="1:29" ht="15">
      <c r="A1130" s="250"/>
      <c r="B1130" s="251"/>
      <c r="C1130" s="754"/>
      <c r="D1130" s="326" t="s">
        <v>2652</v>
      </c>
      <c r="E1130" s="251"/>
      <c r="F1130" s="733"/>
      <c r="G1130" s="762"/>
      <c r="H1130" s="261"/>
      <c r="I1130" s="251"/>
      <c r="J1130" s="762"/>
      <c r="K1130" s="762"/>
      <c r="L1130" s="762"/>
      <c r="M1130" s="762"/>
      <c r="N1130" s="258"/>
      <c r="O1130" s="257"/>
      <c r="P1130" s="258"/>
      <c r="Q1130" s="257"/>
      <c r="R1130" s="258"/>
      <c r="S1130" s="257"/>
      <c r="T1130" s="257"/>
      <c r="U1130" s="257"/>
      <c r="V1130" s="258"/>
      <c r="W1130" s="257"/>
      <c r="X1130" s="258"/>
      <c r="Y1130" s="257"/>
      <c r="Z1130" s="258"/>
      <c r="AA1130" s="257"/>
      <c r="AB1130" s="258"/>
      <c r="AC1130" s="257"/>
    </row>
    <row r="1131" spans="1:29" ht="15">
      <c r="A1131" s="250"/>
      <c r="B1131" s="251"/>
      <c r="C1131" s="754"/>
      <c r="D1131" s="326"/>
      <c r="E1131" s="251"/>
      <c r="F1131" s="733"/>
      <c r="G1131" s="762"/>
      <c r="H1131" s="261"/>
      <c r="I1131" s="251"/>
      <c r="J1131" s="762"/>
      <c r="K1131" s="762"/>
      <c r="L1131" s="762"/>
      <c r="M1131" s="762"/>
      <c r="N1131" s="258"/>
      <c r="O1131" s="257"/>
      <c r="P1131" s="258"/>
      <c r="Q1131" s="257"/>
      <c r="R1131" s="258"/>
      <c r="S1131" s="257"/>
      <c r="T1131" s="257"/>
      <c r="U1131" s="257"/>
      <c r="V1131" s="258"/>
      <c r="W1131" s="257"/>
      <c r="X1131" s="258"/>
      <c r="Y1131" s="257"/>
      <c r="Z1131" s="258"/>
      <c r="AA1131" s="257"/>
      <c r="AB1131" s="258"/>
      <c r="AC1131" s="257"/>
    </row>
    <row r="1132" spans="1:29" ht="25.5">
      <c r="A1132" s="250">
        <f>A1129+1</f>
        <v>213</v>
      </c>
      <c r="B1132" s="251"/>
      <c r="C1132" s="754" t="s">
        <v>2539</v>
      </c>
      <c r="D1132" s="292" t="s">
        <v>2595</v>
      </c>
      <c r="E1132" s="251" t="s">
        <v>545</v>
      </c>
      <c r="F1132" s="735">
        <f>N1132+R1132+P1132+T1132+V1132+X1132+Z1132+AB1132</f>
        <v>27</v>
      </c>
      <c r="G1132" s="762">
        <v>34.64</v>
      </c>
      <c r="H1132" s="261">
        <f>O1132+S1132+Q1132+U1132+W1132+Y1132+AA1132+AC1132</f>
        <v>935.28</v>
      </c>
      <c r="I1132" s="251" t="s">
        <v>545</v>
      </c>
      <c r="J1132" s="762"/>
      <c r="K1132" s="762"/>
      <c r="L1132" s="762"/>
      <c r="M1132" s="762"/>
      <c r="N1132" s="258"/>
      <c r="O1132" s="257"/>
      <c r="P1132" s="258"/>
      <c r="Q1132" s="257"/>
      <c r="R1132" s="258"/>
      <c r="S1132" s="257"/>
      <c r="T1132" s="257"/>
      <c r="U1132" s="257"/>
      <c r="V1132" s="258">
        <v>27</v>
      </c>
      <c r="W1132" s="257">
        <f>INT($G1132*V1132*100+0.5)/100</f>
        <v>935.28</v>
      </c>
      <c r="X1132" s="258"/>
      <c r="Y1132" s="257"/>
      <c r="Z1132" s="258"/>
      <c r="AA1132" s="257"/>
      <c r="AB1132" s="258"/>
      <c r="AC1132" s="257"/>
    </row>
    <row r="1133" spans="1:29" ht="15">
      <c r="A1133" s="250"/>
      <c r="B1133" s="251"/>
      <c r="C1133" s="754"/>
      <c r="D1133" s="326" t="s">
        <v>2653</v>
      </c>
      <c r="E1133" s="251"/>
      <c r="F1133" s="733"/>
      <c r="G1133" s="762"/>
      <c r="H1133" s="261"/>
      <c r="I1133" s="251"/>
      <c r="J1133" s="762"/>
      <c r="K1133" s="762"/>
      <c r="L1133" s="762"/>
      <c r="M1133" s="762"/>
      <c r="N1133" s="258"/>
      <c r="O1133" s="257"/>
      <c r="P1133" s="258"/>
      <c r="Q1133" s="257"/>
      <c r="R1133" s="258"/>
      <c r="S1133" s="257"/>
      <c r="T1133" s="257"/>
      <c r="U1133" s="257"/>
      <c r="V1133" s="258"/>
      <c r="W1133" s="257"/>
      <c r="X1133" s="258"/>
      <c r="Y1133" s="257"/>
      <c r="Z1133" s="258"/>
      <c r="AA1133" s="257"/>
      <c r="AB1133" s="258"/>
      <c r="AC1133" s="257"/>
    </row>
    <row r="1134" spans="1:29" ht="15">
      <c r="A1134" s="250"/>
      <c r="B1134" s="251"/>
      <c r="C1134" s="754"/>
      <c r="D1134" s="326"/>
      <c r="E1134" s="251"/>
      <c r="F1134" s="733"/>
      <c r="G1134" s="762"/>
      <c r="H1134" s="261"/>
      <c r="I1134" s="251"/>
      <c r="J1134" s="762"/>
      <c r="K1134" s="762"/>
      <c r="L1134" s="762"/>
      <c r="M1134" s="762"/>
      <c r="N1134" s="258"/>
      <c r="O1134" s="257"/>
      <c r="P1134" s="258"/>
      <c r="Q1134" s="257"/>
      <c r="R1134" s="258"/>
      <c r="S1134" s="257"/>
      <c r="T1134" s="257"/>
      <c r="U1134" s="257"/>
      <c r="V1134" s="258"/>
      <c r="W1134" s="257"/>
      <c r="X1134" s="258"/>
      <c r="Y1134" s="257"/>
      <c r="Z1134" s="258"/>
      <c r="AA1134" s="257"/>
      <c r="AB1134" s="258"/>
      <c r="AC1134" s="257"/>
    </row>
    <row r="1135" spans="1:29" ht="15">
      <c r="A1135" s="250"/>
      <c r="B1135" s="251"/>
      <c r="C1135" s="754" t="s">
        <v>3530</v>
      </c>
      <c r="D1135" s="292" t="s">
        <v>2596</v>
      </c>
      <c r="E1135" s="251"/>
      <c r="F1135" s="733"/>
      <c r="G1135" s="762"/>
      <c r="H1135" s="261"/>
      <c r="I1135" s="251"/>
      <c r="J1135" s="762"/>
      <c r="K1135" s="762"/>
      <c r="L1135" s="762"/>
      <c r="M1135" s="762"/>
      <c r="N1135" s="258"/>
      <c r="O1135" s="257"/>
      <c r="P1135" s="258"/>
      <c r="Q1135" s="257"/>
      <c r="R1135" s="258"/>
      <c r="S1135" s="257"/>
      <c r="T1135" s="257"/>
      <c r="U1135" s="257"/>
      <c r="V1135" s="258"/>
      <c r="W1135" s="257"/>
      <c r="X1135" s="258"/>
      <c r="Y1135" s="257"/>
      <c r="Z1135" s="258"/>
      <c r="AA1135" s="257"/>
      <c r="AB1135" s="258"/>
      <c r="AC1135" s="257"/>
    </row>
    <row r="1136" spans="1:29" ht="15">
      <c r="A1136" s="250"/>
      <c r="B1136" s="251"/>
      <c r="C1136" s="754"/>
      <c r="D1136" s="292" t="s">
        <v>2654</v>
      </c>
      <c r="E1136" s="251"/>
      <c r="F1136" s="733"/>
      <c r="G1136" s="762"/>
      <c r="H1136" s="261"/>
      <c r="I1136" s="251"/>
      <c r="J1136" s="762"/>
      <c r="K1136" s="762"/>
      <c r="L1136" s="762"/>
      <c r="M1136" s="762"/>
      <c r="N1136" s="258"/>
      <c r="O1136" s="257"/>
      <c r="P1136" s="258"/>
      <c r="Q1136" s="257"/>
      <c r="R1136" s="258"/>
      <c r="S1136" s="257"/>
      <c r="T1136" s="257"/>
      <c r="U1136" s="257"/>
      <c r="V1136" s="258"/>
      <c r="W1136" s="257"/>
      <c r="X1136" s="258"/>
      <c r="Y1136" s="257"/>
      <c r="Z1136" s="258"/>
      <c r="AA1136" s="257"/>
      <c r="AB1136" s="258"/>
      <c r="AC1136" s="257"/>
    </row>
    <row r="1137" spans="1:30" ht="15">
      <c r="A1137" s="250"/>
      <c r="B1137" s="251"/>
      <c r="C1137" s="754" t="s">
        <v>3531</v>
      </c>
      <c r="D1137" s="292" t="s">
        <v>2581</v>
      </c>
      <c r="E1137" s="251"/>
      <c r="F1137" s="733"/>
      <c r="G1137" s="762"/>
      <c r="H1137" s="261"/>
      <c r="I1137" s="251"/>
      <c r="J1137" s="762"/>
      <c r="K1137" s="762"/>
      <c r="L1137" s="762"/>
      <c r="M1137" s="762"/>
      <c r="N1137" s="258"/>
      <c r="O1137" s="257"/>
      <c r="P1137" s="258"/>
      <c r="Q1137" s="257"/>
      <c r="R1137" s="258"/>
      <c r="S1137" s="257"/>
      <c r="T1137" s="257"/>
      <c r="U1137" s="257"/>
      <c r="V1137" s="258"/>
      <c r="W1137" s="257"/>
      <c r="X1137" s="258"/>
      <c r="Y1137" s="257"/>
      <c r="Z1137" s="258"/>
      <c r="AA1137" s="257"/>
      <c r="AB1137" s="258"/>
      <c r="AC1137" s="257"/>
    </row>
    <row r="1138" spans="1:30" ht="15">
      <c r="A1138" s="250"/>
      <c r="B1138" s="251"/>
      <c r="C1138" s="754"/>
      <c r="D1138" s="292" t="s">
        <v>2640</v>
      </c>
      <c r="E1138" s="251"/>
      <c r="F1138" s="733"/>
      <c r="G1138" s="762"/>
      <c r="H1138" s="261"/>
      <c r="I1138" s="251"/>
      <c r="J1138" s="762"/>
      <c r="K1138" s="762"/>
      <c r="L1138" s="762"/>
      <c r="M1138" s="762"/>
      <c r="N1138" s="258"/>
      <c r="O1138" s="257"/>
      <c r="P1138" s="258"/>
      <c r="Q1138" s="257"/>
      <c r="R1138" s="258"/>
      <c r="S1138" s="257"/>
      <c r="T1138" s="257"/>
      <c r="U1138" s="257"/>
      <c r="V1138" s="258"/>
      <c r="W1138" s="257"/>
      <c r="X1138" s="258"/>
      <c r="Y1138" s="257"/>
      <c r="Z1138" s="258"/>
      <c r="AA1138" s="257"/>
      <c r="AB1138" s="258"/>
      <c r="AC1138" s="257"/>
    </row>
    <row r="1139" spans="1:30" ht="15">
      <c r="A1139" s="250"/>
      <c r="B1139" s="251"/>
      <c r="C1139" s="754" t="s">
        <v>3532</v>
      </c>
      <c r="D1139" s="292" t="s">
        <v>2597</v>
      </c>
      <c r="E1139" s="251"/>
      <c r="F1139" s="733"/>
      <c r="G1139" s="762"/>
      <c r="H1139" s="261"/>
      <c r="I1139" s="251"/>
      <c r="J1139" s="762"/>
      <c r="K1139" s="762"/>
      <c r="L1139" s="762"/>
      <c r="M1139" s="762"/>
      <c r="N1139" s="258"/>
      <c r="O1139" s="257"/>
      <c r="P1139" s="258"/>
      <c r="Q1139" s="257"/>
      <c r="R1139" s="258"/>
      <c r="S1139" s="257"/>
      <c r="T1139" s="257"/>
      <c r="U1139" s="257"/>
      <c r="V1139" s="258"/>
      <c r="W1139" s="257"/>
      <c r="X1139" s="258"/>
      <c r="Y1139" s="257"/>
      <c r="Z1139" s="258"/>
      <c r="AA1139" s="257"/>
      <c r="AB1139" s="258"/>
      <c r="AC1139" s="257"/>
    </row>
    <row r="1140" spans="1:30" ht="15">
      <c r="A1140" s="250"/>
      <c r="B1140" s="251"/>
      <c r="C1140" s="754"/>
      <c r="D1140" s="292" t="s">
        <v>2655</v>
      </c>
      <c r="E1140" s="251"/>
      <c r="F1140" s="733"/>
      <c r="G1140" s="762"/>
      <c r="H1140" s="261"/>
      <c r="I1140" s="251"/>
      <c r="J1140" s="762"/>
      <c r="K1140" s="762"/>
      <c r="L1140" s="762"/>
      <c r="M1140" s="762"/>
      <c r="N1140" s="258"/>
      <c r="O1140" s="257"/>
      <c r="P1140" s="258"/>
      <c r="Q1140" s="257"/>
      <c r="R1140" s="258"/>
      <c r="S1140" s="257"/>
      <c r="T1140" s="257"/>
      <c r="U1140" s="257"/>
      <c r="V1140" s="258"/>
      <c r="W1140" s="257"/>
      <c r="X1140" s="258"/>
      <c r="Y1140" s="257"/>
      <c r="Z1140" s="258"/>
      <c r="AA1140" s="257"/>
      <c r="AB1140" s="258"/>
      <c r="AC1140" s="257"/>
    </row>
    <row r="1141" spans="1:30" ht="25.5">
      <c r="A1141" s="250">
        <f>A1132+1</f>
        <v>214</v>
      </c>
      <c r="B1141" s="251"/>
      <c r="C1141" s="754" t="s">
        <v>3533</v>
      </c>
      <c r="D1141" s="292" t="s">
        <v>2598</v>
      </c>
      <c r="E1141" s="251" t="s">
        <v>2657</v>
      </c>
      <c r="F1141" s="735">
        <f>N1141+R1141+P1141+T1141+V1141+X1141+Z1141+AB1141</f>
        <v>1</v>
      </c>
      <c r="G1141" s="762">
        <v>120</v>
      </c>
      <c r="H1141" s="261">
        <f>O1141+S1141+Q1141+U1141+W1141+Y1141+AA1141+AC1141</f>
        <v>120</v>
      </c>
      <c r="I1141" s="251" t="s">
        <v>2657</v>
      </c>
      <c r="J1141" s="762"/>
      <c r="K1141" s="762"/>
      <c r="L1141" s="762"/>
      <c r="M1141" s="762"/>
      <c r="N1141" s="258"/>
      <c r="O1141" s="257"/>
      <c r="P1141" s="258"/>
      <c r="Q1141" s="257"/>
      <c r="R1141" s="258"/>
      <c r="S1141" s="257"/>
      <c r="T1141" s="257"/>
      <c r="U1141" s="257"/>
      <c r="V1141" s="258">
        <v>1</v>
      </c>
      <c r="W1141" s="257">
        <f>INT($G1141*V1141*100+0.5)/100</f>
        <v>120</v>
      </c>
      <c r="X1141" s="258"/>
      <c r="Y1141" s="257"/>
      <c r="Z1141" s="258"/>
      <c r="AA1141" s="257"/>
      <c r="AB1141" s="258"/>
      <c r="AC1141" s="257"/>
    </row>
    <row r="1142" spans="1:30" ht="15">
      <c r="A1142" s="250"/>
      <c r="B1142" s="251"/>
      <c r="C1142" s="893"/>
      <c r="D1142" s="326" t="s">
        <v>2656</v>
      </c>
      <c r="E1142" s="749"/>
      <c r="F1142" s="733"/>
      <c r="G1142" s="261"/>
      <c r="H1142" s="261"/>
      <c r="I1142" s="251"/>
      <c r="J1142" s="261"/>
      <c r="K1142" s="261"/>
      <c r="L1142" s="261"/>
      <c r="M1142" s="261"/>
      <c r="N1142" s="258"/>
      <c r="O1142" s="257"/>
      <c r="P1142" s="258"/>
      <c r="Q1142" s="257"/>
      <c r="R1142" s="258"/>
      <c r="S1142" s="257"/>
      <c r="T1142" s="257"/>
      <c r="U1142" s="257"/>
      <c r="V1142" s="258"/>
      <c r="W1142" s="257"/>
      <c r="X1142" s="258"/>
      <c r="Y1142" s="257"/>
      <c r="Z1142" s="258"/>
      <c r="AA1142" s="257"/>
      <c r="AB1142" s="258"/>
      <c r="AC1142" s="257"/>
    </row>
    <row r="1143" spans="1:30" ht="15">
      <c r="A1143" s="250"/>
      <c r="B1143" s="251"/>
      <c r="C1143" s="329"/>
      <c r="D1143" s="330"/>
      <c r="E1143" s="251"/>
      <c r="F1143" s="735"/>
      <c r="G1143" s="261"/>
      <c r="H1143" s="261"/>
      <c r="I1143" s="251"/>
      <c r="J1143" s="261"/>
      <c r="K1143" s="261"/>
      <c r="L1143" s="261"/>
      <c r="M1143" s="261"/>
      <c r="N1143" s="258"/>
      <c r="O1143" s="257"/>
      <c r="P1143" s="258"/>
      <c r="Q1143" s="257"/>
      <c r="R1143" s="258"/>
      <c r="S1143" s="257"/>
      <c r="T1143" s="257"/>
      <c r="U1143" s="257"/>
      <c r="V1143" s="258"/>
      <c r="W1143" s="257"/>
      <c r="X1143" s="258"/>
      <c r="Y1143" s="257"/>
      <c r="Z1143" s="258"/>
      <c r="AA1143" s="257"/>
      <c r="AB1143" s="258"/>
      <c r="AC1143" s="257"/>
    </row>
    <row r="1144" spans="1:30" s="303" customFormat="1" ht="45">
      <c r="A1144" s="298"/>
      <c r="B1144" s="299"/>
      <c r="C1144" s="887" t="s">
        <v>3534</v>
      </c>
      <c r="D1144" s="333" t="s">
        <v>936</v>
      </c>
      <c r="E1144" s="299"/>
      <c r="F1144" s="782"/>
      <c r="G1144" s="271"/>
      <c r="H1144" s="271">
        <f>O1144+S1144+Q1144+U1144+W1144+Y1144+AA1144+AC1144</f>
        <v>102867.68</v>
      </c>
      <c r="I1144" s="299"/>
      <c r="J1144" s="271"/>
      <c r="K1144" s="271"/>
      <c r="L1144" s="271"/>
      <c r="M1144" s="271"/>
      <c r="N1144" s="273"/>
      <c r="O1144" s="273">
        <f>SUM(O999:O1143)</f>
        <v>0</v>
      </c>
      <c r="P1144" s="273"/>
      <c r="Q1144" s="273">
        <f>SUM(Q999:Q1143)</f>
        <v>0</v>
      </c>
      <c r="R1144" s="273"/>
      <c r="S1144" s="273">
        <f>SUM(S999:S1143)</f>
        <v>0</v>
      </c>
      <c r="T1144" s="273"/>
      <c r="U1144" s="273">
        <f>SUM(U999:U1143)</f>
        <v>0</v>
      </c>
      <c r="V1144" s="273"/>
      <c r="W1144" s="273">
        <f>SUM(W999:W1143)</f>
        <v>102867.68</v>
      </c>
      <c r="X1144" s="273"/>
      <c r="Y1144" s="273">
        <f>SUM(Y999:Y1143)</f>
        <v>0</v>
      </c>
      <c r="Z1144" s="273"/>
      <c r="AA1144" s="273">
        <f>SUM(AA999:AA1143)</f>
        <v>0</v>
      </c>
      <c r="AB1144" s="273"/>
      <c r="AC1144" s="273">
        <f>SUM(AC999:AC1143)</f>
        <v>0</v>
      </c>
    </row>
    <row r="1145" spans="1:30" ht="15">
      <c r="A1145" s="250"/>
      <c r="B1145" s="251"/>
      <c r="C1145" s="329"/>
      <c r="D1145" s="330"/>
      <c r="E1145" s="251"/>
      <c r="F1145" s="735"/>
      <c r="G1145" s="261"/>
      <c r="H1145" s="737"/>
      <c r="I1145" s="251"/>
      <c r="J1145" s="261"/>
      <c r="K1145" s="261"/>
      <c r="L1145" s="261"/>
      <c r="M1145" s="261"/>
      <c r="N1145" s="258"/>
      <c r="O1145" s="494"/>
      <c r="P1145" s="258"/>
      <c r="Q1145" s="257"/>
      <c r="R1145" s="258"/>
      <c r="S1145" s="257"/>
      <c r="T1145" s="257"/>
      <c r="U1145" s="257"/>
      <c r="V1145" s="258"/>
      <c r="W1145" s="257"/>
      <c r="X1145" s="258"/>
      <c r="Y1145" s="257"/>
      <c r="Z1145" s="258"/>
      <c r="AA1145" s="257"/>
      <c r="AB1145" s="258"/>
      <c r="AC1145" s="257"/>
    </row>
    <row r="1146" spans="1:30" ht="25.5">
      <c r="A1146" s="250"/>
      <c r="B1146" s="251"/>
      <c r="C1146" s="745" t="s">
        <v>1583</v>
      </c>
      <c r="D1146" s="747" t="s">
        <v>1584</v>
      </c>
      <c r="E1146" s="251"/>
      <c r="F1146" s="735"/>
      <c r="G1146" s="261"/>
      <c r="H1146" s="261"/>
      <c r="I1146" s="251"/>
      <c r="J1146" s="261"/>
      <c r="K1146" s="261"/>
      <c r="L1146" s="261"/>
      <c r="M1146" s="261"/>
      <c r="N1146" s="258"/>
      <c r="O1146" s="257"/>
      <c r="P1146" s="258"/>
      <c r="Q1146" s="257"/>
      <c r="R1146" s="258"/>
      <c r="S1146" s="257"/>
      <c r="T1146" s="257"/>
      <c r="U1146" s="257"/>
      <c r="V1146" s="258"/>
      <c r="W1146" s="257"/>
      <c r="X1146" s="258"/>
      <c r="Y1146" s="257"/>
      <c r="Z1146" s="258"/>
      <c r="AA1146" s="257"/>
      <c r="AB1146" s="258"/>
      <c r="AC1146" s="257"/>
    </row>
    <row r="1147" spans="1:30" ht="15">
      <c r="A1147" s="250">
        <f>A1141+1</f>
        <v>215</v>
      </c>
      <c r="B1147" s="251"/>
      <c r="C1147" s="855" t="s">
        <v>1802</v>
      </c>
      <c r="D1147" s="526" t="s">
        <v>1801</v>
      </c>
      <c r="E1147" s="251" t="s">
        <v>1898</v>
      </c>
      <c r="F1147" s="735"/>
      <c r="G1147" s="261"/>
      <c r="H1147" s="261"/>
      <c r="I1147" s="251" t="s">
        <v>1898</v>
      </c>
      <c r="J1147" s="261"/>
      <c r="K1147" s="261"/>
      <c r="L1147" s="261"/>
      <c r="M1147" s="261"/>
      <c r="N1147" s="258"/>
      <c r="O1147" s="257"/>
      <c r="P1147" s="258"/>
      <c r="Q1147" s="257"/>
      <c r="R1147" s="258"/>
      <c r="S1147" s="257"/>
      <c r="T1147" s="257"/>
      <c r="U1147" s="257"/>
      <c r="V1147" s="258"/>
      <c r="W1147" s="257"/>
      <c r="X1147" s="258"/>
      <c r="Y1147" s="257"/>
      <c r="Z1147" s="258"/>
      <c r="AA1147" s="257"/>
      <c r="AB1147" s="258"/>
      <c r="AC1147" s="257"/>
    </row>
    <row r="1148" spans="1:30" ht="15">
      <c r="A1148" s="250"/>
      <c r="B1148" s="251"/>
      <c r="C1148" s="526"/>
      <c r="D1148" s="526" t="s">
        <v>1800</v>
      </c>
      <c r="E1148" s="202"/>
      <c r="F1148" s="735"/>
      <c r="G1148" s="261"/>
      <c r="H1148" s="261"/>
      <c r="I1148" s="202"/>
      <c r="J1148" s="261"/>
      <c r="K1148" s="261"/>
      <c r="L1148" s="261"/>
      <c r="M1148" s="261"/>
      <c r="N1148" s="258"/>
      <c r="O1148" s="257"/>
      <c r="P1148" s="258"/>
      <c r="Q1148" s="257"/>
      <c r="R1148" s="258"/>
      <c r="S1148" s="257"/>
      <c r="T1148" s="257"/>
      <c r="U1148" s="257"/>
      <c r="V1148" s="258"/>
      <c r="W1148" s="257"/>
      <c r="X1148" s="258"/>
      <c r="Y1148" s="257"/>
      <c r="Z1148" s="258"/>
      <c r="AA1148" s="257"/>
      <c r="AB1148" s="258"/>
      <c r="AC1148" s="257"/>
    </row>
    <row r="1149" spans="1:30" ht="15">
      <c r="A1149" s="250"/>
      <c r="B1149" s="251"/>
      <c r="C1149" s="526"/>
      <c r="D1149" s="292" t="s">
        <v>1904</v>
      </c>
      <c r="E1149" s="251"/>
      <c r="F1149" s="735">
        <f>N1149+R1149+P1149+T1149+V1149+X1149+Z1149+AB1149</f>
        <v>100</v>
      </c>
      <c r="G1149" s="873">
        <v>1.43</v>
      </c>
      <c r="H1149" s="261">
        <f>O1149+S1149+Q1149+U1149+W1149+Y1149+AA1149+AC1149</f>
        <v>143</v>
      </c>
      <c r="I1149" s="251"/>
      <c r="J1149" s="873"/>
      <c r="K1149" s="873"/>
      <c r="L1149" s="873"/>
      <c r="M1149" s="873"/>
      <c r="N1149" s="258">
        <v>0</v>
      </c>
      <c r="O1149" s="257">
        <f>INT($G1149*N1149*100+0.5)/100</f>
        <v>0</v>
      </c>
      <c r="P1149" s="258">
        <v>0</v>
      </c>
      <c r="Q1149" s="257">
        <f>INT($G1149*P1149*100+0.5)/100</f>
        <v>0</v>
      </c>
      <c r="R1149" s="258">
        <v>0</v>
      </c>
      <c r="S1149" s="257">
        <f>INT($G1149*R1149*100+0.5)/100</f>
        <v>0</v>
      </c>
      <c r="T1149" s="257"/>
      <c r="U1149" s="257"/>
      <c r="V1149" s="258">
        <v>0</v>
      </c>
      <c r="W1149" s="257">
        <f>INT($G1149*V1149*100+0.5)/100</f>
        <v>0</v>
      </c>
      <c r="X1149" s="258">
        <v>100</v>
      </c>
      <c r="Y1149" s="257">
        <f>INT($G1149*X1149*100+0.5)/100</f>
        <v>143</v>
      </c>
      <c r="Z1149" s="258">
        <v>0</v>
      </c>
      <c r="AA1149" s="257">
        <f>INT($G1149*Z1149*100+0.5)/100</f>
        <v>0</v>
      </c>
      <c r="AB1149" s="258">
        <v>0</v>
      </c>
      <c r="AC1149" s="257">
        <f>INT($G1149*AB1149*100+0.5)/100</f>
        <v>0</v>
      </c>
    </row>
    <row r="1150" spans="1:30" ht="15">
      <c r="A1150" s="250"/>
      <c r="B1150" s="251"/>
      <c r="C1150" s="526"/>
      <c r="D1150" s="292"/>
      <c r="E1150" s="251"/>
      <c r="F1150" s="735"/>
      <c r="G1150" s="261"/>
      <c r="H1150" s="261"/>
      <c r="I1150" s="251"/>
      <c r="J1150" s="261"/>
      <c r="K1150" s="261"/>
      <c r="L1150" s="261"/>
      <c r="M1150" s="261"/>
      <c r="N1150" s="258"/>
      <c r="O1150" s="257"/>
      <c r="P1150" s="258"/>
      <c r="Q1150" s="257"/>
      <c r="R1150" s="258"/>
      <c r="S1150" s="257"/>
      <c r="T1150" s="257"/>
      <c r="U1150" s="257"/>
      <c r="V1150" s="258"/>
      <c r="W1150" s="257"/>
      <c r="X1150" s="258"/>
      <c r="Y1150" s="257"/>
      <c r="Z1150" s="258"/>
      <c r="AA1150" s="257"/>
      <c r="AB1150" s="258"/>
      <c r="AC1150" s="257"/>
    </row>
    <row r="1151" spans="1:30" s="303" customFormat="1" ht="30">
      <c r="A1151" s="298"/>
      <c r="B1151" s="299"/>
      <c r="C1151" s="266" t="s">
        <v>1583</v>
      </c>
      <c r="D1151" s="333" t="s">
        <v>1584</v>
      </c>
      <c r="E1151" s="299"/>
      <c r="F1151" s="782"/>
      <c r="G1151" s="273"/>
      <c r="H1151" s="271">
        <f>O1151+S1151+Q1151+U1151+W1151+Y1151+AA1151+AC1151</f>
        <v>143</v>
      </c>
      <c r="I1151" s="699"/>
      <c r="J1151" s="273"/>
      <c r="K1151" s="273"/>
      <c r="L1151" s="273"/>
      <c r="M1151" s="273"/>
      <c r="N1151" s="273"/>
      <c r="O1151" s="273">
        <f>SUM(O1147:O1150)</f>
        <v>0</v>
      </c>
      <c r="P1151" s="273"/>
      <c r="Q1151" s="273">
        <f>SUM(Q1147:Q1150)</f>
        <v>0</v>
      </c>
      <c r="R1151" s="273"/>
      <c r="S1151" s="273">
        <f>SUM(S1147:S1150)</f>
        <v>0</v>
      </c>
      <c r="T1151" s="273"/>
      <c r="U1151" s="273">
        <f>SUM(U1147:U1150)</f>
        <v>0</v>
      </c>
      <c r="V1151" s="273"/>
      <c r="W1151" s="273">
        <f>SUM(W1147:W1150)</f>
        <v>0</v>
      </c>
      <c r="X1151" s="273"/>
      <c r="Y1151" s="273">
        <f>SUM(Y1147:Y1150)</f>
        <v>143</v>
      </c>
      <c r="Z1151" s="273"/>
      <c r="AA1151" s="273">
        <f>SUM(AA1147:AA1150)</f>
        <v>0</v>
      </c>
      <c r="AB1151" s="273"/>
      <c r="AC1151" s="273">
        <f>SUM(AC1147:AC1150)</f>
        <v>0</v>
      </c>
    </row>
    <row r="1152" spans="1:30" ht="15">
      <c r="A1152" s="250"/>
      <c r="B1152" s="251"/>
      <c r="C1152" s="526"/>
      <c r="D1152" s="292"/>
      <c r="E1152" s="758"/>
      <c r="F1152" s="735"/>
      <c r="G1152" s="292"/>
      <c r="H1152" s="792"/>
      <c r="I1152" s="292"/>
      <c r="J1152" s="292"/>
      <c r="K1152" s="292"/>
      <c r="L1152" s="292"/>
      <c r="M1152" s="292"/>
      <c r="N1152" s="791"/>
      <c r="O1152" s="292"/>
      <c r="P1152" s="292"/>
      <c r="Q1152" s="292"/>
      <c r="R1152" s="292"/>
      <c r="S1152" s="292"/>
      <c r="T1152" s="791"/>
      <c r="U1152" s="791"/>
      <c r="V1152" s="292"/>
      <c r="W1152" s="292"/>
      <c r="X1152" s="292"/>
      <c r="Y1152" s="292"/>
      <c r="Z1152" s="292"/>
      <c r="AA1152" s="292"/>
      <c r="AB1152" s="292"/>
      <c r="AC1152" s="292"/>
      <c r="AD1152" s="292"/>
    </row>
    <row r="1153" spans="1:29" s="788" customFormat="1" ht="15">
      <c r="C1153" s="888" t="s">
        <v>2884</v>
      </c>
      <c r="D1153" s="789" t="s">
        <v>2885</v>
      </c>
      <c r="E1153" s="795"/>
      <c r="F1153" s="735"/>
      <c r="G1153" s="846"/>
      <c r="H1153" s="844"/>
      <c r="I1153" s="845"/>
      <c r="J1153" s="846"/>
      <c r="K1153" s="846"/>
      <c r="L1153" s="846"/>
      <c r="M1153" s="846"/>
      <c r="N1153" s="847"/>
      <c r="O1153" s="848"/>
      <c r="P1153" s="848"/>
      <c r="Q1153" s="848"/>
      <c r="R1153" s="848"/>
      <c r="S1153" s="848"/>
      <c r="T1153" s="847"/>
      <c r="U1153" s="847"/>
      <c r="V1153" s="848"/>
      <c r="W1153" s="848"/>
      <c r="X1153" s="848"/>
      <c r="Y1153" s="848"/>
      <c r="Z1153" s="848"/>
      <c r="AA1153" s="848"/>
      <c r="AB1153" s="848"/>
      <c r="AC1153" s="848"/>
    </row>
    <row r="1154" spans="1:29" s="788" customFormat="1" ht="15">
      <c r="C1154" s="889"/>
      <c r="D1154" s="790" t="s">
        <v>2886</v>
      </c>
      <c r="E1154" s="796"/>
      <c r="F1154" s="735"/>
      <c r="G1154" s="846"/>
      <c r="H1154" s="844"/>
      <c r="I1154" s="845"/>
      <c r="J1154" s="846"/>
      <c r="K1154" s="846"/>
      <c r="L1154" s="846"/>
      <c r="M1154" s="846"/>
      <c r="N1154" s="847"/>
      <c r="O1154" s="848"/>
      <c r="P1154" s="848"/>
      <c r="Q1154" s="848"/>
      <c r="R1154" s="848"/>
      <c r="S1154" s="848"/>
      <c r="T1154" s="847"/>
      <c r="U1154" s="847"/>
      <c r="V1154" s="848"/>
      <c r="W1154" s="848"/>
      <c r="X1154" s="848"/>
      <c r="Y1154" s="848"/>
      <c r="Z1154" s="848"/>
      <c r="AA1154" s="848"/>
      <c r="AB1154" s="848"/>
      <c r="AC1154" s="848"/>
    </row>
    <row r="1155" spans="1:29" s="788" customFormat="1" ht="15">
      <c r="C1155" s="453"/>
      <c r="D1155" s="768"/>
      <c r="E1155" s="796"/>
      <c r="F1155" s="735"/>
      <c r="G1155" s="895"/>
      <c r="H1155" s="844"/>
      <c r="I1155" s="845"/>
      <c r="J1155" s="895"/>
      <c r="K1155" s="895"/>
      <c r="L1155" s="895"/>
      <c r="M1155" s="895"/>
      <c r="N1155" s="847"/>
      <c r="O1155" s="848"/>
      <c r="P1155" s="848"/>
      <c r="Q1155" s="848"/>
      <c r="R1155" s="848"/>
      <c r="S1155" s="848"/>
      <c r="T1155" s="847"/>
      <c r="U1155" s="847"/>
      <c r="V1155" s="848"/>
      <c r="W1155" s="848"/>
      <c r="X1155" s="848"/>
      <c r="Y1155" s="848"/>
      <c r="Z1155" s="848"/>
      <c r="AA1155" s="848"/>
      <c r="AB1155" s="848"/>
      <c r="AC1155" s="848"/>
    </row>
    <row r="1156" spans="1:29" s="788" customFormat="1" ht="15">
      <c r="A1156" s="250"/>
      <c r="C1156" s="894" t="s">
        <v>2887</v>
      </c>
      <c r="D1156" s="829" t="s">
        <v>2888</v>
      </c>
      <c r="E1156" s="795"/>
      <c r="F1156" s="735"/>
      <c r="G1156" s="895"/>
      <c r="H1156" s="844"/>
      <c r="I1156" s="845"/>
      <c r="J1156" s="895"/>
      <c r="K1156" s="895"/>
      <c r="L1156" s="895"/>
      <c r="M1156" s="895"/>
      <c r="N1156" s="847"/>
      <c r="O1156" s="848"/>
      <c r="P1156" s="848"/>
      <c r="Q1156" s="848"/>
      <c r="R1156" s="848"/>
      <c r="S1156" s="848"/>
      <c r="T1156" s="847"/>
      <c r="U1156" s="847"/>
      <c r="V1156" s="848"/>
      <c r="W1156" s="848"/>
      <c r="X1156" s="848"/>
      <c r="Y1156" s="848"/>
      <c r="Z1156" s="848"/>
      <c r="AA1156" s="848"/>
      <c r="AB1156" s="848"/>
      <c r="AC1156" s="848"/>
    </row>
    <row r="1157" spans="1:29" s="788" customFormat="1" ht="15">
      <c r="A1157" s="250"/>
      <c r="C1157" s="894"/>
      <c r="D1157" s="829" t="s">
        <v>2889</v>
      </c>
      <c r="E1157" s="796"/>
      <c r="F1157" s="735"/>
      <c r="G1157" s="895"/>
      <c r="H1157" s="844"/>
      <c r="I1157" s="845"/>
      <c r="J1157" s="895"/>
      <c r="K1157" s="895"/>
      <c r="L1157" s="895"/>
      <c r="M1157" s="895"/>
      <c r="N1157" s="847"/>
      <c r="O1157" s="848"/>
      <c r="P1157" s="848"/>
      <c r="Q1157" s="848"/>
      <c r="R1157" s="848"/>
      <c r="S1157" s="848"/>
      <c r="T1157" s="847"/>
      <c r="U1157" s="847"/>
      <c r="V1157" s="848"/>
      <c r="W1157" s="848"/>
      <c r="X1157" s="848"/>
      <c r="Y1157" s="848"/>
      <c r="Z1157" s="848"/>
      <c r="AA1157" s="848"/>
      <c r="AB1157" s="848"/>
      <c r="AC1157" s="848"/>
    </row>
    <row r="1158" spans="1:29" s="788" customFormat="1" ht="25.5">
      <c r="A1158" s="250"/>
      <c r="C1158" s="894" t="s">
        <v>2890</v>
      </c>
      <c r="D1158" s="829" t="s">
        <v>2891</v>
      </c>
      <c r="E1158" s="795"/>
      <c r="F1158" s="735"/>
      <c r="G1158" s="895"/>
      <c r="H1158" s="844"/>
      <c r="I1158" s="845"/>
      <c r="J1158" s="895"/>
      <c r="K1158" s="895"/>
      <c r="L1158" s="895"/>
      <c r="M1158" s="895"/>
      <c r="N1158" s="847"/>
      <c r="O1158" s="848"/>
      <c r="P1158" s="848"/>
      <c r="Q1158" s="848"/>
      <c r="R1158" s="848"/>
      <c r="S1158" s="848"/>
      <c r="T1158" s="847"/>
      <c r="U1158" s="847"/>
      <c r="V1158" s="848"/>
      <c r="W1158" s="848"/>
      <c r="X1158" s="848"/>
      <c r="Y1158" s="848"/>
      <c r="Z1158" s="848"/>
      <c r="AA1158" s="848"/>
      <c r="AB1158" s="848"/>
      <c r="AC1158" s="848"/>
    </row>
    <row r="1159" spans="1:29" s="788" customFormat="1" ht="25.5">
      <c r="A1159" s="250"/>
      <c r="C1159" s="894"/>
      <c r="D1159" s="829" t="s">
        <v>2892</v>
      </c>
      <c r="E1159" s="795"/>
      <c r="F1159" s="735"/>
      <c r="G1159" s="895"/>
      <c r="H1159" s="844"/>
      <c r="I1159" s="845"/>
      <c r="J1159" s="895"/>
      <c r="K1159" s="895"/>
      <c r="L1159" s="895"/>
      <c r="M1159" s="895"/>
      <c r="N1159" s="847"/>
      <c r="O1159" s="848"/>
      <c r="P1159" s="848"/>
      <c r="Q1159" s="848"/>
      <c r="R1159" s="848"/>
      <c r="S1159" s="848"/>
      <c r="T1159" s="847"/>
      <c r="U1159" s="847"/>
      <c r="V1159" s="848"/>
      <c r="W1159" s="848"/>
      <c r="X1159" s="848"/>
      <c r="Y1159" s="848"/>
      <c r="Z1159" s="848"/>
      <c r="AA1159" s="848"/>
      <c r="AB1159" s="848"/>
      <c r="AC1159" s="848"/>
    </row>
    <row r="1160" spans="1:29" s="788" customFormat="1" ht="15">
      <c r="A1160" s="250">
        <f>A1147+1</f>
        <v>216</v>
      </c>
      <c r="C1160" s="894" t="s">
        <v>2893</v>
      </c>
      <c r="D1160" s="829" t="s">
        <v>2894</v>
      </c>
      <c r="E1160" s="795" t="s">
        <v>2657</v>
      </c>
      <c r="F1160" s="735">
        <f>N1160+R1160+P1160+T1160+V1160+X1160+Z1160+AB1160</f>
        <v>1</v>
      </c>
      <c r="G1160" s="895">
        <v>205.13</v>
      </c>
      <c r="H1160" s="261">
        <f>O1160+S1160+Q1160+U1160+W1160+Y1160+AA1160+AC1160</f>
        <v>205.13</v>
      </c>
      <c r="I1160" s="845" t="s">
        <v>2657</v>
      </c>
      <c r="J1160" s="895"/>
      <c r="K1160" s="895"/>
      <c r="L1160" s="895"/>
      <c r="M1160" s="895"/>
      <c r="N1160" s="847"/>
      <c r="O1160" s="848"/>
      <c r="P1160" s="848"/>
      <c r="Q1160" s="848"/>
      <c r="R1160" s="848"/>
      <c r="S1160" s="848"/>
      <c r="T1160" s="258">
        <v>1</v>
      </c>
      <c r="U1160" s="257">
        <f>INT($G1160*T1160*100+0.5)/100</f>
        <v>205.13</v>
      </c>
      <c r="V1160" s="848"/>
      <c r="W1160" s="848"/>
      <c r="X1160" s="848"/>
      <c r="Y1160" s="848"/>
      <c r="Z1160" s="848"/>
      <c r="AA1160" s="848"/>
      <c r="AB1160" s="848"/>
      <c r="AC1160" s="848"/>
    </row>
    <row r="1161" spans="1:29" s="788" customFormat="1" ht="15">
      <c r="A1161" s="250"/>
      <c r="C1161" s="894"/>
      <c r="D1161" s="829" t="s">
        <v>2895</v>
      </c>
      <c r="E1161" s="795"/>
      <c r="F1161" s="735"/>
      <c r="G1161" s="895"/>
      <c r="H1161" s="844"/>
      <c r="I1161" s="845"/>
      <c r="J1161" s="895"/>
      <c r="K1161" s="895"/>
      <c r="L1161" s="895"/>
      <c r="M1161" s="895"/>
      <c r="N1161" s="847"/>
      <c r="O1161" s="848"/>
      <c r="P1161" s="848"/>
      <c r="Q1161" s="848"/>
      <c r="R1161" s="848"/>
      <c r="S1161" s="848"/>
      <c r="T1161" s="847"/>
      <c r="U1161" s="847"/>
      <c r="V1161" s="848"/>
      <c r="W1161" s="848"/>
      <c r="X1161" s="848"/>
      <c r="Y1161" s="848"/>
      <c r="Z1161" s="848"/>
      <c r="AA1161" s="848"/>
      <c r="AB1161" s="848"/>
      <c r="AC1161" s="848"/>
    </row>
    <row r="1162" spans="1:29" s="788" customFormat="1" ht="15">
      <c r="A1162" s="250"/>
      <c r="C1162" s="894"/>
      <c r="D1162" s="829"/>
      <c r="E1162" s="795"/>
      <c r="F1162" s="735"/>
      <c r="G1162" s="895"/>
      <c r="H1162" s="844"/>
      <c r="I1162" s="845"/>
      <c r="J1162" s="895"/>
      <c r="K1162" s="895"/>
      <c r="L1162" s="895"/>
      <c r="M1162" s="895"/>
      <c r="N1162" s="847"/>
      <c r="O1162" s="848"/>
      <c r="P1162" s="848"/>
      <c r="Q1162" s="848"/>
      <c r="R1162" s="848"/>
      <c r="S1162" s="848"/>
      <c r="T1162" s="847"/>
      <c r="U1162" s="847"/>
      <c r="V1162" s="848"/>
      <c r="W1162" s="848"/>
      <c r="X1162" s="848"/>
      <c r="Y1162" s="848"/>
      <c r="Z1162" s="848"/>
      <c r="AA1162" s="848"/>
      <c r="AB1162" s="848"/>
      <c r="AC1162" s="848"/>
    </row>
    <row r="1163" spans="1:29" s="788" customFormat="1" ht="25.5">
      <c r="A1163" s="250"/>
      <c r="C1163" s="894" t="s">
        <v>2896</v>
      </c>
      <c r="D1163" s="829" t="s">
        <v>2897</v>
      </c>
      <c r="E1163" s="795"/>
      <c r="F1163" s="735"/>
      <c r="G1163" s="895"/>
      <c r="H1163" s="844"/>
      <c r="I1163" s="845"/>
      <c r="J1163" s="895"/>
      <c r="K1163" s="895"/>
      <c r="L1163" s="895"/>
      <c r="M1163" s="895"/>
      <c r="N1163" s="847"/>
      <c r="O1163" s="848"/>
      <c r="P1163" s="848"/>
      <c r="Q1163" s="848"/>
      <c r="R1163" s="848"/>
      <c r="S1163" s="848"/>
      <c r="T1163" s="847"/>
      <c r="U1163" s="847"/>
      <c r="V1163" s="848"/>
      <c r="W1163" s="848"/>
      <c r="X1163" s="848"/>
      <c r="Y1163" s="848"/>
      <c r="Z1163" s="848"/>
      <c r="AA1163" s="848"/>
      <c r="AB1163" s="848"/>
      <c r="AC1163" s="848"/>
    </row>
    <row r="1164" spans="1:29" s="788" customFormat="1" ht="25.5">
      <c r="A1164" s="250"/>
      <c r="C1164" s="894"/>
      <c r="D1164" s="829" t="s">
        <v>2898</v>
      </c>
      <c r="E1164" s="795"/>
      <c r="F1164" s="735"/>
      <c r="G1164" s="895"/>
      <c r="H1164" s="844"/>
      <c r="I1164" s="845"/>
      <c r="J1164" s="895"/>
      <c r="K1164" s="895"/>
      <c r="L1164" s="895"/>
      <c r="M1164" s="895"/>
      <c r="N1164" s="847"/>
      <c r="O1164" s="848"/>
      <c r="P1164" s="848"/>
      <c r="Q1164" s="848"/>
      <c r="R1164" s="848"/>
      <c r="S1164" s="848"/>
      <c r="T1164" s="847"/>
      <c r="U1164" s="847"/>
      <c r="V1164" s="848"/>
      <c r="W1164" s="848"/>
      <c r="X1164" s="848"/>
      <c r="Y1164" s="848"/>
      <c r="Z1164" s="848"/>
      <c r="AA1164" s="848"/>
      <c r="AB1164" s="848"/>
      <c r="AC1164" s="848"/>
    </row>
    <row r="1165" spans="1:29" s="788" customFormat="1" ht="15">
      <c r="A1165" s="250">
        <f>A1160+1</f>
        <v>217</v>
      </c>
      <c r="C1165" s="894" t="s">
        <v>2899</v>
      </c>
      <c r="D1165" s="829" t="s">
        <v>2894</v>
      </c>
      <c r="E1165" s="795" t="s">
        <v>2657</v>
      </c>
      <c r="F1165" s="735">
        <f>N1165+R1165+P1165+T1165+V1165+X1165+Z1165+AB1165</f>
        <v>1</v>
      </c>
      <c r="G1165" s="895">
        <v>71.11</v>
      </c>
      <c r="H1165" s="261">
        <f>O1165+S1165+Q1165+U1165+W1165+Y1165+AA1165+AC1165</f>
        <v>71.11</v>
      </c>
      <c r="I1165" s="845" t="s">
        <v>2657</v>
      </c>
      <c r="J1165" s="895"/>
      <c r="K1165" s="895"/>
      <c r="L1165" s="895"/>
      <c r="M1165" s="895"/>
      <c r="N1165" s="847"/>
      <c r="O1165" s="848"/>
      <c r="P1165" s="848"/>
      <c r="Q1165" s="848"/>
      <c r="R1165" s="848"/>
      <c r="S1165" s="848"/>
      <c r="T1165" s="258">
        <v>1</v>
      </c>
      <c r="U1165" s="257">
        <f>INT($G1165*T1165*100+0.5)/100</f>
        <v>71.11</v>
      </c>
      <c r="V1165" s="848"/>
      <c r="W1165" s="848"/>
      <c r="X1165" s="848"/>
      <c r="Y1165" s="848"/>
      <c r="Z1165" s="848"/>
      <c r="AA1165" s="848"/>
      <c r="AB1165" s="848"/>
      <c r="AC1165" s="848"/>
    </row>
    <row r="1166" spans="1:29" s="788" customFormat="1" ht="15">
      <c r="A1166" s="250"/>
      <c r="C1166" s="894"/>
      <c r="D1166" s="829" t="s">
        <v>2895</v>
      </c>
      <c r="E1166" s="795"/>
      <c r="F1166" s="735"/>
      <c r="G1166" s="895"/>
      <c r="H1166" s="844"/>
      <c r="I1166" s="845"/>
      <c r="J1166" s="895"/>
      <c r="K1166" s="895"/>
      <c r="L1166" s="895"/>
      <c r="M1166" s="895"/>
      <c r="N1166" s="847"/>
      <c r="O1166" s="848"/>
      <c r="P1166" s="848"/>
      <c r="Q1166" s="848"/>
      <c r="R1166" s="848"/>
      <c r="S1166" s="848"/>
      <c r="T1166" s="847"/>
      <c r="U1166" s="847"/>
      <c r="V1166" s="848"/>
      <c r="W1166" s="848"/>
      <c r="X1166" s="848"/>
      <c r="Y1166" s="848"/>
      <c r="Z1166" s="848"/>
      <c r="AA1166" s="848"/>
      <c r="AB1166" s="848"/>
      <c r="AC1166" s="848"/>
    </row>
    <row r="1167" spans="1:29" s="788" customFormat="1" ht="15">
      <c r="A1167" s="250"/>
      <c r="C1167" s="894"/>
      <c r="D1167" s="829"/>
      <c r="E1167" s="795"/>
      <c r="F1167" s="735"/>
      <c r="G1167" s="895"/>
      <c r="H1167" s="844"/>
      <c r="I1167" s="845"/>
      <c r="J1167" s="895"/>
      <c r="K1167" s="895"/>
      <c r="L1167" s="895"/>
      <c r="M1167" s="895"/>
      <c r="N1167" s="847"/>
      <c r="O1167" s="848"/>
      <c r="P1167" s="848"/>
      <c r="Q1167" s="848"/>
      <c r="R1167" s="848"/>
      <c r="S1167" s="848"/>
      <c r="T1167" s="847"/>
      <c r="U1167" s="847"/>
      <c r="V1167" s="848"/>
      <c r="W1167" s="848"/>
      <c r="X1167" s="848"/>
      <c r="Y1167" s="848"/>
      <c r="Z1167" s="848"/>
      <c r="AA1167" s="848"/>
      <c r="AB1167" s="848"/>
      <c r="AC1167" s="848"/>
    </row>
    <row r="1168" spans="1:29" s="788" customFormat="1" ht="25.5">
      <c r="A1168" s="250"/>
      <c r="C1168" s="894" t="s">
        <v>2900</v>
      </c>
      <c r="D1168" s="829" t="s">
        <v>2901</v>
      </c>
      <c r="E1168" s="795"/>
      <c r="F1168" s="735"/>
      <c r="G1168" s="895"/>
      <c r="H1168" s="844"/>
      <c r="I1168" s="845"/>
      <c r="J1168" s="895"/>
      <c r="K1168" s="895"/>
      <c r="L1168" s="895"/>
      <c r="M1168" s="895"/>
      <c r="N1168" s="847"/>
      <c r="O1168" s="848"/>
      <c r="P1168" s="848"/>
      <c r="Q1168" s="848"/>
      <c r="R1168" s="848"/>
      <c r="S1168" s="848"/>
      <c r="T1168" s="847"/>
      <c r="U1168" s="847"/>
      <c r="V1168" s="848"/>
      <c r="W1168" s="848"/>
      <c r="X1168" s="848"/>
      <c r="Y1168" s="848"/>
      <c r="Z1168" s="848"/>
      <c r="AA1168" s="848"/>
      <c r="AB1168" s="848"/>
      <c r="AC1168" s="848"/>
    </row>
    <row r="1169" spans="1:29" s="788" customFormat="1" ht="25.5">
      <c r="A1169" s="250"/>
      <c r="C1169" s="894"/>
      <c r="D1169" s="829" t="s">
        <v>2902</v>
      </c>
      <c r="E1169" s="795"/>
      <c r="F1169" s="735"/>
      <c r="G1169" s="895"/>
      <c r="H1169" s="844"/>
      <c r="I1169" s="845"/>
      <c r="J1169" s="895"/>
      <c r="K1169" s="895"/>
      <c r="L1169" s="895"/>
      <c r="M1169" s="895"/>
      <c r="N1169" s="847"/>
      <c r="O1169" s="848"/>
      <c r="P1169" s="848"/>
      <c r="Q1169" s="848"/>
      <c r="R1169" s="848"/>
      <c r="S1169" s="848"/>
      <c r="T1169" s="847"/>
      <c r="U1169" s="847"/>
      <c r="V1169" s="848"/>
      <c r="W1169" s="848"/>
      <c r="X1169" s="848"/>
      <c r="Y1169" s="848"/>
      <c r="Z1169" s="848"/>
      <c r="AA1169" s="848"/>
      <c r="AB1169" s="848"/>
      <c r="AC1169" s="848"/>
    </row>
    <row r="1170" spans="1:29" s="788" customFormat="1" ht="15">
      <c r="A1170" s="250">
        <f>A1165+1</f>
        <v>218</v>
      </c>
      <c r="C1170" s="894" t="s">
        <v>2903</v>
      </c>
      <c r="D1170" s="829" t="s">
        <v>2904</v>
      </c>
      <c r="E1170" s="795" t="s">
        <v>2657</v>
      </c>
      <c r="F1170" s="735">
        <f>N1170+R1170+P1170+T1170+V1170+X1170+Z1170+AB1170</f>
        <v>2</v>
      </c>
      <c r="G1170" s="895">
        <v>492.94</v>
      </c>
      <c r="H1170" s="261">
        <f>O1170+S1170+Q1170+U1170+W1170+Y1170+AA1170+AC1170</f>
        <v>985.88</v>
      </c>
      <c r="I1170" s="845" t="s">
        <v>2657</v>
      </c>
      <c r="J1170" s="895"/>
      <c r="K1170" s="895"/>
      <c r="L1170" s="895"/>
      <c r="M1170" s="895"/>
      <c r="N1170" s="847"/>
      <c r="O1170" s="848"/>
      <c r="P1170" s="848"/>
      <c r="Q1170" s="848"/>
      <c r="R1170" s="848"/>
      <c r="S1170" s="848"/>
      <c r="T1170" s="258">
        <v>2</v>
      </c>
      <c r="U1170" s="257">
        <f>INT($G1170*T1170*100+0.5)/100</f>
        <v>985.88</v>
      </c>
      <c r="V1170" s="848"/>
      <c r="W1170" s="848"/>
      <c r="X1170" s="848"/>
      <c r="Y1170" s="848"/>
      <c r="Z1170" s="848"/>
      <c r="AA1170" s="848"/>
      <c r="AB1170" s="848"/>
      <c r="AC1170" s="848"/>
    </row>
    <row r="1171" spans="1:29" s="788" customFormat="1" ht="15">
      <c r="A1171" s="250"/>
      <c r="C1171" s="894"/>
      <c r="D1171" s="829" t="s">
        <v>2905</v>
      </c>
      <c r="E1171" s="795"/>
      <c r="F1171" s="735"/>
      <c r="G1171" s="895"/>
      <c r="H1171" s="844"/>
      <c r="I1171" s="845"/>
      <c r="J1171" s="895"/>
      <c r="K1171" s="895"/>
      <c r="L1171" s="895"/>
      <c r="M1171" s="895"/>
      <c r="N1171" s="847"/>
      <c r="O1171" s="848"/>
      <c r="P1171" s="848"/>
      <c r="Q1171" s="848"/>
      <c r="R1171" s="848"/>
      <c r="S1171" s="848"/>
      <c r="T1171" s="847"/>
      <c r="U1171" s="847"/>
      <c r="V1171" s="848"/>
      <c r="W1171" s="848"/>
      <c r="X1171" s="848"/>
      <c r="Y1171" s="848"/>
      <c r="Z1171" s="848"/>
      <c r="AA1171" s="848"/>
      <c r="AB1171" s="848"/>
      <c r="AC1171" s="848"/>
    </row>
    <row r="1172" spans="1:29" s="788" customFormat="1" ht="15">
      <c r="A1172" s="250"/>
      <c r="C1172" s="894"/>
      <c r="D1172" s="829"/>
      <c r="E1172" s="795"/>
      <c r="F1172" s="735"/>
      <c r="G1172" s="895"/>
      <c r="H1172" s="844"/>
      <c r="I1172" s="845"/>
      <c r="J1172" s="895"/>
      <c r="K1172" s="895"/>
      <c r="L1172" s="895"/>
      <c r="M1172" s="895"/>
      <c r="N1172" s="847"/>
      <c r="O1172" s="848"/>
      <c r="P1172" s="848"/>
      <c r="Q1172" s="848"/>
      <c r="R1172" s="848"/>
      <c r="S1172" s="848"/>
      <c r="T1172" s="847"/>
      <c r="U1172" s="847"/>
      <c r="V1172" s="848"/>
      <c r="W1172" s="848"/>
      <c r="X1172" s="848"/>
      <c r="Y1172" s="848"/>
      <c r="Z1172" s="848"/>
      <c r="AA1172" s="848"/>
      <c r="AB1172" s="848"/>
      <c r="AC1172" s="848"/>
    </row>
    <row r="1173" spans="1:29" s="788" customFormat="1" ht="25.5">
      <c r="A1173" s="250"/>
      <c r="C1173" s="894" t="s">
        <v>2906</v>
      </c>
      <c r="D1173" s="829" t="s">
        <v>2907</v>
      </c>
      <c r="E1173" s="795"/>
      <c r="F1173" s="735"/>
      <c r="G1173" s="895"/>
      <c r="H1173" s="844"/>
      <c r="I1173" s="845"/>
      <c r="J1173" s="895"/>
      <c r="K1173" s="895"/>
      <c r="L1173" s="895"/>
      <c r="M1173" s="895"/>
      <c r="N1173" s="847"/>
      <c r="O1173" s="848"/>
      <c r="P1173" s="848"/>
      <c r="Q1173" s="848"/>
      <c r="R1173" s="848"/>
      <c r="S1173" s="848"/>
      <c r="T1173" s="847"/>
      <c r="U1173" s="847"/>
      <c r="V1173" s="848"/>
      <c r="W1173" s="848"/>
      <c r="X1173" s="848"/>
      <c r="Y1173" s="848"/>
      <c r="Z1173" s="848"/>
      <c r="AA1173" s="848"/>
      <c r="AB1173" s="848"/>
      <c r="AC1173" s="848"/>
    </row>
    <row r="1174" spans="1:29" s="788" customFormat="1" ht="25.5">
      <c r="A1174" s="250"/>
      <c r="C1174" s="894"/>
      <c r="D1174" s="829" t="s">
        <v>2908</v>
      </c>
      <c r="E1174" s="795"/>
      <c r="F1174" s="735"/>
      <c r="G1174" s="895"/>
      <c r="H1174" s="844"/>
      <c r="I1174" s="845"/>
      <c r="J1174" s="895"/>
      <c r="K1174" s="895"/>
      <c r="L1174" s="895"/>
      <c r="M1174" s="895"/>
      <c r="N1174" s="847"/>
      <c r="O1174" s="848"/>
      <c r="P1174" s="848"/>
      <c r="Q1174" s="848"/>
      <c r="R1174" s="848"/>
      <c r="S1174" s="848"/>
      <c r="T1174" s="847"/>
      <c r="U1174" s="847"/>
      <c r="V1174" s="848"/>
      <c r="W1174" s="848"/>
      <c r="X1174" s="848"/>
      <c r="Y1174" s="848"/>
      <c r="Z1174" s="848"/>
      <c r="AA1174" s="848"/>
      <c r="AB1174" s="848"/>
      <c r="AC1174" s="848"/>
    </row>
    <row r="1175" spans="1:29" s="788" customFormat="1" ht="15">
      <c r="A1175" s="250">
        <f>A1170+1</f>
        <v>219</v>
      </c>
      <c r="C1175" s="894" t="s">
        <v>2909</v>
      </c>
      <c r="D1175" s="829" t="s">
        <v>2910</v>
      </c>
      <c r="E1175" s="795" t="s">
        <v>2657</v>
      </c>
      <c r="F1175" s="735">
        <f>N1175+R1175+P1175+T1175+V1175+X1175+Z1175+AB1175</f>
        <v>2</v>
      </c>
      <c r="G1175" s="895">
        <v>188.05</v>
      </c>
      <c r="H1175" s="261">
        <f>O1175+S1175+Q1175+U1175+W1175+Y1175+AA1175+AC1175</f>
        <v>376.1</v>
      </c>
      <c r="I1175" s="845" t="s">
        <v>2657</v>
      </c>
      <c r="J1175" s="895"/>
      <c r="K1175" s="895"/>
      <c r="L1175" s="895"/>
      <c r="M1175" s="895"/>
      <c r="N1175" s="847"/>
      <c r="O1175" s="848"/>
      <c r="P1175" s="848"/>
      <c r="Q1175" s="848"/>
      <c r="R1175" s="848"/>
      <c r="S1175" s="848"/>
      <c r="T1175" s="258">
        <v>2</v>
      </c>
      <c r="U1175" s="257">
        <f>INT($G1175*T1175*100+0.5)/100</f>
        <v>376.1</v>
      </c>
      <c r="V1175" s="848"/>
      <c r="W1175" s="848"/>
      <c r="X1175" s="848"/>
      <c r="Y1175" s="848"/>
      <c r="Z1175" s="848"/>
      <c r="AA1175" s="848"/>
      <c r="AB1175" s="848"/>
      <c r="AC1175" s="848"/>
    </row>
    <row r="1176" spans="1:29" s="788" customFormat="1" ht="15">
      <c r="A1176" s="250"/>
      <c r="C1176" s="894"/>
      <c r="D1176" s="829" t="s">
        <v>2911</v>
      </c>
      <c r="E1176" s="795"/>
      <c r="F1176" s="735"/>
      <c r="G1176" s="895"/>
      <c r="H1176" s="844"/>
      <c r="I1176" s="845"/>
      <c r="J1176" s="895"/>
      <c r="K1176" s="895"/>
      <c r="L1176" s="895"/>
      <c r="M1176" s="895"/>
      <c r="N1176" s="847"/>
      <c r="O1176" s="848"/>
      <c r="P1176" s="848"/>
      <c r="Q1176" s="848"/>
      <c r="R1176" s="848"/>
      <c r="S1176" s="848"/>
      <c r="T1176" s="847"/>
      <c r="U1176" s="847"/>
      <c r="V1176" s="848"/>
      <c r="W1176" s="848"/>
      <c r="X1176" s="848"/>
      <c r="Y1176" s="848"/>
      <c r="Z1176" s="848"/>
      <c r="AA1176" s="848"/>
      <c r="AB1176" s="848"/>
      <c r="AC1176" s="848"/>
    </row>
    <row r="1177" spans="1:29" s="788" customFormat="1" ht="15">
      <c r="A1177" s="250"/>
      <c r="C1177" s="894"/>
      <c r="D1177" s="829"/>
      <c r="E1177" s="795"/>
      <c r="F1177" s="735"/>
      <c r="G1177" s="895"/>
      <c r="H1177" s="844"/>
      <c r="I1177" s="845"/>
      <c r="J1177" s="895"/>
      <c r="K1177" s="895"/>
      <c r="L1177" s="895"/>
      <c r="M1177" s="895"/>
      <c r="N1177" s="847"/>
      <c r="O1177" s="848"/>
      <c r="P1177" s="848"/>
      <c r="Q1177" s="848"/>
      <c r="R1177" s="848"/>
      <c r="S1177" s="848"/>
      <c r="T1177" s="847"/>
      <c r="U1177" s="847"/>
      <c r="V1177" s="848"/>
      <c r="W1177" s="848"/>
      <c r="X1177" s="848"/>
      <c r="Y1177" s="848"/>
      <c r="Z1177" s="848"/>
      <c r="AA1177" s="848"/>
      <c r="AB1177" s="848"/>
      <c r="AC1177" s="848"/>
    </row>
    <row r="1178" spans="1:29" s="788" customFormat="1" ht="15">
      <c r="A1178" s="250"/>
      <c r="C1178" s="894" t="s">
        <v>2915</v>
      </c>
      <c r="D1178" s="829" t="s">
        <v>2916</v>
      </c>
      <c r="E1178" s="795"/>
      <c r="F1178" s="735"/>
      <c r="G1178" s="895"/>
      <c r="H1178" s="261"/>
      <c r="I1178" s="845"/>
      <c r="J1178" s="895"/>
      <c r="K1178" s="895"/>
      <c r="L1178" s="895"/>
      <c r="M1178" s="895"/>
      <c r="N1178" s="847"/>
      <c r="O1178" s="848"/>
      <c r="P1178" s="848"/>
      <c r="Q1178" s="848"/>
      <c r="R1178" s="848"/>
      <c r="S1178" s="848"/>
      <c r="T1178" s="847"/>
      <c r="U1178" s="847"/>
      <c r="V1178" s="848"/>
      <c r="W1178" s="848"/>
      <c r="X1178" s="848"/>
      <c r="Y1178" s="848"/>
      <c r="Z1178" s="848"/>
      <c r="AA1178" s="848"/>
      <c r="AB1178" s="848"/>
      <c r="AC1178" s="848"/>
    </row>
    <row r="1179" spans="1:29" s="788" customFormat="1" ht="15">
      <c r="A1179" s="250"/>
      <c r="C1179" s="894"/>
      <c r="D1179" s="829" t="s">
        <v>2917</v>
      </c>
      <c r="E1179" s="795"/>
      <c r="F1179" s="735"/>
      <c r="G1179" s="895"/>
      <c r="H1179" s="261"/>
      <c r="I1179" s="845"/>
      <c r="J1179" s="895"/>
      <c r="K1179" s="895"/>
      <c r="L1179" s="895"/>
      <c r="M1179" s="895"/>
      <c r="N1179" s="847"/>
      <c r="O1179" s="848"/>
      <c r="P1179" s="848"/>
      <c r="Q1179" s="848"/>
      <c r="R1179" s="848"/>
      <c r="S1179" s="848"/>
      <c r="T1179" s="847"/>
      <c r="U1179" s="847"/>
      <c r="V1179" s="848"/>
      <c r="W1179" s="848"/>
      <c r="X1179" s="848"/>
      <c r="Y1179" s="848"/>
      <c r="Z1179" s="848"/>
      <c r="AA1179" s="848"/>
      <c r="AB1179" s="848"/>
      <c r="AC1179" s="848"/>
    </row>
    <row r="1180" spans="1:29" s="788" customFormat="1" ht="15">
      <c r="A1180" s="250"/>
      <c r="C1180" s="894" t="s">
        <v>2918</v>
      </c>
      <c r="D1180" s="829" t="s">
        <v>2914</v>
      </c>
      <c r="E1180" s="795" t="s">
        <v>2475</v>
      </c>
      <c r="F1180" s="735">
        <f t="shared" ref="F1180:F1186" si="46">N1180+R1180+P1180+T1180+V1180+X1180+Z1180+AB1180</f>
        <v>30</v>
      </c>
      <c r="G1180" s="895"/>
      <c r="H1180" s="261"/>
      <c r="I1180" s="845" t="s">
        <v>2475</v>
      </c>
      <c r="J1180" s="895"/>
      <c r="K1180" s="895"/>
      <c r="L1180" s="895"/>
      <c r="M1180" s="895"/>
      <c r="N1180" s="847"/>
      <c r="O1180" s="848"/>
      <c r="P1180" s="848"/>
      <c r="Q1180" s="848"/>
      <c r="R1180" s="848"/>
      <c r="S1180" s="848"/>
      <c r="T1180" s="258">
        <v>30</v>
      </c>
      <c r="U1180" s="257"/>
      <c r="V1180" s="848"/>
      <c r="W1180" s="848"/>
      <c r="X1180" s="848"/>
      <c r="Y1180" s="848"/>
      <c r="Z1180" s="848"/>
      <c r="AA1180" s="848"/>
      <c r="AB1180" s="848"/>
      <c r="AC1180" s="848"/>
    </row>
    <row r="1181" spans="1:29" s="788" customFormat="1" ht="25.5">
      <c r="A1181" s="250"/>
      <c r="C1181" s="894"/>
      <c r="D1181" s="838" t="s">
        <v>2984</v>
      </c>
      <c r="E1181" s="795"/>
      <c r="F1181" s="704">
        <f t="shared" si="46"/>
        <v>12</v>
      </c>
      <c r="G1181" s="895"/>
      <c r="H1181" s="261"/>
      <c r="I1181" s="845"/>
      <c r="J1181" s="895"/>
      <c r="K1181" s="895"/>
      <c r="L1181" s="895"/>
      <c r="M1181" s="895"/>
      <c r="N1181" s="847"/>
      <c r="O1181" s="848"/>
      <c r="P1181" s="848"/>
      <c r="Q1181" s="848"/>
      <c r="R1181" s="848"/>
      <c r="S1181" s="848"/>
      <c r="T1181" s="258">
        <f>2*6</f>
        <v>12</v>
      </c>
      <c r="U1181" s="257"/>
      <c r="V1181" s="848"/>
      <c r="W1181" s="848"/>
      <c r="X1181" s="848"/>
      <c r="Y1181" s="848"/>
      <c r="Z1181" s="848"/>
      <c r="AA1181" s="848"/>
      <c r="AB1181" s="848"/>
      <c r="AC1181" s="848"/>
    </row>
    <row r="1182" spans="1:29" s="788" customFormat="1" ht="15">
      <c r="A1182" s="250">
        <f>A1175+1</f>
        <v>220</v>
      </c>
      <c r="C1182" s="894"/>
      <c r="D1182" s="838" t="s">
        <v>1900</v>
      </c>
      <c r="E1182" s="795"/>
      <c r="F1182" s="735">
        <f>SUM(F1180:F1181)</f>
        <v>42</v>
      </c>
      <c r="G1182" s="895">
        <v>27.09</v>
      </c>
      <c r="H1182" s="261">
        <f>O1182+S1182+Q1182+U1182+W1182+Y1182+AA1182+AC1182</f>
        <v>1137.78</v>
      </c>
      <c r="I1182" s="845"/>
      <c r="J1182" s="895"/>
      <c r="K1182" s="895"/>
      <c r="L1182" s="895"/>
      <c r="M1182" s="895"/>
      <c r="N1182" s="847"/>
      <c r="O1182" s="848"/>
      <c r="P1182" s="848"/>
      <c r="Q1182" s="848"/>
      <c r="R1182" s="848"/>
      <c r="S1182" s="848"/>
      <c r="T1182" s="258">
        <f>SUM(T1180:T1181)</f>
        <v>42</v>
      </c>
      <c r="U1182" s="257">
        <f>INT($G1182*T1182*100+0.5)/100</f>
        <v>1137.78</v>
      </c>
      <c r="V1182" s="848"/>
      <c r="W1182" s="848"/>
      <c r="X1182" s="848"/>
      <c r="Y1182" s="848"/>
      <c r="Z1182" s="848"/>
      <c r="AA1182" s="848"/>
      <c r="AB1182" s="848"/>
      <c r="AC1182" s="848"/>
    </row>
    <row r="1183" spans="1:29" s="788" customFormat="1" ht="15">
      <c r="A1183" s="250"/>
      <c r="C1183" s="894"/>
      <c r="D1183" s="829"/>
      <c r="E1183" s="795"/>
      <c r="F1183" s="735"/>
      <c r="G1183" s="895"/>
      <c r="H1183" s="261"/>
      <c r="I1183" s="845"/>
      <c r="J1183" s="895"/>
      <c r="K1183" s="895"/>
      <c r="L1183" s="895"/>
      <c r="M1183" s="895"/>
      <c r="N1183" s="847"/>
      <c r="O1183" s="848"/>
      <c r="P1183" s="848"/>
      <c r="Q1183" s="848"/>
      <c r="R1183" s="848"/>
      <c r="S1183" s="848"/>
      <c r="T1183" s="847"/>
      <c r="U1183" s="847"/>
      <c r="V1183" s="848"/>
      <c r="W1183" s="848"/>
      <c r="X1183" s="848"/>
      <c r="Y1183" s="848"/>
      <c r="Z1183" s="848"/>
      <c r="AA1183" s="848"/>
      <c r="AB1183" s="848"/>
      <c r="AC1183" s="848"/>
    </row>
    <row r="1184" spans="1:29" s="788" customFormat="1" ht="15">
      <c r="A1184" s="250"/>
      <c r="C1184" s="894" t="s">
        <v>2919</v>
      </c>
      <c r="D1184" s="829" t="s">
        <v>2920</v>
      </c>
      <c r="E1184" s="795"/>
      <c r="F1184" s="735"/>
      <c r="G1184" s="895"/>
      <c r="H1184" s="261"/>
      <c r="I1184" s="845"/>
      <c r="J1184" s="895"/>
      <c r="K1184" s="895"/>
      <c r="L1184" s="895"/>
      <c r="M1184" s="895"/>
      <c r="N1184" s="847"/>
      <c r="O1184" s="848"/>
      <c r="P1184" s="848"/>
      <c r="Q1184" s="848"/>
      <c r="R1184" s="848"/>
      <c r="S1184" s="848"/>
      <c r="T1184" s="847"/>
      <c r="U1184" s="847"/>
      <c r="V1184" s="848"/>
      <c r="W1184" s="848"/>
      <c r="X1184" s="848"/>
      <c r="Y1184" s="848"/>
      <c r="Z1184" s="848"/>
      <c r="AA1184" s="848"/>
      <c r="AB1184" s="848"/>
      <c r="AC1184" s="848"/>
    </row>
    <row r="1185" spans="1:29" s="788" customFormat="1" ht="15">
      <c r="A1185" s="250"/>
      <c r="C1185" s="894"/>
      <c r="D1185" s="829" t="s">
        <v>2921</v>
      </c>
      <c r="E1185" s="795"/>
      <c r="F1185" s="735"/>
      <c r="G1185" s="895"/>
      <c r="H1185" s="261"/>
      <c r="I1185" s="845"/>
      <c r="J1185" s="895"/>
      <c r="K1185" s="895"/>
      <c r="L1185" s="895"/>
      <c r="M1185" s="895"/>
      <c r="N1185" s="847"/>
      <c r="O1185" s="848"/>
      <c r="P1185" s="848"/>
      <c r="Q1185" s="848"/>
      <c r="R1185" s="848"/>
      <c r="S1185" s="848"/>
      <c r="T1185" s="847"/>
      <c r="U1185" s="847"/>
      <c r="V1185" s="848"/>
      <c r="W1185" s="848"/>
      <c r="X1185" s="848"/>
      <c r="Y1185" s="848"/>
      <c r="Z1185" s="848"/>
      <c r="AA1185" s="848"/>
      <c r="AB1185" s="848"/>
      <c r="AC1185" s="848"/>
    </row>
    <row r="1186" spans="1:29" s="788" customFormat="1" ht="15">
      <c r="A1186" s="250">
        <f>A1182+1</f>
        <v>221</v>
      </c>
      <c r="C1186" s="894" t="s">
        <v>2922</v>
      </c>
      <c r="D1186" s="829" t="s">
        <v>2914</v>
      </c>
      <c r="E1186" s="795" t="s">
        <v>1901</v>
      </c>
      <c r="F1186" s="735">
        <f t="shared" si="46"/>
        <v>12</v>
      </c>
      <c r="G1186" s="895">
        <v>121.36</v>
      </c>
      <c r="H1186" s="261">
        <f t="shared" ref="H1186:H1191" si="47">O1186+S1186+Q1186+U1186+W1186+Y1186+AA1186+AC1186</f>
        <v>1456.32</v>
      </c>
      <c r="I1186" s="845" t="s">
        <v>1901</v>
      </c>
      <c r="J1186" s="895"/>
      <c r="K1186" s="895"/>
      <c r="L1186" s="895"/>
      <c r="M1186" s="895"/>
      <c r="N1186" s="847"/>
      <c r="O1186" s="848"/>
      <c r="P1186" s="848"/>
      <c r="Q1186" s="848"/>
      <c r="R1186" s="848"/>
      <c r="S1186" s="848"/>
      <c r="T1186" s="258">
        <v>12</v>
      </c>
      <c r="U1186" s="257">
        <f>INT($G1186*T1186*100+0.5)/100</f>
        <v>1456.32</v>
      </c>
      <c r="V1186" s="848"/>
      <c r="W1186" s="848"/>
      <c r="X1186" s="848"/>
      <c r="Y1186" s="848"/>
      <c r="Z1186" s="848"/>
      <c r="AA1186" s="848"/>
      <c r="AB1186" s="848"/>
      <c r="AC1186" s="848"/>
    </row>
    <row r="1187" spans="1:29" s="788" customFormat="1" ht="15">
      <c r="A1187" s="250"/>
      <c r="C1187" s="894"/>
      <c r="D1187" s="829"/>
      <c r="E1187" s="795"/>
      <c r="F1187" s="735"/>
      <c r="G1187" s="895"/>
      <c r="H1187" s="261"/>
      <c r="I1187" s="845"/>
      <c r="J1187" s="895"/>
      <c r="K1187" s="895"/>
      <c r="L1187" s="895"/>
      <c r="M1187" s="895"/>
      <c r="N1187" s="847"/>
      <c r="O1187" s="848"/>
      <c r="P1187" s="848"/>
      <c r="Q1187" s="848"/>
      <c r="R1187" s="848"/>
      <c r="S1187" s="848"/>
      <c r="T1187" s="847"/>
      <c r="U1187" s="847"/>
      <c r="V1187" s="848"/>
      <c r="W1187" s="848"/>
      <c r="X1187" s="848"/>
      <c r="Y1187" s="848"/>
      <c r="Z1187" s="848"/>
      <c r="AA1187" s="848"/>
      <c r="AB1187" s="848"/>
      <c r="AC1187" s="848"/>
    </row>
    <row r="1188" spans="1:29" s="788" customFormat="1" ht="15">
      <c r="A1188" s="250"/>
      <c r="C1188" s="894" t="s">
        <v>2923</v>
      </c>
      <c r="D1188" s="829" t="s">
        <v>2924</v>
      </c>
      <c r="E1188" s="795"/>
      <c r="F1188" s="735"/>
      <c r="G1188" s="895"/>
      <c r="H1188" s="261"/>
      <c r="I1188" s="845"/>
      <c r="J1188" s="895"/>
      <c r="K1188" s="895"/>
      <c r="L1188" s="895"/>
      <c r="M1188" s="895"/>
      <c r="N1188" s="847"/>
      <c r="O1188" s="848"/>
      <c r="P1188" s="848"/>
      <c r="Q1188" s="848"/>
      <c r="R1188" s="848"/>
      <c r="S1188" s="848"/>
      <c r="T1188" s="847"/>
      <c r="U1188" s="847"/>
      <c r="V1188" s="848"/>
      <c r="W1188" s="848"/>
      <c r="X1188" s="848"/>
      <c r="Y1188" s="848"/>
      <c r="Z1188" s="848"/>
      <c r="AA1188" s="848"/>
      <c r="AB1188" s="848"/>
      <c r="AC1188" s="848"/>
    </row>
    <row r="1189" spans="1:29" s="788" customFormat="1" ht="15">
      <c r="A1189" s="250"/>
      <c r="C1189" s="894"/>
      <c r="D1189" s="829" t="s">
        <v>2925</v>
      </c>
      <c r="E1189" s="795"/>
      <c r="F1189" s="735"/>
      <c r="G1189" s="895"/>
      <c r="H1189" s="261"/>
      <c r="I1189" s="845"/>
      <c r="J1189" s="895"/>
      <c r="K1189" s="895"/>
      <c r="L1189" s="895"/>
      <c r="M1189" s="895"/>
      <c r="N1189" s="847"/>
      <c r="O1189" s="848"/>
      <c r="P1189" s="848"/>
      <c r="Q1189" s="848"/>
      <c r="R1189" s="848"/>
      <c r="S1189" s="848"/>
      <c r="T1189" s="847"/>
      <c r="U1189" s="847"/>
      <c r="V1189" s="848"/>
      <c r="W1189" s="848"/>
      <c r="X1189" s="848"/>
      <c r="Y1189" s="848"/>
      <c r="Z1189" s="848"/>
      <c r="AA1189" s="848"/>
      <c r="AB1189" s="848"/>
      <c r="AC1189" s="848"/>
    </row>
    <row r="1190" spans="1:29" s="788" customFormat="1" ht="15">
      <c r="A1190" s="250">
        <f>A1186+1</f>
        <v>222</v>
      </c>
      <c r="C1190" s="894" t="s">
        <v>2926</v>
      </c>
      <c r="D1190" s="829" t="s">
        <v>2912</v>
      </c>
      <c r="E1190" s="795" t="s">
        <v>1901</v>
      </c>
      <c r="F1190" s="735">
        <f>N1190+R1190+P1190+T1190+V1190+X1190+Z1190+AB1190</f>
        <v>1</v>
      </c>
      <c r="G1190" s="895">
        <v>93.11</v>
      </c>
      <c r="H1190" s="261">
        <f t="shared" si="47"/>
        <v>93.11</v>
      </c>
      <c r="I1190" s="845" t="s">
        <v>1901</v>
      </c>
      <c r="J1190" s="895"/>
      <c r="K1190" s="895"/>
      <c r="L1190" s="895"/>
      <c r="M1190" s="895"/>
      <c r="N1190" s="847"/>
      <c r="O1190" s="848"/>
      <c r="P1190" s="848"/>
      <c r="Q1190" s="848"/>
      <c r="R1190" s="848"/>
      <c r="S1190" s="848"/>
      <c r="T1190" s="258">
        <v>1</v>
      </c>
      <c r="U1190" s="257">
        <f>INT($G1190*T1190*100+0.5)/100</f>
        <v>93.11</v>
      </c>
      <c r="V1190" s="848"/>
      <c r="W1190" s="848"/>
      <c r="X1190" s="848"/>
      <c r="Y1190" s="848"/>
      <c r="Z1190" s="848"/>
      <c r="AA1190" s="848"/>
      <c r="AB1190" s="848"/>
      <c r="AC1190" s="848"/>
    </row>
    <row r="1191" spans="1:29" s="788" customFormat="1" ht="15">
      <c r="A1191" s="250">
        <f>A1190+1</f>
        <v>223</v>
      </c>
      <c r="C1191" s="894" t="s">
        <v>2927</v>
      </c>
      <c r="D1191" s="829" t="s">
        <v>2913</v>
      </c>
      <c r="E1191" s="795" t="s">
        <v>1901</v>
      </c>
      <c r="F1191" s="735">
        <f>N1191+R1191+P1191+T1191+V1191+X1191+Z1191+AB1191</f>
        <v>1</v>
      </c>
      <c r="G1191" s="895">
        <v>109.53</v>
      </c>
      <c r="H1191" s="261">
        <f t="shared" si="47"/>
        <v>109.53</v>
      </c>
      <c r="I1191" s="845" t="s">
        <v>1901</v>
      </c>
      <c r="J1191" s="895"/>
      <c r="K1191" s="895"/>
      <c r="L1191" s="895"/>
      <c r="M1191" s="895"/>
      <c r="N1191" s="847"/>
      <c r="O1191" s="848"/>
      <c r="P1191" s="848"/>
      <c r="Q1191" s="848"/>
      <c r="R1191" s="848"/>
      <c r="S1191" s="848"/>
      <c r="T1191" s="258">
        <v>1</v>
      </c>
      <c r="U1191" s="257">
        <f>INT($G1191*T1191*100+0.5)/100</f>
        <v>109.53</v>
      </c>
      <c r="V1191" s="848"/>
      <c r="W1191" s="848"/>
      <c r="X1191" s="848"/>
      <c r="Y1191" s="848"/>
      <c r="Z1191" s="848"/>
      <c r="AA1191" s="848"/>
      <c r="AB1191" s="848"/>
      <c r="AC1191" s="848"/>
    </row>
    <row r="1192" spans="1:29" s="788" customFormat="1" ht="15">
      <c r="A1192" s="250"/>
      <c r="C1192" s="894"/>
      <c r="D1192" s="829"/>
      <c r="E1192" s="795"/>
      <c r="F1192" s="735"/>
      <c r="G1192" s="895"/>
      <c r="H1192" s="261"/>
      <c r="I1192" s="845"/>
      <c r="J1192" s="895"/>
      <c r="K1192" s="895"/>
      <c r="L1192" s="895"/>
      <c r="M1192" s="895"/>
      <c r="N1192" s="847"/>
      <c r="O1192" s="848"/>
      <c r="P1192" s="848"/>
      <c r="Q1192" s="848"/>
      <c r="R1192" s="848"/>
      <c r="S1192" s="848"/>
      <c r="T1192" s="847"/>
      <c r="U1192" s="847"/>
      <c r="V1192" s="848"/>
      <c r="W1192" s="848"/>
      <c r="X1192" s="848"/>
      <c r="Y1192" s="848"/>
      <c r="Z1192" s="848"/>
      <c r="AA1192" s="848"/>
      <c r="AB1192" s="848"/>
      <c r="AC1192" s="848"/>
    </row>
    <row r="1193" spans="1:29" s="788" customFormat="1" ht="15">
      <c r="A1193" s="250"/>
      <c r="C1193" s="894" t="s">
        <v>2931</v>
      </c>
      <c r="D1193" s="829" t="s">
        <v>2932</v>
      </c>
      <c r="E1193" s="795"/>
      <c r="F1193" s="735"/>
      <c r="G1193" s="895"/>
      <c r="H1193" s="261"/>
      <c r="I1193" s="845"/>
      <c r="J1193" s="895"/>
      <c r="K1193" s="895"/>
      <c r="L1193" s="895"/>
      <c r="M1193" s="895"/>
      <c r="N1193" s="847"/>
      <c r="O1193" s="848"/>
      <c r="P1193" s="848"/>
      <c r="Q1193" s="848"/>
      <c r="R1193" s="848"/>
      <c r="S1193" s="848"/>
      <c r="T1193" s="847"/>
      <c r="U1193" s="847"/>
      <c r="V1193" s="848"/>
      <c r="W1193" s="848"/>
      <c r="X1193" s="848"/>
      <c r="Y1193" s="848"/>
      <c r="Z1193" s="848"/>
      <c r="AA1193" s="848"/>
      <c r="AB1193" s="848"/>
      <c r="AC1193" s="848"/>
    </row>
    <row r="1194" spans="1:29" s="788" customFormat="1" ht="15">
      <c r="A1194" s="250"/>
      <c r="C1194" s="894"/>
      <c r="D1194" s="829" t="s">
        <v>2933</v>
      </c>
      <c r="E1194" s="795"/>
      <c r="F1194" s="735"/>
      <c r="G1194" s="895"/>
      <c r="H1194" s="261"/>
      <c r="I1194" s="845"/>
      <c r="J1194" s="895"/>
      <c r="K1194" s="895"/>
      <c r="L1194" s="895"/>
      <c r="M1194" s="895"/>
      <c r="N1194" s="847"/>
      <c r="O1194" s="848"/>
      <c r="P1194" s="848"/>
      <c r="Q1194" s="848"/>
      <c r="R1194" s="848"/>
      <c r="S1194" s="848"/>
      <c r="T1194" s="847"/>
      <c r="U1194" s="847"/>
      <c r="V1194" s="848"/>
      <c r="W1194" s="848"/>
      <c r="X1194" s="848"/>
      <c r="Y1194" s="848"/>
      <c r="Z1194" s="848"/>
      <c r="AA1194" s="848"/>
      <c r="AB1194" s="848"/>
      <c r="AC1194" s="848"/>
    </row>
    <row r="1195" spans="1:29" s="788" customFormat="1" ht="15">
      <c r="A1195" s="250"/>
      <c r="C1195" s="894" t="s">
        <v>2934</v>
      </c>
      <c r="D1195" s="829" t="s">
        <v>2935</v>
      </c>
      <c r="E1195" s="795"/>
      <c r="F1195" s="735"/>
      <c r="G1195" s="895"/>
      <c r="H1195" s="261"/>
      <c r="I1195" s="845"/>
      <c r="J1195" s="895"/>
      <c r="K1195" s="895"/>
      <c r="L1195" s="895"/>
      <c r="M1195" s="895"/>
      <c r="N1195" s="847"/>
      <c r="O1195" s="848"/>
      <c r="P1195" s="848"/>
      <c r="Q1195" s="848"/>
      <c r="R1195" s="848"/>
      <c r="S1195" s="848"/>
      <c r="T1195" s="847"/>
      <c r="U1195" s="847"/>
      <c r="V1195" s="848"/>
      <c r="W1195" s="848"/>
      <c r="X1195" s="848"/>
      <c r="Y1195" s="848"/>
      <c r="Z1195" s="848"/>
      <c r="AA1195" s="848"/>
      <c r="AB1195" s="848"/>
      <c r="AC1195" s="848"/>
    </row>
    <row r="1196" spans="1:29" s="788" customFormat="1" ht="15">
      <c r="A1196" s="250"/>
      <c r="C1196" s="894"/>
      <c r="D1196" s="829" t="s">
        <v>2936</v>
      </c>
      <c r="E1196" s="795"/>
      <c r="F1196" s="735"/>
      <c r="G1196" s="895"/>
      <c r="H1196" s="261"/>
      <c r="I1196" s="845"/>
      <c r="J1196" s="895"/>
      <c r="K1196" s="895"/>
      <c r="L1196" s="895"/>
      <c r="M1196" s="895"/>
      <c r="N1196" s="847"/>
      <c r="O1196" s="848"/>
      <c r="P1196" s="848"/>
      <c r="Q1196" s="848"/>
      <c r="R1196" s="848"/>
      <c r="S1196" s="848"/>
      <c r="T1196" s="847"/>
      <c r="U1196" s="847"/>
      <c r="V1196" s="848"/>
      <c r="W1196" s="848"/>
      <c r="X1196" s="848"/>
      <c r="Y1196" s="848"/>
      <c r="Z1196" s="848"/>
      <c r="AA1196" s="848"/>
      <c r="AB1196" s="848"/>
      <c r="AC1196" s="848"/>
    </row>
    <row r="1197" spans="1:29" s="788" customFormat="1" ht="15">
      <c r="A1197" s="250">
        <f>A1191+1</f>
        <v>224</v>
      </c>
      <c r="C1197" s="894" t="s">
        <v>2937</v>
      </c>
      <c r="D1197" s="829" t="s">
        <v>2938</v>
      </c>
      <c r="E1197" s="795" t="s">
        <v>2475</v>
      </c>
      <c r="F1197" s="735">
        <f>N1197+R1197+P1197+T1197+V1197+X1197+Z1197+AB1197</f>
        <v>30</v>
      </c>
      <c r="G1197" s="895">
        <v>0.28000000000000003</v>
      </c>
      <c r="H1197" s="261">
        <f>O1197+S1197+Q1197+U1197+W1197+Y1197+AA1197+AC1197</f>
        <v>8.4</v>
      </c>
      <c r="I1197" s="845" t="s">
        <v>2475</v>
      </c>
      <c r="J1197" s="895"/>
      <c r="K1197" s="895"/>
      <c r="L1197" s="895"/>
      <c r="M1197" s="895"/>
      <c r="N1197" s="847"/>
      <c r="O1197" s="848"/>
      <c r="P1197" s="848"/>
      <c r="Q1197" s="848"/>
      <c r="R1197" s="848"/>
      <c r="S1197" s="848"/>
      <c r="T1197" s="258">
        <f>T1180</f>
        <v>30</v>
      </c>
      <c r="U1197" s="257">
        <f>INT($G1197*T1197*100+0.5)/100</f>
        <v>8.4</v>
      </c>
      <c r="V1197" s="848"/>
      <c r="W1197" s="848"/>
      <c r="X1197" s="848"/>
      <c r="Y1197" s="848"/>
      <c r="Z1197" s="848"/>
      <c r="AA1197" s="848"/>
      <c r="AB1197" s="848"/>
      <c r="AC1197" s="848"/>
    </row>
    <row r="1198" spans="1:29" s="788" customFormat="1" ht="15">
      <c r="A1198" s="250"/>
      <c r="C1198" s="894"/>
      <c r="D1198" s="829" t="s">
        <v>2939</v>
      </c>
      <c r="E1198" s="795"/>
      <c r="F1198" s="735"/>
      <c r="G1198" s="895"/>
      <c r="H1198" s="261"/>
      <c r="I1198" s="845"/>
      <c r="J1198" s="895"/>
      <c r="K1198" s="895"/>
      <c r="L1198" s="895"/>
      <c r="M1198" s="895"/>
      <c r="N1198" s="847"/>
      <c r="O1198" s="848"/>
      <c r="P1198" s="848"/>
      <c r="Q1198" s="848"/>
      <c r="R1198" s="848"/>
      <c r="S1198" s="848"/>
      <c r="T1198" s="847"/>
      <c r="U1198" s="847"/>
      <c r="V1198" s="848"/>
      <c r="W1198" s="848"/>
      <c r="X1198" s="848"/>
      <c r="Y1198" s="848"/>
      <c r="Z1198" s="848"/>
      <c r="AA1198" s="848"/>
      <c r="AB1198" s="848"/>
      <c r="AC1198" s="848"/>
    </row>
    <row r="1199" spans="1:29" s="788" customFormat="1" ht="15">
      <c r="A1199" s="250"/>
      <c r="C1199" s="894" t="s">
        <v>2940</v>
      </c>
      <c r="D1199" s="829" t="s">
        <v>2941</v>
      </c>
      <c r="E1199" s="795"/>
      <c r="F1199" s="735"/>
      <c r="G1199" s="895"/>
      <c r="H1199" s="261"/>
      <c r="I1199" s="845"/>
      <c r="J1199" s="895"/>
      <c r="K1199" s="895"/>
      <c r="L1199" s="895"/>
      <c r="M1199" s="895"/>
      <c r="N1199" s="847"/>
      <c r="O1199" s="848"/>
      <c r="P1199" s="848"/>
      <c r="Q1199" s="848"/>
      <c r="R1199" s="848"/>
      <c r="S1199" s="848"/>
      <c r="T1199" s="847"/>
      <c r="U1199" s="847"/>
      <c r="V1199" s="848"/>
      <c r="W1199" s="848"/>
      <c r="X1199" s="848"/>
      <c r="Y1199" s="848"/>
      <c r="Z1199" s="848"/>
      <c r="AA1199" s="848"/>
      <c r="AB1199" s="848"/>
      <c r="AC1199" s="848"/>
    </row>
    <row r="1200" spans="1:29" s="788" customFormat="1" ht="15">
      <c r="A1200" s="250"/>
      <c r="C1200" s="894"/>
      <c r="D1200" s="829" t="s">
        <v>2942</v>
      </c>
      <c r="E1200" s="795"/>
      <c r="F1200" s="735"/>
      <c r="G1200" s="895"/>
      <c r="H1200" s="261"/>
      <c r="I1200" s="845"/>
      <c r="J1200" s="895"/>
      <c r="K1200" s="895"/>
      <c r="L1200" s="895"/>
      <c r="M1200" s="895"/>
      <c r="N1200" s="847"/>
      <c r="O1200" s="848"/>
      <c r="P1200" s="848"/>
      <c r="Q1200" s="848"/>
      <c r="R1200" s="848"/>
      <c r="S1200" s="848"/>
      <c r="T1200" s="847"/>
      <c r="U1200" s="847"/>
      <c r="V1200" s="848"/>
      <c r="W1200" s="848"/>
      <c r="X1200" s="848"/>
      <c r="Y1200" s="848"/>
      <c r="Z1200" s="848"/>
      <c r="AA1200" s="848"/>
      <c r="AB1200" s="848"/>
      <c r="AC1200" s="848"/>
    </row>
    <row r="1201" spans="1:29" s="788" customFormat="1" ht="15">
      <c r="A1201" s="250">
        <f>A1197+1</f>
        <v>225</v>
      </c>
      <c r="C1201" s="894" t="s">
        <v>2943</v>
      </c>
      <c r="D1201" s="829" t="s">
        <v>2938</v>
      </c>
      <c r="E1201" s="795" t="s">
        <v>2475</v>
      </c>
      <c r="F1201" s="735">
        <f>N1201+R1201+P1201+T1201+V1201+X1201+Z1201+AB1201</f>
        <v>30</v>
      </c>
      <c r="G1201" s="895">
        <v>0.49</v>
      </c>
      <c r="H1201" s="261">
        <f>O1201+S1201+Q1201+U1201+W1201+Y1201+AA1201+AC1201</f>
        <v>14.7</v>
      </c>
      <c r="I1201" s="845" t="s">
        <v>2475</v>
      </c>
      <c r="J1201" s="895"/>
      <c r="K1201" s="895"/>
      <c r="L1201" s="895"/>
      <c r="M1201" s="895"/>
      <c r="N1201" s="847"/>
      <c r="O1201" s="848"/>
      <c r="P1201" s="848"/>
      <c r="Q1201" s="848"/>
      <c r="R1201" s="848"/>
      <c r="S1201" s="848"/>
      <c r="T1201" s="258">
        <f>T1180</f>
        <v>30</v>
      </c>
      <c r="U1201" s="257">
        <f>INT($G1201*T1201*100+0.5)/100</f>
        <v>14.7</v>
      </c>
      <c r="V1201" s="848"/>
      <c r="W1201" s="848"/>
      <c r="X1201" s="848"/>
      <c r="Y1201" s="848"/>
      <c r="Z1201" s="848"/>
      <c r="AA1201" s="848"/>
      <c r="AB1201" s="848"/>
      <c r="AC1201" s="848"/>
    </row>
    <row r="1202" spans="1:29" s="788" customFormat="1" ht="15">
      <c r="A1202" s="250"/>
      <c r="C1202" s="894"/>
      <c r="D1202" s="829" t="s">
        <v>2939</v>
      </c>
      <c r="E1202" s="795"/>
      <c r="F1202" s="735"/>
      <c r="G1202" s="895"/>
      <c r="H1202" s="261"/>
      <c r="I1202" s="845"/>
      <c r="J1202" s="895"/>
      <c r="K1202" s="895"/>
      <c r="L1202" s="895"/>
      <c r="M1202" s="895"/>
      <c r="N1202" s="847"/>
      <c r="O1202" s="848"/>
      <c r="P1202" s="848"/>
      <c r="Q1202" s="848"/>
      <c r="R1202" s="848"/>
      <c r="S1202" s="848"/>
      <c r="T1202" s="847"/>
      <c r="U1202" s="847"/>
      <c r="V1202" s="848"/>
      <c r="W1202" s="848"/>
      <c r="X1202" s="848"/>
      <c r="Y1202" s="848"/>
      <c r="Z1202" s="848"/>
      <c r="AA1202" s="848"/>
      <c r="AB1202" s="848"/>
      <c r="AC1202" s="848"/>
    </row>
    <row r="1203" spans="1:29" s="788" customFormat="1" ht="15">
      <c r="A1203" s="250"/>
      <c r="C1203" s="894"/>
      <c r="D1203" s="829"/>
      <c r="E1203" s="795"/>
      <c r="F1203" s="735"/>
      <c r="G1203" s="895"/>
      <c r="H1203" s="261"/>
      <c r="I1203" s="845"/>
      <c r="J1203" s="895"/>
      <c r="K1203" s="895"/>
      <c r="L1203" s="895"/>
      <c r="M1203" s="895"/>
      <c r="N1203" s="847"/>
      <c r="O1203" s="848"/>
      <c r="P1203" s="848"/>
      <c r="Q1203" s="848"/>
      <c r="R1203" s="848"/>
      <c r="S1203" s="848"/>
      <c r="T1203" s="847"/>
      <c r="U1203" s="847"/>
      <c r="V1203" s="848"/>
      <c r="W1203" s="848"/>
      <c r="X1203" s="848"/>
      <c r="Y1203" s="848"/>
      <c r="Z1203" s="848"/>
      <c r="AA1203" s="848"/>
      <c r="AB1203" s="848"/>
      <c r="AC1203" s="848"/>
    </row>
    <row r="1204" spans="1:29" s="788" customFormat="1" ht="15">
      <c r="A1204" s="250"/>
      <c r="C1204" s="894" t="s">
        <v>2948</v>
      </c>
      <c r="D1204" s="829" t="s">
        <v>2949</v>
      </c>
      <c r="E1204" s="795"/>
      <c r="F1204" s="735"/>
      <c r="G1204" s="895"/>
      <c r="H1204" s="261"/>
      <c r="I1204" s="845"/>
      <c r="J1204" s="895"/>
      <c r="K1204" s="895"/>
      <c r="L1204" s="895"/>
      <c r="M1204" s="895"/>
      <c r="N1204" s="847"/>
      <c r="O1204" s="848"/>
      <c r="P1204" s="848"/>
      <c r="Q1204" s="848"/>
      <c r="R1204" s="848"/>
      <c r="S1204" s="848"/>
      <c r="T1204" s="847"/>
      <c r="U1204" s="847"/>
      <c r="V1204" s="848"/>
      <c r="W1204" s="848"/>
      <c r="X1204" s="848"/>
      <c r="Y1204" s="848"/>
      <c r="Z1204" s="848"/>
      <c r="AA1204" s="848"/>
      <c r="AB1204" s="848"/>
      <c r="AC1204" s="848"/>
    </row>
    <row r="1205" spans="1:29" s="788" customFormat="1" ht="15">
      <c r="A1205" s="250"/>
      <c r="C1205" s="894"/>
      <c r="D1205" s="829" t="s">
        <v>2950</v>
      </c>
      <c r="E1205" s="795"/>
      <c r="F1205" s="735"/>
      <c r="G1205" s="895"/>
      <c r="H1205" s="261"/>
      <c r="I1205" s="845"/>
      <c r="J1205" s="895"/>
      <c r="K1205" s="895"/>
      <c r="L1205" s="895"/>
      <c r="M1205" s="895"/>
      <c r="N1205" s="847"/>
      <c r="O1205" s="848"/>
      <c r="P1205" s="848"/>
      <c r="Q1205" s="848"/>
      <c r="R1205" s="848"/>
      <c r="S1205" s="848"/>
      <c r="T1205" s="847"/>
      <c r="U1205" s="847"/>
      <c r="V1205" s="848"/>
      <c r="W1205" s="848"/>
      <c r="X1205" s="848"/>
      <c r="Y1205" s="848"/>
      <c r="Z1205" s="848"/>
      <c r="AA1205" s="848"/>
      <c r="AB1205" s="848"/>
      <c r="AC1205" s="848"/>
    </row>
    <row r="1206" spans="1:29" s="788" customFormat="1" ht="15">
      <c r="A1206" s="250">
        <f>A1201+1</f>
        <v>226</v>
      </c>
      <c r="C1206" s="894" t="s">
        <v>2951</v>
      </c>
      <c r="D1206" s="829" t="s">
        <v>2944</v>
      </c>
      <c r="E1206" s="795" t="s">
        <v>1901</v>
      </c>
      <c r="F1206" s="735">
        <f>N1206+R1206+P1206+T1206+V1206+X1206+Z1206+AB1206</f>
        <v>1</v>
      </c>
      <c r="G1206" s="895">
        <v>149.88999999999999</v>
      </c>
      <c r="H1206" s="261">
        <f>O1206+S1206+Q1206+U1206+W1206+Y1206+AA1206+AC1206</f>
        <v>149.88999999999999</v>
      </c>
      <c r="I1206" s="845" t="s">
        <v>1901</v>
      </c>
      <c r="J1206" s="895"/>
      <c r="K1206" s="895"/>
      <c r="L1206" s="895"/>
      <c r="M1206" s="895"/>
      <c r="N1206" s="847"/>
      <c r="O1206" s="848"/>
      <c r="P1206" s="848"/>
      <c r="Q1206" s="848"/>
      <c r="R1206" s="848"/>
      <c r="S1206" s="848"/>
      <c r="T1206" s="258">
        <v>1</v>
      </c>
      <c r="U1206" s="257">
        <f>INT($G1206*T1206*100+0.5)/100</f>
        <v>149.88999999999999</v>
      </c>
      <c r="V1206" s="848"/>
      <c r="W1206" s="848"/>
      <c r="X1206" s="848"/>
      <c r="Y1206" s="848"/>
      <c r="Z1206" s="848"/>
      <c r="AA1206" s="848"/>
      <c r="AB1206" s="848"/>
      <c r="AC1206" s="848"/>
    </row>
    <row r="1207" spans="1:29" s="788" customFormat="1" ht="15">
      <c r="A1207" s="250"/>
      <c r="C1207" s="894"/>
      <c r="D1207" s="829" t="s">
        <v>2945</v>
      </c>
      <c r="E1207" s="795"/>
      <c r="F1207" s="735"/>
      <c r="G1207" s="895"/>
      <c r="H1207" s="261"/>
      <c r="I1207" s="845"/>
      <c r="J1207" s="895"/>
      <c r="K1207" s="895"/>
      <c r="L1207" s="895"/>
      <c r="M1207" s="895"/>
      <c r="N1207" s="847"/>
      <c r="O1207" s="848"/>
      <c r="P1207" s="848"/>
      <c r="Q1207" s="848"/>
      <c r="R1207" s="848"/>
      <c r="S1207" s="848"/>
      <c r="T1207" s="847"/>
      <c r="U1207" s="847"/>
      <c r="V1207" s="848"/>
      <c r="W1207" s="848"/>
      <c r="X1207" s="848"/>
      <c r="Y1207" s="848"/>
      <c r="Z1207" s="848"/>
      <c r="AA1207" s="848"/>
      <c r="AB1207" s="848"/>
      <c r="AC1207" s="848"/>
    </row>
    <row r="1208" spans="1:29" s="788" customFormat="1" ht="15">
      <c r="A1208" s="250">
        <f>A1206+1</f>
        <v>227</v>
      </c>
      <c r="C1208" s="894" t="s">
        <v>2952</v>
      </c>
      <c r="D1208" s="829" t="s">
        <v>2946</v>
      </c>
      <c r="E1208" s="795" t="s">
        <v>1901</v>
      </c>
      <c r="F1208" s="735">
        <f>N1208+R1208+P1208+T1208+V1208+X1208+Z1208+AB1208</f>
        <v>1</v>
      </c>
      <c r="G1208" s="895">
        <v>196.9</v>
      </c>
      <c r="H1208" s="261">
        <f>O1208+S1208+Q1208+U1208+W1208+Y1208+AA1208+AC1208</f>
        <v>196.9</v>
      </c>
      <c r="I1208" s="845" t="s">
        <v>1901</v>
      </c>
      <c r="J1208" s="895"/>
      <c r="K1208" s="895"/>
      <c r="L1208" s="895"/>
      <c r="M1208" s="895"/>
      <c r="N1208" s="847"/>
      <c r="O1208" s="848"/>
      <c r="P1208" s="848"/>
      <c r="Q1208" s="848"/>
      <c r="R1208" s="848"/>
      <c r="S1208" s="848"/>
      <c r="T1208" s="258">
        <v>1</v>
      </c>
      <c r="U1208" s="257">
        <f>INT($G1208*T1208*100+0.5)/100</f>
        <v>196.9</v>
      </c>
      <c r="V1208" s="848"/>
      <c r="W1208" s="848"/>
      <c r="X1208" s="848"/>
      <c r="Y1208" s="848"/>
      <c r="Z1208" s="848"/>
      <c r="AA1208" s="848"/>
      <c r="AB1208" s="848"/>
      <c r="AC1208" s="848"/>
    </row>
    <row r="1209" spans="1:29" s="788" customFormat="1" ht="15">
      <c r="A1209" s="250"/>
      <c r="C1209" s="894"/>
      <c r="D1209" s="829" t="s">
        <v>2947</v>
      </c>
      <c r="E1209" s="795"/>
      <c r="F1209" s="735"/>
      <c r="G1209" s="895"/>
      <c r="H1209" s="261"/>
      <c r="I1209" s="845"/>
      <c r="J1209" s="895"/>
      <c r="K1209" s="895"/>
      <c r="L1209" s="895"/>
      <c r="M1209" s="895"/>
      <c r="N1209" s="847"/>
      <c r="O1209" s="848"/>
      <c r="P1209" s="848"/>
      <c r="Q1209" s="848"/>
      <c r="R1209" s="848"/>
      <c r="S1209" s="848"/>
      <c r="T1209" s="847"/>
      <c r="U1209" s="847"/>
      <c r="V1209" s="848"/>
      <c r="W1209" s="848"/>
      <c r="X1209" s="848"/>
      <c r="Y1209" s="848"/>
      <c r="Z1209" s="848"/>
      <c r="AA1209" s="848"/>
      <c r="AB1209" s="848"/>
      <c r="AC1209" s="848"/>
    </row>
    <row r="1210" spans="1:29" s="788" customFormat="1" ht="15">
      <c r="A1210" s="250"/>
      <c r="C1210" s="894"/>
      <c r="D1210" s="829"/>
      <c r="E1210" s="795"/>
      <c r="F1210" s="735"/>
      <c r="G1210" s="895"/>
      <c r="H1210" s="261"/>
      <c r="I1210" s="845"/>
      <c r="J1210" s="895"/>
      <c r="K1210" s="895"/>
      <c r="L1210" s="895"/>
      <c r="M1210" s="895"/>
      <c r="N1210" s="847"/>
      <c r="O1210" s="848"/>
      <c r="P1210" s="848"/>
      <c r="Q1210" s="848"/>
      <c r="R1210" s="848"/>
      <c r="S1210" s="848"/>
      <c r="T1210" s="847"/>
      <c r="U1210" s="847"/>
      <c r="V1210" s="848"/>
      <c r="W1210" s="848"/>
      <c r="X1210" s="848"/>
      <c r="Y1210" s="848"/>
      <c r="Z1210" s="848"/>
      <c r="AA1210" s="848"/>
      <c r="AB1210" s="848"/>
      <c r="AC1210" s="848"/>
    </row>
    <row r="1211" spans="1:29" s="788" customFormat="1" ht="15">
      <c r="A1211" s="250"/>
      <c r="C1211" s="894" t="s">
        <v>2953</v>
      </c>
      <c r="D1211" s="829" t="s">
        <v>2954</v>
      </c>
      <c r="E1211" s="795"/>
      <c r="F1211" s="735"/>
      <c r="G1211" s="895"/>
      <c r="H1211" s="261"/>
      <c r="I1211" s="845"/>
      <c r="J1211" s="895"/>
      <c r="K1211" s="895"/>
      <c r="L1211" s="895"/>
      <c r="M1211" s="895"/>
      <c r="N1211" s="847"/>
      <c r="O1211" s="848"/>
      <c r="P1211" s="848"/>
      <c r="Q1211" s="848"/>
      <c r="R1211" s="848"/>
      <c r="S1211" s="848"/>
      <c r="T1211" s="847"/>
      <c r="U1211" s="847"/>
      <c r="V1211" s="848"/>
      <c r="W1211" s="848"/>
      <c r="X1211" s="848"/>
      <c r="Y1211" s="848"/>
      <c r="Z1211" s="848"/>
      <c r="AA1211" s="848"/>
      <c r="AB1211" s="848"/>
      <c r="AC1211" s="848"/>
    </row>
    <row r="1212" spans="1:29" s="788" customFormat="1" ht="15">
      <c r="A1212" s="250"/>
      <c r="C1212" s="894"/>
      <c r="D1212" s="829" t="s">
        <v>2955</v>
      </c>
      <c r="E1212" s="795"/>
      <c r="F1212" s="735"/>
      <c r="G1212" s="895"/>
      <c r="H1212" s="261"/>
      <c r="I1212" s="845"/>
      <c r="J1212" s="895"/>
      <c r="K1212" s="895"/>
      <c r="L1212" s="895"/>
      <c r="M1212" s="895"/>
      <c r="N1212" s="847"/>
      <c r="O1212" s="848"/>
      <c r="P1212" s="848"/>
      <c r="Q1212" s="848"/>
      <c r="R1212" s="848"/>
      <c r="S1212" s="848"/>
      <c r="T1212" s="847"/>
      <c r="U1212" s="847"/>
      <c r="V1212" s="848"/>
      <c r="W1212" s="848"/>
      <c r="X1212" s="848"/>
      <c r="Y1212" s="848"/>
      <c r="Z1212" s="848"/>
      <c r="AA1212" s="848"/>
      <c r="AB1212" s="848"/>
      <c r="AC1212" s="848"/>
    </row>
    <row r="1213" spans="1:29" s="788" customFormat="1" ht="15">
      <c r="A1213" s="250"/>
      <c r="C1213" s="894" t="s">
        <v>2956</v>
      </c>
      <c r="D1213" s="829" t="s">
        <v>2957</v>
      </c>
      <c r="E1213" s="795"/>
      <c r="F1213" s="735"/>
      <c r="G1213" s="895"/>
      <c r="H1213" s="261"/>
      <c r="I1213" s="845"/>
      <c r="J1213" s="895"/>
      <c r="K1213" s="895"/>
      <c r="L1213" s="895"/>
      <c r="M1213" s="895"/>
      <c r="N1213" s="847"/>
      <c r="O1213" s="848"/>
      <c r="P1213" s="848"/>
      <c r="Q1213" s="848"/>
      <c r="R1213" s="848"/>
      <c r="S1213" s="848"/>
      <c r="T1213" s="847"/>
      <c r="U1213" s="847"/>
      <c r="V1213" s="848"/>
      <c r="W1213" s="848"/>
      <c r="X1213" s="848"/>
      <c r="Y1213" s="848"/>
      <c r="Z1213" s="848"/>
      <c r="AA1213" s="848"/>
      <c r="AB1213" s="848"/>
      <c r="AC1213" s="848"/>
    </row>
    <row r="1214" spans="1:29" s="788" customFormat="1" ht="15">
      <c r="A1214" s="250"/>
      <c r="C1214" s="894"/>
      <c r="D1214" s="829" t="s">
        <v>2958</v>
      </c>
      <c r="E1214" s="795"/>
      <c r="F1214" s="735"/>
      <c r="G1214" s="895"/>
      <c r="H1214" s="261"/>
      <c r="I1214" s="845"/>
      <c r="J1214" s="895"/>
      <c r="K1214" s="895"/>
      <c r="L1214" s="895"/>
      <c r="M1214" s="895"/>
      <c r="N1214" s="847"/>
      <c r="O1214" s="848"/>
      <c r="P1214" s="848"/>
      <c r="Q1214" s="848"/>
      <c r="R1214" s="848"/>
      <c r="S1214" s="848"/>
      <c r="T1214" s="847"/>
      <c r="U1214" s="847"/>
      <c r="V1214" s="848"/>
      <c r="W1214" s="848"/>
      <c r="X1214" s="848"/>
      <c r="Y1214" s="848"/>
      <c r="Z1214" s="848"/>
      <c r="AA1214" s="848"/>
      <c r="AB1214" s="848"/>
      <c r="AC1214" s="848"/>
    </row>
    <row r="1215" spans="1:29" s="788" customFormat="1" ht="15">
      <c r="A1215" s="250">
        <f>A1208+1</f>
        <v>228</v>
      </c>
      <c r="C1215" s="894" t="s">
        <v>2959</v>
      </c>
      <c r="D1215" s="829" t="s">
        <v>2930</v>
      </c>
      <c r="E1215" s="795" t="s">
        <v>1901</v>
      </c>
      <c r="F1215" s="735">
        <f>N1215+R1215+P1215+T1215+V1215+X1215+Z1215+AB1215</f>
        <v>1</v>
      </c>
      <c r="G1215" s="895">
        <v>4369.87</v>
      </c>
      <c r="H1215" s="261">
        <f>O1215+S1215+Q1215+U1215+W1215+Y1215+AA1215+AC1215</f>
        <v>4369.87</v>
      </c>
      <c r="I1215" s="845" t="s">
        <v>1901</v>
      </c>
      <c r="J1215" s="895"/>
      <c r="K1215" s="895"/>
      <c r="L1215" s="895"/>
      <c r="M1215" s="895"/>
      <c r="N1215" s="847"/>
      <c r="O1215" s="848"/>
      <c r="P1215" s="848"/>
      <c r="Q1215" s="848"/>
      <c r="R1215" s="848"/>
      <c r="S1215" s="848"/>
      <c r="T1215" s="258">
        <v>1</v>
      </c>
      <c r="U1215" s="257">
        <f>INT($G1215*T1215*100+0.5)/100</f>
        <v>4369.87</v>
      </c>
      <c r="V1215" s="848"/>
      <c r="W1215" s="848"/>
      <c r="X1215" s="848"/>
      <c r="Y1215" s="848"/>
      <c r="Z1215" s="848"/>
      <c r="AA1215" s="848"/>
      <c r="AB1215" s="848"/>
      <c r="AC1215" s="848"/>
    </row>
    <row r="1216" spans="1:29" s="788" customFormat="1" ht="15">
      <c r="A1216" s="250"/>
      <c r="C1216" s="894"/>
      <c r="D1216" s="829"/>
      <c r="E1216" s="795"/>
      <c r="F1216" s="735"/>
      <c r="G1216" s="895"/>
      <c r="H1216" s="261"/>
      <c r="I1216" s="845"/>
      <c r="J1216" s="895"/>
      <c r="K1216" s="895"/>
      <c r="L1216" s="895"/>
      <c r="M1216" s="895"/>
      <c r="N1216" s="847"/>
      <c r="O1216" s="848"/>
      <c r="P1216" s="848"/>
      <c r="Q1216" s="848"/>
      <c r="R1216" s="848"/>
      <c r="S1216" s="848"/>
      <c r="T1216" s="847"/>
      <c r="U1216" s="847"/>
      <c r="V1216" s="848"/>
      <c r="W1216" s="848"/>
      <c r="X1216" s="848"/>
      <c r="Y1216" s="848"/>
      <c r="Z1216" s="848"/>
      <c r="AA1216" s="848"/>
      <c r="AB1216" s="848"/>
      <c r="AC1216" s="848"/>
    </row>
    <row r="1217" spans="1:29" s="788" customFormat="1" ht="25.5">
      <c r="A1217" s="250"/>
      <c r="C1217" s="894" t="s">
        <v>2960</v>
      </c>
      <c r="D1217" s="829" t="s">
        <v>2961</v>
      </c>
      <c r="E1217" s="795"/>
      <c r="F1217" s="735"/>
      <c r="G1217" s="895"/>
      <c r="H1217" s="261"/>
      <c r="I1217" s="845"/>
      <c r="J1217" s="895"/>
      <c r="K1217" s="895"/>
      <c r="L1217" s="895"/>
      <c r="M1217" s="895"/>
      <c r="N1217" s="847"/>
      <c r="O1217" s="848"/>
      <c r="P1217" s="848"/>
      <c r="Q1217" s="848"/>
      <c r="R1217" s="848"/>
      <c r="S1217" s="848"/>
      <c r="T1217" s="847"/>
      <c r="U1217" s="847"/>
      <c r="V1217" s="848"/>
      <c r="W1217" s="848"/>
      <c r="X1217" s="848"/>
      <c r="Y1217" s="848"/>
      <c r="Z1217" s="848"/>
      <c r="AA1217" s="848"/>
      <c r="AB1217" s="848"/>
      <c r="AC1217" s="848"/>
    </row>
    <row r="1218" spans="1:29" s="788" customFormat="1" ht="25.5">
      <c r="A1218" s="250"/>
      <c r="C1218" s="894"/>
      <c r="D1218" s="829" t="s">
        <v>2962</v>
      </c>
      <c r="E1218" s="795"/>
      <c r="F1218" s="735"/>
      <c r="G1218" s="895"/>
      <c r="H1218" s="261"/>
      <c r="I1218" s="845"/>
      <c r="J1218" s="895"/>
      <c r="K1218" s="895"/>
      <c r="L1218" s="895"/>
      <c r="M1218" s="895"/>
      <c r="N1218" s="847"/>
      <c r="O1218" s="848"/>
      <c r="P1218" s="848"/>
      <c r="Q1218" s="848"/>
      <c r="R1218" s="848"/>
      <c r="S1218" s="848"/>
      <c r="T1218" s="847"/>
      <c r="U1218" s="847"/>
      <c r="V1218" s="848"/>
      <c r="W1218" s="848"/>
      <c r="X1218" s="848"/>
      <c r="Y1218" s="848"/>
      <c r="Z1218" s="848"/>
      <c r="AA1218" s="848"/>
      <c r="AB1218" s="848"/>
      <c r="AC1218" s="848"/>
    </row>
    <row r="1219" spans="1:29" s="788" customFormat="1" ht="15">
      <c r="A1219" s="250">
        <f>A1215+1</f>
        <v>229</v>
      </c>
      <c r="C1219" s="894" t="s">
        <v>2963</v>
      </c>
      <c r="D1219" s="829" t="s">
        <v>2928</v>
      </c>
      <c r="E1219" s="795" t="s">
        <v>1901</v>
      </c>
      <c r="F1219" s="735">
        <f>N1219+R1219+P1219+T1219+V1219+X1219+Z1219+AB1219</f>
        <v>1</v>
      </c>
      <c r="G1219" s="895">
        <v>2077.1799999999998</v>
      </c>
      <c r="H1219" s="261">
        <f t="shared" ref="H1219:H1224" si="48">O1219+S1219+Q1219+U1219+W1219+Y1219+AA1219+AC1219</f>
        <v>2077.1799999999998</v>
      </c>
      <c r="I1219" s="845" t="s">
        <v>1901</v>
      </c>
      <c r="J1219" s="895"/>
      <c r="K1219" s="895"/>
      <c r="L1219" s="895"/>
      <c r="M1219" s="895"/>
      <c r="N1219" s="847"/>
      <c r="O1219" s="848"/>
      <c r="P1219" s="848"/>
      <c r="Q1219" s="848"/>
      <c r="R1219" s="848"/>
      <c r="S1219" s="848"/>
      <c r="T1219" s="258">
        <v>1</v>
      </c>
      <c r="U1219" s="257">
        <f>INT($G1219*T1219*100+0.5)/100</f>
        <v>2077.1799999999998</v>
      </c>
      <c r="V1219" s="848"/>
      <c r="W1219" s="848"/>
      <c r="X1219" s="848"/>
      <c r="Y1219" s="848"/>
      <c r="Z1219" s="848"/>
      <c r="AA1219" s="848"/>
      <c r="AB1219" s="848"/>
      <c r="AC1219" s="848"/>
    </row>
    <row r="1220" spans="1:29" s="788" customFormat="1" ht="15">
      <c r="A1220" s="250">
        <f>A1219+1</f>
        <v>230</v>
      </c>
      <c r="C1220" s="894" t="s">
        <v>2964</v>
      </c>
      <c r="D1220" s="829" t="s">
        <v>2929</v>
      </c>
      <c r="E1220" s="795" t="s">
        <v>1901</v>
      </c>
      <c r="F1220" s="735">
        <f>N1220+R1220+P1220+T1220+V1220+X1220+Z1220+AB1220</f>
        <v>1</v>
      </c>
      <c r="G1220" s="895">
        <v>2185.9</v>
      </c>
      <c r="H1220" s="261">
        <f t="shared" si="48"/>
        <v>2185.9</v>
      </c>
      <c r="I1220" s="845" t="s">
        <v>1901</v>
      </c>
      <c r="J1220" s="895"/>
      <c r="K1220" s="895"/>
      <c r="L1220" s="895"/>
      <c r="M1220" s="895"/>
      <c r="N1220" s="847"/>
      <c r="O1220" s="848"/>
      <c r="P1220" s="848"/>
      <c r="Q1220" s="848"/>
      <c r="R1220" s="848"/>
      <c r="S1220" s="848"/>
      <c r="T1220" s="258">
        <v>1</v>
      </c>
      <c r="U1220" s="257">
        <f>INT($G1220*T1220*100+0.5)/100</f>
        <v>2185.9</v>
      </c>
      <c r="V1220" s="848"/>
      <c r="W1220" s="848"/>
      <c r="X1220" s="848"/>
      <c r="Y1220" s="848"/>
      <c r="Z1220" s="848"/>
      <c r="AA1220" s="848"/>
      <c r="AB1220" s="848"/>
      <c r="AC1220" s="848"/>
    </row>
    <row r="1221" spans="1:29" s="788" customFormat="1" ht="15">
      <c r="A1221" s="250"/>
      <c r="C1221" s="894"/>
      <c r="D1221" s="829"/>
      <c r="E1221" s="795"/>
      <c r="F1221" s="735"/>
      <c r="G1221" s="895"/>
      <c r="H1221" s="261"/>
      <c r="I1221" s="845"/>
      <c r="J1221" s="895"/>
      <c r="K1221" s="895"/>
      <c r="L1221" s="895"/>
      <c r="M1221" s="895"/>
      <c r="N1221" s="847"/>
      <c r="O1221" s="848"/>
      <c r="P1221" s="848"/>
      <c r="Q1221" s="848"/>
      <c r="R1221" s="848"/>
      <c r="S1221" s="848"/>
      <c r="T1221" s="847"/>
      <c r="U1221" s="847"/>
      <c r="V1221" s="848"/>
      <c r="W1221" s="848"/>
      <c r="X1221" s="848"/>
      <c r="Y1221" s="848"/>
      <c r="Z1221" s="848"/>
      <c r="AA1221" s="848"/>
      <c r="AB1221" s="848"/>
      <c r="AC1221" s="848"/>
    </row>
    <row r="1222" spans="1:29" s="788" customFormat="1" ht="25.5">
      <c r="A1222" s="250"/>
      <c r="C1222" s="894" t="s">
        <v>2965</v>
      </c>
      <c r="D1222" s="829" t="s">
        <v>2966</v>
      </c>
      <c r="E1222" s="795"/>
      <c r="F1222" s="735"/>
      <c r="G1222" s="895"/>
      <c r="H1222" s="261"/>
      <c r="I1222" s="845"/>
      <c r="J1222" s="895"/>
      <c r="K1222" s="895"/>
      <c r="L1222" s="895"/>
      <c r="M1222" s="895"/>
      <c r="N1222" s="847"/>
      <c r="O1222" s="848"/>
      <c r="P1222" s="848"/>
      <c r="Q1222" s="848"/>
      <c r="R1222" s="848"/>
      <c r="S1222" s="848"/>
      <c r="T1222" s="847"/>
      <c r="U1222" s="847"/>
      <c r="V1222" s="848"/>
      <c r="W1222" s="848"/>
      <c r="X1222" s="848"/>
      <c r="Y1222" s="848"/>
      <c r="Z1222" s="848"/>
      <c r="AA1222" s="848"/>
      <c r="AB1222" s="848"/>
      <c r="AC1222" s="848"/>
    </row>
    <row r="1223" spans="1:29" s="788" customFormat="1" ht="25.5">
      <c r="A1223" s="250"/>
      <c r="C1223" s="894"/>
      <c r="D1223" s="829" t="s">
        <v>2967</v>
      </c>
      <c r="E1223" s="795"/>
      <c r="F1223" s="735"/>
      <c r="G1223" s="895"/>
      <c r="H1223" s="261"/>
      <c r="I1223" s="845"/>
      <c r="J1223" s="895"/>
      <c r="K1223" s="895"/>
      <c r="L1223" s="895"/>
      <c r="M1223" s="895"/>
      <c r="N1223" s="847"/>
      <c r="O1223" s="848"/>
      <c r="P1223" s="848"/>
      <c r="Q1223" s="848"/>
      <c r="R1223" s="848"/>
      <c r="S1223" s="848"/>
      <c r="T1223" s="847"/>
      <c r="U1223" s="847"/>
      <c r="V1223" s="848"/>
      <c r="W1223" s="848"/>
      <c r="X1223" s="848"/>
      <c r="Y1223" s="848"/>
      <c r="Z1223" s="848"/>
      <c r="AA1223" s="848"/>
      <c r="AB1223" s="848"/>
      <c r="AC1223" s="848"/>
    </row>
    <row r="1224" spans="1:29" s="788" customFormat="1" ht="25.5">
      <c r="A1224" s="250">
        <f>A1220+1</f>
        <v>231</v>
      </c>
      <c r="C1224" s="894" t="s">
        <v>2968</v>
      </c>
      <c r="D1224" s="829" t="s">
        <v>2969</v>
      </c>
      <c r="E1224" s="795" t="s">
        <v>2657</v>
      </c>
      <c r="F1224" s="735">
        <f>N1224+R1224+P1224+T1224+V1224+X1224+Z1224+AB1224</f>
        <v>2</v>
      </c>
      <c r="G1224" s="895">
        <v>1000.4</v>
      </c>
      <c r="H1224" s="261">
        <f t="shared" si="48"/>
        <v>2000.8</v>
      </c>
      <c r="I1224" s="845" t="s">
        <v>2657</v>
      </c>
      <c r="J1224" s="895"/>
      <c r="K1224" s="895"/>
      <c r="L1224" s="895"/>
      <c r="M1224" s="895"/>
      <c r="N1224" s="847"/>
      <c r="O1224" s="848"/>
      <c r="P1224" s="848"/>
      <c r="Q1224" s="848"/>
      <c r="R1224" s="848"/>
      <c r="S1224" s="848"/>
      <c r="T1224" s="258">
        <v>2</v>
      </c>
      <c r="U1224" s="257">
        <f>INT($G1224*T1224*100+0.5)/100</f>
        <v>2000.8</v>
      </c>
      <c r="V1224" s="848"/>
      <c r="W1224" s="848"/>
      <c r="X1224" s="848"/>
      <c r="Y1224" s="848"/>
      <c r="Z1224" s="848"/>
      <c r="AA1224" s="848"/>
      <c r="AB1224" s="848"/>
      <c r="AC1224" s="848"/>
    </row>
    <row r="1225" spans="1:29" s="788" customFormat="1" ht="25.5">
      <c r="A1225" s="250"/>
      <c r="C1225" s="894"/>
      <c r="D1225" s="829" t="s">
        <v>2970</v>
      </c>
      <c r="E1225" s="795"/>
      <c r="F1225" s="735"/>
      <c r="G1225" s="895"/>
      <c r="H1225" s="261"/>
      <c r="I1225" s="845"/>
      <c r="J1225" s="895"/>
      <c r="K1225" s="895"/>
      <c r="L1225" s="895"/>
      <c r="M1225" s="895"/>
      <c r="N1225" s="847"/>
      <c r="O1225" s="848"/>
      <c r="P1225" s="848"/>
      <c r="Q1225" s="848"/>
      <c r="R1225" s="848"/>
      <c r="S1225" s="848"/>
      <c r="T1225" s="847"/>
      <c r="U1225" s="847"/>
      <c r="V1225" s="848"/>
      <c r="W1225" s="848"/>
      <c r="X1225" s="848"/>
      <c r="Y1225" s="848"/>
      <c r="Z1225" s="848"/>
      <c r="AA1225" s="848"/>
      <c r="AB1225" s="848"/>
      <c r="AC1225" s="848"/>
    </row>
    <row r="1226" spans="1:29" s="788" customFormat="1" ht="15">
      <c r="A1226" s="250"/>
      <c r="C1226" s="894"/>
      <c r="D1226" s="829"/>
      <c r="E1226" s="795"/>
      <c r="F1226" s="735"/>
      <c r="G1226" s="895"/>
      <c r="H1226" s="261"/>
      <c r="I1226" s="845"/>
      <c r="J1226" s="895"/>
      <c r="K1226" s="895"/>
      <c r="L1226" s="895"/>
      <c r="M1226" s="895"/>
      <c r="N1226" s="847"/>
      <c r="O1226" s="848"/>
      <c r="P1226" s="848"/>
      <c r="Q1226" s="848"/>
      <c r="R1226" s="848"/>
      <c r="S1226" s="848"/>
      <c r="T1226" s="847"/>
      <c r="U1226" s="847"/>
      <c r="V1226" s="848"/>
      <c r="W1226" s="848"/>
      <c r="X1226" s="848"/>
      <c r="Y1226" s="848"/>
      <c r="Z1226" s="848"/>
      <c r="AA1226" s="848"/>
      <c r="AB1226" s="848"/>
      <c r="AC1226" s="848"/>
    </row>
    <row r="1227" spans="1:29" s="788" customFormat="1" ht="15">
      <c r="A1227" s="250"/>
      <c r="C1227" s="894" t="s">
        <v>2971</v>
      </c>
      <c r="D1227" s="829" t="s">
        <v>2972</v>
      </c>
      <c r="E1227" s="795"/>
      <c r="F1227" s="735"/>
      <c r="G1227" s="895"/>
      <c r="H1227" s="261"/>
      <c r="I1227" s="845"/>
      <c r="J1227" s="895"/>
      <c r="K1227" s="895"/>
      <c r="L1227" s="895"/>
      <c r="M1227" s="895"/>
      <c r="N1227" s="847"/>
      <c r="O1227" s="848"/>
      <c r="P1227" s="848"/>
      <c r="Q1227" s="848"/>
      <c r="R1227" s="848"/>
      <c r="S1227" s="848"/>
      <c r="T1227" s="847"/>
      <c r="U1227" s="847"/>
      <c r="V1227" s="848"/>
      <c r="W1227" s="848"/>
      <c r="X1227" s="848"/>
      <c r="Y1227" s="848"/>
      <c r="Z1227" s="848"/>
      <c r="AA1227" s="848"/>
      <c r="AB1227" s="848"/>
      <c r="AC1227" s="848"/>
    </row>
    <row r="1228" spans="1:29" s="788" customFormat="1" ht="15">
      <c r="A1228" s="250"/>
      <c r="C1228" s="894"/>
      <c r="D1228" s="829" t="s">
        <v>2973</v>
      </c>
      <c r="E1228" s="795"/>
      <c r="F1228" s="735"/>
      <c r="G1228" s="895"/>
      <c r="H1228" s="261"/>
      <c r="I1228" s="845"/>
      <c r="J1228" s="895"/>
      <c r="K1228" s="895"/>
      <c r="L1228" s="895"/>
      <c r="M1228" s="895"/>
      <c r="N1228" s="847"/>
      <c r="O1228" s="848"/>
      <c r="P1228" s="848"/>
      <c r="Q1228" s="848"/>
      <c r="R1228" s="848"/>
      <c r="S1228" s="848"/>
      <c r="T1228" s="847"/>
      <c r="U1228" s="847"/>
      <c r="V1228" s="848"/>
      <c r="W1228" s="848"/>
      <c r="X1228" s="848"/>
      <c r="Y1228" s="848"/>
      <c r="Z1228" s="848"/>
      <c r="AA1228" s="848"/>
      <c r="AB1228" s="848"/>
      <c r="AC1228" s="848"/>
    </row>
    <row r="1229" spans="1:29" s="788" customFormat="1" ht="15">
      <c r="A1229" s="250">
        <f>A1224+1</f>
        <v>232</v>
      </c>
      <c r="C1229" s="894" t="s">
        <v>2974</v>
      </c>
      <c r="D1229" s="829" t="s">
        <v>2975</v>
      </c>
      <c r="E1229" s="795" t="s">
        <v>1901</v>
      </c>
      <c r="F1229" s="735">
        <f>N1229+R1229+P1229+T1229+V1229+X1229+Z1229+AB1229</f>
        <v>2</v>
      </c>
      <c r="G1229" s="895">
        <v>111.48</v>
      </c>
      <c r="H1229" s="261">
        <f>O1229+S1229+Q1229+U1229+W1229+Y1229+AA1229+AC1229</f>
        <v>222.96</v>
      </c>
      <c r="I1229" s="845" t="s">
        <v>1901</v>
      </c>
      <c r="J1229" s="895"/>
      <c r="K1229" s="895"/>
      <c r="L1229" s="895"/>
      <c r="M1229" s="895"/>
      <c r="N1229" s="847"/>
      <c r="O1229" s="848"/>
      <c r="P1229" s="848"/>
      <c r="Q1229" s="848"/>
      <c r="R1229" s="848"/>
      <c r="S1229" s="848"/>
      <c r="T1229" s="258">
        <v>2</v>
      </c>
      <c r="U1229" s="257">
        <f>INT($G1229*T1229*100+0.5)/100</f>
        <v>222.96</v>
      </c>
      <c r="V1229" s="848"/>
      <c r="W1229" s="848"/>
      <c r="X1229" s="848"/>
      <c r="Y1229" s="848"/>
      <c r="Z1229" s="848"/>
      <c r="AA1229" s="848"/>
      <c r="AB1229" s="848"/>
      <c r="AC1229" s="848"/>
    </row>
    <row r="1230" spans="1:29" s="788" customFormat="1" ht="15">
      <c r="A1230" s="250"/>
      <c r="C1230" s="894"/>
      <c r="D1230" s="829" t="s">
        <v>2976</v>
      </c>
      <c r="E1230" s="795"/>
      <c r="F1230" s="735"/>
      <c r="G1230" s="895"/>
      <c r="H1230" s="261"/>
      <c r="I1230" s="845"/>
      <c r="J1230" s="895"/>
      <c r="K1230" s="895"/>
      <c r="L1230" s="895"/>
      <c r="M1230" s="895"/>
      <c r="N1230" s="847"/>
      <c r="O1230" s="848"/>
      <c r="P1230" s="848"/>
      <c r="Q1230" s="848"/>
      <c r="R1230" s="848"/>
      <c r="S1230" s="848"/>
      <c r="T1230" s="847"/>
      <c r="U1230" s="847"/>
      <c r="V1230" s="848"/>
      <c r="W1230" s="848"/>
      <c r="X1230" s="848"/>
      <c r="Y1230" s="848"/>
      <c r="Z1230" s="848"/>
      <c r="AA1230" s="848"/>
      <c r="AB1230" s="848"/>
      <c r="AC1230" s="848"/>
    </row>
    <row r="1231" spans="1:29" s="788" customFormat="1" ht="15">
      <c r="A1231" s="250"/>
      <c r="C1231" s="894"/>
      <c r="D1231" s="829"/>
      <c r="E1231" s="795"/>
      <c r="F1231" s="735"/>
      <c r="G1231" s="895"/>
      <c r="H1231" s="261"/>
      <c r="I1231" s="845"/>
      <c r="J1231" s="895"/>
      <c r="K1231" s="895"/>
      <c r="L1231" s="895"/>
      <c r="M1231" s="895"/>
      <c r="N1231" s="847"/>
      <c r="O1231" s="848"/>
      <c r="P1231" s="848"/>
      <c r="Q1231" s="848"/>
      <c r="R1231" s="848"/>
      <c r="S1231" s="848"/>
      <c r="T1231" s="847"/>
      <c r="U1231" s="847"/>
      <c r="V1231" s="848"/>
      <c r="W1231" s="848"/>
      <c r="X1231" s="848"/>
      <c r="Y1231" s="848"/>
      <c r="Z1231" s="848"/>
      <c r="AA1231" s="848"/>
      <c r="AB1231" s="848"/>
      <c r="AC1231" s="848"/>
    </row>
    <row r="1232" spans="1:29" s="788" customFormat="1" ht="15">
      <c r="A1232" s="250"/>
      <c r="C1232" s="894" t="s">
        <v>2977</v>
      </c>
      <c r="D1232" s="829" t="s">
        <v>2978</v>
      </c>
      <c r="E1232" s="795"/>
      <c r="F1232" s="735"/>
      <c r="G1232" s="895"/>
      <c r="H1232" s="261"/>
      <c r="I1232" s="845"/>
      <c r="J1232" s="895"/>
      <c r="K1232" s="895"/>
      <c r="L1232" s="895"/>
      <c r="M1232" s="895"/>
      <c r="N1232" s="847"/>
      <c r="O1232" s="848"/>
      <c r="P1232" s="848"/>
      <c r="Q1232" s="848"/>
      <c r="R1232" s="848"/>
      <c r="S1232" s="848"/>
      <c r="T1232" s="847"/>
      <c r="U1232" s="847"/>
      <c r="V1232" s="848"/>
      <c r="W1232" s="848"/>
      <c r="X1232" s="848"/>
      <c r="Y1232" s="848"/>
      <c r="Z1232" s="848"/>
      <c r="AA1232" s="848"/>
      <c r="AB1232" s="848"/>
      <c r="AC1232" s="848"/>
    </row>
    <row r="1233" spans="1:29" s="788" customFormat="1" ht="15">
      <c r="A1233" s="250"/>
      <c r="C1233" s="894"/>
      <c r="D1233" s="829" t="s">
        <v>2979</v>
      </c>
      <c r="E1233" s="795"/>
      <c r="F1233" s="735"/>
      <c r="G1233" s="895"/>
      <c r="H1233" s="261"/>
      <c r="I1233" s="845"/>
      <c r="J1233" s="895"/>
      <c r="K1233" s="895"/>
      <c r="L1233" s="895"/>
      <c r="M1233" s="895"/>
      <c r="N1233" s="847"/>
      <c r="O1233" s="848"/>
      <c r="P1233" s="848"/>
      <c r="Q1233" s="848"/>
      <c r="R1233" s="848"/>
      <c r="S1233" s="848"/>
      <c r="T1233" s="847"/>
      <c r="U1233" s="847"/>
      <c r="V1233" s="848"/>
      <c r="W1233" s="848"/>
      <c r="X1233" s="848"/>
      <c r="Y1233" s="848"/>
      <c r="Z1233" s="848"/>
      <c r="AA1233" s="848"/>
      <c r="AB1233" s="848"/>
      <c r="AC1233" s="848"/>
    </row>
    <row r="1234" spans="1:29" s="788" customFormat="1" ht="15">
      <c r="A1234" s="250">
        <f>A1229+1</f>
        <v>233</v>
      </c>
      <c r="C1234" s="894" t="s">
        <v>2980</v>
      </c>
      <c r="D1234" s="829" t="s">
        <v>2981</v>
      </c>
      <c r="E1234" s="795" t="s">
        <v>1901</v>
      </c>
      <c r="F1234" s="735">
        <f>N1234+R1234+P1234+T1234+V1234+X1234+Z1234+AB1234</f>
        <v>2</v>
      </c>
      <c r="G1234" s="895">
        <v>146.41</v>
      </c>
      <c r="H1234" s="261">
        <f>O1234+S1234+Q1234+U1234+W1234+Y1234+AA1234+AC1234</f>
        <v>292.82</v>
      </c>
      <c r="I1234" s="845" t="s">
        <v>1901</v>
      </c>
      <c r="J1234" s="895"/>
      <c r="K1234" s="895"/>
      <c r="L1234" s="895"/>
      <c r="M1234" s="895"/>
      <c r="N1234" s="847"/>
      <c r="O1234" s="848"/>
      <c r="P1234" s="848"/>
      <c r="Q1234" s="848"/>
      <c r="R1234" s="848"/>
      <c r="S1234" s="848"/>
      <c r="T1234" s="258">
        <v>2</v>
      </c>
      <c r="U1234" s="257">
        <f>INT($G1234*T1234*100+0.5)/100</f>
        <v>292.82</v>
      </c>
      <c r="V1234" s="848"/>
      <c r="W1234" s="848"/>
      <c r="X1234" s="848"/>
      <c r="Y1234" s="848"/>
      <c r="Z1234" s="848"/>
      <c r="AA1234" s="848"/>
      <c r="AB1234" s="848"/>
      <c r="AC1234" s="848"/>
    </row>
    <row r="1235" spans="1:29" s="788" customFormat="1" ht="15">
      <c r="A1235" s="250"/>
      <c r="C1235" s="894"/>
      <c r="D1235" s="829" t="s">
        <v>2982</v>
      </c>
      <c r="E1235" s="795"/>
      <c r="F1235" s="735"/>
      <c r="G1235" s="895"/>
      <c r="H1235" s="844"/>
      <c r="I1235" s="845"/>
      <c r="J1235" s="895"/>
      <c r="K1235" s="895"/>
      <c r="L1235" s="895"/>
      <c r="M1235" s="895"/>
      <c r="N1235" s="847"/>
      <c r="O1235" s="848"/>
      <c r="P1235" s="848"/>
      <c r="Q1235" s="848"/>
      <c r="R1235" s="848"/>
      <c r="S1235" s="848"/>
      <c r="T1235" s="847"/>
      <c r="U1235" s="847"/>
      <c r="V1235" s="848"/>
      <c r="W1235" s="848"/>
      <c r="X1235" s="848"/>
      <c r="Y1235" s="848"/>
      <c r="Z1235" s="848"/>
      <c r="AA1235" s="848"/>
      <c r="AB1235" s="848"/>
      <c r="AC1235" s="848"/>
    </row>
    <row r="1236" spans="1:29" s="788" customFormat="1" ht="15">
      <c r="A1236" s="250"/>
      <c r="C1236" s="837"/>
      <c r="D1236" s="829"/>
      <c r="E1236" s="795"/>
      <c r="F1236" s="735"/>
      <c r="G1236" s="846"/>
      <c r="H1236" s="844"/>
      <c r="I1236" s="845"/>
      <c r="J1236" s="846"/>
      <c r="K1236" s="846"/>
      <c r="L1236" s="846"/>
      <c r="M1236" s="846"/>
      <c r="N1236" s="847"/>
      <c r="O1236" s="848"/>
      <c r="P1236" s="848"/>
      <c r="Q1236" s="848"/>
      <c r="R1236" s="848"/>
      <c r="S1236" s="848"/>
      <c r="T1236" s="847"/>
      <c r="U1236" s="847"/>
      <c r="V1236" s="848"/>
      <c r="W1236" s="848"/>
      <c r="X1236" s="848"/>
      <c r="Y1236" s="848"/>
      <c r="Z1236" s="848"/>
      <c r="AA1236" s="848"/>
      <c r="AB1236" s="848"/>
      <c r="AC1236" s="848"/>
    </row>
    <row r="1237" spans="1:29" s="303" customFormat="1" ht="30">
      <c r="A1237" s="298"/>
      <c r="B1237" s="299"/>
      <c r="C1237" s="266" t="s">
        <v>2884</v>
      </c>
      <c r="D1237" s="333" t="s">
        <v>2983</v>
      </c>
      <c r="E1237" s="299"/>
      <c r="F1237" s="782"/>
      <c r="G1237" s="273"/>
      <c r="H1237" s="271">
        <f>O1237+S1237+Q1237+U1237+W1237+Y1237+AA1237+AC1237</f>
        <v>15954.379999999996</v>
      </c>
      <c r="I1237" s="699"/>
      <c r="J1237" s="273"/>
      <c r="K1237" s="273"/>
      <c r="L1237" s="273"/>
      <c r="M1237" s="273"/>
      <c r="N1237" s="273"/>
      <c r="O1237" s="273"/>
      <c r="P1237" s="273"/>
      <c r="Q1237" s="273"/>
      <c r="R1237" s="273"/>
      <c r="S1237" s="273"/>
      <c r="T1237" s="273"/>
      <c r="U1237" s="273">
        <f>SUM(U1158:U1236)</f>
        <v>15954.379999999996</v>
      </c>
      <c r="V1237" s="273"/>
      <c r="W1237" s="273"/>
      <c r="X1237" s="273"/>
      <c r="Y1237" s="273"/>
      <c r="Z1237" s="273"/>
      <c r="AA1237" s="273"/>
      <c r="AB1237" s="273"/>
      <c r="AC1237" s="273"/>
    </row>
    <row r="1238" spans="1:29" ht="15">
      <c r="D1238" s="191"/>
      <c r="F1238" s="733" t="s">
        <v>2660</v>
      </c>
      <c r="H1238" s="786"/>
      <c r="N1238" s="793"/>
      <c r="O1238" s="793"/>
      <c r="P1238" s="793"/>
      <c r="Q1238" s="793"/>
      <c r="R1238" s="793"/>
      <c r="S1238" s="793"/>
      <c r="T1238" s="793"/>
      <c r="U1238" s="793"/>
      <c r="V1238" s="793"/>
      <c r="W1238" s="793"/>
      <c r="X1238" s="793"/>
      <c r="Y1238" s="793"/>
      <c r="Z1238" s="793"/>
      <c r="AA1238" s="793"/>
      <c r="AB1238" s="793"/>
      <c r="AC1238" s="793"/>
    </row>
    <row r="1239" spans="1:29" s="454" customFormat="1" ht="25.5">
      <c r="A1239" s="284"/>
      <c r="B1239" s="237"/>
      <c r="C1239" s="745" t="s">
        <v>3386</v>
      </c>
      <c r="D1239" s="914" t="s">
        <v>2670</v>
      </c>
      <c r="E1239" s="237" t="s">
        <v>2660</v>
      </c>
      <c r="F1239" s="733" t="s">
        <v>2660</v>
      </c>
      <c r="G1239" s="243"/>
      <c r="H1239" s="243"/>
      <c r="I1239" s="237" t="s">
        <v>2660</v>
      </c>
      <c r="J1239" s="243"/>
      <c r="K1239" s="243"/>
      <c r="L1239" s="243"/>
      <c r="M1239" s="243"/>
      <c r="N1239" s="289"/>
      <c r="O1239" s="245"/>
      <c r="P1239" s="289"/>
      <c r="Q1239" s="245"/>
      <c r="R1239" s="289"/>
      <c r="S1239" s="245"/>
      <c r="T1239" s="245"/>
      <c r="U1239" s="245"/>
      <c r="V1239" s="289"/>
      <c r="W1239" s="245"/>
      <c r="X1239" s="289"/>
      <c r="Y1239" s="245"/>
      <c r="Z1239" s="289"/>
      <c r="AA1239" s="245"/>
      <c r="AB1239" s="289"/>
      <c r="AC1239" s="245"/>
    </row>
    <row r="1240" spans="1:29" s="454" customFormat="1" ht="15">
      <c r="A1240" s="284"/>
      <c r="B1240" s="237"/>
      <c r="C1240" s="891" t="s">
        <v>2660</v>
      </c>
      <c r="D1240" s="238" t="s">
        <v>2660</v>
      </c>
      <c r="E1240" s="237" t="s">
        <v>2660</v>
      </c>
      <c r="F1240" s="733" t="s">
        <v>2660</v>
      </c>
      <c r="G1240" s="849" t="s">
        <v>2660</v>
      </c>
      <c r="H1240" s="243"/>
      <c r="I1240" s="237" t="s">
        <v>2660</v>
      </c>
      <c r="J1240" s="243"/>
      <c r="K1240" s="243"/>
      <c r="L1240" s="243"/>
      <c r="M1240" s="243"/>
      <c r="N1240" s="289"/>
      <c r="O1240" s="245"/>
      <c r="P1240" s="289"/>
      <c r="Q1240" s="245"/>
      <c r="R1240" s="289"/>
      <c r="S1240" s="245"/>
      <c r="T1240" s="245"/>
      <c r="U1240" s="245"/>
      <c r="V1240" s="289"/>
      <c r="W1240" s="245"/>
      <c r="X1240" s="289"/>
      <c r="Y1240" s="245"/>
      <c r="Z1240" s="289"/>
      <c r="AA1240" s="245"/>
      <c r="AB1240" s="289"/>
      <c r="AC1240" s="245"/>
    </row>
    <row r="1241" spans="1:29" s="454" customFormat="1" ht="25.5">
      <c r="A1241" s="284"/>
      <c r="B1241" s="237"/>
      <c r="C1241" s="892" t="s">
        <v>3387</v>
      </c>
      <c r="D1241" s="238" t="s">
        <v>2671</v>
      </c>
      <c r="E1241" s="237" t="s">
        <v>2660</v>
      </c>
      <c r="F1241" s="733"/>
      <c r="G1241" s="849" t="s">
        <v>2660</v>
      </c>
      <c r="H1241" s="243"/>
      <c r="I1241" s="237" t="s">
        <v>2660</v>
      </c>
      <c r="J1241" s="243"/>
      <c r="K1241" s="243"/>
      <c r="L1241" s="243"/>
      <c r="M1241" s="243"/>
      <c r="N1241" s="289"/>
      <c r="O1241" s="245"/>
      <c r="P1241" s="289"/>
      <c r="Q1241" s="245"/>
      <c r="R1241" s="289"/>
      <c r="S1241" s="245"/>
      <c r="T1241" s="245"/>
      <c r="U1241" s="245"/>
      <c r="V1241" s="289"/>
      <c r="W1241" s="245"/>
      <c r="X1241" s="289"/>
      <c r="Y1241" s="245"/>
      <c r="Z1241" s="289"/>
      <c r="AA1241" s="245"/>
      <c r="AB1241" s="289"/>
      <c r="AC1241" s="245"/>
    </row>
    <row r="1242" spans="1:29" s="454" customFormat="1" ht="15">
      <c r="A1242" s="284">
        <f>A1234+1</f>
        <v>234</v>
      </c>
      <c r="B1242" s="237"/>
      <c r="C1242" s="892" t="s">
        <v>3388</v>
      </c>
      <c r="D1242" s="238" t="s">
        <v>2674</v>
      </c>
      <c r="E1242" s="237" t="s">
        <v>2475</v>
      </c>
      <c r="F1242" s="735"/>
      <c r="G1242" s="849"/>
      <c r="H1242" s="261"/>
      <c r="I1242" s="237" t="s">
        <v>2475</v>
      </c>
      <c r="J1242" s="243"/>
      <c r="K1242" s="243"/>
      <c r="L1242" s="243"/>
      <c r="M1242" s="243"/>
      <c r="N1242" s="289"/>
      <c r="O1242" s="245"/>
      <c r="P1242" s="289"/>
      <c r="Q1242" s="245"/>
      <c r="R1242" s="289"/>
      <c r="S1242" s="257"/>
      <c r="T1242" s="257"/>
      <c r="U1242" s="183"/>
      <c r="V1242" s="289"/>
      <c r="W1242" s="245"/>
      <c r="X1242" s="289"/>
      <c r="Y1242" s="245"/>
      <c r="Z1242" s="289"/>
      <c r="AA1242" s="245"/>
      <c r="AB1242" s="289"/>
      <c r="AC1242" s="245"/>
    </row>
    <row r="1243" spans="1:29" s="454" customFormat="1" ht="15">
      <c r="A1243" s="284"/>
      <c r="B1243" s="237"/>
      <c r="C1243" s="892" t="s">
        <v>2660</v>
      </c>
      <c r="D1243" s="238" t="s">
        <v>2673</v>
      </c>
      <c r="E1243" s="237" t="s">
        <v>2660</v>
      </c>
      <c r="F1243" s="733"/>
      <c r="G1243" s="849" t="s">
        <v>2660</v>
      </c>
      <c r="H1243" s="243"/>
      <c r="I1243" s="237" t="s">
        <v>2660</v>
      </c>
      <c r="J1243" s="243"/>
      <c r="K1243" s="243"/>
      <c r="L1243" s="243"/>
      <c r="M1243" s="243"/>
      <c r="N1243" s="289"/>
      <c r="O1243" s="245"/>
      <c r="P1243" s="289"/>
      <c r="Q1243" s="245"/>
      <c r="R1243" s="289"/>
      <c r="S1243" s="245"/>
      <c r="T1243" s="245"/>
      <c r="U1243" s="183"/>
      <c r="V1243" s="289"/>
      <c r="W1243" s="245"/>
      <c r="X1243" s="289"/>
      <c r="Y1243" s="245"/>
      <c r="Z1243" s="289"/>
      <c r="AA1243" s="245"/>
      <c r="AB1243" s="289"/>
      <c r="AC1243" s="245"/>
    </row>
    <row r="1244" spans="1:29" s="454" customFormat="1" ht="15">
      <c r="A1244" s="284"/>
      <c r="B1244" s="237"/>
      <c r="C1244" s="892"/>
      <c r="D1244" s="238" t="s">
        <v>2998</v>
      </c>
      <c r="E1244" s="237"/>
      <c r="F1244" s="735">
        <f>N1244+R1244+P1244+T1244+V1244+X1244+Z1244+AB1244</f>
        <v>120</v>
      </c>
      <c r="G1244" s="849">
        <v>33.479999999999997</v>
      </c>
      <c r="H1244" s="261">
        <f>O1244+S1244+Q1244+U1244+W1244+Y1244+AA1244+AC1244</f>
        <v>4017.6</v>
      </c>
      <c r="I1244" s="237"/>
      <c r="J1244" s="243"/>
      <c r="K1244" s="243"/>
      <c r="L1244" s="243"/>
      <c r="M1244" s="243"/>
      <c r="N1244" s="289"/>
      <c r="O1244" s="245"/>
      <c r="P1244" s="289"/>
      <c r="Q1244" s="245"/>
      <c r="R1244" s="289">
        <f>2*(3+3+31+18+2)+6</f>
        <v>120</v>
      </c>
      <c r="S1244" s="257">
        <f>INT($G1244*R1244*100+0.5)/100</f>
        <v>4017.6</v>
      </c>
      <c r="T1244" s="257"/>
      <c r="U1244" s="257"/>
      <c r="V1244" s="289"/>
      <c r="W1244" s="245"/>
      <c r="X1244" s="289"/>
      <c r="Y1244" s="245"/>
      <c r="Z1244" s="289"/>
      <c r="AA1244" s="245"/>
      <c r="AB1244" s="289"/>
      <c r="AC1244" s="245"/>
    </row>
    <row r="1245" spans="1:29" s="454" customFormat="1" ht="15">
      <c r="A1245" s="284"/>
      <c r="B1245" s="237"/>
      <c r="C1245" s="892"/>
      <c r="D1245" s="238" t="s">
        <v>2999</v>
      </c>
      <c r="E1245" s="237"/>
      <c r="F1245" s="735">
        <f>N1245+R1245+P1245+T1245+V1245+X1245+Z1245+AB1245</f>
        <v>80</v>
      </c>
      <c r="G1245" s="849">
        <v>33.479999999999997</v>
      </c>
      <c r="H1245" s="261">
        <f>O1245+S1245+Q1245+U1245+W1245+Y1245+AA1245+AC1245</f>
        <v>2678.4</v>
      </c>
      <c r="I1245" s="237"/>
      <c r="J1245" s="243"/>
      <c r="K1245" s="243"/>
      <c r="L1245" s="243"/>
      <c r="M1245" s="243"/>
      <c r="N1245" s="289"/>
      <c r="O1245" s="245"/>
      <c r="P1245" s="289"/>
      <c r="Q1245" s="245"/>
      <c r="R1245" s="289">
        <f>2*(3+3+27+3)+8</f>
        <v>80</v>
      </c>
      <c r="S1245" s="257">
        <f>INT($G1245*R1245*100+0.5)/100</f>
        <v>2678.4</v>
      </c>
      <c r="T1245" s="257"/>
      <c r="U1245" s="257"/>
      <c r="V1245" s="289"/>
      <c r="W1245" s="245"/>
      <c r="X1245" s="289"/>
      <c r="Y1245" s="245"/>
      <c r="Z1245" s="289"/>
      <c r="AA1245" s="245"/>
      <c r="AB1245" s="289"/>
      <c r="AC1245" s="245"/>
    </row>
    <row r="1246" spans="1:29" s="454" customFormat="1" ht="15">
      <c r="A1246" s="284"/>
      <c r="B1246" s="237"/>
      <c r="C1246" s="892" t="s">
        <v>2660</v>
      </c>
      <c r="D1246" s="238" t="s">
        <v>2660</v>
      </c>
      <c r="E1246" s="237" t="s">
        <v>2660</v>
      </c>
      <c r="F1246" s="733"/>
      <c r="G1246" s="849" t="s">
        <v>2660</v>
      </c>
      <c r="H1246" s="243"/>
      <c r="I1246" s="237" t="s">
        <v>2660</v>
      </c>
      <c r="J1246" s="243"/>
      <c r="K1246" s="243"/>
      <c r="L1246" s="243"/>
      <c r="M1246" s="243"/>
      <c r="N1246" s="289"/>
      <c r="O1246" s="245"/>
      <c r="P1246" s="289"/>
      <c r="Q1246" s="245"/>
      <c r="R1246" s="289"/>
      <c r="S1246" s="245"/>
      <c r="T1246" s="245"/>
      <c r="U1246" s="245"/>
      <c r="V1246" s="289"/>
      <c r="W1246" s="245"/>
      <c r="X1246" s="289"/>
      <c r="Y1246" s="245"/>
      <c r="Z1246" s="289"/>
      <c r="AA1246" s="245"/>
      <c r="AB1246" s="289"/>
      <c r="AC1246" s="245"/>
    </row>
    <row r="1247" spans="1:29" s="454" customFormat="1" ht="15">
      <c r="A1247" s="284">
        <f>A1242+1</f>
        <v>235</v>
      </c>
      <c r="B1247" s="237"/>
      <c r="C1247" s="892" t="s">
        <v>3389</v>
      </c>
      <c r="D1247" s="238" t="s">
        <v>2675</v>
      </c>
      <c r="E1247" s="237" t="s">
        <v>2475</v>
      </c>
      <c r="F1247" s="735"/>
      <c r="G1247" s="849"/>
      <c r="H1247" s="261"/>
      <c r="I1247" s="237" t="s">
        <v>2475</v>
      </c>
      <c r="J1247" s="243"/>
      <c r="K1247" s="243"/>
      <c r="L1247" s="243"/>
      <c r="M1247" s="243"/>
      <c r="N1247" s="289"/>
      <c r="O1247" s="245"/>
      <c r="P1247" s="289"/>
      <c r="Q1247" s="245"/>
      <c r="R1247" s="289"/>
      <c r="S1247" s="257"/>
      <c r="T1247" s="257"/>
      <c r="U1247" s="257"/>
      <c r="V1247" s="289"/>
      <c r="W1247" s="245"/>
      <c r="X1247" s="289"/>
      <c r="Y1247" s="245"/>
      <c r="Z1247" s="289"/>
      <c r="AA1247" s="245"/>
      <c r="AB1247" s="289"/>
      <c r="AC1247" s="245"/>
    </row>
    <row r="1248" spans="1:29" s="454" customFormat="1" ht="15">
      <c r="A1248" s="284"/>
      <c r="B1248" s="237"/>
      <c r="C1248" s="892" t="s">
        <v>2660</v>
      </c>
      <c r="D1248" s="238" t="s">
        <v>2676</v>
      </c>
      <c r="E1248" s="237" t="s">
        <v>2660</v>
      </c>
      <c r="F1248" s="733"/>
      <c r="G1248" s="849" t="s">
        <v>2660</v>
      </c>
      <c r="H1248" s="243"/>
      <c r="I1248" s="237" t="s">
        <v>2660</v>
      </c>
      <c r="J1248" s="243"/>
      <c r="K1248" s="243"/>
      <c r="L1248" s="243"/>
      <c r="M1248" s="243"/>
      <c r="N1248" s="289"/>
      <c r="O1248" s="245"/>
      <c r="P1248" s="289"/>
      <c r="Q1248" s="245"/>
      <c r="R1248" s="289"/>
      <c r="S1248" s="257"/>
      <c r="T1248" s="257"/>
      <c r="U1248" s="257"/>
      <c r="V1248" s="289"/>
      <c r="W1248" s="245"/>
      <c r="X1248" s="289"/>
      <c r="Y1248" s="245"/>
      <c r="Z1248" s="289"/>
      <c r="AA1248" s="245"/>
      <c r="AB1248" s="289"/>
      <c r="AC1248" s="245"/>
    </row>
    <row r="1249" spans="1:29" s="454" customFormat="1" ht="15">
      <c r="A1249" s="284"/>
      <c r="B1249" s="237"/>
      <c r="C1249" s="892"/>
      <c r="D1249" s="238" t="s">
        <v>2993</v>
      </c>
      <c r="E1249" s="237"/>
      <c r="F1249" s="735">
        <f>N1249+R1249+P1249+T1249+V1249+X1249+Z1249+AB1249</f>
        <v>220</v>
      </c>
      <c r="G1249" s="849">
        <v>35.450000000000003</v>
      </c>
      <c r="H1249" s="261">
        <f>O1249+S1249+Q1249+U1249+W1249+Y1249+AA1249+AC1249</f>
        <v>7799</v>
      </c>
      <c r="I1249" s="237"/>
      <c r="J1249" s="243"/>
      <c r="K1249" s="243"/>
      <c r="L1249" s="243"/>
      <c r="M1249" s="243"/>
      <c r="N1249" s="289"/>
      <c r="O1249" s="245"/>
      <c r="P1249" s="289"/>
      <c r="Q1249" s="245"/>
      <c r="R1249" s="289">
        <f>2*((8+3)+(37)+(40+12+5))+10</f>
        <v>220</v>
      </c>
      <c r="S1249" s="257">
        <f>INT($G1249*R1249*100+0.5)/100</f>
        <v>7799</v>
      </c>
      <c r="T1249" s="257"/>
      <c r="U1249" s="257"/>
      <c r="V1249" s="289"/>
      <c r="W1249" s="245"/>
      <c r="X1249" s="289"/>
      <c r="Y1249" s="245"/>
      <c r="Z1249" s="289"/>
      <c r="AA1249" s="245"/>
      <c r="AB1249" s="289"/>
      <c r="AC1249" s="245"/>
    </row>
    <row r="1250" spans="1:29" s="454" customFormat="1" ht="15">
      <c r="A1250" s="284"/>
      <c r="B1250" s="237"/>
      <c r="C1250" s="892"/>
      <c r="D1250" s="238" t="s">
        <v>2995</v>
      </c>
      <c r="E1250" s="237"/>
      <c r="F1250" s="735">
        <f>N1250+R1250+P1250+T1250+V1250+X1250+Z1250+AB1250</f>
        <v>140</v>
      </c>
      <c r="G1250" s="849">
        <v>35.450000000000003</v>
      </c>
      <c r="H1250" s="261">
        <f>O1250+S1250+Q1250+U1250+W1250+Y1250+AA1250+AC1250</f>
        <v>4963</v>
      </c>
      <c r="I1250" s="237"/>
      <c r="J1250" s="243"/>
      <c r="K1250" s="243"/>
      <c r="L1250" s="243"/>
      <c r="M1250" s="243"/>
      <c r="N1250" s="289"/>
      <c r="O1250" s="245"/>
      <c r="P1250" s="289"/>
      <c r="Q1250" s="245"/>
      <c r="R1250" s="289">
        <f>2*(3+3+55+6)+6</f>
        <v>140</v>
      </c>
      <c r="S1250" s="257">
        <f>INT($G1250*R1250*100+0.5)/100</f>
        <v>4963</v>
      </c>
      <c r="T1250" s="257"/>
      <c r="U1250" s="257"/>
      <c r="V1250" s="289"/>
      <c r="W1250" s="245"/>
      <c r="X1250" s="289"/>
      <c r="Y1250" s="245"/>
      <c r="Z1250" s="289"/>
      <c r="AA1250" s="245"/>
      <c r="AB1250" s="289"/>
      <c r="AC1250" s="245"/>
    </row>
    <row r="1251" spans="1:29" s="454" customFormat="1" ht="15">
      <c r="A1251" s="284"/>
      <c r="B1251" s="237"/>
      <c r="C1251" s="892"/>
      <c r="D1251" s="238" t="s">
        <v>2996</v>
      </c>
      <c r="E1251" s="237"/>
      <c r="F1251" s="735">
        <f>N1251+R1251+P1251+T1251+V1251+X1251+Z1251+AB1251</f>
        <v>70</v>
      </c>
      <c r="G1251" s="849">
        <v>35.450000000000003</v>
      </c>
      <c r="H1251" s="261">
        <f>O1251+S1251+Q1251+U1251+W1251+Y1251+AA1251+AC1251</f>
        <v>2481.5</v>
      </c>
      <c r="I1251" s="237"/>
      <c r="J1251" s="243"/>
      <c r="K1251" s="243"/>
      <c r="L1251" s="243"/>
      <c r="M1251" s="243"/>
      <c r="N1251" s="289"/>
      <c r="O1251" s="245"/>
      <c r="P1251" s="289"/>
      <c r="Q1251" s="245"/>
      <c r="R1251" s="289">
        <f>2*(3+3+22+4)+6</f>
        <v>70</v>
      </c>
      <c r="S1251" s="257">
        <f>INT($G1251*R1251*100+0.5)/100</f>
        <v>2481.5</v>
      </c>
      <c r="T1251" s="257"/>
      <c r="U1251" s="257"/>
      <c r="V1251" s="289"/>
      <c r="W1251" s="245"/>
      <c r="X1251" s="289"/>
      <c r="Y1251" s="245"/>
      <c r="Z1251" s="289"/>
      <c r="AA1251" s="245"/>
      <c r="AB1251" s="289"/>
      <c r="AC1251" s="245"/>
    </row>
    <row r="1252" spans="1:29" s="454" customFormat="1" ht="15">
      <c r="A1252" s="284"/>
      <c r="B1252" s="237"/>
      <c r="C1252" s="892"/>
      <c r="D1252" s="238" t="s">
        <v>3000</v>
      </c>
      <c r="E1252" s="237"/>
      <c r="F1252" s="735">
        <f>N1252+R1252+P1252+T1252+V1252+X1252+Z1252+AB1252</f>
        <v>40</v>
      </c>
      <c r="G1252" s="849">
        <v>35.450000000000003</v>
      </c>
      <c r="H1252" s="261">
        <f>O1252+S1252+Q1252+U1252+W1252+Y1252+AA1252+AC1252</f>
        <v>1418</v>
      </c>
      <c r="I1252" s="237"/>
      <c r="J1252" s="243"/>
      <c r="K1252" s="243"/>
      <c r="L1252" s="243"/>
      <c r="M1252" s="243"/>
      <c r="N1252" s="289"/>
      <c r="O1252" s="245"/>
      <c r="P1252" s="289"/>
      <c r="Q1252" s="245"/>
      <c r="R1252" s="289">
        <f>2*(3+3+10)+8</f>
        <v>40</v>
      </c>
      <c r="S1252" s="257">
        <f>INT($G1252*R1252*100+0.5)/100</f>
        <v>1418</v>
      </c>
      <c r="T1252" s="257"/>
      <c r="U1252" s="257"/>
      <c r="V1252" s="289"/>
      <c r="W1252" s="245"/>
      <c r="X1252" s="289"/>
      <c r="Y1252" s="245"/>
      <c r="Z1252" s="289"/>
      <c r="AA1252" s="245"/>
      <c r="AB1252" s="289"/>
      <c r="AC1252" s="245"/>
    </row>
    <row r="1253" spans="1:29" s="454" customFormat="1" ht="15">
      <c r="A1253" s="284"/>
      <c r="B1253" s="237"/>
      <c r="C1253" s="892" t="s">
        <v>2660</v>
      </c>
      <c r="D1253" s="238" t="s">
        <v>2660</v>
      </c>
      <c r="E1253" s="237" t="s">
        <v>2660</v>
      </c>
      <c r="F1253" s="733"/>
      <c r="G1253" s="849" t="s">
        <v>2660</v>
      </c>
      <c r="H1253" s="243"/>
      <c r="I1253" s="237" t="s">
        <v>2660</v>
      </c>
      <c r="J1253" s="243"/>
      <c r="K1253" s="243"/>
      <c r="L1253" s="243"/>
      <c r="M1253" s="243"/>
      <c r="N1253" s="289"/>
      <c r="O1253" s="245"/>
      <c r="P1253" s="289"/>
      <c r="Q1253" s="245"/>
      <c r="R1253" s="289"/>
      <c r="S1253" s="257"/>
      <c r="T1253" s="257"/>
      <c r="U1253" s="257"/>
      <c r="V1253" s="289"/>
      <c r="W1253" s="245"/>
      <c r="X1253" s="289"/>
      <c r="Y1253" s="245"/>
      <c r="Z1253" s="289"/>
      <c r="AA1253" s="245"/>
      <c r="AB1253" s="289"/>
      <c r="AC1253" s="245"/>
    </row>
    <row r="1254" spans="1:29" s="454" customFormat="1" ht="15">
      <c r="A1254" s="284">
        <f>A1247+1</f>
        <v>236</v>
      </c>
      <c r="B1254" s="237"/>
      <c r="C1254" s="892" t="s">
        <v>3390</v>
      </c>
      <c r="D1254" s="238" t="s">
        <v>2677</v>
      </c>
      <c r="E1254" s="237" t="s">
        <v>2475</v>
      </c>
      <c r="F1254" s="735"/>
      <c r="G1254" s="849"/>
      <c r="H1254" s="261"/>
      <c r="I1254" s="237" t="s">
        <v>2475</v>
      </c>
      <c r="J1254" s="243"/>
      <c r="K1254" s="243"/>
      <c r="L1254" s="243"/>
      <c r="M1254" s="243"/>
      <c r="N1254" s="289"/>
      <c r="O1254" s="245"/>
      <c r="P1254" s="289"/>
      <c r="Q1254" s="245"/>
      <c r="R1254" s="289"/>
      <c r="S1254" s="257"/>
      <c r="T1254" s="257"/>
      <c r="U1254" s="257"/>
      <c r="V1254" s="289"/>
      <c r="W1254" s="245"/>
      <c r="X1254" s="289"/>
      <c r="Y1254" s="245"/>
      <c r="Z1254" s="289"/>
      <c r="AA1254" s="245"/>
      <c r="AB1254" s="289"/>
      <c r="AC1254" s="245"/>
    </row>
    <row r="1255" spans="1:29" s="454" customFormat="1" ht="15">
      <c r="A1255" s="284"/>
      <c r="B1255" s="237"/>
      <c r="C1255" s="892" t="s">
        <v>2660</v>
      </c>
      <c r="D1255" s="238" t="s">
        <v>2678</v>
      </c>
      <c r="E1255" s="237" t="s">
        <v>2660</v>
      </c>
      <c r="F1255" s="733"/>
      <c r="G1255" s="849" t="s">
        <v>2660</v>
      </c>
      <c r="H1255" s="243"/>
      <c r="I1255" s="237" t="s">
        <v>2660</v>
      </c>
      <c r="J1255" s="243"/>
      <c r="K1255" s="243"/>
      <c r="L1255" s="243"/>
      <c r="M1255" s="243"/>
      <c r="N1255" s="289"/>
      <c r="O1255" s="245"/>
      <c r="P1255" s="289"/>
      <c r="Q1255" s="245"/>
      <c r="R1255" s="289"/>
      <c r="S1255" s="257"/>
      <c r="T1255" s="257"/>
      <c r="U1255" s="257"/>
      <c r="V1255" s="289"/>
      <c r="W1255" s="245"/>
      <c r="X1255" s="289"/>
      <c r="Y1255" s="245"/>
      <c r="Z1255" s="289"/>
      <c r="AA1255" s="245"/>
      <c r="AB1255" s="289"/>
      <c r="AC1255" s="245"/>
    </row>
    <row r="1256" spans="1:29" s="454" customFormat="1" ht="15">
      <c r="A1256" s="284"/>
      <c r="B1256" s="237"/>
      <c r="C1256" s="892"/>
      <c r="D1256" s="238" t="s">
        <v>2997</v>
      </c>
      <c r="E1256" s="237"/>
      <c r="F1256" s="735">
        <f>N1256+R1256+P1256+T1256+V1256+X1256+Z1256+AB1256</f>
        <v>110</v>
      </c>
      <c r="G1256" s="849">
        <v>36.17</v>
      </c>
      <c r="H1256" s="261">
        <f>O1256+S1256+Q1256+U1256+W1256+Y1256+AA1256+AC1256</f>
        <v>3978.7</v>
      </c>
      <c r="I1256" s="237"/>
      <c r="J1256" s="243"/>
      <c r="K1256" s="243"/>
      <c r="L1256" s="243"/>
      <c r="M1256" s="243"/>
      <c r="N1256" s="289"/>
      <c r="O1256" s="245"/>
      <c r="P1256" s="289"/>
      <c r="Q1256" s="245"/>
      <c r="R1256" s="289">
        <f>2*(3+3+33+9+3)+8</f>
        <v>110</v>
      </c>
      <c r="S1256" s="257">
        <f>INT($G1256*R1256*100+0.5)/100</f>
        <v>3978.7</v>
      </c>
      <c r="T1256" s="257"/>
      <c r="U1256" s="257"/>
      <c r="V1256" s="289"/>
      <c r="W1256" s="245"/>
      <c r="X1256" s="289"/>
      <c r="Y1256" s="245"/>
      <c r="Z1256" s="289"/>
      <c r="AA1256" s="245"/>
      <c r="AB1256" s="289"/>
      <c r="AC1256" s="245"/>
    </row>
    <row r="1257" spans="1:29" s="454" customFormat="1" ht="15">
      <c r="A1257" s="284"/>
      <c r="B1257" s="237"/>
      <c r="C1257" s="892" t="s">
        <v>2660</v>
      </c>
      <c r="D1257" s="238" t="s">
        <v>2660</v>
      </c>
      <c r="E1257" s="237" t="s">
        <v>2660</v>
      </c>
      <c r="F1257" s="733"/>
      <c r="G1257" s="849" t="s">
        <v>2660</v>
      </c>
      <c r="H1257" s="243"/>
      <c r="I1257" s="237" t="s">
        <v>2660</v>
      </c>
      <c r="J1257" s="243"/>
      <c r="K1257" s="243"/>
      <c r="L1257" s="243"/>
      <c r="M1257" s="243"/>
      <c r="N1257" s="289"/>
      <c r="O1257" s="245"/>
      <c r="P1257" s="289"/>
      <c r="Q1257" s="245"/>
      <c r="R1257" s="289"/>
      <c r="S1257" s="257"/>
      <c r="T1257" s="257"/>
      <c r="U1257" s="257"/>
      <c r="V1257" s="289"/>
      <c r="W1257" s="245"/>
      <c r="X1257" s="289"/>
      <c r="Y1257" s="245"/>
      <c r="Z1257" s="289"/>
      <c r="AA1257" s="245"/>
      <c r="AB1257" s="289"/>
      <c r="AC1257" s="245"/>
    </row>
    <row r="1258" spans="1:29" s="454" customFormat="1" ht="15">
      <c r="A1258" s="284">
        <f>A1254+1</f>
        <v>237</v>
      </c>
      <c r="B1258" s="237"/>
      <c r="C1258" s="892" t="s">
        <v>3391</v>
      </c>
      <c r="D1258" s="238" t="s">
        <v>2679</v>
      </c>
      <c r="E1258" s="237" t="s">
        <v>2475</v>
      </c>
      <c r="F1258" s="735"/>
      <c r="G1258" s="849"/>
      <c r="H1258" s="261"/>
      <c r="I1258" s="237" t="s">
        <v>2475</v>
      </c>
      <c r="J1258" s="243"/>
      <c r="K1258" s="243"/>
      <c r="L1258" s="243"/>
      <c r="M1258" s="243"/>
      <c r="N1258" s="289"/>
      <c r="O1258" s="245"/>
      <c r="P1258" s="289"/>
      <c r="Q1258" s="245"/>
      <c r="R1258" s="289"/>
      <c r="S1258" s="257"/>
      <c r="T1258" s="257"/>
      <c r="U1258" s="257"/>
      <c r="V1258" s="289"/>
      <c r="W1258" s="245"/>
      <c r="X1258" s="289"/>
      <c r="Y1258" s="245"/>
      <c r="Z1258" s="289"/>
      <c r="AA1258" s="245"/>
      <c r="AB1258" s="289"/>
      <c r="AC1258" s="245"/>
    </row>
    <row r="1259" spans="1:29" s="454" customFormat="1" ht="15">
      <c r="A1259" s="284"/>
      <c r="B1259" s="237"/>
      <c r="C1259" s="892" t="s">
        <v>2660</v>
      </c>
      <c r="D1259" s="238" t="s">
        <v>2680</v>
      </c>
      <c r="E1259" s="237" t="s">
        <v>2660</v>
      </c>
      <c r="F1259" s="733"/>
      <c r="G1259" s="849" t="s">
        <v>2660</v>
      </c>
      <c r="H1259" s="243"/>
      <c r="I1259" s="237" t="s">
        <v>2660</v>
      </c>
      <c r="J1259" s="243"/>
      <c r="K1259" s="243"/>
      <c r="L1259" s="243"/>
      <c r="M1259" s="243"/>
      <c r="N1259" s="289"/>
      <c r="O1259" s="245"/>
      <c r="P1259" s="289"/>
      <c r="Q1259" s="245"/>
      <c r="R1259" s="289"/>
      <c r="S1259" s="257"/>
      <c r="T1259" s="257"/>
      <c r="U1259" s="257"/>
      <c r="V1259" s="289"/>
      <c r="W1259" s="245"/>
      <c r="X1259" s="289"/>
      <c r="Y1259" s="245"/>
      <c r="Z1259" s="289"/>
      <c r="AA1259" s="245"/>
      <c r="AB1259" s="289"/>
      <c r="AC1259" s="245"/>
    </row>
    <row r="1260" spans="1:29" s="454" customFormat="1" ht="15">
      <c r="A1260" s="284"/>
      <c r="B1260" s="237"/>
      <c r="C1260" s="892"/>
      <c r="D1260" s="238" t="s">
        <v>2993</v>
      </c>
      <c r="E1260" s="237"/>
      <c r="F1260" s="735"/>
      <c r="G1260" s="849"/>
      <c r="H1260" s="261"/>
      <c r="I1260" s="237"/>
      <c r="J1260" s="243"/>
      <c r="K1260" s="243"/>
      <c r="L1260" s="243"/>
      <c r="M1260" s="243"/>
      <c r="N1260" s="289"/>
      <c r="O1260" s="245"/>
      <c r="P1260" s="289"/>
      <c r="Q1260" s="245"/>
      <c r="R1260" s="289">
        <f>2*(12+25)+6</f>
        <v>80</v>
      </c>
      <c r="S1260" s="257"/>
      <c r="T1260" s="257"/>
      <c r="U1260" s="257"/>
      <c r="V1260" s="289"/>
      <c r="W1260" s="245"/>
      <c r="X1260" s="289"/>
      <c r="Y1260" s="245"/>
      <c r="Z1260" s="289"/>
      <c r="AA1260" s="245"/>
      <c r="AB1260" s="289"/>
      <c r="AC1260" s="245"/>
    </row>
    <row r="1261" spans="1:29" s="454" customFormat="1" ht="15">
      <c r="A1261" s="284"/>
      <c r="B1261" s="237"/>
      <c r="C1261" s="892"/>
      <c r="D1261" s="238" t="s">
        <v>2994</v>
      </c>
      <c r="E1261" s="237"/>
      <c r="F1261" s="735"/>
      <c r="G1261" s="849"/>
      <c r="H1261" s="261"/>
      <c r="I1261" s="237"/>
      <c r="J1261" s="243"/>
      <c r="K1261" s="243"/>
      <c r="L1261" s="243"/>
      <c r="M1261" s="243"/>
      <c r="N1261" s="289"/>
      <c r="O1261" s="245"/>
      <c r="P1261" s="289"/>
      <c r="Q1261" s="245"/>
      <c r="R1261" s="924">
        <f>2*(3+3+12.5)+3</f>
        <v>40</v>
      </c>
      <c r="S1261" s="257"/>
      <c r="T1261" s="257"/>
      <c r="U1261" s="257"/>
      <c r="V1261" s="289"/>
      <c r="W1261" s="245"/>
      <c r="X1261" s="289"/>
      <c r="Y1261" s="245"/>
      <c r="Z1261" s="289"/>
      <c r="AA1261" s="245"/>
      <c r="AB1261" s="289"/>
      <c r="AC1261" s="245"/>
    </row>
    <row r="1262" spans="1:29" s="454" customFormat="1" ht="15">
      <c r="A1262" s="284"/>
      <c r="B1262" s="237"/>
      <c r="C1262" s="892"/>
      <c r="D1262" s="238" t="s">
        <v>1900</v>
      </c>
      <c r="E1262" s="237"/>
      <c r="F1262" s="735">
        <f>N1262+R1262+P1262+T1262+V1262+X1262+Z1262+AB1262</f>
        <v>120</v>
      </c>
      <c r="G1262" s="849">
        <v>38.270000000000003</v>
      </c>
      <c r="H1262" s="261">
        <f>O1262+S1262+Q1262+U1262+W1262+Y1262+AA1262+AC1262</f>
        <v>4592.3999999999996</v>
      </c>
      <c r="I1262" s="237"/>
      <c r="J1262" s="243"/>
      <c r="K1262" s="243"/>
      <c r="L1262" s="243"/>
      <c r="M1262" s="243"/>
      <c r="N1262" s="289"/>
      <c r="O1262" s="245"/>
      <c r="P1262" s="289"/>
      <c r="Q1262" s="245"/>
      <c r="R1262" s="289">
        <f>SUM(R1260:R1261)</f>
        <v>120</v>
      </c>
      <c r="S1262" s="257">
        <f>INT($G1262*R1262*100+0.5)/100</f>
        <v>4592.3999999999996</v>
      </c>
      <c r="T1262" s="257"/>
      <c r="U1262" s="257"/>
      <c r="V1262" s="289"/>
      <c r="W1262" s="245"/>
      <c r="X1262" s="289"/>
      <c r="Y1262" s="245"/>
      <c r="Z1262" s="289"/>
      <c r="AA1262" s="245"/>
      <c r="AB1262" s="289"/>
      <c r="AC1262" s="245"/>
    </row>
    <row r="1263" spans="1:29" s="454" customFormat="1" ht="15">
      <c r="A1263" s="284"/>
      <c r="B1263" s="237"/>
      <c r="C1263" s="892" t="s">
        <v>2660</v>
      </c>
      <c r="D1263" s="238" t="s">
        <v>2660</v>
      </c>
      <c r="E1263" s="237" t="s">
        <v>2660</v>
      </c>
      <c r="F1263" s="733"/>
      <c r="G1263" s="849" t="s">
        <v>2660</v>
      </c>
      <c r="H1263" s="243"/>
      <c r="I1263" s="237" t="s">
        <v>2660</v>
      </c>
      <c r="J1263" s="243"/>
      <c r="K1263" s="243"/>
      <c r="L1263" s="243"/>
      <c r="M1263" s="243"/>
      <c r="N1263" s="289"/>
      <c r="O1263" s="245"/>
      <c r="P1263" s="289"/>
      <c r="Q1263" s="245"/>
      <c r="R1263" s="289"/>
      <c r="S1263" s="257"/>
      <c r="T1263" s="257"/>
      <c r="U1263" s="257"/>
      <c r="V1263" s="289"/>
      <c r="W1263" s="245"/>
      <c r="X1263" s="289"/>
      <c r="Y1263" s="245"/>
      <c r="Z1263" s="289"/>
      <c r="AA1263" s="245"/>
      <c r="AB1263" s="289"/>
      <c r="AC1263" s="245"/>
    </row>
    <row r="1264" spans="1:29" s="454" customFormat="1" ht="15">
      <c r="A1264" s="284">
        <f>A1258+1</f>
        <v>238</v>
      </c>
      <c r="B1264" s="237"/>
      <c r="C1264" s="892" t="s">
        <v>3392</v>
      </c>
      <c r="D1264" s="238" t="s">
        <v>2681</v>
      </c>
      <c r="E1264" s="237" t="s">
        <v>2475</v>
      </c>
      <c r="F1264" s="735">
        <f>N1264+R1264+P1264+T1264+V1264+X1264+Z1264+AB1264</f>
        <v>20</v>
      </c>
      <c r="G1264" s="849">
        <v>40.380000000000003</v>
      </c>
      <c r="H1264" s="261">
        <f>O1264+S1264+Q1264+U1264+W1264+Y1264+AA1264+AC1264</f>
        <v>807.6</v>
      </c>
      <c r="I1264" s="237" t="s">
        <v>2475</v>
      </c>
      <c r="J1264" s="243"/>
      <c r="K1264" s="243"/>
      <c r="L1264" s="243"/>
      <c r="M1264" s="243"/>
      <c r="N1264" s="289"/>
      <c r="O1264" s="245"/>
      <c r="P1264" s="289"/>
      <c r="Q1264" s="245"/>
      <c r="R1264" s="289">
        <v>20</v>
      </c>
      <c r="S1264" s="257">
        <f>INT($G1264*R1264*100+0.5)/100</f>
        <v>807.6</v>
      </c>
      <c r="T1264" s="257"/>
      <c r="U1264" s="257"/>
      <c r="V1264" s="289"/>
      <c r="W1264" s="245"/>
      <c r="X1264" s="289"/>
      <c r="Y1264" s="245"/>
      <c r="Z1264" s="289"/>
      <c r="AA1264" s="245"/>
      <c r="AB1264" s="289"/>
      <c r="AC1264" s="245"/>
    </row>
    <row r="1265" spans="1:29" s="454" customFormat="1" ht="15">
      <c r="A1265" s="284"/>
      <c r="B1265" s="237"/>
      <c r="C1265" s="892" t="s">
        <v>2660</v>
      </c>
      <c r="D1265" s="238" t="s">
        <v>2682</v>
      </c>
      <c r="E1265" s="237" t="s">
        <v>2660</v>
      </c>
      <c r="F1265" s="733"/>
      <c r="G1265" s="849" t="s">
        <v>2660</v>
      </c>
      <c r="H1265" s="243"/>
      <c r="I1265" s="237" t="s">
        <v>2660</v>
      </c>
      <c r="J1265" s="243"/>
      <c r="K1265" s="243"/>
      <c r="L1265" s="243"/>
      <c r="M1265" s="243"/>
      <c r="N1265" s="289"/>
      <c r="O1265" s="245"/>
      <c r="P1265" s="289"/>
      <c r="Q1265" s="245"/>
      <c r="R1265" s="289"/>
      <c r="S1265" s="257"/>
      <c r="T1265" s="257"/>
      <c r="U1265" s="257"/>
      <c r="V1265" s="289"/>
      <c r="W1265" s="245"/>
      <c r="X1265" s="289"/>
      <c r="Y1265" s="245"/>
      <c r="Z1265" s="289"/>
      <c r="AA1265" s="245"/>
      <c r="AB1265" s="289"/>
      <c r="AC1265" s="245"/>
    </row>
    <row r="1266" spans="1:29" s="454" customFormat="1" ht="15">
      <c r="A1266" s="284"/>
      <c r="B1266" s="237"/>
      <c r="C1266" s="892" t="s">
        <v>2660</v>
      </c>
      <c r="D1266" s="238" t="s">
        <v>2660</v>
      </c>
      <c r="E1266" s="237" t="s">
        <v>2660</v>
      </c>
      <c r="F1266" s="733"/>
      <c r="G1266" s="849" t="s">
        <v>2660</v>
      </c>
      <c r="H1266" s="243"/>
      <c r="I1266" s="237" t="s">
        <v>2660</v>
      </c>
      <c r="J1266" s="243"/>
      <c r="K1266" s="243"/>
      <c r="L1266" s="243"/>
      <c r="M1266" s="243"/>
      <c r="N1266" s="289"/>
      <c r="O1266" s="245"/>
      <c r="P1266" s="289"/>
      <c r="Q1266" s="245"/>
      <c r="R1266" s="289"/>
      <c r="S1266" s="257"/>
      <c r="T1266" s="257"/>
      <c r="U1266" s="257"/>
      <c r="V1266" s="289"/>
      <c r="W1266" s="245"/>
      <c r="X1266" s="289"/>
      <c r="Y1266" s="245"/>
      <c r="Z1266" s="289"/>
      <c r="AA1266" s="245"/>
      <c r="AB1266" s="289"/>
      <c r="AC1266" s="245"/>
    </row>
    <row r="1267" spans="1:29" s="454" customFormat="1" ht="15">
      <c r="A1267" s="284">
        <f>A1264+1</f>
        <v>239</v>
      </c>
      <c r="B1267" s="237"/>
      <c r="C1267" s="892" t="s">
        <v>3393</v>
      </c>
      <c r="D1267" s="238" t="s">
        <v>2692</v>
      </c>
      <c r="E1267" s="237" t="s">
        <v>2475</v>
      </c>
      <c r="F1267" s="735"/>
      <c r="G1267" s="849"/>
      <c r="H1267" s="261"/>
      <c r="I1267" s="237" t="s">
        <v>2475</v>
      </c>
      <c r="J1267" s="243"/>
      <c r="K1267" s="243"/>
      <c r="L1267" s="243"/>
      <c r="M1267" s="243"/>
      <c r="N1267" s="289"/>
      <c r="O1267" s="245"/>
      <c r="P1267" s="289"/>
      <c r="Q1267" s="245"/>
      <c r="R1267" s="289"/>
      <c r="S1267" s="257"/>
      <c r="T1267" s="257"/>
      <c r="U1267" s="257"/>
      <c r="V1267" s="289"/>
      <c r="W1267" s="245"/>
      <c r="X1267" s="289"/>
      <c r="Y1267" s="245"/>
      <c r="Z1267" s="289"/>
      <c r="AA1267" s="245"/>
      <c r="AB1267" s="289"/>
      <c r="AC1267" s="245"/>
    </row>
    <row r="1268" spans="1:29" s="454" customFormat="1" ht="15">
      <c r="A1268" s="284"/>
      <c r="B1268" s="237"/>
      <c r="C1268" s="892" t="s">
        <v>2660</v>
      </c>
      <c r="D1268" s="238" t="s">
        <v>2683</v>
      </c>
      <c r="E1268" s="237" t="s">
        <v>2660</v>
      </c>
      <c r="F1268" s="733"/>
      <c r="G1268" s="849" t="s">
        <v>2660</v>
      </c>
      <c r="H1268" s="243"/>
      <c r="I1268" s="237" t="s">
        <v>2660</v>
      </c>
      <c r="J1268" s="243"/>
      <c r="K1268" s="243"/>
      <c r="L1268" s="243"/>
      <c r="M1268" s="243"/>
      <c r="N1268" s="289"/>
      <c r="O1268" s="245"/>
      <c r="P1268" s="289"/>
      <c r="Q1268" s="245"/>
      <c r="R1268" s="289"/>
      <c r="S1268" s="257"/>
      <c r="T1268" s="257"/>
      <c r="U1268" s="257"/>
      <c r="V1268" s="289"/>
      <c r="W1268" s="245"/>
      <c r="X1268" s="289"/>
      <c r="Y1268" s="245"/>
      <c r="Z1268" s="289"/>
      <c r="AA1268" s="245"/>
      <c r="AB1268" s="289"/>
      <c r="AC1268" s="245"/>
    </row>
    <row r="1269" spans="1:29" s="454" customFormat="1" ht="15">
      <c r="A1269" s="284"/>
      <c r="B1269" s="237"/>
      <c r="C1269" s="892"/>
      <c r="D1269" s="238" t="s">
        <v>2992</v>
      </c>
      <c r="E1269" s="237"/>
      <c r="F1269" s="735">
        <f>N1269+R1269+P1269+T1269+V1269+X1269+Z1269+AB1269</f>
        <v>230</v>
      </c>
      <c r="G1269" s="849">
        <v>42.78</v>
      </c>
      <c r="H1269" s="261">
        <f>O1269+S1269+Q1269+U1269+W1269+Y1269+AA1269+AC1269</f>
        <v>9839.4</v>
      </c>
      <c r="I1269" s="237"/>
      <c r="J1269" s="243"/>
      <c r="K1269" s="243"/>
      <c r="L1269" s="243"/>
      <c r="M1269" s="243"/>
      <c r="N1269" s="289"/>
      <c r="O1269" s="245"/>
      <c r="P1269" s="289"/>
      <c r="Q1269" s="245"/>
      <c r="R1269" s="289">
        <f>2*(16+27+60+8)+8</f>
        <v>230</v>
      </c>
      <c r="S1269" s="257">
        <f>INT($G1269*R1269*100+0.5)/100</f>
        <v>9839.4</v>
      </c>
      <c r="T1269" s="257"/>
      <c r="U1269" s="257"/>
      <c r="V1269" s="289"/>
      <c r="W1269" s="245"/>
      <c r="X1269" s="289"/>
      <c r="Y1269" s="245"/>
      <c r="Z1269" s="289"/>
      <c r="AA1269" s="245"/>
      <c r="AB1269" s="289"/>
      <c r="AC1269" s="245"/>
    </row>
    <row r="1270" spans="1:29" s="454" customFormat="1" ht="15">
      <c r="A1270" s="284"/>
      <c r="B1270" s="237"/>
      <c r="C1270" s="892" t="s">
        <v>2660</v>
      </c>
      <c r="D1270" s="238" t="s">
        <v>2660</v>
      </c>
      <c r="E1270" s="237" t="s">
        <v>2660</v>
      </c>
      <c r="F1270" s="733"/>
      <c r="G1270" s="849" t="s">
        <v>2660</v>
      </c>
      <c r="H1270" s="243"/>
      <c r="I1270" s="237" t="s">
        <v>2660</v>
      </c>
      <c r="J1270" s="243"/>
      <c r="K1270" s="243"/>
      <c r="L1270" s="243"/>
      <c r="M1270" s="243"/>
      <c r="N1270" s="289"/>
      <c r="O1270" s="245"/>
      <c r="P1270" s="289"/>
      <c r="Q1270" s="245"/>
      <c r="R1270" s="289"/>
      <c r="S1270" s="257"/>
      <c r="T1270" s="257"/>
      <c r="U1270" s="257"/>
      <c r="V1270" s="289"/>
      <c r="W1270" s="245"/>
      <c r="X1270" s="289"/>
      <c r="Y1270" s="245"/>
      <c r="Z1270" s="289"/>
      <c r="AA1270" s="245"/>
      <c r="AB1270" s="289"/>
      <c r="AC1270" s="245"/>
    </row>
    <row r="1271" spans="1:29" s="454" customFormat="1" ht="15">
      <c r="A1271" s="284">
        <f>A1267+1</f>
        <v>240</v>
      </c>
      <c r="B1271" s="237"/>
      <c r="C1271" s="892" t="s">
        <v>3394</v>
      </c>
      <c r="D1271" s="238" t="s">
        <v>2684</v>
      </c>
      <c r="E1271" s="237" t="s">
        <v>2475</v>
      </c>
      <c r="F1271" s="735"/>
      <c r="G1271" s="849"/>
      <c r="H1271" s="261"/>
      <c r="I1271" s="237" t="s">
        <v>2475</v>
      </c>
      <c r="J1271" s="243"/>
      <c r="K1271" s="243"/>
      <c r="L1271" s="243"/>
      <c r="M1271" s="243"/>
      <c r="N1271" s="289"/>
      <c r="O1271" s="245"/>
      <c r="P1271" s="289"/>
      <c r="Q1271" s="245"/>
      <c r="R1271" s="289"/>
      <c r="S1271" s="257"/>
      <c r="T1271" s="257"/>
      <c r="U1271" s="257"/>
      <c r="V1271" s="289"/>
      <c r="W1271" s="245"/>
      <c r="X1271" s="289"/>
      <c r="Y1271" s="245"/>
      <c r="Z1271" s="289"/>
      <c r="AA1271" s="245"/>
      <c r="AB1271" s="289"/>
      <c r="AC1271" s="245"/>
    </row>
    <row r="1272" spans="1:29" s="454" customFormat="1" ht="15">
      <c r="A1272" s="284"/>
      <c r="B1272" s="237"/>
      <c r="C1272" s="892" t="s">
        <v>2660</v>
      </c>
      <c r="D1272" s="238" t="s">
        <v>2685</v>
      </c>
      <c r="E1272" s="237" t="s">
        <v>2660</v>
      </c>
      <c r="F1272" s="733"/>
      <c r="G1272" s="849" t="s">
        <v>2660</v>
      </c>
      <c r="H1272" s="243"/>
      <c r="I1272" s="237" t="s">
        <v>2660</v>
      </c>
      <c r="J1272" s="243"/>
      <c r="K1272" s="243"/>
      <c r="L1272" s="243"/>
      <c r="M1272" s="243"/>
      <c r="N1272" s="289"/>
      <c r="O1272" s="245"/>
      <c r="P1272" s="289"/>
      <c r="Q1272" s="245"/>
      <c r="R1272" s="289"/>
      <c r="S1272" s="257"/>
      <c r="T1272" s="257"/>
      <c r="U1272" s="257"/>
      <c r="V1272" s="289"/>
      <c r="W1272" s="245"/>
      <c r="X1272" s="289"/>
      <c r="Y1272" s="245"/>
      <c r="Z1272" s="289"/>
      <c r="AA1272" s="245"/>
      <c r="AB1272" s="289"/>
      <c r="AC1272" s="245"/>
    </row>
    <row r="1273" spans="1:29" s="454" customFormat="1" ht="15">
      <c r="A1273" s="284"/>
      <c r="B1273" s="237"/>
      <c r="C1273" s="892"/>
      <c r="D1273" s="238" t="s">
        <v>2498</v>
      </c>
      <c r="E1273" s="237"/>
      <c r="F1273" s="735"/>
      <c r="G1273" s="849"/>
      <c r="H1273" s="261"/>
      <c r="I1273" s="237"/>
      <c r="J1273" s="243"/>
      <c r="K1273" s="243"/>
      <c r="L1273" s="243"/>
      <c r="M1273" s="243"/>
      <c r="N1273" s="289"/>
      <c r="O1273" s="245"/>
      <c r="P1273" s="289"/>
      <c r="Q1273" s="245"/>
      <c r="R1273" s="289">
        <f>90*2</f>
        <v>180</v>
      </c>
      <c r="S1273" s="257"/>
      <c r="T1273" s="257"/>
      <c r="U1273" s="257"/>
      <c r="V1273" s="289"/>
      <c r="W1273" s="245"/>
      <c r="X1273" s="289"/>
      <c r="Y1273" s="245"/>
      <c r="Z1273" s="289"/>
      <c r="AA1273" s="245"/>
      <c r="AB1273" s="289"/>
      <c r="AC1273" s="245"/>
    </row>
    <row r="1274" spans="1:29" s="454" customFormat="1" ht="15">
      <c r="A1274" s="284"/>
      <c r="B1274" s="237"/>
      <c r="C1274" s="892"/>
      <c r="D1274" s="238" t="s">
        <v>2990</v>
      </c>
      <c r="E1274" s="237"/>
      <c r="F1274" s="735"/>
      <c r="G1274" s="849"/>
      <c r="H1274" s="261"/>
      <c r="I1274" s="237"/>
      <c r="J1274" s="243"/>
      <c r="K1274" s="243"/>
      <c r="L1274" s="243"/>
      <c r="M1274" s="243"/>
      <c r="N1274" s="289"/>
      <c r="O1274" s="245"/>
      <c r="P1274" s="289"/>
      <c r="Q1274" s="245"/>
      <c r="R1274" s="924">
        <f>2*(2*2.5)+10</f>
        <v>20</v>
      </c>
      <c r="S1274" s="257"/>
      <c r="T1274" s="257"/>
      <c r="U1274" s="257"/>
      <c r="V1274" s="289"/>
      <c r="W1274" s="245"/>
      <c r="X1274" s="289"/>
      <c r="Y1274" s="245"/>
      <c r="Z1274" s="289"/>
      <c r="AA1274" s="245"/>
      <c r="AB1274" s="289"/>
      <c r="AC1274" s="245"/>
    </row>
    <row r="1275" spans="1:29" s="454" customFormat="1" ht="15">
      <c r="A1275" s="284"/>
      <c r="B1275" s="237"/>
      <c r="C1275" s="892"/>
      <c r="D1275" s="238" t="s">
        <v>1900</v>
      </c>
      <c r="E1275" s="237"/>
      <c r="F1275" s="735">
        <f>N1275+R1275+P1275+T1275+V1275+X1275+Z1275+AB1275</f>
        <v>200</v>
      </c>
      <c r="G1275" s="849">
        <v>54.96</v>
      </c>
      <c r="H1275" s="261">
        <f>O1275+S1275+Q1275+U1275+W1275+Y1275+AA1275+AC1275</f>
        <v>10992</v>
      </c>
      <c r="I1275" s="237"/>
      <c r="J1275" s="243"/>
      <c r="K1275" s="243"/>
      <c r="L1275" s="243"/>
      <c r="M1275" s="243"/>
      <c r="N1275" s="289"/>
      <c r="O1275" s="245"/>
      <c r="P1275" s="289"/>
      <c r="Q1275" s="245"/>
      <c r="R1275" s="289">
        <f>SUM(R1272:R1274)</f>
        <v>200</v>
      </c>
      <c r="S1275" s="257">
        <f>INT($G1275*R1275*100+0.5)/100</f>
        <v>10992</v>
      </c>
      <c r="T1275" s="257"/>
      <c r="U1275" s="257"/>
      <c r="V1275" s="289"/>
      <c r="W1275" s="245"/>
      <c r="X1275" s="289"/>
      <c r="Y1275" s="245"/>
      <c r="Z1275" s="289"/>
      <c r="AA1275" s="245"/>
      <c r="AB1275" s="289"/>
      <c r="AC1275" s="245"/>
    </row>
    <row r="1276" spans="1:29" s="454" customFormat="1" ht="15">
      <c r="A1276" s="284"/>
      <c r="B1276" s="237"/>
      <c r="C1276" s="892" t="s">
        <v>2660</v>
      </c>
      <c r="D1276" s="238" t="s">
        <v>2660</v>
      </c>
      <c r="E1276" s="237" t="s">
        <v>2660</v>
      </c>
      <c r="F1276" s="733"/>
      <c r="G1276" s="849" t="s">
        <v>2660</v>
      </c>
      <c r="H1276" s="243"/>
      <c r="I1276" s="237" t="s">
        <v>2660</v>
      </c>
      <c r="J1276" s="243"/>
      <c r="K1276" s="243"/>
      <c r="L1276" s="243"/>
      <c r="M1276" s="243"/>
      <c r="N1276" s="289"/>
      <c r="O1276" s="245"/>
      <c r="P1276" s="289"/>
      <c r="Q1276" s="245"/>
      <c r="R1276" s="289"/>
      <c r="S1276" s="257"/>
      <c r="T1276" s="257"/>
      <c r="U1276" s="257"/>
      <c r="V1276" s="289"/>
      <c r="W1276" s="245"/>
      <c r="X1276" s="289"/>
      <c r="Y1276" s="245"/>
      <c r="Z1276" s="289"/>
      <c r="AA1276" s="245"/>
      <c r="AB1276" s="289"/>
      <c r="AC1276" s="245"/>
    </row>
    <row r="1277" spans="1:29" s="454" customFormat="1" ht="15">
      <c r="A1277" s="284">
        <f>A1271+1</f>
        <v>241</v>
      </c>
      <c r="B1277" s="237"/>
      <c r="C1277" s="892" t="s">
        <v>3395</v>
      </c>
      <c r="D1277" s="238" t="s">
        <v>2686</v>
      </c>
      <c r="E1277" s="237" t="s">
        <v>2475</v>
      </c>
      <c r="F1277" s="735"/>
      <c r="G1277" s="849"/>
      <c r="H1277" s="261"/>
      <c r="I1277" s="237" t="s">
        <v>2475</v>
      </c>
      <c r="J1277" s="243"/>
      <c r="K1277" s="243"/>
      <c r="L1277" s="243"/>
      <c r="M1277" s="243"/>
      <c r="N1277" s="289"/>
      <c r="O1277" s="245"/>
      <c r="P1277" s="289"/>
      <c r="Q1277" s="245"/>
      <c r="R1277" s="289"/>
      <c r="S1277" s="257"/>
      <c r="T1277" s="257"/>
      <c r="U1277" s="257"/>
      <c r="V1277" s="289"/>
      <c r="W1277" s="245"/>
      <c r="X1277" s="289"/>
      <c r="Y1277" s="245"/>
      <c r="Z1277" s="289"/>
      <c r="AA1277" s="245"/>
      <c r="AB1277" s="289"/>
      <c r="AC1277" s="245"/>
    </row>
    <row r="1278" spans="1:29" s="454" customFormat="1" ht="15">
      <c r="A1278" s="284"/>
      <c r="B1278" s="237"/>
      <c r="C1278" s="892" t="s">
        <v>2660</v>
      </c>
      <c r="D1278" s="238" t="s">
        <v>2687</v>
      </c>
      <c r="E1278" s="237" t="s">
        <v>2660</v>
      </c>
      <c r="F1278" s="733"/>
      <c r="G1278" s="849" t="s">
        <v>2660</v>
      </c>
      <c r="H1278" s="243"/>
      <c r="I1278" s="237" t="s">
        <v>2660</v>
      </c>
      <c r="J1278" s="243"/>
      <c r="K1278" s="243"/>
      <c r="L1278" s="243"/>
      <c r="M1278" s="243"/>
      <c r="N1278" s="289"/>
      <c r="O1278" s="245"/>
      <c r="P1278" s="289"/>
      <c r="Q1278" s="245"/>
      <c r="R1278" s="289"/>
      <c r="S1278" s="257"/>
      <c r="T1278" s="257"/>
      <c r="U1278" s="257"/>
      <c r="V1278" s="289"/>
      <c r="W1278" s="245"/>
      <c r="X1278" s="289"/>
      <c r="Y1278" s="245"/>
      <c r="Z1278" s="289"/>
      <c r="AA1278" s="245"/>
      <c r="AB1278" s="289"/>
      <c r="AC1278" s="245"/>
    </row>
    <row r="1279" spans="1:29" s="454" customFormat="1" ht="15">
      <c r="A1279" s="284"/>
      <c r="B1279" s="237"/>
      <c r="C1279" s="892"/>
      <c r="D1279" s="238" t="s">
        <v>2986</v>
      </c>
      <c r="E1279" s="237"/>
      <c r="F1279" s="735">
        <f>N1279+R1279+P1279+T1279+V1279+X1279+Z1279+AB1279</f>
        <v>30</v>
      </c>
      <c r="G1279" s="849">
        <v>59.76</v>
      </c>
      <c r="H1279" s="261">
        <f>O1279+S1279+Q1279+U1279+W1279+Y1279+AA1279+AC1279</f>
        <v>1792.8</v>
      </c>
      <c r="I1279" s="237"/>
      <c r="J1279" s="243"/>
      <c r="K1279" s="243"/>
      <c r="L1279" s="243"/>
      <c r="M1279" s="243"/>
      <c r="N1279" s="289"/>
      <c r="O1279" s="245"/>
      <c r="P1279" s="289"/>
      <c r="Q1279" s="245"/>
      <c r="R1279" s="289">
        <f>2*14+2</f>
        <v>30</v>
      </c>
      <c r="S1279" s="257">
        <f>INT($G1279*R1279*100+0.5)/100</f>
        <v>1792.8</v>
      </c>
      <c r="T1279" s="257"/>
      <c r="U1279" s="257"/>
      <c r="V1279" s="289"/>
      <c r="W1279" s="245"/>
      <c r="X1279" s="289"/>
      <c r="Y1279" s="245"/>
      <c r="Z1279" s="289"/>
      <c r="AA1279" s="245"/>
      <c r="AB1279" s="289"/>
      <c r="AC1279" s="245"/>
    </row>
    <row r="1280" spans="1:29" s="454" customFormat="1" ht="15">
      <c r="A1280" s="284"/>
      <c r="B1280" s="237"/>
      <c r="C1280" s="892"/>
      <c r="D1280" s="238"/>
      <c r="E1280" s="237"/>
      <c r="F1280" s="733"/>
      <c r="G1280" s="849"/>
      <c r="H1280" s="243"/>
      <c r="I1280" s="237"/>
      <c r="J1280" s="243"/>
      <c r="K1280" s="243"/>
      <c r="L1280" s="243"/>
      <c r="M1280" s="243"/>
      <c r="N1280" s="289"/>
      <c r="O1280" s="245"/>
      <c r="P1280" s="289"/>
      <c r="Q1280" s="245"/>
      <c r="R1280" s="289"/>
      <c r="S1280" s="257"/>
      <c r="T1280" s="257"/>
      <c r="U1280" s="257"/>
      <c r="V1280" s="289"/>
      <c r="W1280" s="245"/>
      <c r="X1280" s="289"/>
      <c r="Y1280" s="245"/>
      <c r="Z1280" s="289"/>
      <c r="AA1280" s="245"/>
      <c r="AB1280" s="289"/>
      <c r="AC1280" s="245"/>
    </row>
    <row r="1281" spans="1:29" s="454" customFormat="1" ht="15">
      <c r="A1281" s="284"/>
      <c r="B1281" s="237"/>
      <c r="C1281" s="892" t="s">
        <v>2660</v>
      </c>
      <c r="D1281" s="238" t="s">
        <v>2660</v>
      </c>
      <c r="E1281" s="237" t="s">
        <v>2660</v>
      </c>
      <c r="F1281" s="733"/>
      <c r="G1281" s="849" t="s">
        <v>2660</v>
      </c>
      <c r="H1281" s="243"/>
      <c r="I1281" s="237" t="s">
        <v>2660</v>
      </c>
      <c r="J1281" s="243"/>
      <c r="K1281" s="243"/>
      <c r="L1281" s="243"/>
      <c r="M1281" s="243"/>
      <c r="N1281" s="289"/>
      <c r="O1281" s="245"/>
      <c r="P1281" s="289"/>
      <c r="Q1281" s="245"/>
      <c r="R1281" s="289"/>
      <c r="S1281" s="257"/>
      <c r="T1281" s="257"/>
      <c r="U1281" s="257"/>
      <c r="V1281" s="289"/>
      <c r="W1281" s="245"/>
      <c r="X1281" s="289"/>
      <c r="Y1281" s="245"/>
      <c r="Z1281" s="289"/>
      <c r="AA1281" s="245"/>
      <c r="AB1281" s="289"/>
      <c r="AC1281" s="245"/>
    </row>
    <row r="1282" spans="1:29" s="454" customFormat="1" ht="15">
      <c r="A1282" s="284">
        <f>A1277+1</f>
        <v>242</v>
      </c>
      <c r="B1282" s="237"/>
      <c r="C1282" s="892" t="s">
        <v>3396</v>
      </c>
      <c r="D1282" s="238" t="s">
        <v>2688</v>
      </c>
      <c r="E1282" s="237" t="s">
        <v>2475</v>
      </c>
      <c r="F1282" s="735"/>
      <c r="G1282" s="849"/>
      <c r="H1282" s="261"/>
      <c r="I1282" s="237" t="s">
        <v>2475</v>
      </c>
      <c r="J1282" s="243"/>
      <c r="K1282" s="243"/>
      <c r="L1282" s="243"/>
      <c r="M1282" s="243"/>
      <c r="N1282" s="289"/>
      <c r="O1282" s="245"/>
      <c r="P1282" s="289"/>
      <c r="Q1282" s="245"/>
      <c r="R1282" s="289"/>
      <c r="S1282" s="257"/>
      <c r="T1282" s="257"/>
      <c r="U1282" s="257"/>
      <c r="V1282" s="289"/>
      <c r="W1282" s="245"/>
      <c r="X1282" s="289"/>
      <c r="Y1282" s="245"/>
      <c r="Z1282" s="289"/>
      <c r="AA1282" s="245"/>
      <c r="AB1282" s="289"/>
      <c r="AC1282" s="245"/>
    </row>
    <row r="1283" spans="1:29" s="454" customFormat="1" ht="15">
      <c r="A1283" s="284"/>
      <c r="B1283" s="237"/>
      <c r="C1283" s="892" t="s">
        <v>2660</v>
      </c>
      <c r="D1283" s="238" t="s">
        <v>2689</v>
      </c>
      <c r="E1283" s="237" t="s">
        <v>2660</v>
      </c>
      <c r="F1283" s="733"/>
      <c r="G1283" s="849" t="s">
        <v>2660</v>
      </c>
      <c r="H1283" s="243"/>
      <c r="I1283" s="237" t="s">
        <v>2660</v>
      </c>
      <c r="J1283" s="243"/>
      <c r="K1283" s="243"/>
      <c r="L1283" s="243"/>
      <c r="M1283" s="243"/>
      <c r="N1283" s="289"/>
      <c r="O1283" s="245"/>
      <c r="P1283" s="289"/>
      <c r="Q1283" s="245"/>
      <c r="R1283" s="289"/>
      <c r="S1283" s="257"/>
      <c r="T1283" s="257"/>
      <c r="U1283" s="257"/>
      <c r="V1283" s="289"/>
      <c r="W1283" s="245"/>
      <c r="X1283" s="289"/>
      <c r="Y1283" s="245"/>
      <c r="Z1283" s="289"/>
      <c r="AA1283" s="245"/>
      <c r="AB1283" s="289"/>
      <c r="AC1283" s="245"/>
    </row>
    <row r="1284" spans="1:29" s="454" customFormat="1" ht="15">
      <c r="A1284" s="284"/>
      <c r="B1284" s="237"/>
      <c r="C1284" s="892"/>
      <c r="D1284" s="238" t="s">
        <v>2988</v>
      </c>
      <c r="E1284" s="237"/>
      <c r="F1284" s="735"/>
      <c r="G1284" s="849"/>
      <c r="H1284" s="261"/>
      <c r="I1284" s="237"/>
      <c r="J1284" s="243"/>
      <c r="K1284" s="243"/>
      <c r="L1284" s="243"/>
      <c r="M1284" s="243"/>
      <c r="N1284" s="289"/>
      <c r="O1284" s="245"/>
      <c r="P1284" s="289"/>
      <c r="Q1284" s="245"/>
      <c r="R1284" s="289">
        <f>2*132.5</f>
        <v>265</v>
      </c>
      <c r="S1284" s="257"/>
      <c r="T1284" s="257"/>
      <c r="U1284" s="257"/>
      <c r="V1284" s="289"/>
      <c r="W1284" s="245"/>
      <c r="X1284" s="289"/>
      <c r="Y1284" s="245"/>
      <c r="Z1284" s="289"/>
      <c r="AA1284" s="245"/>
      <c r="AB1284" s="289"/>
      <c r="AC1284" s="245"/>
    </row>
    <row r="1285" spans="1:29" s="454" customFormat="1" ht="15">
      <c r="A1285" s="284"/>
      <c r="B1285" s="237"/>
      <c r="C1285" s="892"/>
      <c r="D1285" s="238" t="s">
        <v>2989</v>
      </c>
      <c r="E1285" s="237"/>
      <c r="F1285" s="735"/>
      <c r="G1285" s="849"/>
      <c r="H1285" s="261"/>
      <c r="I1285" s="237"/>
      <c r="J1285" s="243"/>
      <c r="K1285" s="243"/>
      <c r="L1285" s="243"/>
      <c r="M1285" s="243"/>
      <c r="N1285" s="289"/>
      <c r="O1285" s="245"/>
      <c r="P1285" s="289"/>
      <c r="Q1285" s="245"/>
      <c r="R1285" s="289">
        <f>2*10</f>
        <v>20</v>
      </c>
      <c r="S1285" s="257"/>
      <c r="T1285" s="257"/>
      <c r="U1285" s="257"/>
      <c r="V1285" s="289"/>
      <c r="W1285" s="245"/>
      <c r="X1285" s="289"/>
      <c r="Y1285" s="245"/>
      <c r="Z1285" s="289"/>
      <c r="AA1285" s="245"/>
      <c r="AB1285" s="289"/>
      <c r="AC1285" s="245"/>
    </row>
    <row r="1286" spans="1:29" s="454" customFormat="1" ht="15">
      <c r="A1286" s="284"/>
      <c r="B1286" s="237"/>
      <c r="C1286" s="892"/>
      <c r="D1286" s="238" t="s">
        <v>2987</v>
      </c>
      <c r="E1286" s="237"/>
      <c r="F1286" s="735"/>
      <c r="G1286" s="849"/>
      <c r="H1286" s="261"/>
      <c r="I1286" s="237"/>
      <c r="J1286" s="243"/>
      <c r="K1286" s="243"/>
      <c r="L1286" s="243"/>
      <c r="M1286" s="243"/>
      <c r="N1286" s="289"/>
      <c r="O1286" s="245"/>
      <c r="P1286" s="289"/>
      <c r="Q1286" s="245"/>
      <c r="R1286" s="289">
        <f>2*15</f>
        <v>30</v>
      </c>
      <c r="S1286" s="257"/>
      <c r="T1286" s="257"/>
      <c r="U1286" s="257"/>
      <c r="V1286" s="289"/>
      <c r="W1286" s="245"/>
      <c r="X1286" s="289"/>
      <c r="Y1286" s="245"/>
      <c r="Z1286" s="289"/>
      <c r="AA1286" s="245"/>
      <c r="AB1286" s="289"/>
      <c r="AC1286" s="245"/>
    </row>
    <row r="1287" spans="1:29" s="454" customFormat="1" ht="15">
      <c r="A1287" s="284"/>
      <c r="B1287" s="237"/>
      <c r="C1287" s="892"/>
      <c r="D1287" s="238" t="s">
        <v>2990</v>
      </c>
      <c r="E1287" s="237"/>
      <c r="F1287" s="735"/>
      <c r="G1287" s="849"/>
      <c r="H1287" s="261"/>
      <c r="I1287" s="237"/>
      <c r="J1287" s="243"/>
      <c r="K1287" s="243"/>
      <c r="L1287" s="243"/>
      <c r="M1287" s="243"/>
      <c r="N1287" s="289"/>
      <c r="O1287" s="245"/>
      <c r="P1287" s="289"/>
      <c r="Q1287" s="245"/>
      <c r="R1287" s="924">
        <f>2*(3*3+2+4)+5</f>
        <v>35</v>
      </c>
      <c r="S1287" s="257"/>
      <c r="T1287" s="257"/>
      <c r="U1287" s="257"/>
      <c r="V1287" s="289"/>
      <c r="W1287" s="245"/>
      <c r="X1287" s="289"/>
      <c r="Y1287" s="245"/>
      <c r="Z1287" s="289"/>
      <c r="AA1287" s="245"/>
      <c r="AB1287" s="289"/>
      <c r="AC1287" s="245"/>
    </row>
    <row r="1288" spans="1:29" s="454" customFormat="1" ht="15">
      <c r="A1288" s="284"/>
      <c r="B1288" s="237"/>
      <c r="C1288" s="892"/>
      <c r="D1288" s="238" t="s">
        <v>1900</v>
      </c>
      <c r="E1288" s="237"/>
      <c r="F1288" s="735">
        <f>N1288+R1288+P1288+T1288+V1288+X1288+Z1288+AB1288</f>
        <v>350</v>
      </c>
      <c r="G1288" s="849">
        <v>72.42</v>
      </c>
      <c r="H1288" s="261">
        <f>O1288+S1288+Q1288+U1288+W1288+Y1288+AA1288+AC1288</f>
        <v>25347</v>
      </c>
      <c r="I1288" s="237"/>
      <c r="J1288" s="243"/>
      <c r="K1288" s="243"/>
      <c r="L1288" s="243"/>
      <c r="M1288" s="243"/>
      <c r="N1288" s="289"/>
      <c r="O1288" s="245"/>
      <c r="P1288" s="289"/>
      <c r="Q1288" s="245"/>
      <c r="R1288" s="289">
        <f>SUM(R1284:R1287)</f>
        <v>350</v>
      </c>
      <c r="S1288" s="257">
        <f>INT($G1288*R1288*100+0.5)/100</f>
        <v>25347</v>
      </c>
      <c r="T1288" s="257"/>
      <c r="U1288" s="257"/>
      <c r="V1288" s="289"/>
      <c r="W1288" s="245"/>
      <c r="X1288" s="289"/>
      <c r="Y1288" s="245"/>
      <c r="Z1288" s="289"/>
      <c r="AA1288" s="245"/>
      <c r="AB1288" s="289"/>
      <c r="AC1288" s="245"/>
    </row>
    <row r="1289" spans="1:29" s="454" customFormat="1" ht="15">
      <c r="A1289" s="284"/>
      <c r="B1289" s="237"/>
      <c r="C1289" s="892" t="s">
        <v>2660</v>
      </c>
      <c r="D1289" s="238" t="s">
        <v>2660</v>
      </c>
      <c r="E1289" s="237" t="s">
        <v>2660</v>
      </c>
      <c r="F1289" s="733"/>
      <c r="G1289" s="849" t="s">
        <v>2660</v>
      </c>
      <c r="H1289" s="243"/>
      <c r="I1289" s="237" t="s">
        <v>2660</v>
      </c>
      <c r="J1289" s="243"/>
      <c r="K1289" s="243"/>
      <c r="L1289" s="243"/>
      <c r="M1289" s="243"/>
      <c r="N1289" s="289"/>
      <c r="O1289" s="245"/>
      <c r="P1289" s="289"/>
      <c r="Q1289" s="245"/>
      <c r="R1289" s="289"/>
      <c r="S1289" s="257"/>
      <c r="T1289" s="257"/>
      <c r="U1289" s="257"/>
      <c r="V1289" s="289"/>
      <c r="W1289" s="245"/>
      <c r="X1289" s="289"/>
      <c r="Y1289" s="245"/>
      <c r="Z1289" s="289"/>
      <c r="AA1289" s="245"/>
      <c r="AB1289" s="289"/>
      <c r="AC1289" s="245"/>
    </row>
    <row r="1290" spans="1:29" s="454" customFormat="1" ht="15">
      <c r="A1290" s="284">
        <f>A1282+1</f>
        <v>243</v>
      </c>
      <c r="B1290" s="237"/>
      <c r="C1290" s="892" t="s">
        <v>3397</v>
      </c>
      <c r="D1290" s="238" t="s">
        <v>2690</v>
      </c>
      <c r="E1290" s="237" t="s">
        <v>2475</v>
      </c>
      <c r="F1290" s="735"/>
      <c r="G1290" s="849"/>
      <c r="H1290" s="261"/>
      <c r="I1290" s="237" t="s">
        <v>2475</v>
      </c>
      <c r="J1290" s="243"/>
      <c r="K1290" s="243"/>
      <c r="L1290" s="243"/>
      <c r="M1290" s="243"/>
      <c r="N1290" s="289"/>
      <c r="O1290" s="245"/>
      <c r="P1290" s="289"/>
      <c r="Q1290" s="245"/>
      <c r="R1290" s="289"/>
      <c r="S1290" s="257"/>
      <c r="T1290" s="257"/>
      <c r="U1290" s="257"/>
      <c r="V1290" s="289"/>
      <c r="W1290" s="245"/>
      <c r="X1290" s="289"/>
      <c r="Y1290" s="245"/>
      <c r="Z1290" s="289"/>
      <c r="AA1290" s="245"/>
      <c r="AB1290" s="289"/>
      <c r="AC1290" s="245"/>
    </row>
    <row r="1291" spans="1:29" s="454" customFormat="1" ht="15">
      <c r="A1291" s="284"/>
      <c r="B1291" s="237"/>
      <c r="C1291" s="892" t="s">
        <v>2660</v>
      </c>
      <c r="D1291" s="238" t="s">
        <v>2691</v>
      </c>
      <c r="E1291" s="237" t="s">
        <v>2660</v>
      </c>
      <c r="F1291" s="733"/>
      <c r="G1291" s="849"/>
      <c r="H1291" s="243"/>
      <c r="I1291" s="237" t="s">
        <v>2660</v>
      </c>
      <c r="J1291" s="243"/>
      <c r="K1291" s="243"/>
      <c r="L1291" s="243"/>
      <c r="M1291" s="243"/>
      <c r="N1291" s="289"/>
      <c r="O1291" s="245"/>
      <c r="P1291" s="289"/>
      <c r="Q1291" s="245"/>
      <c r="R1291" s="289"/>
      <c r="S1291" s="257"/>
      <c r="T1291" s="257"/>
      <c r="U1291" s="257"/>
      <c r="V1291" s="289"/>
      <c r="W1291" s="245"/>
      <c r="X1291" s="289"/>
      <c r="Y1291" s="245"/>
      <c r="Z1291" s="289"/>
      <c r="AA1291" s="245"/>
      <c r="AB1291" s="289"/>
      <c r="AC1291" s="245"/>
    </row>
    <row r="1292" spans="1:29" s="454" customFormat="1" ht="15">
      <c r="A1292" s="284"/>
      <c r="B1292" s="237"/>
      <c r="C1292" s="892"/>
      <c r="D1292" s="238" t="s">
        <v>2991</v>
      </c>
      <c r="E1292" s="237"/>
      <c r="F1292" s="735"/>
      <c r="G1292" s="849"/>
      <c r="H1292" s="261"/>
      <c r="I1292" s="237"/>
      <c r="J1292" s="243"/>
      <c r="K1292" s="243"/>
      <c r="L1292" s="243"/>
      <c r="M1292" s="243"/>
      <c r="N1292" s="289"/>
      <c r="O1292" s="245"/>
      <c r="P1292" s="289"/>
      <c r="Q1292" s="245"/>
      <c r="R1292" s="289">
        <f>2*(101.5+136.5)</f>
        <v>476</v>
      </c>
      <c r="S1292" s="257"/>
      <c r="T1292" s="257"/>
      <c r="U1292" s="257"/>
      <c r="V1292" s="289"/>
      <c r="W1292" s="245"/>
      <c r="X1292" s="289"/>
      <c r="Y1292" s="245"/>
      <c r="Z1292" s="289"/>
      <c r="AA1292" s="245"/>
      <c r="AB1292" s="289"/>
      <c r="AC1292" s="245"/>
    </row>
    <row r="1293" spans="1:29" s="454" customFormat="1" ht="15">
      <c r="A1293" s="284"/>
      <c r="B1293" s="237"/>
      <c r="C1293" s="892"/>
      <c r="D1293" s="238" t="s">
        <v>2990</v>
      </c>
      <c r="E1293" s="237"/>
      <c r="F1293" s="735"/>
      <c r="G1293" s="849"/>
      <c r="H1293" s="261"/>
      <c r="I1293" s="237"/>
      <c r="J1293" s="243"/>
      <c r="K1293" s="243"/>
      <c r="L1293" s="243"/>
      <c r="M1293" s="243"/>
      <c r="N1293" s="289"/>
      <c r="O1293" s="245"/>
      <c r="P1293" s="289"/>
      <c r="Q1293" s="245"/>
      <c r="R1293" s="924">
        <f>2*(3*3+2+4)+14</f>
        <v>44</v>
      </c>
      <c r="S1293" s="257"/>
      <c r="T1293" s="257"/>
      <c r="U1293" s="257"/>
      <c r="V1293" s="289"/>
      <c r="W1293" s="245"/>
      <c r="X1293" s="289"/>
      <c r="Y1293" s="245"/>
      <c r="Z1293" s="289"/>
      <c r="AA1293" s="245"/>
      <c r="AB1293" s="289"/>
      <c r="AC1293" s="245"/>
    </row>
    <row r="1294" spans="1:29" s="454" customFormat="1" ht="15">
      <c r="A1294" s="284"/>
      <c r="B1294" s="237"/>
      <c r="C1294" s="892"/>
      <c r="D1294" s="238" t="s">
        <v>1900</v>
      </c>
      <c r="E1294" s="237"/>
      <c r="F1294" s="735">
        <f>N1294+R1294+P1294+T1294+V1294+X1294+Z1294+AB1294</f>
        <v>520</v>
      </c>
      <c r="G1294" s="849">
        <v>92.4</v>
      </c>
      <c r="H1294" s="261">
        <f>O1294+S1294+Q1294+U1294+W1294+Y1294+AA1294+AC1294</f>
        <v>48048</v>
      </c>
      <c r="I1294" s="237"/>
      <c r="J1294" s="243"/>
      <c r="K1294" s="243"/>
      <c r="L1294" s="243"/>
      <c r="M1294" s="243"/>
      <c r="N1294" s="289"/>
      <c r="O1294" s="245"/>
      <c r="P1294" s="289"/>
      <c r="Q1294" s="245"/>
      <c r="R1294" s="289">
        <f>SUM(R1291:R1293)</f>
        <v>520</v>
      </c>
      <c r="S1294" s="257">
        <f>INT($G1294*R1294*100+0.5)/100</f>
        <v>48048</v>
      </c>
      <c r="T1294" s="257"/>
      <c r="U1294" s="257"/>
      <c r="V1294" s="289"/>
      <c r="W1294" s="245"/>
      <c r="X1294" s="289"/>
      <c r="Y1294" s="245"/>
      <c r="Z1294" s="289"/>
      <c r="AA1294" s="245"/>
      <c r="AB1294" s="289"/>
      <c r="AC1294" s="245"/>
    </row>
    <row r="1295" spans="1:29" s="454" customFormat="1" ht="15">
      <c r="A1295" s="284"/>
      <c r="B1295" s="237"/>
      <c r="C1295" s="892" t="s">
        <v>2660</v>
      </c>
      <c r="D1295" s="238" t="s">
        <v>2660</v>
      </c>
      <c r="E1295" s="237" t="s">
        <v>2660</v>
      </c>
      <c r="F1295" s="733"/>
      <c r="G1295" s="849" t="s">
        <v>2660</v>
      </c>
      <c r="H1295" s="243"/>
      <c r="I1295" s="237" t="s">
        <v>2660</v>
      </c>
      <c r="J1295" s="243"/>
      <c r="K1295" s="243"/>
      <c r="L1295" s="243"/>
      <c r="M1295" s="243"/>
      <c r="N1295" s="289"/>
      <c r="O1295" s="245"/>
      <c r="P1295" s="289"/>
      <c r="Q1295" s="245"/>
      <c r="R1295" s="289"/>
      <c r="S1295" s="257"/>
      <c r="T1295" s="257"/>
      <c r="U1295" s="257"/>
      <c r="V1295" s="289"/>
      <c r="W1295" s="245"/>
      <c r="X1295" s="289"/>
      <c r="Y1295" s="245"/>
      <c r="Z1295" s="289"/>
      <c r="AA1295" s="245"/>
      <c r="AB1295" s="289"/>
      <c r="AC1295" s="245"/>
    </row>
    <row r="1296" spans="1:29" s="454" customFormat="1" ht="15">
      <c r="A1296" s="284"/>
      <c r="B1296" s="237"/>
      <c r="C1296" s="892" t="s">
        <v>3398</v>
      </c>
      <c r="D1296" s="238" t="s">
        <v>2693</v>
      </c>
      <c r="E1296" s="237" t="s">
        <v>2660</v>
      </c>
      <c r="F1296" s="733"/>
      <c r="G1296" s="849" t="s">
        <v>2660</v>
      </c>
      <c r="H1296" s="243"/>
      <c r="I1296" s="237" t="s">
        <v>2660</v>
      </c>
      <c r="J1296" s="243"/>
      <c r="K1296" s="243"/>
      <c r="L1296" s="243"/>
      <c r="M1296" s="243"/>
      <c r="N1296" s="289"/>
      <c r="O1296" s="245"/>
      <c r="P1296" s="289"/>
      <c r="Q1296" s="245"/>
      <c r="R1296" s="289"/>
      <c r="S1296" s="257"/>
      <c r="T1296" s="257"/>
      <c r="U1296" s="257"/>
      <c r="V1296" s="289"/>
      <c r="W1296" s="245"/>
      <c r="X1296" s="289"/>
      <c r="Y1296" s="245"/>
      <c r="Z1296" s="289"/>
      <c r="AA1296" s="245"/>
      <c r="AB1296" s="289"/>
      <c r="AC1296" s="245"/>
    </row>
    <row r="1297" spans="1:29" s="454" customFormat="1" ht="15">
      <c r="A1297" s="284"/>
      <c r="B1297" s="237"/>
      <c r="C1297" s="892"/>
      <c r="D1297" s="238" t="s">
        <v>2694</v>
      </c>
      <c r="E1297" s="237"/>
      <c r="F1297" s="733"/>
      <c r="G1297" s="849"/>
      <c r="H1297" s="243"/>
      <c r="I1297" s="237"/>
      <c r="J1297" s="243"/>
      <c r="K1297" s="243"/>
      <c r="L1297" s="243"/>
      <c r="M1297" s="243"/>
      <c r="N1297" s="289"/>
      <c r="O1297" s="245"/>
      <c r="P1297" s="289"/>
      <c r="Q1297" s="245"/>
      <c r="R1297" s="289"/>
      <c r="S1297" s="257"/>
      <c r="T1297" s="257"/>
      <c r="U1297" s="257"/>
      <c r="V1297" s="289"/>
      <c r="W1297" s="245"/>
      <c r="X1297" s="289"/>
      <c r="Y1297" s="245"/>
      <c r="Z1297" s="289"/>
      <c r="AA1297" s="245"/>
      <c r="AB1297" s="289"/>
      <c r="AC1297" s="245"/>
    </row>
    <row r="1298" spans="1:29" s="454" customFormat="1" ht="15.6" hidden="1" customHeight="1">
      <c r="A1298" s="753" t="s">
        <v>2510</v>
      </c>
      <c r="B1298" s="237"/>
      <c r="C1298" s="892" t="s">
        <v>2661</v>
      </c>
      <c r="D1298" s="238" t="s">
        <v>2695</v>
      </c>
      <c r="E1298" s="237" t="s">
        <v>1901</v>
      </c>
      <c r="F1298" s="735">
        <f>N1298+R1298+P1298+T1298+V1298+X1298+Z1298+AB1298</f>
        <v>0</v>
      </c>
      <c r="G1298" s="849">
        <v>405.47</v>
      </c>
      <c r="H1298" s="261">
        <f>O1298+S1298+Q1298+U1298+W1298+Y1298+AA1298+AC1298</f>
        <v>0</v>
      </c>
      <c r="I1298" s="237" t="s">
        <v>1901</v>
      </c>
      <c r="J1298" s="243"/>
      <c r="K1298" s="243"/>
      <c r="L1298" s="243"/>
      <c r="M1298" s="243"/>
      <c r="N1298" s="289"/>
      <c r="O1298" s="245"/>
      <c r="P1298" s="289"/>
      <c r="Q1298" s="245"/>
      <c r="R1298" s="289">
        <v>0</v>
      </c>
      <c r="S1298" s="257">
        <f>INT($G1298*R1298*100+0.5)/100</f>
        <v>0</v>
      </c>
      <c r="T1298" s="257"/>
      <c r="U1298" s="257"/>
      <c r="V1298" s="289"/>
      <c r="W1298" s="245"/>
      <c r="X1298" s="289"/>
      <c r="Y1298" s="245"/>
      <c r="Z1298" s="289"/>
      <c r="AA1298" s="245"/>
      <c r="AB1298" s="289"/>
      <c r="AC1298" s="245"/>
    </row>
    <row r="1299" spans="1:29" s="454" customFormat="1" ht="15.6" hidden="1" customHeight="1">
      <c r="A1299" s="284"/>
      <c r="B1299" s="237"/>
      <c r="C1299" s="892" t="s">
        <v>2660</v>
      </c>
      <c r="D1299" s="238" t="s">
        <v>2696</v>
      </c>
      <c r="E1299" s="237" t="s">
        <v>2660</v>
      </c>
      <c r="F1299" s="733"/>
      <c r="G1299" s="849" t="s">
        <v>2660</v>
      </c>
      <c r="H1299" s="243"/>
      <c r="I1299" s="237" t="s">
        <v>2660</v>
      </c>
      <c r="J1299" s="243"/>
      <c r="K1299" s="243"/>
      <c r="L1299" s="243"/>
      <c r="M1299" s="243"/>
      <c r="N1299" s="289"/>
      <c r="O1299" s="245"/>
      <c r="P1299" s="289"/>
      <c r="Q1299" s="245"/>
      <c r="R1299" s="289"/>
      <c r="S1299" s="257"/>
      <c r="T1299" s="257"/>
      <c r="U1299" s="257"/>
      <c r="V1299" s="289"/>
      <c r="W1299" s="245"/>
      <c r="X1299" s="289"/>
      <c r="Y1299" s="245"/>
      <c r="Z1299" s="289"/>
      <c r="AA1299" s="245"/>
      <c r="AB1299" s="289"/>
      <c r="AC1299" s="245"/>
    </row>
    <row r="1300" spans="1:29" s="454" customFormat="1" ht="15.6" hidden="1" customHeight="1">
      <c r="A1300" s="284"/>
      <c r="B1300" s="237"/>
      <c r="C1300" s="892" t="s">
        <v>2660</v>
      </c>
      <c r="D1300" s="238" t="s">
        <v>2660</v>
      </c>
      <c r="E1300" s="237" t="s">
        <v>2660</v>
      </c>
      <c r="F1300" s="733"/>
      <c r="G1300" s="849" t="s">
        <v>2660</v>
      </c>
      <c r="H1300" s="243"/>
      <c r="I1300" s="237" t="s">
        <v>2660</v>
      </c>
      <c r="J1300" s="243"/>
      <c r="K1300" s="243"/>
      <c r="L1300" s="243"/>
      <c r="M1300" s="243"/>
      <c r="N1300" s="289"/>
      <c r="O1300" s="245"/>
      <c r="P1300" s="289"/>
      <c r="Q1300" s="245"/>
      <c r="R1300" s="289"/>
      <c r="S1300" s="257"/>
      <c r="T1300" s="257"/>
      <c r="U1300" s="257"/>
      <c r="V1300" s="289"/>
      <c r="W1300" s="245"/>
      <c r="X1300" s="289"/>
      <c r="Y1300" s="245"/>
      <c r="Z1300" s="289"/>
      <c r="AA1300" s="245"/>
      <c r="AB1300" s="289"/>
      <c r="AC1300" s="245"/>
    </row>
    <row r="1301" spans="1:29" s="454" customFormat="1" ht="15.6" hidden="1" customHeight="1">
      <c r="A1301" s="753" t="s">
        <v>2510</v>
      </c>
      <c r="B1301" s="237"/>
      <c r="C1301" s="892" t="s">
        <v>2662</v>
      </c>
      <c r="D1301" s="238" t="s">
        <v>2697</v>
      </c>
      <c r="E1301" s="237" t="s">
        <v>1901</v>
      </c>
      <c r="F1301" s="735">
        <f>N1301+R1301+P1301+T1301+V1301+X1301+Z1301+AB1301</f>
        <v>0</v>
      </c>
      <c r="G1301" s="849">
        <v>574.27</v>
      </c>
      <c r="H1301" s="261">
        <f>O1301+S1301+Q1301+U1301+W1301+Y1301+AA1301+AC1301</f>
        <v>0</v>
      </c>
      <c r="I1301" s="237" t="s">
        <v>1901</v>
      </c>
      <c r="J1301" s="243"/>
      <c r="K1301" s="243"/>
      <c r="L1301" s="243"/>
      <c r="M1301" s="243"/>
      <c r="N1301" s="289"/>
      <c r="O1301" s="245"/>
      <c r="P1301" s="289"/>
      <c r="Q1301" s="245"/>
      <c r="R1301" s="289">
        <v>0</v>
      </c>
      <c r="S1301" s="257">
        <f>INT($G1301*R1301*100+0.5)/100</f>
        <v>0</v>
      </c>
      <c r="T1301" s="257"/>
      <c r="U1301" s="257"/>
      <c r="V1301" s="289"/>
      <c r="W1301" s="245"/>
      <c r="X1301" s="289"/>
      <c r="Y1301" s="245"/>
      <c r="Z1301" s="289"/>
      <c r="AA1301" s="245"/>
      <c r="AB1301" s="289"/>
      <c r="AC1301" s="245"/>
    </row>
    <row r="1302" spans="1:29" s="454" customFormat="1" ht="15.6" hidden="1" customHeight="1">
      <c r="A1302" s="284"/>
      <c r="B1302" s="237"/>
      <c r="C1302" s="892" t="s">
        <v>2660</v>
      </c>
      <c r="D1302" s="238" t="s">
        <v>2698</v>
      </c>
      <c r="E1302" s="237" t="s">
        <v>2660</v>
      </c>
      <c r="F1302" s="733"/>
      <c r="G1302" s="849" t="s">
        <v>2660</v>
      </c>
      <c r="H1302" s="243"/>
      <c r="I1302" s="237" t="s">
        <v>2660</v>
      </c>
      <c r="J1302" s="243"/>
      <c r="K1302" s="243"/>
      <c r="L1302" s="243"/>
      <c r="M1302" s="243"/>
      <c r="N1302" s="289"/>
      <c r="O1302" s="245"/>
      <c r="P1302" s="289"/>
      <c r="Q1302" s="245"/>
      <c r="R1302" s="289"/>
      <c r="S1302" s="257"/>
      <c r="T1302" s="257"/>
      <c r="U1302" s="257"/>
      <c r="V1302" s="289"/>
      <c r="W1302" s="245"/>
      <c r="X1302" s="289"/>
      <c r="Y1302" s="245"/>
      <c r="Z1302" s="289"/>
      <c r="AA1302" s="245"/>
      <c r="AB1302" s="289"/>
      <c r="AC1302" s="245"/>
    </row>
    <row r="1303" spans="1:29" s="454" customFormat="1" ht="15.6" hidden="1" customHeight="1">
      <c r="A1303" s="284"/>
      <c r="B1303" s="237"/>
      <c r="C1303" s="892" t="s">
        <v>2660</v>
      </c>
      <c r="D1303" s="238" t="s">
        <v>2660</v>
      </c>
      <c r="E1303" s="237" t="s">
        <v>2660</v>
      </c>
      <c r="F1303" s="733"/>
      <c r="G1303" s="849" t="s">
        <v>2660</v>
      </c>
      <c r="H1303" s="243"/>
      <c r="I1303" s="237" t="s">
        <v>2660</v>
      </c>
      <c r="J1303" s="243"/>
      <c r="K1303" s="243"/>
      <c r="L1303" s="243"/>
      <c r="M1303" s="243"/>
      <c r="N1303" s="289"/>
      <c r="O1303" s="245"/>
      <c r="P1303" s="289"/>
      <c r="Q1303" s="245"/>
      <c r="R1303" s="289"/>
      <c r="S1303" s="257"/>
      <c r="T1303" s="257"/>
      <c r="U1303" s="257"/>
      <c r="V1303" s="289"/>
      <c r="W1303" s="245"/>
      <c r="X1303" s="289"/>
      <c r="Y1303" s="245"/>
      <c r="Z1303" s="289"/>
      <c r="AA1303" s="245"/>
      <c r="AB1303" s="289"/>
      <c r="AC1303" s="245"/>
    </row>
    <row r="1304" spans="1:29" s="454" customFormat="1" ht="15">
      <c r="A1304" s="284">
        <f>A1290+1</f>
        <v>244</v>
      </c>
      <c r="B1304" s="237"/>
      <c r="C1304" s="892" t="s">
        <v>3399</v>
      </c>
      <c r="D1304" s="238" t="s">
        <v>2699</v>
      </c>
      <c r="E1304" s="237" t="s">
        <v>1901</v>
      </c>
      <c r="F1304" s="735">
        <f>N1304+R1304+P1304+T1304+V1304+X1304+Z1304+AB1304</f>
        <v>2</v>
      </c>
      <c r="G1304" s="849">
        <v>658.67</v>
      </c>
      <c r="H1304" s="261">
        <f>O1304+S1304+Q1304+U1304+W1304+Y1304+AA1304+AC1304</f>
        <v>1317.34</v>
      </c>
      <c r="I1304" s="237" t="s">
        <v>1901</v>
      </c>
      <c r="J1304" s="243"/>
      <c r="K1304" s="243"/>
      <c r="L1304" s="243"/>
      <c r="M1304" s="243"/>
      <c r="N1304" s="289"/>
      <c r="O1304" s="245"/>
      <c r="P1304" s="289"/>
      <c r="Q1304" s="245"/>
      <c r="R1304" s="289">
        <v>2</v>
      </c>
      <c r="S1304" s="257">
        <f>INT($G1304*R1304*100+0.5)/100</f>
        <v>1317.34</v>
      </c>
      <c r="T1304" s="257"/>
      <c r="U1304" s="257"/>
      <c r="V1304" s="289"/>
      <c r="W1304" s="245"/>
      <c r="X1304" s="289"/>
      <c r="Y1304" s="245"/>
      <c r="Z1304" s="289"/>
      <c r="AA1304" s="245"/>
      <c r="AB1304" s="289"/>
      <c r="AC1304" s="245"/>
    </row>
    <row r="1305" spans="1:29" s="454" customFormat="1" ht="15">
      <c r="A1305" s="284"/>
      <c r="B1305" s="237"/>
      <c r="C1305" s="892" t="s">
        <v>2660</v>
      </c>
      <c r="D1305" s="238" t="s">
        <v>2700</v>
      </c>
      <c r="E1305" s="237" t="s">
        <v>2660</v>
      </c>
      <c r="F1305" s="733"/>
      <c r="G1305" s="849" t="s">
        <v>2660</v>
      </c>
      <c r="H1305" s="243"/>
      <c r="I1305" s="237" t="s">
        <v>2660</v>
      </c>
      <c r="J1305" s="243"/>
      <c r="K1305" s="243"/>
      <c r="L1305" s="243"/>
      <c r="M1305" s="243"/>
      <c r="N1305" s="289"/>
      <c r="O1305" s="245"/>
      <c r="P1305" s="289"/>
      <c r="Q1305" s="245"/>
      <c r="R1305" s="289"/>
      <c r="S1305" s="257"/>
      <c r="T1305" s="257"/>
      <c r="U1305" s="257"/>
      <c r="V1305" s="289"/>
      <c r="W1305" s="245"/>
      <c r="X1305" s="289"/>
      <c r="Y1305" s="245"/>
      <c r="Z1305" s="289"/>
      <c r="AA1305" s="245"/>
      <c r="AB1305" s="289"/>
      <c r="AC1305" s="245"/>
    </row>
    <row r="1306" spans="1:29" s="454" customFormat="1" ht="15">
      <c r="A1306" s="284"/>
      <c r="B1306" s="237"/>
      <c r="C1306" s="892" t="s">
        <v>2660</v>
      </c>
      <c r="D1306" s="238" t="s">
        <v>2660</v>
      </c>
      <c r="E1306" s="237" t="s">
        <v>2660</v>
      </c>
      <c r="F1306" s="733"/>
      <c r="G1306" s="849" t="s">
        <v>2660</v>
      </c>
      <c r="H1306" s="243"/>
      <c r="I1306" s="237" t="s">
        <v>2660</v>
      </c>
      <c r="J1306" s="243"/>
      <c r="K1306" s="243"/>
      <c r="L1306" s="243"/>
      <c r="M1306" s="243"/>
      <c r="N1306" s="289"/>
      <c r="O1306" s="245"/>
      <c r="P1306" s="289"/>
      <c r="Q1306" s="245"/>
      <c r="R1306" s="289"/>
      <c r="S1306" s="257"/>
      <c r="T1306" s="257"/>
      <c r="U1306" s="257"/>
      <c r="V1306" s="289"/>
      <c r="W1306" s="245"/>
      <c r="X1306" s="289"/>
      <c r="Y1306" s="245"/>
      <c r="Z1306" s="289"/>
      <c r="AA1306" s="245"/>
      <c r="AB1306" s="289"/>
      <c r="AC1306" s="245"/>
    </row>
    <row r="1307" spans="1:29" s="454" customFormat="1" ht="15">
      <c r="A1307" s="284">
        <f>A1304+1</f>
        <v>245</v>
      </c>
      <c r="B1307" s="237"/>
      <c r="C1307" s="892" t="s">
        <v>3400</v>
      </c>
      <c r="D1307" s="238" t="s">
        <v>2701</v>
      </c>
      <c r="E1307" s="237" t="s">
        <v>1901</v>
      </c>
      <c r="F1307" s="735">
        <f>N1307+R1307+P1307+T1307+V1307+X1307+Z1307+AB1307</f>
        <v>4</v>
      </c>
      <c r="G1307" s="849">
        <v>855.45</v>
      </c>
      <c r="H1307" s="261">
        <f>O1307+S1307+Q1307+U1307+W1307+Y1307+AA1307+AC1307</f>
        <v>3421.8</v>
      </c>
      <c r="I1307" s="237" t="s">
        <v>1901</v>
      </c>
      <c r="J1307" s="243"/>
      <c r="K1307" s="243"/>
      <c r="L1307" s="243"/>
      <c r="M1307" s="243"/>
      <c r="N1307" s="289"/>
      <c r="O1307" s="245"/>
      <c r="P1307" s="289"/>
      <c r="Q1307" s="245"/>
      <c r="R1307" s="289">
        <f>2+2</f>
        <v>4</v>
      </c>
      <c r="S1307" s="257">
        <f>INT($G1307*R1307*100+0.5)/100</f>
        <v>3421.8</v>
      </c>
      <c r="T1307" s="257"/>
      <c r="U1307" s="257"/>
      <c r="V1307" s="289"/>
      <c r="W1307" s="245"/>
      <c r="X1307" s="289"/>
      <c r="Y1307" s="245"/>
      <c r="Z1307" s="289"/>
      <c r="AA1307" s="245"/>
      <c r="AB1307" s="289"/>
      <c r="AC1307" s="245"/>
    </row>
    <row r="1308" spans="1:29" s="454" customFormat="1" ht="15">
      <c r="A1308" s="284"/>
      <c r="B1308" s="237"/>
      <c r="C1308" s="892" t="s">
        <v>2660</v>
      </c>
      <c r="D1308" s="238" t="s">
        <v>2702</v>
      </c>
      <c r="E1308" s="237" t="s">
        <v>2660</v>
      </c>
      <c r="F1308" s="733"/>
      <c r="G1308" s="849" t="s">
        <v>2660</v>
      </c>
      <c r="H1308" s="243"/>
      <c r="I1308" s="237" t="s">
        <v>2660</v>
      </c>
      <c r="J1308" s="243"/>
      <c r="K1308" s="243"/>
      <c r="L1308" s="243"/>
      <c r="M1308" s="243"/>
      <c r="N1308" s="289"/>
      <c r="O1308" s="245"/>
      <c r="P1308" s="289"/>
      <c r="Q1308" s="245"/>
      <c r="R1308" s="289"/>
      <c r="S1308" s="257"/>
      <c r="T1308" s="257"/>
      <c r="U1308" s="257"/>
      <c r="V1308" s="289"/>
      <c r="W1308" s="245"/>
      <c r="X1308" s="289"/>
      <c r="Y1308" s="245"/>
      <c r="Z1308" s="289"/>
      <c r="AA1308" s="245"/>
      <c r="AB1308" s="289"/>
      <c r="AC1308" s="245"/>
    </row>
    <row r="1309" spans="1:29" s="454" customFormat="1" ht="15">
      <c r="A1309" s="284"/>
      <c r="B1309" s="237"/>
      <c r="C1309" s="892" t="s">
        <v>2660</v>
      </c>
      <c r="D1309" s="238" t="s">
        <v>2660</v>
      </c>
      <c r="E1309" s="237" t="s">
        <v>2660</v>
      </c>
      <c r="F1309" s="733"/>
      <c r="G1309" s="849" t="s">
        <v>2660</v>
      </c>
      <c r="H1309" s="243"/>
      <c r="I1309" s="237" t="s">
        <v>2660</v>
      </c>
      <c r="J1309" s="243"/>
      <c r="K1309" s="243"/>
      <c r="L1309" s="243"/>
      <c r="M1309" s="243"/>
      <c r="N1309" s="289"/>
      <c r="O1309" s="245"/>
      <c r="P1309" s="289"/>
      <c r="Q1309" s="245"/>
      <c r="R1309" s="289"/>
      <c r="S1309" s="257"/>
      <c r="T1309" s="257"/>
      <c r="U1309" s="257"/>
      <c r="V1309" s="289"/>
      <c r="W1309" s="245"/>
      <c r="X1309" s="289"/>
      <c r="Y1309" s="245"/>
      <c r="Z1309" s="289"/>
      <c r="AA1309" s="245"/>
      <c r="AB1309" s="289"/>
      <c r="AC1309" s="245"/>
    </row>
    <row r="1310" spans="1:29" s="454" customFormat="1" ht="15">
      <c r="A1310" s="284">
        <f>A1307+1</f>
        <v>246</v>
      </c>
      <c r="B1310" s="237"/>
      <c r="C1310" s="892" t="s">
        <v>3401</v>
      </c>
      <c r="D1310" s="238" t="s">
        <v>2703</v>
      </c>
      <c r="E1310" s="237" t="s">
        <v>1901</v>
      </c>
      <c r="F1310" s="735">
        <f>N1310+R1310+P1310+T1310+V1310+X1310+Z1310+AB1310</f>
        <v>2</v>
      </c>
      <c r="G1310" s="849">
        <v>2530</v>
      </c>
      <c r="H1310" s="261">
        <f>O1310+S1310+Q1310+U1310+W1310+Y1310+AA1310+AC1310</f>
        <v>5060</v>
      </c>
      <c r="I1310" s="237" t="s">
        <v>1901</v>
      </c>
      <c r="J1310" s="243"/>
      <c r="K1310" s="243"/>
      <c r="L1310" s="243"/>
      <c r="M1310" s="243"/>
      <c r="N1310" s="289"/>
      <c r="O1310" s="245"/>
      <c r="P1310" s="289"/>
      <c r="Q1310" s="245"/>
      <c r="R1310" s="289">
        <v>2</v>
      </c>
      <c r="S1310" s="257">
        <f>INT($G1310*R1310*100+0.5)/100</f>
        <v>5060</v>
      </c>
      <c r="T1310" s="257"/>
      <c r="U1310" s="257"/>
      <c r="V1310" s="289"/>
      <c r="W1310" s="245"/>
      <c r="X1310" s="289"/>
      <c r="Y1310" s="245"/>
      <c r="Z1310" s="289"/>
      <c r="AA1310" s="245"/>
      <c r="AB1310" s="289"/>
      <c r="AC1310" s="245"/>
    </row>
    <row r="1311" spans="1:29" s="454" customFormat="1" ht="15">
      <c r="A1311" s="284"/>
      <c r="B1311" s="237"/>
      <c r="C1311" s="892" t="s">
        <v>2660</v>
      </c>
      <c r="D1311" s="238" t="s">
        <v>2704</v>
      </c>
      <c r="E1311" s="237" t="s">
        <v>2660</v>
      </c>
      <c r="F1311" s="733"/>
      <c r="G1311" s="849" t="s">
        <v>2660</v>
      </c>
      <c r="H1311" s="243"/>
      <c r="I1311" s="237" t="s">
        <v>2660</v>
      </c>
      <c r="J1311" s="243"/>
      <c r="K1311" s="243"/>
      <c r="L1311" s="243"/>
      <c r="M1311" s="243"/>
      <c r="N1311" s="289"/>
      <c r="O1311" s="245"/>
      <c r="P1311" s="289"/>
      <c r="Q1311" s="245"/>
      <c r="R1311" s="289"/>
      <c r="S1311" s="257"/>
      <c r="T1311" s="257"/>
      <c r="U1311" s="257"/>
      <c r="V1311" s="289"/>
      <c r="W1311" s="245"/>
      <c r="X1311" s="289"/>
      <c r="Y1311" s="245"/>
      <c r="Z1311" s="289"/>
      <c r="AA1311" s="245"/>
      <c r="AB1311" s="289"/>
      <c r="AC1311" s="245"/>
    </row>
    <row r="1312" spans="1:29" s="454" customFormat="1" ht="15">
      <c r="A1312" s="284"/>
      <c r="B1312" s="237"/>
      <c r="C1312" s="892" t="s">
        <v>2660</v>
      </c>
      <c r="D1312" s="238" t="s">
        <v>2660</v>
      </c>
      <c r="E1312" s="237" t="s">
        <v>2660</v>
      </c>
      <c r="F1312" s="733"/>
      <c r="G1312" s="849" t="s">
        <v>2660</v>
      </c>
      <c r="H1312" s="243"/>
      <c r="I1312" s="237" t="s">
        <v>2660</v>
      </c>
      <c r="J1312" s="243"/>
      <c r="K1312" s="243"/>
      <c r="L1312" s="243"/>
      <c r="M1312" s="243"/>
      <c r="N1312" s="289"/>
      <c r="O1312" s="245"/>
      <c r="P1312" s="289"/>
      <c r="Q1312" s="245"/>
      <c r="R1312" s="289"/>
      <c r="S1312" s="257"/>
      <c r="T1312" s="257"/>
      <c r="U1312" s="257"/>
      <c r="V1312" s="289"/>
      <c r="W1312" s="245"/>
      <c r="X1312" s="289"/>
      <c r="Y1312" s="245"/>
      <c r="Z1312" s="289"/>
      <c r="AA1312" s="245"/>
      <c r="AB1312" s="289"/>
      <c r="AC1312" s="245"/>
    </row>
    <row r="1313" spans="1:29" s="454" customFormat="1" ht="51">
      <c r="A1313" s="284"/>
      <c r="B1313" s="237"/>
      <c r="C1313" s="892" t="s">
        <v>3402</v>
      </c>
      <c r="D1313" s="238" t="s">
        <v>2672</v>
      </c>
      <c r="E1313" s="237" t="s">
        <v>2660</v>
      </c>
      <c r="F1313" s="733"/>
      <c r="G1313" s="849" t="s">
        <v>2660</v>
      </c>
      <c r="H1313" s="243"/>
      <c r="I1313" s="237" t="s">
        <v>2660</v>
      </c>
      <c r="J1313" s="243"/>
      <c r="K1313" s="243"/>
      <c r="L1313" s="243"/>
      <c r="M1313" s="243"/>
      <c r="N1313" s="289"/>
      <c r="O1313" s="245"/>
      <c r="P1313" s="289"/>
      <c r="Q1313" s="245"/>
      <c r="R1313" s="289"/>
      <c r="S1313" s="257"/>
      <c r="T1313" s="257"/>
      <c r="U1313" s="257"/>
      <c r="V1313" s="289"/>
      <c r="W1313" s="245"/>
      <c r="X1313" s="289"/>
      <c r="Y1313" s="245"/>
      <c r="Z1313" s="289"/>
      <c r="AA1313" s="245"/>
      <c r="AB1313" s="289"/>
      <c r="AC1313" s="245"/>
    </row>
    <row r="1314" spans="1:29" s="454" customFormat="1" ht="15.6" hidden="1" customHeight="1">
      <c r="A1314" s="753" t="s">
        <v>2510</v>
      </c>
      <c r="B1314" s="237"/>
      <c r="C1314" s="892" t="s">
        <v>2663</v>
      </c>
      <c r="D1314" s="238" t="s">
        <v>2705</v>
      </c>
      <c r="E1314" s="237" t="s">
        <v>1901</v>
      </c>
      <c r="F1314" s="735">
        <f>N1314+R1314+P1314+T1314+V1314+X1314+Z1314+AB1314</f>
        <v>0</v>
      </c>
      <c r="G1314" s="849">
        <v>108.72</v>
      </c>
      <c r="H1314" s="261">
        <f>O1314+S1314+Q1314+U1314+W1314+Y1314+AA1314+AC1314</f>
        <v>0</v>
      </c>
      <c r="I1314" s="237" t="s">
        <v>1901</v>
      </c>
      <c r="J1314" s="243"/>
      <c r="K1314" s="243"/>
      <c r="L1314" s="243"/>
      <c r="M1314" s="243"/>
      <c r="N1314" s="289"/>
      <c r="O1314" s="245"/>
      <c r="P1314" s="289"/>
      <c r="Q1314" s="245"/>
      <c r="R1314" s="289">
        <v>0</v>
      </c>
      <c r="S1314" s="257">
        <f>INT($G1314*R1314*100+0.5)/100</f>
        <v>0</v>
      </c>
      <c r="T1314" s="257"/>
      <c r="U1314" s="257"/>
      <c r="V1314" s="289"/>
      <c r="W1314" s="245"/>
      <c r="X1314" s="289"/>
      <c r="Y1314" s="245"/>
      <c r="Z1314" s="289"/>
      <c r="AA1314" s="245"/>
      <c r="AB1314" s="289"/>
      <c r="AC1314" s="245"/>
    </row>
    <row r="1315" spans="1:29" s="454" customFormat="1" ht="15.6" hidden="1" customHeight="1">
      <c r="A1315" s="284"/>
      <c r="B1315" s="237"/>
      <c r="C1315" s="892" t="s">
        <v>2660</v>
      </c>
      <c r="D1315" s="238" t="s">
        <v>2706</v>
      </c>
      <c r="E1315" s="237"/>
      <c r="F1315" s="733"/>
      <c r="G1315" s="849" t="s">
        <v>2660</v>
      </c>
      <c r="H1315" s="243"/>
      <c r="I1315" s="237"/>
      <c r="J1315" s="243"/>
      <c r="K1315" s="243"/>
      <c r="L1315" s="243"/>
      <c r="M1315" s="243"/>
      <c r="N1315" s="289"/>
      <c r="O1315" s="245"/>
      <c r="P1315" s="289"/>
      <c r="Q1315" s="245"/>
      <c r="R1315" s="289"/>
      <c r="S1315" s="257"/>
      <c r="T1315" s="257"/>
      <c r="U1315" s="257"/>
      <c r="V1315" s="289"/>
      <c r="W1315" s="245"/>
      <c r="X1315" s="289"/>
      <c r="Y1315" s="245"/>
      <c r="Z1315" s="289"/>
      <c r="AA1315" s="245"/>
      <c r="AB1315" s="289"/>
      <c r="AC1315" s="245"/>
    </row>
    <row r="1316" spans="1:29" s="454" customFormat="1" ht="15.6" hidden="1" customHeight="1">
      <c r="A1316" s="284"/>
      <c r="B1316" s="237"/>
      <c r="C1316" s="892" t="s">
        <v>2660</v>
      </c>
      <c r="D1316" s="238" t="s">
        <v>2660</v>
      </c>
      <c r="E1316" s="237" t="s">
        <v>2660</v>
      </c>
      <c r="F1316" s="733"/>
      <c r="G1316" s="849" t="s">
        <v>2660</v>
      </c>
      <c r="H1316" s="243"/>
      <c r="I1316" s="237" t="s">
        <v>2660</v>
      </c>
      <c r="J1316" s="243"/>
      <c r="K1316" s="243"/>
      <c r="L1316" s="243"/>
      <c r="M1316" s="243"/>
      <c r="N1316" s="289"/>
      <c r="O1316" s="245"/>
      <c r="P1316" s="289"/>
      <c r="Q1316" s="245"/>
      <c r="R1316" s="289"/>
      <c r="S1316" s="257"/>
      <c r="T1316" s="257"/>
      <c r="U1316" s="257"/>
      <c r="V1316" s="289"/>
      <c r="W1316" s="245"/>
      <c r="X1316" s="289"/>
      <c r="Y1316" s="245"/>
      <c r="Z1316" s="289"/>
      <c r="AA1316" s="245"/>
      <c r="AB1316" s="289"/>
      <c r="AC1316" s="245"/>
    </row>
    <row r="1317" spans="1:29" s="454" customFormat="1" ht="15.6" hidden="1" customHeight="1">
      <c r="A1317" s="753" t="s">
        <v>2510</v>
      </c>
      <c r="B1317" s="237"/>
      <c r="C1317" s="892" t="s">
        <v>2664</v>
      </c>
      <c r="D1317" s="238" t="s">
        <v>2707</v>
      </c>
      <c r="E1317" s="237" t="s">
        <v>1901</v>
      </c>
      <c r="F1317" s="735">
        <f>N1317+R1317+P1317+T1317+V1317+X1317+Z1317+AB1317</f>
        <v>0</v>
      </c>
      <c r="G1317" s="849">
        <v>125.96</v>
      </c>
      <c r="H1317" s="261">
        <f>O1317+S1317+Q1317+U1317+W1317+Y1317+AA1317+AC1317</f>
        <v>0</v>
      </c>
      <c r="I1317" s="237" t="s">
        <v>1901</v>
      </c>
      <c r="J1317" s="243"/>
      <c r="K1317" s="243"/>
      <c r="L1317" s="243"/>
      <c r="M1317" s="243"/>
      <c r="N1317" s="289"/>
      <c r="O1317" s="245"/>
      <c r="P1317" s="289"/>
      <c r="Q1317" s="245"/>
      <c r="R1317" s="289">
        <v>0</v>
      </c>
      <c r="S1317" s="257">
        <f>INT($G1317*R1317*100+0.5)/100</f>
        <v>0</v>
      </c>
      <c r="T1317" s="257"/>
      <c r="U1317" s="257"/>
      <c r="V1317" s="289"/>
      <c r="W1317" s="245"/>
      <c r="X1317" s="289"/>
      <c r="Y1317" s="245"/>
      <c r="Z1317" s="289"/>
      <c r="AA1317" s="245"/>
      <c r="AB1317" s="289"/>
      <c r="AC1317" s="245"/>
    </row>
    <row r="1318" spans="1:29" s="454" customFormat="1" ht="15.6" hidden="1" customHeight="1">
      <c r="A1318" s="284"/>
      <c r="B1318" s="237"/>
      <c r="C1318" s="892" t="s">
        <v>2660</v>
      </c>
      <c r="D1318" s="238" t="s">
        <v>2708</v>
      </c>
      <c r="E1318" s="237" t="s">
        <v>2660</v>
      </c>
      <c r="F1318" s="733"/>
      <c r="G1318" s="849" t="s">
        <v>2660</v>
      </c>
      <c r="H1318" s="243"/>
      <c r="I1318" s="237" t="s">
        <v>2660</v>
      </c>
      <c r="J1318" s="243"/>
      <c r="K1318" s="243"/>
      <c r="L1318" s="243"/>
      <c r="M1318" s="243"/>
      <c r="N1318" s="289"/>
      <c r="O1318" s="245"/>
      <c r="P1318" s="289"/>
      <c r="Q1318" s="245"/>
      <c r="R1318" s="289"/>
      <c r="S1318" s="257"/>
      <c r="T1318" s="257"/>
      <c r="U1318" s="257"/>
      <c r="V1318" s="289"/>
      <c r="W1318" s="245"/>
      <c r="X1318" s="289"/>
      <c r="Y1318" s="245"/>
      <c r="Z1318" s="289"/>
      <c r="AA1318" s="245"/>
      <c r="AB1318" s="289"/>
      <c r="AC1318" s="245"/>
    </row>
    <row r="1319" spans="1:29" s="454" customFormat="1" ht="15.6" hidden="1" customHeight="1">
      <c r="A1319" s="284"/>
      <c r="B1319" s="237"/>
      <c r="C1319" s="892" t="s">
        <v>2660</v>
      </c>
      <c r="D1319" s="238" t="s">
        <v>2660</v>
      </c>
      <c r="E1319" s="237" t="s">
        <v>2660</v>
      </c>
      <c r="F1319" s="733"/>
      <c r="G1319" s="849" t="s">
        <v>2660</v>
      </c>
      <c r="H1319" s="243"/>
      <c r="I1319" s="237" t="s">
        <v>2660</v>
      </c>
      <c r="J1319" s="243"/>
      <c r="K1319" s="243"/>
      <c r="L1319" s="243"/>
      <c r="M1319" s="243"/>
      <c r="N1319" s="289"/>
      <c r="O1319" s="245"/>
      <c r="P1319" s="289"/>
      <c r="Q1319" s="245"/>
      <c r="R1319" s="289"/>
      <c r="S1319" s="257"/>
      <c r="T1319" s="257"/>
      <c r="U1319" s="257"/>
      <c r="V1319" s="289"/>
      <c r="W1319" s="245"/>
      <c r="X1319" s="289"/>
      <c r="Y1319" s="245"/>
      <c r="Z1319" s="289"/>
      <c r="AA1319" s="245"/>
      <c r="AB1319" s="289"/>
      <c r="AC1319" s="245"/>
    </row>
    <row r="1320" spans="1:29" s="454" customFormat="1" ht="15.6" hidden="1" customHeight="1">
      <c r="A1320" s="753" t="s">
        <v>2510</v>
      </c>
      <c r="B1320" s="237"/>
      <c r="C1320" s="892" t="s">
        <v>2665</v>
      </c>
      <c r="D1320" s="238" t="s">
        <v>2709</v>
      </c>
      <c r="E1320" s="237" t="s">
        <v>1901</v>
      </c>
      <c r="F1320" s="735">
        <f>N1320+R1320+P1320+T1320+V1320+X1320+Z1320+AB1320</f>
        <v>0</v>
      </c>
      <c r="G1320" s="849">
        <v>140.34</v>
      </c>
      <c r="H1320" s="261">
        <f>O1320+S1320+Q1320+U1320+W1320+Y1320+AA1320+AC1320</f>
        <v>0</v>
      </c>
      <c r="I1320" s="237" t="s">
        <v>1901</v>
      </c>
      <c r="J1320" s="243"/>
      <c r="K1320" s="243"/>
      <c r="L1320" s="243"/>
      <c r="M1320" s="243"/>
      <c r="N1320" s="289"/>
      <c r="O1320" s="245"/>
      <c r="P1320" s="289"/>
      <c r="Q1320" s="245"/>
      <c r="R1320" s="289">
        <v>0</v>
      </c>
      <c r="S1320" s="257">
        <f>INT($G1320*R1320*100+0.5)/100</f>
        <v>0</v>
      </c>
      <c r="T1320" s="257"/>
      <c r="U1320" s="257"/>
      <c r="V1320" s="289"/>
      <c r="W1320" s="245"/>
      <c r="X1320" s="289"/>
      <c r="Y1320" s="245"/>
      <c r="Z1320" s="289"/>
      <c r="AA1320" s="245"/>
      <c r="AB1320" s="289"/>
      <c r="AC1320" s="245"/>
    </row>
    <row r="1321" spans="1:29" s="454" customFormat="1" ht="15.6" hidden="1" customHeight="1">
      <c r="A1321" s="284"/>
      <c r="B1321" s="237"/>
      <c r="C1321" s="892" t="s">
        <v>2660</v>
      </c>
      <c r="D1321" s="238" t="s">
        <v>2710</v>
      </c>
      <c r="E1321" s="237" t="s">
        <v>2660</v>
      </c>
      <c r="F1321" s="733"/>
      <c r="G1321" s="849" t="s">
        <v>2660</v>
      </c>
      <c r="H1321" s="243"/>
      <c r="I1321" s="237" t="s">
        <v>2660</v>
      </c>
      <c r="J1321" s="243"/>
      <c r="K1321" s="243"/>
      <c r="L1321" s="243"/>
      <c r="M1321" s="243"/>
      <c r="N1321" s="289"/>
      <c r="O1321" s="245"/>
      <c r="P1321" s="289"/>
      <c r="Q1321" s="245"/>
      <c r="R1321" s="289"/>
      <c r="S1321" s="257"/>
      <c r="T1321" s="257"/>
      <c r="U1321" s="257"/>
      <c r="V1321" s="289"/>
      <c r="W1321" s="245"/>
      <c r="X1321" s="289"/>
      <c r="Y1321" s="245"/>
      <c r="Z1321" s="289"/>
      <c r="AA1321" s="245"/>
      <c r="AB1321" s="289"/>
      <c r="AC1321" s="245"/>
    </row>
    <row r="1322" spans="1:29" s="454" customFormat="1" ht="15.6" hidden="1" customHeight="1">
      <c r="A1322" s="284"/>
      <c r="B1322" s="237"/>
      <c r="C1322" s="892" t="s">
        <v>2660</v>
      </c>
      <c r="D1322" s="238" t="s">
        <v>2660</v>
      </c>
      <c r="E1322" s="237" t="s">
        <v>2660</v>
      </c>
      <c r="F1322" s="733"/>
      <c r="G1322" s="849" t="s">
        <v>2660</v>
      </c>
      <c r="H1322" s="243"/>
      <c r="I1322" s="237" t="s">
        <v>2660</v>
      </c>
      <c r="J1322" s="243"/>
      <c r="K1322" s="243"/>
      <c r="L1322" s="243"/>
      <c r="M1322" s="243"/>
      <c r="N1322" s="289"/>
      <c r="O1322" s="245"/>
      <c r="P1322" s="289"/>
      <c r="Q1322" s="245"/>
      <c r="R1322" s="289"/>
      <c r="S1322" s="257"/>
      <c r="T1322" s="257"/>
      <c r="U1322" s="257"/>
      <c r="V1322" s="289"/>
      <c r="W1322" s="245"/>
      <c r="X1322" s="289"/>
      <c r="Y1322" s="245"/>
      <c r="Z1322" s="289"/>
      <c r="AA1322" s="245"/>
      <c r="AB1322" s="289"/>
      <c r="AC1322" s="245"/>
    </row>
    <row r="1323" spans="1:29" s="454" customFormat="1" ht="15.6" hidden="1" customHeight="1">
      <c r="A1323" s="753" t="s">
        <v>2510</v>
      </c>
      <c r="B1323" s="237"/>
      <c r="C1323" s="892" t="s">
        <v>2666</v>
      </c>
      <c r="D1323" s="238" t="s">
        <v>2711</v>
      </c>
      <c r="E1323" s="237" t="s">
        <v>1901</v>
      </c>
      <c r="F1323" s="735">
        <f>N1323+R1323+P1323+T1323+V1323+X1323+Z1323+AB1323</f>
        <v>0</v>
      </c>
      <c r="G1323" s="849">
        <v>183.44</v>
      </c>
      <c r="H1323" s="261">
        <f>O1323+S1323+Q1323+U1323+W1323+Y1323+AA1323+AC1323</f>
        <v>0</v>
      </c>
      <c r="I1323" s="237" t="s">
        <v>1901</v>
      </c>
      <c r="J1323" s="243"/>
      <c r="K1323" s="243"/>
      <c r="L1323" s="243"/>
      <c r="M1323" s="243"/>
      <c r="N1323" s="289"/>
      <c r="O1323" s="245"/>
      <c r="P1323" s="289"/>
      <c r="Q1323" s="245"/>
      <c r="R1323" s="289">
        <v>0</v>
      </c>
      <c r="S1323" s="257">
        <f>INT($G1323*R1323*100+0.5)/100</f>
        <v>0</v>
      </c>
      <c r="T1323" s="257"/>
      <c r="U1323" s="257"/>
      <c r="V1323" s="289"/>
      <c r="W1323" s="245"/>
      <c r="X1323" s="289"/>
      <c r="Y1323" s="245"/>
      <c r="Z1323" s="289"/>
      <c r="AA1323" s="245"/>
      <c r="AB1323" s="289"/>
      <c r="AC1323" s="245"/>
    </row>
    <row r="1324" spans="1:29" s="454" customFormat="1" ht="15.6" hidden="1" customHeight="1">
      <c r="A1324" s="284"/>
      <c r="B1324" s="237"/>
      <c r="C1324" s="892" t="s">
        <v>2660</v>
      </c>
      <c r="D1324" s="238" t="s">
        <v>2712</v>
      </c>
      <c r="E1324" s="237" t="s">
        <v>2660</v>
      </c>
      <c r="F1324" s="733"/>
      <c r="G1324" s="849" t="s">
        <v>2660</v>
      </c>
      <c r="H1324" s="243"/>
      <c r="I1324" s="237" t="s">
        <v>2660</v>
      </c>
      <c r="J1324" s="243"/>
      <c r="K1324" s="243"/>
      <c r="L1324" s="243"/>
      <c r="M1324" s="243"/>
      <c r="N1324" s="289"/>
      <c r="O1324" s="245"/>
      <c r="P1324" s="289"/>
      <c r="Q1324" s="245"/>
      <c r="R1324" s="289"/>
      <c r="S1324" s="257"/>
      <c r="T1324" s="257"/>
      <c r="U1324" s="257"/>
      <c r="V1324" s="289"/>
      <c r="W1324" s="245"/>
      <c r="X1324" s="289"/>
      <c r="Y1324" s="245"/>
      <c r="Z1324" s="289"/>
      <c r="AA1324" s="245"/>
      <c r="AB1324" s="289"/>
      <c r="AC1324" s="245"/>
    </row>
    <row r="1325" spans="1:29" s="454" customFormat="1" ht="15.6" hidden="1" customHeight="1">
      <c r="A1325" s="284"/>
      <c r="B1325" s="237"/>
      <c r="C1325" s="892" t="s">
        <v>2660</v>
      </c>
      <c r="D1325" s="238" t="s">
        <v>2660</v>
      </c>
      <c r="E1325" s="237" t="s">
        <v>2660</v>
      </c>
      <c r="F1325" s="733"/>
      <c r="G1325" s="849" t="s">
        <v>2660</v>
      </c>
      <c r="H1325" s="243"/>
      <c r="I1325" s="237" t="s">
        <v>2660</v>
      </c>
      <c r="J1325" s="243"/>
      <c r="K1325" s="243"/>
      <c r="L1325" s="243"/>
      <c r="M1325" s="243"/>
      <c r="N1325" s="289"/>
      <c r="O1325" s="245"/>
      <c r="P1325" s="289"/>
      <c r="Q1325" s="245"/>
      <c r="R1325" s="289"/>
      <c r="S1325" s="257"/>
      <c r="T1325" s="257"/>
      <c r="U1325" s="257"/>
      <c r="V1325" s="289"/>
      <c r="W1325" s="245"/>
      <c r="X1325" s="289"/>
      <c r="Y1325" s="245"/>
      <c r="Z1325" s="289"/>
      <c r="AA1325" s="245"/>
      <c r="AB1325" s="289"/>
      <c r="AC1325" s="245"/>
    </row>
    <row r="1326" spans="1:29" s="454" customFormat="1" ht="15.6" hidden="1" customHeight="1">
      <c r="A1326" s="753" t="s">
        <v>2510</v>
      </c>
      <c r="B1326" s="237"/>
      <c r="C1326" s="892" t="s">
        <v>2667</v>
      </c>
      <c r="D1326" s="238" t="s">
        <v>2713</v>
      </c>
      <c r="E1326" s="237" t="s">
        <v>1901</v>
      </c>
      <c r="F1326" s="735">
        <f>N1326+R1326+P1326+T1326+V1326+X1326+Z1326+AB1326</f>
        <v>0</v>
      </c>
      <c r="G1326" s="849">
        <v>226.55</v>
      </c>
      <c r="H1326" s="261">
        <f>O1326+S1326+Q1326+U1326+W1326+Y1326+AA1326+AC1326</f>
        <v>0</v>
      </c>
      <c r="I1326" s="237" t="s">
        <v>1901</v>
      </c>
      <c r="J1326" s="243"/>
      <c r="K1326" s="243"/>
      <c r="L1326" s="243"/>
      <c r="M1326" s="243"/>
      <c r="N1326" s="289"/>
      <c r="O1326" s="245"/>
      <c r="P1326" s="289"/>
      <c r="Q1326" s="245"/>
      <c r="R1326" s="289">
        <v>0</v>
      </c>
      <c r="S1326" s="257">
        <f>INT($G1326*R1326*100+0.5)/100</f>
        <v>0</v>
      </c>
      <c r="T1326" s="257"/>
      <c r="U1326" s="257"/>
      <c r="V1326" s="289"/>
      <c r="W1326" s="245"/>
      <c r="X1326" s="289"/>
      <c r="Y1326" s="245"/>
      <c r="Z1326" s="289"/>
      <c r="AA1326" s="245"/>
      <c r="AB1326" s="289"/>
      <c r="AC1326" s="245"/>
    </row>
    <row r="1327" spans="1:29" s="454" customFormat="1" ht="15.6" hidden="1" customHeight="1">
      <c r="A1327" s="284"/>
      <c r="B1327" s="237"/>
      <c r="C1327" s="892" t="s">
        <v>2660</v>
      </c>
      <c r="D1327" s="238" t="s">
        <v>2714</v>
      </c>
      <c r="E1327" s="237" t="s">
        <v>2660</v>
      </c>
      <c r="F1327" s="733"/>
      <c r="G1327" s="849" t="s">
        <v>2660</v>
      </c>
      <c r="H1327" s="243"/>
      <c r="I1327" s="237" t="s">
        <v>2660</v>
      </c>
      <c r="J1327" s="243"/>
      <c r="K1327" s="243"/>
      <c r="L1327" s="243"/>
      <c r="M1327" s="243"/>
      <c r="N1327" s="289"/>
      <c r="O1327" s="245"/>
      <c r="P1327" s="289"/>
      <c r="Q1327" s="245"/>
      <c r="R1327" s="289"/>
      <c r="S1327" s="257"/>
      <c r="T1327" s="257"/>
      <c r="U1327" s="257"/>
      <c r="V1327" s="289"/>
      <c r="W1327" s="245"/>
      <c r="X1327" s="289"/>
      <c r="Y1327" s="245"/>
      <c r="Z1327" s="289"/>
      <c r="AA1327" s="245"/>
      <c r="AB1327" s="289"/>
      <c r="AC1327" s="245"/>
    </row>
    <row r="1328" spans="1:29" s="454" customFormat="1" ht="15.6" hidden="1" customHeight="1">
      <c r="A1328" s="284"/>
      <c r="B1328" s="237"/>
      <c r="C1328" s="892" t="s">
        <v>2660</v>
      </c>
      <c r="D1328" s="238" t="s">
        <v>2660</v>
      </c>
      <c r="E1328" s="237" t="s">
        <v>2660</v>
      </c>
      <c r="F1328" s="733"/>
      <c r="G1328" s="849" t="s">
        <v>2660</v>
      </c>
      <c r="H1328" s="243"/>
      <c r="I1328" s="237" t="s">
        <v>2660</v>
      </c>
      <c r="J1328" s="243"/>
      <c r="K1328" s="243"/>
      <c r="L1328" s="243"/>
      <c r="M1328" s="243"/>
      <c r="N1328" s="289"/>
      <c r="O1328" s="245"/>
      <c r="P1328" s="289"/>
      <c r="Q1328" s="245"/>
      <c r="R1328" s="289"/>
      <c r="S1328" s="257"/>
      <c r="T1328" s="257"/>
      <c r="U1328" s="257"/>
      <c r="V1328" s="289"/>
      <c r="W1328" s="245"/>
      <c r="X1328" s="289"/>
      <c r="Y1328" s="245"/>
      <c r="Z1328" s="289"/>
      <c r="AA1328" s="245"/>
      <c r="AB1328" s="289"/>
      <c r="AC1328" s="245"/>
    </row>
    <row r="1329" spans="1:29" s="454" customFormat="1" ht="15.6" hidden="1" customHeight="1">
      <c r="A1329" s="753" t="s">
        <v>2510</v>
      </c>
      <c r="B1329" s="237"/>
      <c r="C1329" s="892" t="s">
        <v>2668</v>
      </c>
      <c r="D1329" s="238" t="s">
        <v>2715</v>
      </c>
      <c r="E1329" s="237" t="s">
        <v>1901</v>
      </c>
      <c r="F1329" s="735">
        <f>N1329+R1329+P1329+T1329+V1329+X1329+Z1329+AB1329</f>
        <v>0</v>
      </c>
      <c r="G1329" s="849">
        <v>271.08</v>
      </c>
      <c r="H1329" s="261">
        <f>O1329+S1329+Q1329+U1329+W1329+Y1329+AA1329+AC1329</f>
        <v>0</v>
      </c>
      <c r="I1329" s="237" t="s">
        <v>1901</v>
      </c>
      <c r="J1329" s="243"/>
      <c r="K1329" s="243"/>
      <c r="L1329" s="243"/>
      <c r="M1329" s="243"/>
      <c r="N1329" s="289"/>
      <c r="O1329" s="245"/>
      <c r="P1329" s="289"/>
      <c r="Q1329" s="245"/>
      <c r="R1329" s="289">
        <v>0</v>
      </c>
      <c r="S1329" s="257">
        <f>INT($G1329*R1329*100+0.5)/100</f>
        <v>0</v>
      </c>
      <c r="T1329" s="257"/>
      <c r="U1329" s="257"/>
      <c r="V1329" s="289"/>
      <c r="W1329" s="245"/>
      <c r="X1329" s="289"/>
      <c r="Y1329" s="245"/>
      <c r="Z1329" s="289"/>
      <c r="AA1329" s="245"/>
      <c r="AB1329" s="289"/>
      <c r="AC1329" s="245"/>
    </row>
    <row r="1330" spans="1:29" s="454" customFormat="1" ht="15.6" hidden="1" customHeight="1">
      <c r="A1330" s="284"/>
      <c r="B1330" s="237"/>
      <c r="C1330" s="892" t="s">
        <v>2660</v>
      </c>
      <c r="D1330" s="238" t="s">
        <v>2716</v>
      </c>
      <c r="E1330" s="237" t="s">
        <v>2660</v>
      </c>
      <c r="F1330" s="733"/>
      <c r="G1330" s="849" t="s">
        <v>2660</v>
      </c>
      <c r="H1330" s="243"/>
      <c r="I1330" s="237" t="s">
        <v>2660</v>
      </c>
      <c r="J1330" s="243"/>
      <c r="K1330" s="243"/>
      <c r="L1330" s="243"/>
      <c r="M1330" s="243"/>
      <c r="N1330" s="289"/>
      <c r="O1330" s="245"/>
      <c r="P1330" s="289"/>
      <c r="Q1330" s="245"/>
      <c r="R1330" s="289"/>
      <c r="S1330" s="257"/>
      <c r="T1330" s="257"/>
      <c r="U1330" s="257"/>
      <c r="V1330" s="289"/>
      <c r="W1330" s="245"/>
      <c r="X1330" s="289"/>
      <c r="Y1330" s="245"/>
      <c r="Z1330" s="289"/>
      <c r="AA1330" s="245"/>
      <c r="AB1330" s="289"/>
      <c r="AC1330" s="245"/>
    </row>
    <row r="1331" spans="1:29" s="454" customFormat="1" ht="15.6" hidden="1" customHeight="1">
      <c r="A1331" s="284"/>
      <c r="B1331" s="237"/>
      <c r="C1331" s="892" t="s">
        <v>2660</v>
      </c>
      <c r="D1331" s="238" t="s">
        <v>2660</v>
      </c>
      <c r="E1331" s="237" t="s">
        <v>2660</v>
      </c>
      <c r="F1331" s="733"/>
      <c r="G1331" s="849" t="s">
        <v>2660</v>
      </c>
      <c r="H1331" s="243"/>
      <c r="I1331" s="237" t="s">
        <v>2660</v>
      </c>
      <c r="J1331" s="243"/>
      <c r="K1331" s="243"/>
      <c r="L1331" s="243"/>
      <c r="M1331" s="243"/>
      <c r="N1331" s="289"/>
      <c r="O1331" s="245"/>
      <c r="P1331" s="289"/>
      <c r="Q1331" s="245"/>
      <c r="R1331" s="289"/>
      <c r="S1331" s="257"/>
      <c r="T1331" s="257"/>
      <c r="U1331" s="257"/>
      <c r="V1331" s="289"/>
      <c r="W1331" s="245"/>
      <c r="X1331" s="289"/>
      <c r="Y1331" s="245"/>
      <c r="Z1331" s="289"/>
      <c r="AA1331" s="245"/>
      <c r="AB1331" s="289"/>
      <c r="AC1331" s="245"/>
    </row>
    <row r="1332" spans="1:29" s="454" customFormat="1" ht="15">
      <c r="A1332" s="284">
        <f>A1310+1</f>
        <v>247</v>
      </c>
      <c r="B1332" s="237"/>
      <c r="C1332" s="892" t="s">
        <v>3403</v>
      </c>
      <c r="D1332" s="238" t="s">
        <v>2717</v>
      </c>
      <c r="E1332" s="237" t="s">
        <v>1901</v>
      </c>
      <c r="F1332" s="735">
        <f>N1332+R1332+P1332+T1332+V1332+X1332+Z1332+AB1332</f>
        <v>2</v>
      </c>
      <c r="G1332" s="849">
        <v>370.24</v>
      </c>
      <c r="H1332" s="261">
        <f>O1332+S1332+Q1332+U1332+W1332+Y1332+AA1332+AC1332</f>
        <v>740.48</v>
      </c>
      <c r="I1332" s="237" t="s">
        <v>1901</v>
      </c>
      <c r="J1332" s="243"/>
      <c r="K1332" s="243"/>
      <c r="L1332" s="243"/>
      <c r="M1332" s="243"/>
      <c r="N1332" s="289"/>
      <c r="O1332" s="245"/>
      <c r="P1332" s="289"/>
      <c r="Q1332" s="245"/>
      <c r="R1332" s="289">
        <v>2</v>
      </c>
      <c r="S1332" s="257">
        <f>INT($G1332*R1332*100+0.5)/100</f>
        <v>740.48</v>
      </c>
      <c r="T1332" s="257"/>
      <c r="U1332" s="257"/>
      <c r="V1332" s="289"/>
      <c r="W1332" s="245"/>
      <c r="X1332" s="289"/>
      <c r="Y1332" s="245"/>
      <c r="Z1332" s="289"/>
      <c r="AA1332" s="245"/>
      <c r="AB1332" s="289"/>
      <c r="AC1332" s="245"/>
    </row>
    <row r="1333" spans="1:29" s="454" customFormat="1" ht="15">
      <c r="A1333" s="284"/>
      <c r="B1333" s="237"/>
      <c r="C1333" s="892" t="s">
        <v>2660</v>
      </c>
      <c r="D1333" s="238" t="s">
        <v>2718</v>
      </c>
      <c r="E1333" s="237" t="s">
        <v>2660</v>
      </c>
      <c r="F1333" s="733"/>
      <c r="G1333" s="849" t="s">
        <v>2660</v>
      </c>
      <c r="H1333" s="243"/>
      <c r="I1333" s="237" t="s">
        <v>2660</v>
      </c>
      <c r="J1333" s="243"/>
      <c r="K1333" s="243"/>
      <c r="L1333" s="243"/>
      <c r="M1333" s="243"/>
      <c r="N1333" s="289"/>
      <c r="O1333" s="245"/>
      <c r="P1333" s="289"/>
      <c r="Q1333" s="245"/>
      <c r="R1333" s="289"/>
      <c r="S1333" s="257"/>
      <c r="T1333" s="257"/>
      <c r="U1333" s="257"/>
      <c r="V1333" s="289"/>
      <c r="W1333" s="245"/>
      <c r="X1333" s="289"/>
      <c r="Y1333" s="245"/>
      <c r="Z1333" s="289"/>
      <c r="AA1333" s="245"/>
      <c r="AB1333" s="289"/>
      <c r="AC1333" s="245"/>
    </row>
    <row r="1334" spans="1:29" s="454" customFormat="1" ht="15">
      <c r="A1334" s="284"/>
      <c r="B1334" s="237"/>
      <c r="C1334" s="892" t="s">
        <v>2660</v>
      </c>
      <c r="D1334" s="238" t="s">
        <v>2660</v>
      </c>
      <c r="E1334" s="237" t="s">
        <v>2660</v>
      </c>
      <c r="F1334" s="733"/>
      <c r="G1334" s="849" t="s">
        <v>2660</v>
      </c>
      <c r="H1334" s="243"/>
      <c r="I1334" s="237" t="s">
        <v>2660</v>
      </c>
      <c r="J1334" s="243"/>
      <c r="K1334" s="243"/>
      <c r="L1334" s="243"/>
      <c r="M1334" s="243"/>
      <c r="N1334" s="289"/>
      <c r="O1334" s="245"/>
      <c r="P1334" s="289"/>
      <c r="Q1334" s="245"/>
      <c r="R1334" s="289"/>
      <c r="S1334" s="257"/>
      <c r="T1334" s="257"/>
      <c r="U1334" s="257"/>
      <c r="V1334" s="289"/>
      <c r="W1334" s="245"/>
      <c r="X1334" s="289"/>
      <c r="Y1334" s="245"/>
      <c r="Z1334" s="289"/>
      <c r="AA1334" s="245"/>
      <c r="AB1334" s="289"/>
      <c r="AC1334" s="245"/>
    </row>
    <row r="1335" spans="1:29" s="454" customFormat="1" ht="25.5">
      <c r="A1335" s="284"/>
      <c r="B1335" s="237"/>
      <c r="C1335" s="892" t="s">
        <v>3404</v>
      </c>
      <c r="D1335" s="238" t="s">
        <v>2719</v>
      </c>
      <c r="E1335" s="237" t="s">
        <v>2660</v>
      </c>
      <c r="F1335" s="733"/>
      <c r="G1335" s="849" t="s">
        <v>2660</v>
      </c>
      <c r="H1335" s="243"/>
      <c r="I1335" s="237" t="s">
        <v>2660</v>
      </c>
      <c r="J1335" s="243"/>
      <c r="K1335" s="243"/>
      <c r="L1335" s="243"/>
      <c r="M1335" s="243"/>
      <c r="N1335" s="289"/>
      <c r="O1335" s="245"/>
      <c r="P1335" s="289"/>
      <c r="Q1335" s="245"/>
      <c r="R1335" s="289"/>
      <c r="S1335" s="257"/>
      <c r="T1335" s="257"/>
      <c r="U1335" s="257"/>
      <c r="V1335" s="289"/>
      <c r="W1335" s="245"/>
      <c r="X1335" s="289"/>
      <c r="Y1335" s="245"/>
      <c r="Z1335" s="289"/>
      <c r="AA1335" s="245"/>
      <c r="AB1335" s="289"/>
      <c r="AC1335" s="245"/>
    </row>
    <row r="1336" spans="1:29" s="454" customFormat="1" ht="25.5">
      <c r="A1336" s="284"/>
      <c r="B1336" s="237"/>
      <c r="C1336" s="892"/>
      <c r="D1336" s="238" t="s">
        <v>2720</v>
      </c>
      <c r="E1336" s="237"/>
      <c r="F1336" s="733"/>
      <c r="G1336" s="849"/>
      <c r="H1336" s="243"/>
      <c r="I1336" s="237"/>
      <c r="J1336" s="243"/>
      <c r="K1336" s="243"/>
      <c r="L1336" s="243"/>
      <c r="M1336" s="243"/>
      <c r="N1336" s="289"/>
      <c r="O1336" s="245"/>
      <c r="P1336" s="289"/>
      <c r="Q1336" s="245"/>
      <c r="R1336" s="289"/>
      <c r="S1336" s="257"/>
      <c r="T1336" s="257"/>
      <c r="U1336" s="257"/>
      <c r="V1336" s="289"/>
      <c r="W1336" s="245"/>
      <c r="X1336" s="289"/>
      <c r="Y1336" s="245"/>
      <c r="Z1336" s="289"/>
      <c r="AA1336" s="245"/>
      <c r="AB1336" s="289"/>
      <c r="AC1336" s="245"/>
    </row>
    <row r="1337" spans="1:29" s="454" customFormat="1" ht="15">
      <c r="A1337" s="284">
        <f>A1332+1</f>
        <v>248</v>
      </c>
      <c r="B1337" s="237"/>
      <c r="C1337" s="892" t="s">
        <v>3405</v>
      </c>
      <c r="D1337" s="238" t="s">
        <v>2721</v>
      </c>
      <c r="E1337" s="237" t="s">
        <v>1901</v>
      </c>
      <c r="F1337" s="735">
        <f>N1337+R1337+P1337+T1337+V1337+X1337+Z1337+AB1337</f>
        <v>6</v>
      </c>
      <c r="G1337" s="849">
        <v>395.73</v>
      </c>
      <c r="H1337" s="261">
        <f>O1337+S1337+Q1337+U1337+W1337+Y1337+AA1337+AC1337</f>
        <v>2374.38</v>
      </c>
      <c r="I1337" s="237" t="s">
        <v>1901</v>
      </c>
      <c r="J1337" s="243"/>
      <c r="K1337" s="243"/>
      <c r="L1337" s="243"/>
      <c r="M1337" s="243"/>
      <c r="N1337" s="289"/>
      <c r="O1337" s="245"/>
      <c r="P1337" s="289"/>
      <c r="Q1337" s="245"/>
      <c r="R1337" s="289">
        <f>2*(1+1)+2</f>
        <v>6</v>
      </c>
      <c r="S1337" s="257">
        <f>INT($G1337*R1337*100+0.5)/100</f>
        <v>2374.38</v>
      </c>
      <c r="T1337" s="257"/>
      <c r="U1337" s="257"/>
      <c r="V1337" s="289"/>
      <c r="W1337" s="245"/>
      <c r="X1337" s="289"/>
      <c r="Y1337" s="245"/>
      <c r="Z1337" s="289"/>
      <c r="AA1337" s="245"/>
      <c r="AB1337" s="289"/>
      <c r="AC1337" s="245"/>
    </row>
    <row r="1338" spans="1:29" s="454" customFormat="1" ht="15">
      <c r="A1338" s="284"/>
      <c r="B1338" s="237"/>
      <c r="C1338" s="892" t="s">
        <v>2660</v>
      </c>
      <c r="D1338" s="238" t="s">
        <v>2722</v>
      </c>
      <c r="E1338" s="237" t="s">
        <v>2660</v>
      </c>
      <c r="F1338" s="733"/>
      <c r="G1338" s="849" t="s">
        <v>2660</v>
      </c>
      <c r="H1338" s="243"/>
      <c r="I1338" s="237" t="s">
        <v>2660</v>
      </c>
      <c r="J1338" s="243"/>
      <c r="K1338" s="243"/>
      <c r="L1338" s="243"/>
      <c r="M1338" s="243"/>
      <c r="N1338" s="289"/>
      <c r="O1338" s="245"/>
      <c r="P1338" s="289"/>
      <c r="Q1338" s="245"/>
      <c r="R1338" s="289"/>
      <c r="S1338" s="257"/>
      <c r="T1338" s="257"/>
      <c r="U1338" s="257"/>
      <c r="V1338" s="289"/>
      <c r="W1338" s="245"/>
      <c r="X1338" s="289"/>
      <c r="Y1338" s="245"/>
      <c r="Z1338" s="289"/>
      <c r="AA1338" s="245"/>
      <c r="AB1338" s="289"/>
      <c r="AC1338" s="245"/>
    </row>
    <row r="1339" spans="1:29" s="454" customFormat="1" ht="15">
      <c r="A1339" s="284"/>
      <c r="B1339" s="237"/>
      <c r="C1339" s="892" t="s">
        <v>2660</v>
      </c>
      <c r="D1339" s="238" t="s">
        <v>2660</v>
      </c>
      <c r="E1339" s="237" t="s">
        <v>2660</v>
      </c>
      <c r="F1339" s="733"/>
      <c r="G1339" s="849" t="s">
        <v>2660</v>
      </c>
      <c r="H1339" s="243"/>
      <c r="I1339" s="237" t="s">
        <v>2660</v>
      </c>
      <c r="J1339" s="243"/>
      <c r="K1339" s="243"/>
      <c r="L1339" s="243"/>
      <c r="M1339" s="243"/>
      <c r="N1339" s="289"/>
      <c r="O1339" s="245"/>
      <c r="P1339" s="289"/>
      <c r="Q1339" s="245"/>
      <c r="R1339" s="289"/>
      <c r="S1339" s="257"/>
      <c r="T1339" s="257"/>
      <c r="U1339" s="257"/>
      <c r="V1339" s="289"/>
      <c r="W1339" s="245"/>
      <c r="X1339" s="289"/>
      <c r="Y1339" s="245"/>
      <c r="Z1339" s="289"/>
      <c r="AA1339" s="245"/>
      <c r="AB1339" s="289"/>
      <c r="AC1339" s="245"/>
    </row>
    <row r="1340" spans="1:29" s="454" customFormat="1" ht="15">
      <c r="A1340" s="284">
        <f>A1337+1</f>
        <v>249</v>
      </c>
      <c r="B1340" s="237"/>
      <c r="C1340" s="892" t="s">
        <v>3406</v>
      </c>
      <c r="D1340" s="238" t="s">
        <v>2723</v>
      </c>
      <c r="E1340" s="237" t="s">
        <v>1901</v>
      </c>
      <c r="F1340" s="735">
        <f>N1340+R1340+P1340+T1340+V1340+X1340+Z1340+AB1340</f>
        <v>14</v>
      </c>
      <c r="G1340" s="849">
        <v>499.33</v>
      </c>
      <c r="H1340" s="261">
        <f>O1340+S1340+Q1340+U1340+W1340+Y1340+AA1340+AC1340</f>
        <v>6990.62</v>
      </c>
      <c r="I1340" s="237" t="s">
        <v>1901</v>
      </c>
      <c r="J1340" s="243"/>
      <c r="K1340" s="243"/>
      <c r="L1340" s="243"/>
      <c r="M1340" s="243"/>
      <c r="N1340" s="289"/>
      <c r="O1340" s="245"/>
      <c r="P1340" s="289"/>
      <c r="Q1340" s="245"/>
      <c r="R1340" s="289">
        <f>2*(1+1+1+3)+2</f>
        <v>14</v>
      </c>
      <c r="S1340" s="257">
        <f>INT($G1340*R1340*100+0.5)/100</f>
        <v>6990.62</v>
      </c>
      <c r="T1340" s="257"/>
      <c r="U1340" s="257"/>
      <c r="V1340" s="289"/>
      <c r="W1340" s="245"/>
      <c r="X1340" s="289"/>
      <c r="Y1340" s="245"/>
      <c r="Z1340" s="289"/>
      <c r="AA1340" s="245"/>
      <c r="AB1340" s="289"/>
      <c r="AC1340" s="245"/>
    </row>
    <row r="1341" spans="1:29" s="454" customFormat="1" ht="15">
      <c r="A1341" s="284"/>
      <c r="B1341" s="237"/>
      <c r="C1341" s="892" t="s">
        <v>2660</v>
      </c>
      <c r="D1341" s="238" t="s">
        <v>2724</v>
      </c>
      <c r="E1341" s="237" t="s">
        <v>2660</v>
      </c>
      <c r="F1341" s="733"/>
      <c r="G1341" s="849" t="s">
        <v>2660</v>
      </c>
      <c r="H1341" s="243"/>
      <c r="I1341" s="237" t="s">
        <v>2660</v>
      </c>
      <c r="J1341" s="243"/>
      <c r="K1341" s="243"/>
      <c r="L1341" s="243"/>
      <c r="M1341" s="243"/>
      <c r="N1341" s="289"/>
      <c r="O1341" s="245"/>
      <c r="P1341" s="289"/>
      <c r="Q1341" s="245"/>
      <c r="R1341" s="289"/>
      <c r="S1341" s="257"/>
      <c r="T1341" s="257"/>
      <c r="U1341" s="257"/>
      <c r="V1341" s="289"/>
      <c r="W1341" s="245"/>
      <c r="X1341" s="289"/>
      <c r="Y1341" s="245"/>
      <c r="Z1341" s="289"/>
      <c r="AA1341" s="245"/>
      <c r="AB1341" s="289"/>
      <c r="AC1341" s="245"/>
    </row>
    <row r="1342" spans="1:29" s="454" customFormat="1" ht="15">
      <c r="A1342" s="284"/>
      <c r="B1342" s="237"/>
      <c r="C1342" s="892" t="s">
        <v>2660</v>
      </c>
      <c r="D1342" s="238" t="s">
        <v>2660</v>
      </c>
      <c r="E1342" s="237" t="s">
        <v>2660</v>
      </c>
      <c r="F1342" s="733"/>
      <c r="G1342" s="849" t="s">
        <v>2660</v>
      </c>
      <c r="H1342" s="243"/>
      <c r="I1342" s="237" t="s">
        <v>2660</v>
      </c>
      <c r="J1342" s="243"/>
      <c r="K1342" s="243"/>
      <c r="L1342" s="243"/>
      <c r="M1342" s="243"/>
      <c r="N1342" s="289"/>
      <c r="O1342" s="245"/>
      <c r="P1342" s="289"/>
      <c r="Q1342" s="245"/>
      <c r="R1342" s="289"/>
      <c r="S1342" s="257"/>
      <c r="T1342" s="257"/>
      <c r="U1342" s="257"/>
      <c r="V1342" s="289"/>
      <c r="W1342" s="245"/>
      <c r="X1342" s="289"/>
      <c r="Y1342" s="245"/>
      <c r="Z1342" s="289"/>
      <c r="AA1342" s="245"/>
      <c r="AB1342" s="289"/>
      <c r="AC1342" s="245"/>
    </row>
    <row r="1343" spans="1:29" s="454" customFormat="1" ht="15">
      <c r="A1343" s="284">
        <f>A1340+1</f>
        <v>250</v>
      </c>
      <c r="B1343" s="237"/>
      <c r="C1343" s="892" t="s">
        <v>3407</v>
      </c>
      <c r="D1343" s="238" t="s">
        <v>2725</v>
      </c>
      <c r="E1343" s="237" t="s">
        <v>1901</v>
      </c>
      <c r="F1343" s="735">
        <f>N1343+R1343+P1343+T1343+V1343+X1343+Z1343+AB1343</f>
        <v>4</v>
      </c>
      <c r="G1343" s="849">
        <v>549.24</v>
      </c>
      <c r="H1343" s="261">
        <f>O1343+S1343+Q1343+U1343+W1343+Y1343+AA1343+AC1343</f>
        <v>2196.96</v>
      </c>
      <c r="I1343" s="237" t="s">
        <v>1901</v>
      </c>
      <c r="J1343" s="243"/>
      <c r="K1343" s="243"/>
      <c r="L1343" s="243"/>
      <c r="M1343" s="243"/>
      <c r="N1343" s="289"/>
      <c r="O1343" s="245"/>
      <c r="P1343" s="289"/>
      <c r="Q1343" s="245"/>
      <c r="R1343" s="289">
        <f>2*(1)+2</f>
        <v>4</v>
      </c>
      <c r="S1343" s="257">
        <f>INT($G1343*R1343*100+0.5)/100</f>
        <v>2196.96</v>
      </c>
      <c r="T1343" s="257"/>
      <c r="U1343" s="257"/>
      <c r="V1343" s="289"/>
      <c r="W1343" s="245"/>
      <c r="X1343" s="289"/>
      <c r="Y1343" s="245"/>
      <c r="Z1343" s="289"/>
      <c r="AA1343" s="245"/>
      <c r="AB1343" s="289"/>
      <c r="AC1343" s="245"/>
    </row>
    <row r="1344" spans="1:29" s="454" customFormat="1" ht="15">
      <c r="A1344" s="284"/>
      <c r="B1344" s="237"/>
      <c r="C1344" s="892" t="s">
        <v>2660</v>
      </c>
      <c r="D1344" s="238" t="s">
        <v>2726</v>
      </c>
      <c r="E1344" s="237" t="s">
        <v>2660</v>
      </c>
      <c r="F1344" s="733"/>
      <c r="G1344" s="849" t="s">
        <v>2660</v>
      </c>
      <c r="H1344" s="243"/>
      <c r="I1344" s="237" t="s">
        <v>2660</v>
      </c>
      <c r="J1344" s="243"/>
      <c r="K1344" s="243"/>
      <c r="L1344" s="243"/>
      <c r="M1344" s="243"/>
      <c r="N1344" s="289"/>
      <c r="O1344" s="245"/>
      <c r="P1344" s="289"/>
      <c r="Q1344" s="245"/>
      <c r="R1344" s="289"/>
      <c r="S1344" s="257"/>
      <c r="T1344" s="257"/>
      <c r="U1344" s="257"/>
      <c r="V1344" s="289"/>
      <c r="W1344" s="245"/>
      <c r="X1344" s="289"/>
      <c r="Y1344" s="245"/>
      <c r="Z1344" s="289"/>
      <c r="AA1344" s="245"/>
      <c r="AB1344" s="289"/>
      <c r="AC1344" s="245"/>
    </row>
    <row r="1345" spans="1:29" s="454" customFormat="1" ht="15">
      <c r="A1345" s="284"/>
      <c r="B1345" s="237"/>
      <c r="C1345" s="892" t="s">
        <v>2660</v>
      </c>
      <c r="D1345" s="238" t="s">
        <v>2660</v>
      </c>
      <c r="E1345" s="237" t="s">
        <v>2660</v>
      </c>
      <c r="F1345" s="733"/>
      <c r="G1345" s="849" t="s">
        <v>2660</v>
      </c>
      <c r="H1345" s="243"/>
      <c r="I1345" s="237" t="s">
        <v>2660</v>
      </c>
      <c r="J1345" s="243"/>
      <c r="K1345" s="243"/>
      <c r="L1345" s="243"/>
      <c r="M1345" s="243"/>
      <c r="N1345" s="289"/>
      <c r="O1345" s="245"/>
      <c r="P1345" s="289"/>
      <c r="Q1345" s="245"/>
      <c r="R1345" s="289"/>
      <c r="S1345" s="257"/>
      <c r="T1345" s="257"/>
      <c r="U1345" s="257"/>
      <c r="V1345" s="289"/>
      <c r="W1345" s="245"/>
      <c r="X1345" s="289"/>
      <c r="Y1345" s="245"/>
      <c r="Z1345" s="289"/>
      <c r="AA1345" s="245"/>
      <c r="AB1345" s="289"/>
      <c r="AC1345" s="245"/>
    </row>
    <row r="1346" spans="1:29" s="454" customFormat="1" ht="15">
      <c r="A1346" s="284">
        <f>A1343+1</f>
        <v>251</v>
      </c>
      <c r="B1346" s="237"/>
      <c r="C1346" s="892" t="s">
        <v>3408</v>
      </c>
      <c r="D1346" s="238" t="s">
        <v>2727</v>
      </c>
      <c r="E1346" s="237" t="s">
        <v>1901</v>
      </c>
      <c r="F1346" s="735">
        <f>N1346+R1346+P1346+T1346+V1346+X1346+Z1346+AB1346</f>
        <v>4</v>
      </c>
      <c r="G1346" s="849">
        <v>632.82000000000005</v>
      </c>
      <c r="H1346" s="261">
        <f>O1346+S1346+Q1346+U1346+W1346+Y1346+AA1346+AC1346</f>
        <v>2531.2800000000002</v>
      </c>
      <c r="I1346" s="237" t="s">
        <v>1901</v>
      </c>
      <c r="J1346" s="243"/>
      <c r="K1346" s="243"/>
      <c r="L1346" s="243"/>
      <c r="M1346" s="243"/>
      <c r="N1346" s="289"/>
      <c r="O1346" s="245"/>
      <c r="P1346" s="289"/>
      <c r="Q1346" s="245"/>
      <c r="R1346" s="289">
        <f>2*(1)+2</f>
        <v>4</v>
      </c>
      <c r="S1346" s="257">
        <f>INT($G1346*R1346*100+0.5)/100</f>
        <v>2531.2800000000002</v>
      </c>
      <c r="T1346" s="257"/>
      <c r="U1346" s="257"/>
      <c r="V1346" s="289"/>
      <c r="W1346" s="245"/>
      <c r="X1346" s="289"/>
      <c r="Y1346" s="245"/>
      <c r="Z1346" s="289"/>
      <c r="AA1346" s="245"/>
      <c r="AB1346" s="289"/>
      <c r="AC1346" s="245"/>
    </row>
    <row r="1347" spans="1:29" s="454" customFormat="1" ht="15">
      <c r="A1347" s="284"/>
      <c r="B1347" s="237"/>
      <c r="C1347" s="892" t="s">
        <v>2660</v>
      </c>
      <c r="D1347" s="238" t="s">
        <v>2728</v>
      </c>
      <c r="E1347" s="237" t="s">
        <v>2660</v>
      </c>
      <c r="F1347" s="733"/>
      <c r="G1347" s="849" t="s">
        <v>2660</v>
      </c>
      <c r="H1347" s="243"/>
      <c r="I1347" s="237" t="s">
        <v>2660</v>
      </c>
      <c r="J1347" s="243"/>
      <c r="K1347" s="243"/>
      <c r="L1347" s="243"/>
      <c r="M1347" s="243"/>
      <c r="N1347" s="289"/>
      <c r="O1347" s="245"/>
      <c r="P1347" s="289"/>
      <c r="Q1347" s="245"/>
      <c r="R1347" s="289"/>
      <c r="S1347" s="257"/>
      <c r="T1347" s="257"/>
      <c r="U1347" s="257"/>
      <c r="V1347" s="289"/>
      <c r="W1347" s="245"/>
      <c r="X1347" s="289"/>
      <c r="Y1347" s="245"/>
      <c r="Z1347" s="289"/>
      <c r="AA1347" s="245"/>
      <c r="AB1347" s="289"/>
      <c r="AC1347" s="245"/>
    </row>
    <row r="1348" spans="1:29" s="454" customFormat="1" ht="15">
      <c r="A1348" s="284"/>
      <c r="B1348" s="237"/>
      <c r="C1348" s="892" t="s">
        <v>2660</v>
      </c>
      <c r="D1348" s="238" t="s">
        <v>2660</v>
      </c>
      <c r="E1348" s="237" t="s">
        <v>2660</v>
      </c>
      <c r="F1348" s="733"/>
      <c r="G1348" s="849" t="s">
        <v>2660</v>
      </c>
      <c r="H1348" s="243"/>
      <c r="I1348" s="237" t="s">
        <v>2660</v>
      </c>
      <c r="J1348" s="243"/>
      <c r="K1348" s="243"/>
      <c r="L1348" s="243"/>
      <c r="M1348" s="243"/>
      <c r="N1348" s="289"/>
      <c r="O1348" s="245"/>
      <c r="P1348" s="289"/>
      <c r="Q1348" s="245"/>
      <c r="R1348" s="289"/>
      <c r="S1348" s="257"/>
      <c r="T1348" s="257"/>
      <c r="U1348" s="257"/>
      <c r="V1348" s="289"/>
      <c r="W1348" s="245"/>
      <c r="X1348" s="289"/>
      <c r="Y1348" s="245"/>
      <c r="Z1348" s="289"/>
      <c r="AA1348" s="245"/>
      <c r="AB1348" s="289"/>
      <c r="AC1348" s="245"/>
    </row>
    <row r="1349" spans="1:29" s="454" customFormat="1" ht="15">
      <c r="A1349" s="284">
        <f>A1346+1</f>
        <v>252</v>
      </c>
      <c r="B1349" s="237"/>
      <c r="C1349" s="892" t="s">
        <v>3409</v>
      </c>
      <c r="D1349" s="238" t="s">
        <v>2729</v>
      </c>
      <c r="E1349" s="237" t="s">
        <v>1901</v>
      </c>
      <c r="F1349" s="735">
        <f>N1349+R1349+P1349+T1349+V1349+X1349+Z1349+AB1349</f>
        <v>2</v>
      </c>
      <c r="G1349" s="849">
        <v>761.75</v>
      </c>
      <c r="H1349" s="261">
        <f>O1349+S1349+Q1349+U1349+W1349+Y1349+AA1349+AC1349</f>
        <v>1523.5</v>
      </c>
      <c r="I1349" s="237" t="s">
        <v>1901</v>
      </c>
      <c r="J1349" s="243"/>
      <c r="K1349" s="243"/>
      <c r="L1349" s="243"/>
      <c r="M1349" s="243"/>
      <c r="N1349" s="289"/>
      <c r="O1349" s="245"/>
      <c r="P1349" s="289"/>
      <c r="Q1349" s="245"/>
      <c r="R1349" s="289">
        <f>2*(1)</f>
        <v>2</v>
      </c>
      <c r="S1349" s="257">
        <f>INT($G1349*R1349*100+0.5)/100</f>
        <v>1523.5</v>
      </c>
      <c r="T1349" s="257"/>
      <c r="U1349" s="257"/>
      <c r="V1349" s="289"/>
      <c r="W1349" s="245"/>
      <c r="X1349" s="289"/>
      <c r="Y1349" s="245"/>
      <c r="Z1349" s="289"/>
      <c r="AA1349" s="245"/>
      <c r="AB1349" s="289"/>
      <c r="AC1349" s="245"/>
    </row>
    <row r="1350" spans="1:29" s="454" customFormat="1" ht="15">
      <c r="A1350" s="284"/>
      <c r="B1350" s="237"/>
      <c r="C1350" s="892" t="s">
        <v>2660</v>
      </c>
      <c r="D1350" s="238" t="s">
        <v>2730</v>
      </c>
      <c r="E1350" s="237" t="s">
        <v>2660</v>
      </c>
      <c r="F1350" s="733"/>
      <c r="G1350" s="849" t="s">
        <v>2660</v>
      </c>
      <c r="H1350" s="243"/>
      <c r="I1350" s="237" t="s">
        <v>2660</v>
      </c>
      <c r="J1350" s="243"/>
      <c r="K1350" s="243"/>
      <c r="L1350" s="243"/>
      <c r="M1350" s="243"/>
      <c r="N1350" s="289"/>
      <c r="O1350" s="245"/>
      <c r="P1350" s="289"/>
      <c r="Q1350" s="245"/>
      <c r="R1350" s="289"/>
      <c r="S1350" s="257"/>
      <c r="T1350" s="257"/>
      <c r="U1350" s="257"/>
      <c r="V1350" s="289"/>
      <c r="W1350" s="245"/>
      <c r="X1350" s="289"/>
      <c r="Y1350" s="245"/>
      <c r="Z1350" s="289"/>
      <c r="AA1350" s="245"/>
      <c r="AB1350" s="289"/>
      <c r="AC1350" s="245"/>
    </row>
    <row r="1351" spans="1:29" s="454" customFormat="1" ht="15">
      <c r="A1351" s="284"/>
      <c r="B1351" s="237"/>
      <c r="C1351" s="892" t="s">
        <v>2660</v>
      </c>
      <c r="D1351" s="238" t="s">
        <v>2660</v>
      </c>
      <c r="E1351" s="237" t="s">
        <v>2660</v>
      </c>
      <c r="F1351" s="733"/>
      <c r="G1351" s="849" t="s">
        <v>2660</v>
      </c>
      <c r="H1351" s="243"/>
      <c r="I1351" s="237" t="s">
        <v>2660</v>
      </c>
      <c r="J1351" s="243"/>
      <c r="K1351" s="243"/>
      <c r="L1351" s="243"/>
      <c r="M1351" s="243"/>
      <c r="N1351" s="289"/>
      <c r="O1351" s="245"/>
      <c r="P1351" s="289"/>
      <c r="Q1351" s="245"/>
      <c r="R1351" s="289"/>
      <c r="S1351" s="257"/>
      <c r="T1351" s="257"/>
      <c r="U1351" s="257"/>
      <c r="V1351" s="289"/>
      <c r="W1351" s="245"/>
      <c r="X1351" s="289"/>
      <c r="Y1351" s="245"/>
      <c r="Z1351" s="289"/>
      <c r="AA1351" s="245"/>
      <c r="AB1351" s="289"/>
      <c r="AC1351" s="245"/>
    </row>
    <row r="1352" spans="1:29" s="454" customFormat="1" ht="15">
      <c r="A1352" s="284">
        <f>A1349+1</f>
        <v>253</v>
      </c>
      <c r="B1352" s="237"/>
      <c r="C1352" s="892" t="s">
        <v>3410</v>
      </c>
      <c r="D1352" s="238" t="s">
        <v>2731</v>
      </c>
      <c r="E1352" s="237" t="s">
        <v>1901</v>
      </c>
      <c r="F1352" s="735">
        <f>N1352+R1352+P1352+T1352+V1352+X1352+Z1352+AB1352</f>
        <v>2</v>
      </c>
      <c r="G1352" s="849">
        <v>926.62</v>
      </c>
      <c r="H1352" s="261">
        <f>O1352+S1352+Q1352+U1352+W1352+Y1352+AA1352+AC1352</f>
        <v>1853.24</v>
      </c>
      <c r="I1352" s="237" t="s">
        <v>1901</v>
      </c>
      <c r="J1352" s="243"/>
      <c r="K1352" s="243"/>
      <c r="L1352" s="243"/>
      <c r="M1352" s="243"/>
      <c r="N1352" s="289"/>
      <c r="O1352" s="245"/>
      <c r="P1352" s="289"/>
      <c r="Q1352" s="245"/>
      <c r="R1352" s="289">
        <f>2*(1)</f>
        <v>2</v>
      </c>
      <c r="S1352" s="257">
        <f>INT($G1352*R1352*100+0.5)/100</f>
        <v>1853.24</v>
      </c>
      <c r="T1352" s="257"/>
      <c r="U1352" s="257"/>
      <c r="V1352" s="289"/>
      <c r="W1352" s="245"/>
      <c r="X1352" s="289"/>
      <c r="Y1352" s="245"/>
      <c r="Z1352" s="289"/>
      <c r="AA1352" s="245"/>
      <c r="AB1352" s="289"/>
      <c r="AC1352" s="245"/>
    </row>
    <row r="1353" spans="1:29" s="454" customFormat="1" ht="15">
      <c r="A1353" s="284"/>
      <c r="B1353" s="237"/>
      <c r="C1353" s="892" t="s">
        <v>2660</v>
      </c>
      <c r="D1353" s="238" t="s">
        <v>2732</v>
      </c>
      <c r="E1353" s="237" t="s">
        <v>2660</v>
      </c>
      <c r="F1353" s="733"/>
      <c r="G1353" s="849" t="s">
        <v>2660</v>
      </c>
      <c r="H1353" s="243"/>
      <c r="I1353" s="237" t="s">
        <v>2660</v>
      </c>
      <c r="J1353" s="243"/>
      <c r="K1353" s="243"/>
      <c r="L1353" s="243"/>
      <c r="M1353" s="243"/>
      <c r="N1353" s="289"/>
      <c r="O1353" s="245"/>
      <c r="P1353" s="289"/>
      <c r="Q1353" s="245"/>
      <c r="R1353" s="289"/>
      <c r="S1353" s="257"/>
      <c r="T1353" s="257"/>
      <c r="U1353" s="257"/>
      <c r="V1353" s="289"/>
      <c r="W1353" s="245"/>
      <c r="X1353" s="289"/>
      <c r="Y1353" s="245"/>
      <c r="Z1353" s="289"/>
      <c r="AA1353" s="245"/>
      <c r="AB1353" s="289"/>
      <c r="AC1353" s="245"/>
    </row>
    <row r="1354" spans="1:29" s="454" customFormat="1" ht="15">
      <c r="A1354" s="284"/>
      <c r="B1354" s="237"/>
      <c r="C1354" s="892" t="s">
        <v>2660</v>
      </c>
      <c r="D1354" s="238" t="s">
        <v>2660</v>
      </c>
      <c r="E1354" s="237" t="s">
        <v>2660</v>
      </c>
      <c r="F1354" s="733"/>
      <c r="G1354" s="849" t="s">
        <v>2660</v>
      </c>
      <c r="H1354" s="243"/>
      <c r="I1354" s="237" t="s">
        <v>2660</v>
      </c>
      <c r="J1354" s="243"/>
      <c r="K1354" s="243"/>
      <c r="L1354" s="243"/>
      <c r="M1354" s="243"/>
      <c r="N1354" s="289"/>
      <c r="O1354" s="245"/>
      <c r="P1354" s="289"/>
      <c r="Q1354" s="245"/>
      <c r="R1354" s="289"/>
      <c r="S1354" s="257"/>
      <c r="T1354" s="257"/>
      <c r="U1354" s="257"/>
      <c r="V1354" s="289"/>
      <c r="W1354" s="245"/>
      <c r="X1354" s="289"/>
      <c r="Y1354" s="245"/>
      <c r="Z1354" s="289"/>
      <c r="AA1354" s="245"/>
      <c r="AB1354" s="289"/>
      <c r="AC1354" s="245"/>
    </row>
    <row r="1355" spans="1:29" s="454" customFormat="1" ht="15">
      <c r="A1355" s="284"/>
      <c r="B1355" s="237"/>
      <c r="C1355" s="892" t="s">
        <v>3411</v>
      </c>
      <c r="D1355" s="238" t="s">
        <v>2733</v>
      </c>
      <c r="E1355" s="237" t="s">
        <v>2660</v>
      </c>
      <c r="F1355" s="733"/>
      <c r="G1355" s="849" t="s">
        <v>2660</v>
      </c>
      <c r="H1355" s="243"/>
      <c r="I1355" s="237" t="s">
        <v>2660</v>
      </c>
      <c r="J1355" s="243"/>
      <c r="K1355" s="243"/>
      <c r="L1355" s="243"/>
      <c r="M1355" s="243"/>
      <c r="N1355" s="289"/>
      <c r="O1355" s="245"/>
      <c r="P1355" s="289"/>
      <c r="Q1355" s="245"/>
      <c r="R1355" s="289"/>
      <c r="S1355" s="257"/>
      <c r="T1355" s="257"/>
      <c r="U1355" s="257"/>
      <c r="V1355" s="289"/>
      <c r="W1355" s="245"/>
      <c r="X1355" s="289"/>
      <c r="Y1355" s="245"/>
      <c r="Z1355" s="289"/>
      <c r="AA1355" s="245"/>
      <c r="AB1355" s="289"/>
      <c r="AC1355" s="245"/>
    </row>
    <row r="1356" spans="1:29" s="454" customFormat="1" ht="25.5">
      <c r="A1356" s="284"/>
      <c r="B1356" s="237"/>
      <c r="C1356" s="892"/>
      <c r="D1356" s="238" t="s">
        <v>2734</v>
      </c>
      <c r="E1356" s="237"/>
      <c r="F1356" s="733"/>
      <c r="G1356" s="849"/>
      <c r="H1356" s="243"/>
      <c r="I1356" s="237"/>
      <c r="J1356" s="243"/>
      <c r="K1356" s="243"/>
      <c r="L1356" s="243"/>
      <c r="M1356" s="243"/>
      <c r="N1356" s="289"/>
      <c r="O1356" s="245"/>
      <c r="P1356" s="289"/>
      <c r="Q1356" s="245"/>
      <c r="R1356" s="289"/>
      <c r="S1356" s="257"/>
      <c r="T1356" s="257"/>
      <c r="U1356" s="257"/>
      <c r="V1356" s="289"/>
      <c r="W1356" s="245"/>
      <c r="X1356" s="289"/>
      <c r="Y1356" s="245"/>
      <c r="Z1356" s="289"/>
      <c r="AA1356" s="245"/>
      <c r="AB1356" s="289"/>
      <c r="AC1356" s="245"/>
    </row>
    <row r="1357" spans="1:29" s="454" customFormat="1" ht="15">
      <c r="A1357" s="284">
        <f>A1352+1</f>
        <v>254</v>
      </c>
      <c r="B1357" s="237"/>
      <c r="C1357" s="892" t="s">
        <v>3412</v>
      </c>
      <c r="D1357" s="238" t="s">
        <v>2735</v>
      </c>
      <c r="E1357" s="237" t="s">
        <v>1901</v>
      </c>
      <c r="F1357" s="735">
        <f>N1357+R1357+P1357+T1357+V1357+X1357+Z1357+AB1357</f>
        <v>2</v>
      </c>
      <c r="G1357" s="849">
        <v>77.09</v>
      </c>
      <c r="H1357" s="261">
        <f>O1357+S1357+Q1357+U1357+W1357+Y1357+AA1357+AC1357</f>
        <v>154.18</v>
      </c>
      <c r="I1357" s="237" t="s">
        <v>1901</v>
      </c>
      <c r="J1357" s="243"/>
      <c r="K1357" s="243"/>
      <c r="L1357" s="243"/>
      <c r="M1357" s="243"/>
      <c r="N1357" s="289"/>
      <c r="O1357" s="245"/>
      <c r="P1357" s="289"/>
      <c r="Q1357" s="245"/>
      <c r="R1357" s="289">
        <v>2</v>
      </c>
      <c r="S1357" s="257">
        <f>INT($G1357*R1357*100+0.5)/100</f>
        <v>154.18</v>
      </c>
      <c r="T1357" s="257"/>
      <c r="U1357" s="257"/>
      <c r="V1357" s="289"/>
      <c r="W1357" s="245"/>
      <c r="X1357" s="289"/>
      <c r="Y1357" s="245"/>
      <c r="Z1357" s="289"/>
      <c r="AA1357" s="245"/>
      <c r="AB1357" s="289"/>
      <c r="AC1357" s="245"/>
    </row>
    <row r="1358" spans="1:29" s="454" customFormat="1" ht="15">
      <c r="A1358" s="284"/>
      <c r="B1358" s="237"/>
      <c r="C1358" s="892" t="s">
        <v>2660</v>
      </c>
      <c r="D1358" s="238" t="s">
        <v>2736</v>
      </c>
      <c r="E1358" s="237" t="s">
        <v>2660</v>
      </c>
      <c r="F1358" s="733"/>
      <c r="G1358" s="849" t="s">
        <v>2660</v>
      </c>
      <c r="H1358" s="243"/>
      <c r="I1358" s="237" t="s">
        <v>2660</v>
      </c>
      <c r="J1358" s="243"/>
      <c r="K1358" s="243"/>
      <c r="L1358" s="243"/>
      <c r="M1358" s="243"/>
      <c r="N1358" s="289"/>
      <c r="O1358" s="245"/>
      <c r="P1358" s="289"/>
      <c r="Q1358" s="245"/>
      <c r="R1358" s="289"/>
      <c r="S1358" s="257"/>
      <c r="T1358" s="257"/>
      <c r="U1358" s="257"/>
      <c r="V1358" s="289"/>
      <c r="W1358" s="245"/>
      <c r="X1358" s="289"/>
      <c r="Y1358" s="245"/>
      <c r="Z1358" s="289"/>
      <c r="AA1358" s="245"/>
      <c r="AB1358" s="289"/>
      <c r="AC1358" s="245"/>
    </row>
    <row r="1359" spans="1:29" s="454" customFormat="1" ht="15">
      <c r="A1359" s="284"/>
      <c r="B1359" s="237"/>
      <c r="C1359" s="892" t="s">
        <v>2660</v>
      </c>
      <c r="D1359" s="238" t="s">
        <v>2660</v>
      </c>
      <c r="E1359" s="237" t="s">
        <v>2660</v>
      </c>
      <c r="F1359" s="733"/>
      <c r="G1359" s="849" t="s">
        <v>2660</v>
      </c>
      <c r="H1359" s="243"/>
      <c r="I1359" s="237" t="s">
        <v>2660</v>
      </c>
      <c r="J1359" s="243"/>
      <c r="K1359" s="243"/>
      <c r="L1359" s="243"/>
      <c r="M1359" s="243"/>
      <c r="N1359" s="289"/>
      <c r="O1359" s="245"/>
      <c r="P1359" s="289"/>
      <c r="Q1359" s="245"/>
      <c r="R1359" s="289"/>
      <c r="S1359" s="257"/>
      <c r="T1359" s="257"/>
      <c r="U1359" s="257"/>
      <c r="V1359" s="289"/>
      <c r="W1359" s="245"/>
      <c r="X1359" s="289"/>
      <c r="Y1359" s="245"/>
      <c r="Z1359" s="289"/>
      <c r="AA1359" s="245"/>
      <c r="AB1359" s="289"/>
      <c r="AC1359" s="245"/>
    </row>
    <row r="1360" spans="1:29" s="454" customFormat="1" ht="15">
      <c r="A1360" s="284">
        <f>A1357+1</f>
        <v>255</v>
      </c>
      <c r="B1360" s="237"/>
      <c r="C1360" s="892" t="s">
        <v>3413</v>
      </c>
      <c r="D1360" s="238" t="s">
        <v>2737</v>
      </c>
      <c r="E1360" s="237" t="s">
        <v>1901</v>
      </c>
      <c r="F1360" s="735">
        <f>N1360+R1360+P1360+T1360+V1360+X1360+Z1360+AB1360</f>
        <v>2</v>
      </c>
      <c r="G1360" s="849">
        <v>84.43</v>
      </c>
      <c r="H1360" s="261">
        <f>O1360+S1360+Q1360+U1360+W1360+Y1360+AA1360+AC1360</f>
        <v>168.86</v>
      </c>
      <c r="I1360" s="237" t="s">
        <v>1901</v>
      </c>
      <c r="J1360" s="243"/>
      <c r="K1360" s="243"/>
      <c r="L1360" s="243"/>
      <c r="M1360" s="243"/>
      <c r="N1360" s="289"/>
      <c r="O1360" s="245"/>
      <c r="P1360" s="289"/>
      <c r="Q1360" s="245"/>
      <c r="R1360" s="289">
        <v>2</v>
      </c>
      <c r="S1360" s="257">
        <f>INT($G1360*R1360*100+0.5)/100</f>
        <v>168.86</v>
      </c>
      <c r="T1360" s="257"/>
      <c r="U1360" s="257"/>
      <c r="V1360" s="289"/>
      <c r="W1360" s="245"/>
      <c r="X1360" s="289"/>
      <c r="Y1360" s="245"/>
      <c r="Z1360" s="289"/>
      <c r="AA1360" s="245"/>
      <c r="AB1360" s="289"/>
      <c r="AC1360" s="245"/>
    </row>
    <row r="1361" spans="1:29" s="454" customFormat="1" ht="15">
      <c r="A1361" s="284"/>
      <c r="B1361" s="237"/>
      <c r="C1361" s="892" t="s">
        <v>2660</v>
      </c>
      <c r="D1361" s="238" t="s">
        <v>2738</v>
      </c>
      <c r="E1361" s="237" t="s">
        <v>2660</v>
      </c>
      <c r="F1361" s="733"/>
      <c r="G1361" s="849" t="s">
        <v>2660</v>
      </c>
      <c r="H1361" s="243"/>
      <c r="I1361" s="237" t="s">
        <v>2660</v>
      </c>
      <c r="J1361" s="243"/>
      <c r="K1361" s="243"/>
      <c r="L1361" s="243"/>
      <c r="M1361" s="243"/>
      <c r="N1361" s="289"/>
      <c r="O1361" s="245"/>
      <c r="P1361" s="289"/>
      <c r="Q1361" s="245"/>
      <c r="R1361" s="289"/>
      <c r="S1361" s="257"/>
      <c r="T1361" s="257"/>
      <c r="U1361" s="257"/>
      <c r="V1361" s="289"/>
      <c r="W1361" s="245"/>
      <c r="X1361" s="289"/>
      <c r="Y1361" s="245"/>
      <c r="Z1361" s="289"/>
      <c r="AA1361" s="245"/>
      <c r="AB1361" s="289"/>
      <c r="AC1361" s="245"/>
    </row>
    <row r="1362" spans="1:29" s="454" customFormat="1" ht="15">
      <c r="A1362" s="284"/>
      <c r="B1362" s="237"/>
      <c r="C1362" s="892" t="s">
        <v>2660</v>
      </c>
      <c r="D1362" s="238" t="s">
        <v>2660</v>
      </c>
      <c r="E1362" s="237" t="s">
        <v>2660</v>
      </c>
      <c r="F1362" s="733"/>
      <c r="G1362" s="849" t="s">
        <v>2660</v>
      </c>
      <c r="H1362" s="243"/>
      <c r="I1362" s="237" t="s">
        <v>2660</v>
      </c>
      <c r="J1362" s="243"/>
      <c r="K1362" s="243"/>
      <c r="L1362" s="243"/>
      <c r="M1362" s="243"/>
      <c r="N1362" s="289"/>
      <c r="O1362" s="245"/>
      <c r="P1362" s="289"/>
      <c r="Q1362" s="245"/>
      <c r="R1362" s="289"/>
      <c r="S1362" s="257"/>
      <c r="T1362" s="257"/>
      <c r="U1362" s="257"/>
      <c r="V1362" s="289"/>
      <c r="W1362" s="245"/>
      <c r="X1362" s="289"/>
      <c r="Y1362" s="245"/>
      <c r="Z1362" s="289"/>
      <c r="AA1362" s="245"/>
      <c r="AB1362" s="289"/>
      <c r="AC1362" s="245"/>
    </row>
    <row r="1363" spans="1:29" s="454" customFormat="1" ht="15">
      <c r="A1363" s="284">
        <f>A1360+1</f>
        <v>256</v>
      </c>
      <c r="B1363" s="237"/>
      <c r="C1363" s="892" t="s">
        <v>3414</v>
      </c>
      <c r="D1363" s="238" t="s">
        <v>2739</v>
      </c>
      <c r="E1363" s="237" t="s">
        <v>1901</v>
      </c>
      <c r="F1363" s="735">
        <f>N1363+R1363+P1363+T1363+V1363+X1363+Z1363+AB1363</f>
        <v>2</v>
      </c>
      <c r="G1363" s="849">
        <v>94.63</v>
      </c>
      <c r="H1363" s="261">
        <f>O1363+S1363+Q1363+U1363+W1363+Y1363+AA1363+AC1363</f>
        <v>189.26</v>
      </c>
      <c r="I1363" s="237" t="s">
        <v>1901</v>
      </c>
      <c r="J1363" s="243"/>
      <c r="K1363" s="243"/>
      <c r="L1363" s="243"/>
      <c r="M1363" s="243"/>
      <c r="N1363" s="289"/>
      <c r="O1363" s="245"/>
      <c r="P1363" s="289"/>
      <c r="Q1363" s="245"/>
      <c r="R1363" s="289">
        <v>2</v>
      </c>
      <c r="S1363" s="257">
        <f>INT($G1363*R1363*100+0.5)/100</f>
        <v>189.26</v>
      </c>
      <c r="T1363" s="257"/>
      <c r="U1363" s="257"/>
      <c r="V1363" s="289"/>
      <c r="W1363" s="245"/>
      <c r="X1363" s="289"/>
      <c r="Y1363" s="245"/>
      <c r="Z1363" s="289"/>
      <c r="AA1363" s="245"/>
      <c r="AB1363" s="289"/>
      <c r="AC1363" s="245"/>
    </row>
    <row r="1364" spans="1:29" s="454" customFormat="1" ht="15">
      <c r="A1364" s="284"/>
      <c r="B1364" s="237"/>
      <c r="C1364" s="892" t="s">
        <v>2660</v>
      </c>
      <c r="D1364" s="238" t="s">
        <v>2740</v>
      </c>
      <c r="E1364" s="237" t="s">
        <v>2660</v>
      </c>
      <c r="F1364" s="733"/>
      <c r="G1364" s="849" t="s">
        <v>2660</v>
      </c>
      <c r="H1364" s="243"/>
      <c r="I1364" s="237" t="s">
        <v>2660</v>
      </c>
      <c r="J1364" s="243"/>
      <c r="K1364" s="243"/>
      <c r="L1364" s="243"/>
      <c r="M1364" s="243"/>
      <c r="N1364" s="289"/>
      <c r="O1364" s="245"/>
      <c r="P1364" s="289"/>
      <c r="Q1364" s="245"/>
      <c r="R1364" s="289"/>
      <c r="S1364" s="257"/>
      <c r="T1364" s="257"/>
      <c r="U1364" s="257"/>
      <c r="V1364" s="289"/>
      <c r="W1364" s="245"/>
      <c r="X1364" s="289"/>
      <c r="Y1364" s="245"/>
      <c r="Z1364" s="289"/>
      <c r="AA1364" s="245"/>
      <c r="AB1364" s="289"/>
      <c r="AC1364" s="245"/>
    </row>
    <row r="1365" spans="1:29" s="454" customFormat="1" ht="15">
      <c r="A1365" s="284"/>
      <c r="B1365" s="237"/>
      <c r="C1365" s="892" t="s">
        <v>2660</v>
      </c>
      <c r="D1365" s="238" t="s">
        <v>2660</v>
      </c>
      <c r="E1365" s="237" t="s">
        <v>2660</v>
      </c>
      <c r="F1365" s="733"/>
      <c r="G1365" s="849" t="s">
        <v>2660</v>
      </c>
      <c r="H1365" s="243"/>
      <c r="I1365" s="237" t="s">
        <v>2660</v>
      </c>
      <c r="J1365" s="243"/>
      <c r="K1365" s="243"/>
      <c r="L1365" s="243"/>
      <c r="M1365" s="243"/>
      <c r="N1365" s="289"/>
      <c r="O1365" s="245"/>
      <c r="P1365" s="289"/>
      <c r="Q1365" s="245"/>
      <c r="R1365" s="289"/>
      <c r="S1365" s="257"/>
      <c r="T1365" s="257"/>
      <c r="U1365" s="257"/>
      <c r="V1365" s="289"/>
      <c r="W1365" s="245"/>
      <c r="X1365" s="289"/>
      <c r="Y1365" s="245"/>
      <c r="Z1365" s="289"/>
      <c r="AA1365" s="245"/>
      <c r="AB1365" s="289"/>
      <c r="AC1365" s="245"/>
    </row>
    <row r="1366" spans="1:29" s="454" customFormat="1" ht="15">
      <c r="A1366" s="284">
        <f>A1363+1</f>
        <v>257</v>
      </c>
      <c r="B1366" s="237"/>
      <c r="C1366" s="892" t="s">
        <v>3415</v>
      </c>
      <c r="D1366" s="238" t="s">
        <v>2741</v>
      </c>
      <c r="E1366" s="237" t="s">
        <v>1901</v>
      </c>
      <c r="F1366" s="735">
        <f>N1366+R1366+P1366+T1366+V1366+X1366+Z1366+AB1366</f>
        <v>2</v>
      </c>
      <c r="G1366" s="849">
        <v>109.23</v>
      </c>
      <c r="H1366" s="261">
        <f>O1366+S1366+Q1366+U1366+W1366+Y1366+AA1366+AC1366</f>
        <v>218.46</v>
      </c>
      <c r="I1366" s="237" t="s">
        <v>1901</v>
      </c>
      <c r="J1366" s="243"/>
      <c r="K1366" s="243"/>
      <c r="L1366" s="243"/>
      <c r="M1366" s="243"/>
      <c r="N1366" s="289"/>
      <c r="O1366" s="245"/>
      <c r="P1366" s="289"/>
      <c r="Q1366" s="245"/>
      <c r="R1366" s="289">
        <v>2</v>
      </c>
      <c r="S1366" s="257">
        <f>INT($G1366*R1366*100+0.5)/100</f>
        <v>218.46</v>
      </c>
      <c r="T1366" s="257"/>
      <c r="U1366" s="257"/>
      <c r="V1366" s="289"/>
      <c r="W1366" s="245"/>
      <c r="X1366" s="289"/>
      <c r="Y1366" s="245"/>
      <c r="Z1366" s="289"/>
      <c r="AA1366" s="245"/>
      <c r="AB1366" s="289"/>
      <c r="AC1366" s="245"/>
    </row>
    <row r="1367" spans="1:29" s="454" customFormat="1" ht="15">
      <c r="A1367" s="284"/>
      <c r="B1367" s="237"/>
      <c r="C1367" s="892" t="s">
        <v>2660</v>
      </c>
      <c r="D1367" s="238" t="s">
        <v>2742</v>
      </c>
      <c r="E1367" s="237" t="s">
        <v>2660</v>
      </c>
      <c r="F1367" s="733"/>
      <c r="G1367" s="849" t="s">
        <v>2660</v>
      </c>
      <c r="H1367" s="243"/>
      <c r="I1367" s="237" t="s">
        <v>2660</v>
      </c>
      <c r="J1367" s="243"/>
      <c r="K1367" s="243"/>
      <c r="L1367" s="243"/>
      <c r="M1367" s="243"/>
      <c r="N1367" s="289"/>
      <c r="O1367" s="245"/>
      <c r="P1367" s="289"/>
      <c r="Q1367" s="245"/>
      <c r="R1367" s="289"/>
      <c r="S1367" s="257"/>
      <c r="T1367" s="257"/>
      <c r="U1367" s="257"/>
      <c r="V1367" s="289"/>
      <c r="W1367" s="245"/>
      <c r="X1367" s="289"/>
      <c r="Y1367" s="245"/>
      <c r="Z1367" s="289"/>
      <c r="AA1367" s="245"/>
      <c r="AB1367" s="289"/>
      <c r="AC1367" s="245"/>
    </row>
    <row r="1368" spans="1:29" s="454" customFormat="1" ht="15">
      <c r="A1368" s="284"/>
      <c r="B1368" s="237"/>
      <c r="C1368" s="892" t="s">
        <v>2660</v>
      </c>
      <c r="D1368" s="238" t="s">
        <v>2660</v>
      </c>
      <c r="E1368" s="237" t="s">
        <v>2660</v>
      </c>
      <c r="F1368" s="733"/>
      <c r="G1368" s="849" t="s">
        <v>2660</v>
      </c>
      <c r="H1368" s="243"/>
      <c r="I1368" s="237" t="s">
        <v>2660</v>
      </c>
      <c r="J1368" s="243"/>
      <c r="K1368" s="243"/>
      <c r="L1368" s="243"/>
      <c r="M1368" s="243"/>
      <c r="N1368" s="289"/>
      <c r="O1368" s="245"/>
      <c r="P1368" s="289"/>
      <c r="Q1368" s="245"/>
      <c r="R1368" s="289"/>
      <c r="S1368" s="257"/>
      <c r="T1368" s="257"/>
      <c r="U1368" s="257"/>
      <c r="V1368" s="289"/>
      <c r="W1368" s="245"/>
      <c r="X1368" s="289"/>
      <c r="Y1368" s="245"/>
      <c r="Z1368" s="289"/>
      <c r="AA1368" s="245"/>
      <c r="AB1368" s="289"/>
      <c r="AC1368" s="245"/>
    </row>
    <row r="1369" spans="1:29" s="454" customFormat="1" ht="15">
      <c r="A1369" s="284">
        <f>A1366+1</f>
        <v>258</v>
      </c>
      <c r="B1369" s="237"/>
      <c r="C1369" s="892" t="s">
        <v>3416</v>
      </c>
      <c r="D1369" s="238" t="s">
        <v>2743</v>
      </c>
      <c r="E1369" s="237" t="s">
        <v>1901</v>
      </c>
      <c r="F1369" s="735">
        <f>N1369+R1369+P1369+T1369+V1369+X1369+Z1369+AB1369</f>
        <v>2</v>
      </c>
      <c r="G1369" s="849">
        <v>129.13</v>
      </c>
      <c r="H1369" s="261">
        <f>O1369+S1369+Q1369+U1369+W1369+Y1369+AA1369+AC1369</f>
        <v>258.26</v>
      </c>
      <c r="I1369" s="237" t="s">
        <v>1901</v>
      </c>
      <c r="J1369" s="243"/>
      <c r="K1369" s="243"/>
      <c r="L1369" s="243"/>
      <c r="M1369" s="243"/>
      <c r="N1369" s="289"/>
      <c r="O1369" s="245"/>
      <c r="P1369" s="289"/>
      <c r="Q1369" s="245"/>
      <c r="R1369" s="289">
        <f>2*(1)</f>
        <v>2</v>
      </c>
      <c r="S1369" s="257">
        <f>INT($G1369*R1369*100+0.5)/100</f>
        <v>258.26</v>
      </c>
      <c r="T1369" s="257"/>
      <c r="U1369" s="257"/>
      <c r="V1369" s="289"/>
      <c r="W1369" s="245"/>
      <c r="X1369" s="289"/>
      <c r="Y1369" s="245"/>
      <c r="Z1369" s="289"/>
      <c r="AA1369" s="245"/>
      <c r="AB1369" s="289"/>
      <c r="AC1369" s="245"/>
    </row>
    <row r="1370" spans="1:29" s="454" customFormat="1" ht="15">
      <c r="A1370" s="284"/>
      <c r="B1370" s="237"/>
      <c r="C1370" s="892" t="s">
        <v>2660</v>
      </c>
      <c r="D1370" s="238" t="s">
        <v>2744</v>
      </c>
      <c r="E1370" s="237" t="s">
        <v>2660</v>
      </c>
      <c r="F1370" s="733"/>
      <c r="G1370" s="849" t="s">
        <v>2660</v>
      </c>
      <c r="H1370" s="243"/>
      <c r="I1370" s="237" t="s">
        <v>2660</v>
      </c>
      <c r="J1370" s="243"/>
      <c r="K1370" s="243"/>
      <c r="L1370" s="243"/>
      <c r="M1370" s="243"/>
      <c r="N1370" s="289"/>
      <c r="O1370" s="245"/>
      <c r="P1370" s="289"/>
      <c r="Q1370" s="245"/>
      <c r="R1370" s="289"/>
      <c r="S1370" s="257"/>
      <c r="T1370" s="257"/>
      <c r="U1370" s="257"/>
      <c r="V1370" s="289"/>
      <c r="W1370" s="245"/>
      <c r="X1370" s="289"/>
      <c r="Y1370" s="245"/>
      <c r="Z1370" s="289"/>
      <c r="AA1370" s="245"/>
      <c r="AB1370" s="289"/>
      <c r="AC1370" s="245"/>
    </row>
    <row r="1371" spans="1:29" s="454" customFormat="1" ht="15">
      <c r="A1371" s="284"/>
      <c r="B1371" s="237"/>
      <c r="C1371" s="892" t="s">
        <v>2660</v>
      </c>
      <c r="D1371" s="238" t="s">
        <v>2660</v>
      </c>
      <c r="E1371" s="237" t="s">
        <v>2660</v>
      </c>
      <c r="F1371" s="733"/>
      <c r="G1371" s="849" t="s">
        <v>2660</v>
      </c>
      <c r="H1371" s="243"/>
      <c r="I1371" s="237" t="s">
        <v>2660</v>
      </c>
      <c r="J1371" s="243"/>
      <c r="K1371" s="243"/>
      <c r="L1371" s="243"/>
      <c r="M1371" s="243"/>
      <c r="N1371" s="289"/>
      <c r="O1371" s="245"/>
      <c r="P1371" s="289"/>
      <c r="Q1371" s="245"/>
      <c r="R1371" s="289"/>
      <c r="S1371" s="257"/>
      <c r="T1371" s="257"/>
      <c r="U1371" s="257"/>
      <c r="V1371" s="289"/>
      <c r="W1371" s="245"/>
      <c r="X1371" s="289"/>
      <c r="Y1371" s="245"/>
      <c r="Z1371" s="289"/>
      <c r="AA1371" s="245"/>
      <c r="AB1371" s="289"/>
      <c r="AC1371" s="245"/>
    </row>
    <row r="1372" spans="1:29" s="454" customFormat="1" ht="15">
      <c r="A1372" s="284">
        <f>A1369+1</f>
        <v>259</v>
      </c>
      <c r="B1372" s="237"/>
      <c r="C1372" s="892" t="s">
        <v>3417</v>
      </c>
      <c r="D1372" s="238" t="s">
        <v>2745</v>
      </c>
      <c r="E1372" s="237" t="s">
        <v>1901</v>
      </c>
      <c r="F1372" s="735">
        <f>N1372+R1372+P1372+T1372+V1372+X1372+Z1372+AB1372</f>
        <v>2</v>
      </c>
      <c r="G1372" s="849">
        <v>147.61000000000001</v>
      </c>
      <c r="H1372" s="261">
        <f>O1372+S1372+Q1372+U1372+W1372+Y1372+AA1372+AC1372</f>
        <v>295.22000000000003</v>
      </c>
      <c r="I1372" s="237" t="s">
        <v>1901</v>
      </c>
      <c r="J1372" s="243"/>
      <c r="K1372" s="243"/>
      <c r="L1372" s="243"/>
      <c r="M1372" s="243"/>
      <c r="N1372" s="289"/>
      <c r="O1372" s="245"/>
      <c r="P1372" s="289"/>
      <c r="Q1372" s="245"/>
      <c r="R1372" s="289">
        <f>2*(1)</f>
        <v>2</v>
      </c>
      <c r="S1372" s="257">
        <f>INT($G1372*R1372*100+0.5)/100</f>
        <v>295.22000000000003</v>
      </c>
      <c r="T1372" s="257"/>
      <c r="U1372" s="257"/>
      <c r="V1372" s="289"/>
      <c r="W1372" s="245"/>
      <c r="X1372" s="289"/>
      <c r="Y1372" s="245"/>
      <c r="Z1372" s="289"/>
      <c r="AA1372" s="245"/>
      <c r="AB1372" s="289"/>
      <c r="AC1372" s="245"/>
    </row>
    <row r="1373" spans="1:29" s="454" customFormat="1" ht="15">
      <c r="A1373" s="284"/>
      <c r="B1373" s="237"/>
      <c r="C1373" s="892" t="s">
        <v>2660</v>
      </c>
      <c r="D1373" s="238" t="s">
        <v>2746</v>
      </c>
      <c r="E1373" s="237" t="s">
        <v>2660</v>
      </c>
      <c r="F1373" s="733"/>
      <c r="G1373" s="849" t="s">
        <v>2660</v>
      </c>
      <c r="H1373" s="243"/>
      <c r="I1373" s="237" t="s">
        <v>2660</v>
      </c>
      <c r="J1373" s="243"/>
      <c r="K1373" s="243"/>
      <c r="L1373" s="243"/>
      <c r="M1373" s="243"/>
      <c r="N1373" s="289"/>
      <c r="O1373" s="245"/>
      <c r="P1373" s="289"/>
      <c r="Q1373" s="245"/>
      <c r="R1373" s="289"/>
      <c r="S1373" s="257"/>
      <c r="T1373" s="257"/>
      <c r="U1373" s="257"/>
      <c r="V1373" s="289"/>
      <c r="W1373" s="245"/>
      <c r="X1373" s="289"/>
      <c r="Y1373" s="245"/>
      <c r="Z1373" s="289"/>
      <c r="AA1373" s="245"/>
      <c r="AB1373" s="289"/>
      <c r="AC1373" s="245"/>
    </row>
    <row r="1374" spans="1:29" s="454" customFormat="1" ht="15">
      <c r="A1374" s="284"/>
      <c r="B1374" s="237"/>
      <c r="C1374" s="892" t="s">
        <v>2660</v>
      </c>
      <c r="D1374" s="238" t="s">
        <v>2660</v>
      </c>
      <c r="E1374" s="237" t="s">
        <v>2660</v>
      </c>
      <c r="F1374" s="733"/>
      <c r="G1374" s="849" t="s">
        <v>2660</v>
      </c>
      <c r="H1374" s="243"/>
      <c r="I1374" s="237" t="s">
        <v>2660</v>
      </c>
      <c r="J1374" s="243"/>
      <c r="K1374" s="243"/>
      <c r="L1374" s="243"/>
      <c r="M1374" s="243"/>
      <c r="N1374" s="289"/>
      <c r="O1374" s="245"/>
      <c r="P1374" s="289"/>
      <c r="Q1374" s="245"/>
      <c r="R1374" s="289"/>
      <c r="S1374" s="257"/>
      <c r="T1374" s="257"/>
      <c r="U1374" s="257"/>
      <c r="V1374" s="289"/>
      <c r="W1374" s="245"/>
      <c r="X1374" s="289"/>
      <c r="Y1374" s="245"/>
      <c r="Z1374" s="289"/>
      <c r="AA1374" s="245"/>
      <c r="AB1374" s="289"/>
      <c r="AC1374" s="245"/>
    </row>
    <row r="1375" spans="1:29" s="454" customFormat="1" ht="15">
      <c r="A1375" s="284">
        <f>A1372+1</f>
        <v>260</v>
      </c>
      <c r="B1375" s="237"/>
      <c r="C1375" s="892" t="s">
        <v>3418</v>
      </c>
      <c r="D1375" s="238" t="s">
        <v>2747</v>
      </c>
      <c r="E1375" s="237" t="s">
        <v>1901</v>
      </c>
      <c r="F1375" s="735">
        <f>N1375+R1375+P1375+T1375+V1375+X1375+Z1375+AB1375</f>
        <v>2</v>
      </c>
      <c r="G1375" s="849">
        <v>191.54</v>
      </c>
      <c r="H1375" s="261">
        <f>O1375+S1375+Q1375+U1375+W1375+Y1375+AA1375+AC1375</f>
        <v>383.08</v>
      </c>
      <c r="I1375" s="237" t="s">
        <v>1901</v>
      </c>
      <c r="J1375" s="243"/>
      <c r="K1375" s="243"/>
      <c r="L1375" s="243"/>
      <c r="M1375" s="243"/>
      <c r="N1375" s="289"/>
      <c r="O1375" s="245"/>
      <c r="P1375" s="289"/>
      <c r="Q1375" s="245"/>
      <c r="R1375" s="289">
        <v>2</v>
      </c>
      <c r="S1375" s="257">
        <f>INT($G1375*R1375*100+0.5)/100</f>
        <v>383.08</v>
      </c>
      <c r="T1375" s="257"/>
      <c r="U1375" s="257"/>
      <c r="V1375" s="289"/>
      <c r="W1375" s="245"/>
      <c r="X1375" s="289"/>
      <c r="Y1375" s="245"/>
      <c r="Z1375" s="289"/>
      <c r="AA1375" s="245"/>
      <c r="AB1375" s="289"/>
      <c r="AC1375" s="245"/>
    </row>
    <row r="1376" spans="1:29" s="454" customFormat="1" ht="15">
      <c r="A1376" s="284"/>
      <c r="B1376" s="237"/>
      <c r="C1376" s="892" t="s">
        <v>2660</v>
      </c>
      <c r="D1376" s="238" t="s">
        <v>2748</v>
      </c>
      <c r="E1376" s="237" t="s">
        <v>2660</v>
      </c>
      <c r="F1376" s="733"/>
      <c r="G1376" s="849" t="s">
        <v>2660</v>
      </c>
      <c r="H1376" s="243"/>
      <c r="I1376" s="237" t="s">
        <v>2660</v>
      </c>
      <c r="J1376" s="243"/>
      <c r="K1376" s="243"/>
      <c r="L1376" s="243"/>
      <c r="M1376" s="243"/>
      <c r="N1376" s="289"/>
      <c r="O1376" s="245"/>
      <c r="P1376" s="289"/>
      <c r="Q1376" s="245"/>
      <c r="R1376" s="289"/>
      <c r="S1376" s="257"/>
      <c r="T1376" s="257"/>
      <c r="U1376" s="257"/>
      <c r="V1376" s="289"/>
      <c r="W1376" s="245"/>
      <c r="X1376" s="289"/>
      <c r="Y1376" s="245"/>
      <c r="Z1376" s="289"/>
      <c r="AA1376" s="245"/>
      <c r="AB1376" s="289"/>
      <c r="AC1376" s="245"/>
    </row>
    <row r="1377" spans="1:29" s="454" customFormat="1" ht="15">
      <c r="A1377" s="284"/>
      <c r="B1377" s="237"/>
      <c r="C1377" s="892" t="s">
        <v>2660</v>
      </c>
      <c r="D1377" s="238" t="s">
        <v>2660</v>
      </c>
      <c r="E1377" s="237" t="s">
        <v>2660</v>
      </c>
      <c r="F1377" s="733"/>
      <c r="G1377" s="849" t="s">
        <v>2660</v>
      </c>
      <c r="H1377" s="243"/>
      <c r="I1377" s="237" t="s">
        <v>2660</v>
      </c>
      <c r="J1377" s="243"/>
      <c r="K1377" s="243"/>
      <c r="L1377" s="243"/>
      <c r="M1377" s="243"/>
      <c r="N1377" s="289"/>
      <c r="O1377" s="245"/>
      <c r="P1377" s="289"/>
      <c r="Q1377" s="245"/>
      <c r="R1377" s="289"/>
      <c r="S1377" s="257"/>
      <c r="T1377" s="257"/>
      <c r="U1377" s="257"/>
      <c r="V1377" s="289"/>
      <c r="W1377" s="245"/>
      <c r="X1377" s="289"/>
      <c r="Y1377" s="245"/>
      <c r="Z1377" s="289"/>
      <c r="AA1377" s="245"/>
      <c r="AB1377" s="289"/>
      <c r="AC1377" s="245"/>
    </row>
    <row r="1378" spans="1:29" s="454" customFormat="1" ht="15">
      <c r="A1378" s="284">
        <f>A1375+1</f>
        <v>261</v>
      </c>
      <c r="B1378" s="237"/>
      <c r="C1378" s="892" t="s">
        <v>3419</v>
      </c>
      <c r="D1378" s="238" t="s">
        <v>2749</v>
      </c>
      <c r="E1378" s="237" t="s">
        <v>1901</v>
      </c>
      <c r="F1378" s="735">
        <f>N1378+R1378+P1378+T1378+V1378+X1378+Z1378+AB1378</f>
        <v>4</v>
      </c>
      <c r="G1378" s="849">
        <v>237.37</v>
      </c>
      <c r="H1378" s="261">
        <f>O1378+S1378+Q1378+U1378+W1378+Y1378+AA1378+AC1378</f>
        <v>949.48</v>
      </c>
      <c r="I1378" s="237" t="s">
        <v>1901</v>
      </c>
      <c r="J1378" s="243"/>
      <c r="K1378" s="243"/>
      <c r="L1378" s="243"/>
      <c r="M1378" s="243"/>
      <c r="N1378" s="289"/>
      <c r="O1378" s="245"/>
      <c r="P1378" s="289"/>
      <c r="Q1378" s="245"/>
      <c r="R1378" s="289">
        <f>2+2</f>
        <v>4</v>
      </c>
      <c r="S1378" s="257">
        <f>INT($G1378*R1378*100+0.5)/100</f>
        <v>949.48</v>
      </c>
      <c r="T1378" s="257"/>
      <c r="U1378" s="257"/>
      <c r="V1378" s="289"/>
      <c r="W1378" s="245"/>
      <c r="X1378" s="289"/>
      <c r="Y1378" s="245"/>
      <c r="Z1378" s="289"/>
      <c r="AA1378" s="245"/>
      <c r="AB1378" s="289"/>
      <c r="AC1378" s="245"/>
    </row>
    <row r="1379" spans="1:29" s="454" customFormat="1" ht="15">
      <c r="A1379" s="284"/>
      <c r="B1379" s="237"/>
      <c r="C1379" s="892" t="s">
        <v>2660</v>
      </c>
      <c r="D1379" s="238" t="s">
        <v>2750</v>
      </c>
      <c r="E1379" s="237" t="s">
        <v>2660</v>
      </c>
      <c r="F1379" s="733"/>
      <c r="G1379" s="849" t="s">
        <v>2660</v>
      </c>
      <c r="H1379" s="243"/>
      <c r="I1379" s="237" t="s">
        <v>2660</v>
      </c>
      <c r="J1379" s="243"/>
      <c r="K1379" s="243"/>
      <c r="L1379" s="243"/>
      <c r="M1379" s="243"/>
      <c r="N1379" s="289"/>
      <c r="O1379" s="245"/>
      <c r="P1379" s="289"/>
      <c r="Q1379" s="245"/>
      <c r="R1379" s="289"/>
      <c r="S1379" s="257"/>
      <c r="T1379" s="257"/>
      <c r="U1379" s="257"/>
      <c r="V1379" s="289"/>
      <c r="W1379" s="245"/>
      <c r="X1379" s="289"/>
      <c r="Y1379" s="245"/>
      <c r="Z1379" s="289"/>
      <c r="AA1379" s="245"/>
      <c r="AB1379" s="289"/>
      <c r="AC1379" s="245"/>
    </row>
    <row r="1380" spans="1:29" s="454" customFormat="1" ht="15">
      <c r="A1380" s="284"/>
      <c r="B1380" s="237"/>
      <c r="C1380" s="892" t="s">
        <v>2660</v>
      </c>
      <c r="D1380" s="238" t="s">
        <v>2660</v>
      </c>
      <c r="E1380" s="237" t="s">
        <v>2660</v>
      </c>
      <c r="F1380" s="733"/>
      <c r="G1380" s="849" t="s">
        <v>2660</v>
      </c>
      <c r="H1380" s="243"/>
      <c r="I1380" s="237" t="s">
        <v>2660</v>
      </c>
      <c r="J1380" s="243"/>
      <c r="K1380" s="243"/>
      <c r="L1380" s="243"/>
      <c r="M1380" s="243"/>
      <c r="N1380" s="289"/>
      <c r="O1380" s="245"/>
      <c r="P1380" s="289"/>
      <c r="Q1380" s="245"/>
      <c r="R1380" s="289"/>
      <c r="S1380" s="257"/>
      <c r="T1380" s="257"/>
      <c r="U1380" s="257"/>
      <c r="V1380" s="289"/>
      <c r="W1380" s="245"/>
      <c r="X1380" s="289"/>
      <c r="Y1380" s="245"/>
      <c r="Z1380" s="289"/>
      <c r="AA1380" s="245"/>
      <c r="AB1380" s="289"/>
      <c r="AC1380" s="245"/>
    </row>
    <row r="1381" spans="1:29" s="454" customFormat="1" ht="15">
      <c r="A1381" s="284">
        <f>A1378+1</f>
        <v>262</v>
      </c>
      <c r="B1381" s="237"/>
      <c r="C1381" s="892" t="s">
        <v>3420</v>
      </c>
      <c r="D1381" s="238" t="s">
        <v>2751</v>
      </c>
      <c r="E1381" s="237" t="s">
        <v>1901</v>
      </c>
      <c r="F1381" s="735">
        <f>N1381+R1381+P1381+T1381+V1381+X1381+Z1381+AB1381</f>
        <v>2</v>
      </c>
      <c r="G1381" s="849">
        <v>308</v>
      </c>
      <c r="H1381" s="261">
        <f>O1381+S1381+Q1381+U1381+W1381+Y1381+AA1381+AC1381</f>
        <v>616</v>
      </c>
      <c r="I1381" s="237" t="s">
        <v>1901</v>
      </c>
      <c r="J1381" s="243"/>
      <c r="K1381" s="243"/>
      <c r="L1381" s="243"/>
      <c r="M1381" s="243"/>
      <c r="N1381" s="289"/>
      <c r="O1381" s="245"/>
      <c r="P1381" s="289"/>
      <c r="Q1381" s="245"/>
      <c r="R1381" s="289">
        <v>2</v>
      </c>
      <c r="S1381" s="257">
        <f>INT($G1381*R1381*100+0.5)/100</f>
        <v>616</v>
      </c>
      <c r="T1381" s="257"/>
      <c r="U1381" s="257"/>
      <c r="V1381" s="289"/>
      <c r="W1381" s="245"/>
      <c r="X1381" s="289"/>
      <c r="Y1381" s="245"/>
      <c r="Z1381" s="289"/>
      <c r="AA1381" s="245"/>
      <c r="AB1381" s="289"/>
      <c r="AC1381" s="245"/>
    </row>
    <row r="1382" spans="1:29" s="454" customFormat="1" ht="15">
      <c r="A1382" s="284"/>
      <c r="B1382" s="237"/>
      <c r="C1382" s="892" t="s">
        <v>2660</v>
      </c>
      <c r="D1382" s="238" t="s">
        <v>2752</v>
      </c>
      <c r="E1382" s="237" t="s">
        <v>2660</v>
      </c>
      <c r="F1382" s="733"/>
      <c r="G1382" s="849" t="s">
        <v>2660</v>
      </c>
      <c r="H1382" s="243"/>
      <c r="I1382" s="237" t="s">
        <v>2660</v>
      </c>
      <c r="J1382" s="243"/>
      <c r="K1382" s="243"/>
      <c r="L1382" s="243"/>
      <c r="M1382" s="243"/>
      <c r="N1382" s="289"/>
      <c r="O1382" s="245"/>
      <c r="P1382" s="289"/>
      <c r="Q1382" s="245"/>
      <c r="R1382" s="289"/>
      <c r="S1382" s="257"/>
      <c r="T1382" s="257"/>
      <c r="U1382" s="257"/>
      <c r="V1382" s="289"/>
      <c r="W1382" s="245"/>
      <c r="X1382" s="289"/>
      <c r="Y1382" s="245"/>
      <c r="Z1382" s="289"/>
      <c r="AA1382" s="245"/>
      <c r="AB1382" s="289"/>
      <c r="AC1382" s="245"/>
    </row>
    <row r="1383" spans="1:29" s="454" customFormat="1" ht="15">
      <c r="A1383" s="284"/>
      <c r="B1383" s="237"/>
      <c r="C1383" s="892" t="s">
        <v>2660</v>
      </c>
      <c r="D1383" s="238" t="s">
        <v>2660</v>
      </c>
      <c r="E1383" s="237" t="s">
        <v>2660</v>
      </c>
      <c r="F1383" s="733"/>
      <c r="G1383" s="849" t="s">
        <v>2660</v>
      </c>
      <c r="H1383" s="243"/>
      <c r="I1383" s="237" t="s">
        <v>2660</v>
      </c>
      <c r="J1383" s="243"/>
      <c r="K1383" s="243"/>
      <c r="L1383" s="243"/>
      <c r="M1383" s="243"/>
      <c r="N1383" s="289"/>
      <c r="O1383" s="245"/>
      <c r="P1383" s="289"/>
      <c r="Q1383" s="245"/>
      <c r="R1383" s="289"/>
      <c r="S1383" s="257"/>
      <c r="T1383" s="257"/>
      <c r="U1383" s="257"/>
      <c r="V1383" s="289"/>
      <c r="W1383" s="245"/>
      <c r="X1383" s="289"/>
      <c r="Y1383" s="245"/>
      <c r="Z1383" s="289"/>
      <c r="AA1383" s="245"/>
      <c r="AB1383" s="289"/>
      <c r="AC1383" s="245"/>
    </row>
    <row r="1384" spans="1:29" s="454" customFormat="1" ht="38.25">
      <c r="A1384" s="284"/>
      <c r="B1384" s="237"/>
      <c r="C1384" s="892" t="s">
        <v>3421</v>
      </c>
      <c r="D1384" s="238" t="s">
        <v>2753</v>
      </c>
      <c r="E1384" s="237" t="s">
        <v>2660</v>
      </c>
      <c r="F1384" s="733"/>
      <c r="G1384" s="849" t="s">
        <v>2660</v>
      </c>
      <c r="H1384" s="243"/>
      <c r="I1384" s="237" t="s">
        <v>2660</v>
      </c>
      <c r="J1384" s="243"/>
      <c r="K1384" s="243"/>
      <c r="L1384" s="243"/>
      <c r="M1384" s="243"/>
      <c r="N1384" s="289"/>
      <c r="O1384" s="245"/>
      <c r="P1384" s="289"/>
      <c r="Q1384" s="245"/>
      <c r="R1384" s="289"/>
      <c r="S1384" s="257"/>
      <c r="T1384" s="257"/>
      <c r="U1384" s="257"/>
      <c r="V1384" s="289"/>
      <c r="W1384" s="245"/>
      <c r="X1384" s="289"/>
      <c r="Y1384" s="245"/>
      <c r="Z1384" s="289"/>
      <c r="AA1384" s="245"/>
      <c r="AB1384" s="289"/>
      <c r="AC1384" s="245"/>
    </row>
    <row r="1385" spans="1:29" s="454" customFormat="1" ht="25.5">
      <c r="A1385" s="284"/>
      <c r="B1385" s="237"/>
      <c r="C1385" s="892"/>
      <c r="D1385" s="238" t="s">
        <v>2754</v>
      </c>
      <c r="E1385" s="237"/>
      <c r="F1385" s="733"/>
      <c r="G1385" s="849"/>
      <c r="H1385" s="243"/>
      <c r="I1385" s="237"/>
      <c r="J1385" s="243"/>
      <c r="K1385" s="243"/>
      <c r="L1385" s="243"/>
      <c r="M1385" s="243"/>
      <c r="N1385" s="289"/>
      <c r="O1385" s="245"/>
      <c r="P1385" s="289"/>
      <c r="Q1385" s="245"/>
      <c r="R1385" s="289"/>
      <c r="S1385" s="257"/>
      <c r="T1385" s="257"/>
      <c r="U1385" s="257"/>
      <c r="V1385" s="289"/>
      <c r="W1385" s="245"/>
      <c r="X1385" s="289"/>
      <c r="Y1385" s="245"/>
      <c r="Z1385" s="289"/>
      <c r="AA1385" s="245"/>
      <c r="AB1385" s="289"/>
      <c r="AC1385" s="245"/>
    </row>
    <row r="1386" spans="1:29" s="454" customFormat="1" ht="25.5">
      <c r="A1386" s="284">
        <f>A1381+1</f>
        <v>263</v>
      </c>
      <c r="B1386" s="237"/>
      <c r="C1386" s="892" t="s">
        <v>3422</v>
      </c>
      <c r="D1386" s="238" t="s">
        <v>2755</v>
      </c>
      <c r="E1386" s="237" t="s">
        <v>1901</v>
      </c>
      <c r="F1386" s="735">
        <f>N1386+R1386+P1386+T1386+V1386+X1386+Z1386+AB1386</f>
        <v>45</v>
      </c>
      <c r="G1386" s="849">
        <v>63.56</v>
      </c>
      <c r="H1386" s="261">
        <f>O1386+S1386+Q1386+U1386+W1386+Y1386+AA1386+AC1386</f>
        <v>2860.2</v>
      </c>
      <c r="I1386" s="237" t="s">
        <v>1901</v>
      </c>
      <c r="J1386" s="243"/>
      <c r="K1386" s="243"/>
      <c r="L1386" s="243"/>
      <c r="M1386" s="243"/>
      <c r="N1386" s="289"/>
      <c r="O1386" s="245"/>
      <c r="P1386" s="289"/>
      <c r="Q1386" s="245"/>
      <c r="R1386" s="289">
        <f>(0)+(13*2)+(8*2)+3</f>
        <v>45</v>
      </c>
      <c r="S1386" s="257">
        <f>INT($G1386*R1386*100+0.5)/100</f>
        <v>2860.2</v>
      </c>
      <c r="T1386" s="257"/>
      <c r="U1386" s="257"/>
      <c r="V1386" s="289"/>
      <c r="W1386" s="245"/>
      <c r="X1386" s="289"/>
      <c r="Y1386" s="245"/>
      <c r="Z1386" s="289"/>
      <c r="AA1386" s="245"/>
      <c r="AB1386" s="289"/>
      <c r="AC1386" s="245"/>
    </row>
    <row r="1387" spans="1:29" s="454" customFormat="1" ht="15">
      <c r="A1387" s="284"/>
      <c r="B1387" s="237"/>
      <c r="C1387" s="892" t="s">
        <v>2660</v>
      </c>
      <c r="D1387" s="238" t="s">
        <v>2756</v>
      </c>
      <c r="E1387" s="237" t="s">
        <v>2660</v>
      </c>
      <c r="F1387" s="733"/>
      <c r="G1387" s="849" t="s">
        <v>2660</v>
      </c>
      <c r="H1387" s="243"/>
      <c r="I1387" s="237" t="s">
        <v>2660</v>
      </c>
      <c r="J1387" s="243"/>
      <c r="K1387" s="243"/>
      <c r="L1387" s="243"/>
      <c r="M1387" s="243"/>
      <c r="N1387" s="289"/>
      <c r="O1387" s="245"/>
      <c r="P1387" s="289"/>
      <c r="Q1387" s="245"/>
      <c r="R1387" s="289"/>
      <c r="S1387" s="257"/>
      <c r="T1387" s="257"/>
      <c r="U1387" s="257"/>
      <c r="V1387" s="289"/>
      <c r="W1387" s="245"/>
      <c r="X1387" s="289"/>
      <c r="Y1387" s="245"/>
      <c r="Z1387" s="289"/>
      <c r="AA1387" s="245"/>
      <c r="AB1387" s="289"/>
      <c r="AC1387" s="245"/>
    </row>
    <row r="1388" spans="1:29" s="454" customFormat="1" ht="15">
      <c r="A1388" s="284"/>
      <c r="B1388" s="237"/>
      <c r="C1388" s="892" t="s">
        <v>2660</v>
      </c>
      <c r="D1388" s="238" t="s">
        <v>2660</v>
      </c>
      <c r="E1388" s="237" t="s">
        <v>2660</v>
      </c>
      <c r="F1388" s="733"/>
      <c r="G1388" s="849" t="s">
        <v>2660</v>
      </c>
      <c r="H1388" s="243"/>
      <c r="I1388" s="237" t="s">
        <v>2660</v>
      </c>
      <c r="J1388" s="243"/>
      <c r="K1388" s="243"/>
      <c r="L1388" s="243"/>
      <c r="M1388" s="243"/>
      <c r="N1388" s="289"/>
      <c r="O1388" s="245"/>
      <c r="P1388" s="289"/>
      <c r="Q1388" s="245"/>
      <c r="R1388" s="289"/>
      <c r="S1388" s="257"/>
      <c r="T1388" s="257"/>
      <c r="U1388" s="257"/>
      <c r="V1388" s="289"/>
      <c r="W1388" s="245"/>
      <c r="X1388" s="289"/>
      <c r="Y1388" s="245"/>
      <c r="Z1388" s="289"/>
      <c r="AA1388" s="245"/>
      <c r="AB1388" s="289"/>
      <c r="AC1388" s="245"/>
    </row>
    <row r="1389" spans="1:29" s="454" customFormat="1" ht="25.5">
      <c r="A1389" s="284">
        <f>A1386+1</f>
        <v>264</v>
      </c>
      <c r="B1389" s="237"/>
      <c r="C1389" s="892" t="s">
        <v>3423</v>
      </c>
      <c r="D1389" s="238" t="s">
        <v>2757</v>
      </c>
      <c r="E1389" s="237" t="s">
        <v>1901</v>
      </c>
      <c r="F1389" s="735">
        <f>N1389+R1389+P1389+T1389+V1389+X1389+Z1389+AB1389</f>
        <v>60</v>
      </c>
      <c r="G1389" s="849">
        <v>70.91</v>
      </c>
      <c r="H1389" s="261">
        <f>O1389+S1389+Q1389+U1389+W1389+Y1389+AA1389+AC1389</f>
        <v>4254.6000000000004</v>
      </c>
      <c r="I1389" s="237" t="s">
        <v>1901</v>
      </c>
      <c r="J1389" s="243"/>
      <c r="K1389" s="243"/>
      <c r="L1389" s="243"/>
      <c r="M1389" s="243"/>
      <c r="N1389" s="289"/>
      <c r="O1389" s="245"/>
      <c r="P1389" s="289"/>
      <c r="Q1389" s="245"/>
      <c r="R1389" s="289">
        <f>(6*2+7*2+3*2)+(7*2)+(4*2)+6</f>
        <v>60</v>
      </c>
      <c r="S1389" s="257">
        <f>INT($G1389*R1389*100+0.5)/100</f>
        <v>4254.6000000000004</v>
      </c>
      <c r="T1389" s="257"/>
      <c r="U1389" s="257"/>
      <c r="V1389" s="289"/>
      <c r="W1389" s="245"/>
      <c r="X1389" s="289"/>
      <c r="Y1389" s="245"/>
      <c r="Z1389" s="289"/>
      <c r="AA1389" s="245"/>
      <c r="AB1389" s="289"/>
      <c r="AC1389" s="245"/>
    </row>
    <row r="1390" spans="1:29" s="454" customFormat="1" ht="15">
      <c r="A1390" s="284"/>
      <c r="B1390" s="237"/>
      <c r="C1390" s="892" t="s">
        <v>2660</v>
      </c>
      <c r="D1390" s="238" t="s">
        <v>2758</v>
      </c>
      <c r="E1390" s="237" t="s">
        <v>2660</v>
      </c>
      <c r="F1390" s="733"/>
      <c r="G1390" s="849" t="s">
        <v>2660</v>
      </c>
      <c r="H1390" s="243"/>
      <c r="I1390" s="237" t="s">
        <v>2660</v>
      </c>
      <c r="J1390" s="243"/>
      <c r="K1390" s="243"/>
      <c r="L1390" s="243"/>
      <c r="M1390" s="243"/>
      <c r="N1390" s="289"/>
      <c r="O1390" s="245"/>
      <c r="P1390" s="289"/>
      <c r="Q1390" s="245"/>
      <c r="R1390" s="289"/>
      <c r="S1390" s="257"/>
      <c r="T1390" s="257"/>
      <c r="U1390" s="257"/>
      <c r="V1390" s="289"/>
      <c r="W1390" s="245"/>
      <c r="X1390" s="289"/>
      <c r="Y1390" s="245"/>
      <c r="Z1390" s="289"/>
      <c r="AA1390" s="245"/>
      <c r="AB1390" s="289"/>
      <c r="AC1390" s="245"/>
    </row>
    <row r="1391" spans="1:29" s="454" customFormat="1" ht="15">
      <c r="A1391" s="284"/>
      <c r="B1391" s="237"/>
      <c r="C1391" s="892" t="s">
        <v>2660</v>
      </c>
      <c r="D1391" s="238" t="s">
        <v>2660</v>
      </c>
      <c r="E1391" s="237" t="s">
        <v>2660</v>
      </c>
      <c r="F1391" s="733"/>
      <c r="G1391" s="849" t="s">
        <v>2660</v>
      </c>
      <c r="H1391" s="243"/>
      <c r="I1391" s="237" t="s">
        <v>2660</v>
      </c>
      <c r="J1391" s="243"/>
      <c r="K1391" s="243"/>
      <c r="L1391" s="243"/>
      <c r="M1391" s="243"/>
      <c r="N1391" s="289"/>
      <c r="O1391" s="245"/>
      <c r="P1391" s="289"/>
      <c r="Q1391" s="245"/>
      <c r="R1391" s="289"/>
      <c r="S1391" s="257"/>
      <c r="T1391" s="257"/>
      <c r="U1391" s="257"/>
      <c r="V1391" s="289"/>
      <c r="W1391" s="245"/>
      <c r="X1391" s="289"/>
      <c r="Y1391" s="245"/>
      <c r="Z1391" s="289"/>
      <c r="AA1391" s="245"/>
      <c r="AB1391" s="289"/>
      <c r="AC1391" s="245"/>
    </row>
    <row r="1392" spans="1:29" s="454" customFormat="1" ht="25.5">
      <c r="A1392" s="284">
        <f>A1389+1</f>
        <v>265</v>
      </c>
      <c r="B1392" s="237"/>
      <c r="C1392" s="892" t="s">
        <v>3424</v>
      </c>
      <c r="D1392" s="238" t="s">
        <v>2759</v>
      </c>
      <c r="E1392" s="237" t="s">
        <v>1901</v>
      </c>
      <c r="F1392" s="735">
        <f>N1392+R1392+P1392+T1392+V1392+X1392+Z1392+AB1392</f>
        <v>25</v>
      </c>
      <c r="G1392" s="849">
        <v>76.209999999999994</v>
      </c>
      <c r="H1392" s="261">
        <f>O1392+S1392+Q1392+U1392+W1392+Y1392+AA1392+AC1392</f>
        <v>1905.25</v>
      </c>
      <c r="I1392" s="237" t="s">
        <v>1901</v>
      </c>
      <c r="J1392" s="243"/>
      <c r="K1392" s="243"/>
      <c r="L1392" s="243"/>
      <c r="M1392" s="243"/>
      <c r="N1392" s="289"/>
      <c r="O1392" s="245"/>
      <c r="P1392" s="289"/>
      <c r="Q1392" s="245"/>
      <c r="R1392" s="289">
        <f>(0)+(11*2)+(0)+3</f>
        <v>25</v>
      </c>
      <c r="S1392" s="257">
        <f>INT($G1392*R1392*100+0.5)/100</f>
        <v>1905.25</v>
      </c>
      <c r="T1392" s="257"/>
      <c r="U1392" s="257"/>
      <c r="V1392" s="289"/>
      <c r="W1392" s="245"/>
      <c r="X1392" s="289"/>
      <c r="Y1392" s="245"/>
      <c r="Z1392" s="289"/>
      <c r="AA1392" s="245"/>
      <c r="AB1392" s="289"/>
      <c r="AC1392" s="245"/>
    </row>
    <row r="1393" spans="1:29" s="454" customFormat="1" ht="15">
      <c r="A1393" s="284"/>
      <c r="B1393" s="237"/>
      <c r="C1393" s="892" t="s">
        <v>2660</v>
      </c>
      <c r="D1393" s="238" t="s">
        <v>2760</v>
      </c>
      <c r="E1393" s="237" t="s">
        <v>2660</v>
      </c>
      <c r="F1393" s="733"/>
      <c r="G1393" s="849" t="s">
        <v>2660</v>
      </c>
      <c r="H1393" s="243"/>
      <c r="I1393" s="237" t="s">
        <v>2660</v>
      </c>
      <c r="J1393" s="243"/>
      <c r="K1393" s="243"/>
      <c r="L1393" s="243"/>
      <c r="M1393" s="243"/>
      <c r="N1393" s="289"/>
      <c r="O1393" s="245"/>
      <c r="P1393" s="289"/>
      <c r="Q1393" s="245"/>
      <c r="R1393" s="289"/>
      <c r="S1393" s="257"/>
      <c r="T1393" s="257"/>
      <c r="U1393" s="257"/>
      <c r="V1393" s="289"/>
      <c r="W1393" s="245"/>
      <c r="X1393" s="289"/>
      <c r="Y1393" s="245"/>
      <c r="Z1393" s="289"/>
      <c r="AA1393" s="245"/>
      <c r="AB1393" s="289"/>
      <c r="AC1393" s="245"/>
    </row>
    <row r="1394" spans="1:29" s="454" customFormat="1" ht="15">
      <c r="A1394" s="284"/>
      <c r="B1394" s="237"/>
      <c r="C1394" s="892" t="s">
        <v>2660</v>
      </c>
      <c r="D1394" s="238" t="s">
        <v>2660</v>
      </c>
      <c r="E1394" s="237" t="s">
        <v>2660</v>
      </c>
      <c r="F1394" s="733"/>
      <c r="G1394" s="849" t="s">
        <v>2660</v>
      </c>
      <c r="H1394" s="243"/>
      <c r="I1394" s="237" t="s">
        <v>2660</v>
      </c>
      <c r="J1394" s="243"/>
      <c r="K1394" s="243"/>
      <c r="L1394" s="243"/>
      <c r="M1394" s="243"/>
      <c r="N1394" s="289"/>
      <c r="O1394" s="245"/>
      <c r="P1394" s="289"/>
      <c r="Q1394" s="245"/>
      <c r="R1394" s="289"/>
      <c r="S1394" s="257"/>
      <c r="T1394" s="257"/>
      <c r="U1394" s="257"/>
      <c r="V1394" s="289"/>
      <c r="W1394" s="245"/>
      <c r="X1394" s="289"/>
      <c r="Y1394" s="245"/>
      <c r="Z1394" s="289"/>
      <c r="AA1394" s="245"/>
      <c r="AB1394" s="289"/>
      <c r="AC1394" s="245"/>
    </row>
    <row r="1395" spans="1:29" s="454" customFormat="1" ht="25.5">
      <c r="A1395" s="284">
        <f>A1392+1</f>
        <v>266</v>
      </c>
      <c r="B1395" s="237"/>
      <c r="C1395" s="892" t="s">
        <v>3425</v>
      </c>
      <c r="D1395" s="238" t="s">
        <v>2761</v>
      </c>
      <c r="E1395" s="237" t="s">
        <v>1901</v>
      </c>
      <c r="F1395" s="735">
        <f>N1395+R1395+P1395+T1395+V1395+X1395+Z1395+AB1395</f>
        <v>40</v>
      </c>
      <c r="G1395" s="849">
        <v>90.35</v>
      </c>
      <c r="H1395" s="261">
        <f>O1395+S1395+Q1395+U1395+W1395+Y1395+AA1395+AC1395</f>
        <v>3614</v>
      </c>
      <c r="I1395" s="237" t="s">
        <v>1901</v>
      </c>
      <c r="J1395" s="243"/>
      <c r="K1395" s="243"/>
      <c r="L1395" s="243"/>
      <c r="M1395" s="243"/>
      <c r="N1395" s="289"/>
      <c r="O1395" s="245"/>
      <c r="P1395" s="289"/>
      <c r="Q1395" s="245"/>
      <c r="R1395" s="289">
        <f>((8*2+1*2+1*2+1*2+1*2)+(6*2))+(0)+(0)+4</f>
        <v>40</v>
      </c>
      <c r="S1395" s="257">
        <f>INT($G1395*R1395*100+0.5)/100</f>
        <v>3614</v>
      </c>
      <c r="T1395" s="257"/>
      <c r="U1395" s="257"/>
      <c r="V1395" s="289"/>
      <c r="W1395" s="245"/>
      <c r="X1395" s="289"/>
      <c r="Y1395" s="245"/>
      <c r="Z1395" s="289"/>
      <c r="AA1395" s="245"/>
      <c r="AB1395" s="289"/>
      <c r="AC1395" s="245"/>
    </row>
    <row r="1396" spans="1:29" s="454" customFormat="1" ht="15">
      <c r="A1396" s="284"/>
      <c r="B1396" s="237"/>
      <c r="C1396" s="892" t="s">
        <v>2660</v>
      </c>
      <c r="D1396" s="238" t="s">
        <v>2762</v>
      </c>
      <c r="E1396" s="237" t="s">
        <v>2660</v>
      </c>
      <c r="F1396" s="733"/>
      <c r="G1396" s="849" t="s">
        <v>2660</v>
      </c>
      <c r="H1396" s="243"/>
      <c r="I1396" s="237" t="s">
        <v>2660</v>
      </c>
      <c r="J1396" s="243"/>
      <c r="K1396" s="243"/>
      <c r="L1396" s="243"/>
      <c r="M1396" s="243"/>
      <c r="N1396" s="289"/>
      <c r="O1396" s="245"/>
      <c r="P1396" s="289"/>
      <c r="Q1396" s="245"/>
      <c r="R1396" s="289"/>
      <c r="S1396" s="257"/>
      <c r="T1396" s="257"/>
      <c r="U1396" s="257"/>
      <c r="V1396" s="289"/>
      <c r="W1396" s="245"/>
      <c r="X1396" s="289"/>
      <c r="Y1396" s="245"/>
      <c r="Z1396" s="289"/>
      <c r="AA1396" s="245"/>
      <c r="AB1396" s="289"/>
      <c r="AC1396" s="245"/>
    </row>
    <row r="1397" spans="1:29" s="454" customFormat="1" ht="15">
      <c r="A1397" s="284"/>
      <c r="B1397" s="237"/>
      <c r="C1397" s="892" t="s">
        <v>2660</v>
      </c>
      <c r="D1397" s="238" t="s">
        <v>2660</v>
      </c>
      <c r="E1397" s="237" t="s">
        <v>2660</v>
      </c>
      <c r="F1397" s="733"/>
      <c r="G1397" s="849" t="s">
        <v>2660</v>
      </c>
      <c r="H1397" s="243"/>
      <c r="I1397" s="237" t="s">
        <v>2660</v>
      </c>
      <c r="J1397" s="243"/>
      <c r="K1397" s="243"/>
      <c r="L1397" s="243"/>
      <c r="M1397" s="243"/>
      <c r="N1397" s="289"/>
      <c r="O1397" s="245"/>
      <c r="P1397" s="289"/>
      <c r="Q1397" s="245"/>
      <c r="R1397" s="289"/>
      <c r="S1397" s="257"/>
      <c r="T1397" s="257"/>
      <c r="U1397" s="257"/>
      <c r="V1397" s="289"/>
      <c r="W1397" s="245"/>
      <c r="X1397" s="289"/>
      <c r="Y1397" s="245"/>
      <c r="Z1397" s="289"/>
      <c r="AA1397" s="245"/>
      <c r="AB1397" s="289"/>
      <c r="AC1397" s="245"/>
    </row>
    <row r="1398" spans="1:29" s="454" customFormat="1" ht="25.5">
      <c r="A1398" s="284">
        <f>A1395+1</f>
        <v>267</v>
      </c>
      <c r="B1398" s="237"/>
      <c r="C1398" s="892" t="s">
        <v>3426</v>
      </c>
      <c r="D1398" s="238" t="s">
        <v>2763</v>
      </c>
      <c r="E1398" s="237" t="s">
        <v>1901</v>
      </c>
      <c r="F1398" s="735">
        <f>N1398+R1398+P1398+T1398+V1398+X1398+Z1398+AB1398</f>
        <v>2</v>
      </c>
      <c r="G1398" s="849">
        <v>102.25</v>
      </c>
      <c r="H1398" s="261">
        <f>O1398+S1398+Q1398+U1398+W1398+Y1398+AA1398+AC1398</f>
        <v>204.5</v>
      </c>
      <c r="I1398" s="237" t="s">
        <v>1901</v>
      </c>
      <c r="J1398" s="243"/>
      <c r="K1398" s="243"/>
      <c r="L1398" s="243"/>
      <c r="M1398" s="243"/>
      <c r="N1398" s="289"/>
      <c r="O1398" s="245"/>
      <c r="P1398" s="289"/>
      <c r="Q1398" s="245"/>
      <c r="R1398" s="289">
        <f>2*(1)</f>
        <v>2</v>
      </c>
      <c r="S1398" s="257">
        <f>INT($G1398*R1398*100+0.5)/100</f>
        <v>204.5</v>
      </c>
      <c r="T1398" s="257"/>
      <c r="U1398" s="257"/>
      <c r="V1398" s="289"/>
      <c r="W1398" s="245"/>
      <c r="X1398" s="289"/>
      <c r="Y1398" s="245"/>
      <c r="Z1398" s="289"/>
      <c r="AA1398" s="245"/>
      <c r="AB1398" s="289"/>
      <c r="AC1398" s="245"/>
    </row>
    <row r="1399" spans="1:29" s="454" customFormat="1" ht="15">
      <c r="A1399" s="284"/>
      <c r="B1399" s="237"/>
      <c r="C1399" s="892" t="s">
        <v>2660</v>
      </c>
      <c r="D1399" s="238" t="s">
        <v>2764</v>
      </c>
      <c r="E1399" s="237" t="s">
        <v>2660</v>
      </c>
      <c r="F1399" s="733"/>
      <c r="G1399" s="849" t="s">
        <v>2660</v>
      </c>
      <c r="H1399" s="243"/>
      <c r="I1399" s="237" t="s">
        <v>2660</v>
      </c>
      <c r="J1399" s="243"/>
      <c r="K1399" s="243"/>
      <c r="L1399" s="243"/>
      <c r="M1399" s="243"/>
      <c r="N1399" s="289"/>
      <c r="O1399" s="245"/>
      <c r="P1399" s="289"/>
      <c r="Q1399" s="245"/>
      <c r="R1399" s="289"/>
      <c r="S1399" s="257"/>
      <c r="T1399" s="257"/>
      <c r="U1399" s="257"/>
      <c r="V1399" s="289"/>
      <c r="W1399" s="245"/>
      <c r="X1399" s="289"/>
      <c r="Y1399" s="245"/>
      <c r="Z1399" s="289"/>
      <c r="AA1399" s="245"/>
      <c r="AB1399" s="289"/>
      <c r="AC1399" s="245"/>
    </row>
    <row r="1400" spans="1:29" s="454" customFormat="1" ht="15">
      <c r="A1400" s="284"/>
      <c r="B1400" s="237"/>
      <c r="C1400" s="892" t="s">
        <v>2660</v>
      </c>
      <c r="D1400" s="238" t="s">
        <v>2660</v>
      </c>
      <c r="E1400" s="237" t="s">
        <v>2660</v>
      </c>
      <c r="F1400" s="733"/>
      <c r="G1400" s="849" t="s">
        <v>2660</v>
      </c>
      <c r="H1400" s="243"/>
      <c r="I1400" s="237" t="s">
        <v>2660</v>
      </c>
      <c r="J1400" s="243"/>
      <c r="K1400" s="243"/>
      <c r="L1400" s="243"/>
      <c r="M1400" s="243"/>
      <c r="N1400" s="289"/>
      <c r="O1400" s="245"/>
      <c r="P1400" s="289"/>
      <c r="Q1400" s="245"/>
      <c r="R1400" s="289"/>
      <c r="S1400" s="257"/>
      <c r="T1400" s="257"/>
      <c r="U1400" s="257"/>
      <c r="V1400" s="289"/>
      <c r="W1400" s="245"/>
      <c r="X1400" s="289"/>
      <c r="Y1400" s="245"/>
      <c r="Z1400" s="289"/>
      <c r="AA1400" s="245"/>
      <c r="AB1400" s="289"/>
      <c r="AC1400" s="245"/>
    </row>
    <row r="1401" spans="1:29" s="454" customFormat="1" ht="25.5">
      <c r="A1401" s="284">
        <f>A1398+1</f>
        <v>268</v>
      </c>
      <c r="B1401" s="237"/>
      <c r="C1401" s="892" t="s">
        <v>3427</v>
      </c>
      <c r="D1401" s="238" t="s">
        <v>2765</v>
      </c>
      <c r="E1401" s="237" t="s">
        <v>1901</v>
      </c>
      <c r="F1401" s="735">
        <f>N1401+R1401+P1401+T1401+V1401+X1401+Z1401+AB1401</f>
        <v>35</v>
      </c>
      <c r="G1401" s="849">
        <v>117.16</v>
      </c>
      <c r="H1401" s="261">
        <f>O1401+S1401+Q1401+U1401+W1401+Y1401+AA1401+AC1401</f>
        <v>4100.6000000000004</v>
      </c>
      <c r="I1401" s="237" t="s">
        <v>1901</v>
      </c>
      <c r="J1401" s="243"/>
      <c r="K1401" s="243"/>
      <c r="L1401" s="243"/>
      <c r="M1401" s="243"/>
      <c r="N1401" s="289"/>
      <c r="O1401" s="245"/>
      <c r="P1401" s="289"/>
      <c r="Q1401" s="245"/>
      <c r="R1401" s="289">
        <f>17*2+1</f>
        <v>35</v>
      </c>
      <c r="S1401" s="257">
        <f>INT($G1401*R1401*100+0.5)/100</f>
        <v>4100.6000000000004</v>
      </c>
      <c r="T1401" s="257"/>
      <c r="U1401" s="257"/>
      <c r="V1401" s="289"/>
      <c r="W1401" s="245"/>
      <c r="X1401" s="289"/>
      <c r="Y1401" s="245"/>
      <c r="Z1401" s="289"/>
      <c r="AA1401" s="245"/>
      <c r="AB1401" s="289"/>
      <c r="AC1401" s="245"/>
    </row>
    <row r="1402" spans="1:29" s="454" customFormat="1" ht="15">
      <c r="A1402" s="284"/>
      <c r="B1402" s="237"/>
      <c r="C1402" s="892" t="s">
        <v>2660</v>
      </c>
      <c r="D1402" s="238" t="s">
        <v>2766</v>
      </c>
      <c r="E1402" s="237" t="s">
        <v>2660</v>
      </c>
      <c r="F1402" s="733"/>
      <c r="G1402" s="849" t="s">
        <v>2660</v>
      </c>
      <c r="H1402" s="243"/>
      <c r="I1402" s="237" t="s">
        <v>2660</v>
      </c>
      <c r="J1402" s="243"/>
      <c r="K1402" s="243"/>
      <c r="L1402" s="243"/>
      <c r="M1402" s="243"/>
      <c r="N1402" s="289"/>
      <c r="O1402" s="245"/>
      <c r="P1402" s="289"/>
      <c r="Q1402" s="245"/>
      <c r="R1402" s="289"/>
      <c r="S1402" s="257"/>
      <c r="T1402" s="257"/>
      <c r="U1402" s="257"/>
      <c r="V1402" s="289"/>
      <c r="W1402" s="245"/>
      <c r="X1402" s="289"/>
      <c r="Y1402" s="245"/>
      <c r="Z1402" s="289"/>
      <c r="AA1402" s="245"/>
      <c r="AB1402" s="289"/>
      <c r="AC1402" s="245"/>
    </row>
    <row r="1403" spans="1:29" s="454" customFormat="1" ht="15">
      <c r="A1403" s="284"/>
      <c r="B1403" s="237"/>
      <c r="C1403" s="892" t="s">
        <v>2660</v>
      </c>
      <c r="D1403" s="238" t="s">
        <v>2660</v>
      </c>
      <c r="E1403" s="237" t="s">
        <v>2660</v>
      </c>
      <c r="F1403" s="733"/>
      <c r="G1403" s="849" t="s">
        <v>2660</v>
      </c>
      <c r="H1403" s="243"/>
      <c r="I1403" s="237" t="s">
        <v>2660</v>
      </c>
      <c r="J1403" s="243"/>
      <c r="K1403" s="243"/>
      <c r="L1403" s="243"/>
      <c r="M1403" s="243"/>
      <c r="N1403" s="289"/>
      <c r="O1403" s="245"/>
      <c r="P1403" s="289"/>
      <c r="Q1403" s="245"/>
      <c r="R1403" s="289"/>
      <c r="S1403" s="257"/>
      <c r="T1403" s="257"/>
      <c r="U1403" s="257"/>
      <c r="V1403" s="289"/>
      <c r="W1403" s="245"/>
      <c r="X1403" s="289"/>
      <c r="Y1403" s="245"/>
      <c r="Z1403" s="289"/>
      <c r="AA1403" s="245"/>
      <c r="AB1403" s="289"/>
      <c r="AC1403" s="245"/>
    </row>
    <row r="1404" spans="1:29" s="454" customFormat="1" ht="25.5">
      <c r="A1404" s="284">
        <f>A1401+1</f>
        <v>269</v>
      </c>
      <c r="B1404" s="237"/>
      <c r="C1404" s="892" t="s">
        <v>3428</v>
      </c>
      <c r="D1404" s="238" t="s">
        <v>2767</v>
      </c>
      <c r="E1404" s="237" t="s">
        <v>1901</v>
      </c>
      <c r="F1404" s="735">
        <f>N1404+R1404+P1404+T1404+V1404+X1404+Z1404+AB1404</f>
        <v>30</v>
      </c>
      <c r="G1404" s="849">
        <v>139.63</v>
      </c>
      <c r="H1404" s="261">
        <f>O1404+S1404+Q1404+U1404+W1404+Y1404+AA1404+AC1404</f>
        <v>4188.8999999999996</v>
      </c>
      <c r="I1404" s="237" t="s">
        <v>1901</v>
      </c>
      <c r="J1404" s="243"/>
      <c r="K1404" s="243"/>
      <c r="L1404" s="243"/>
      <c r="M1404" s="243"/>
      <c r="N1404" s="289"/>
      <c r="O1404" s="245"/>
      <c r="P1404" s="289"/>
      <c r="Q1404" s="245"/>
      <c r="R1404" s="289">
        <f>14*2+2</f>
        <v>30</v>
      </c>
      <c r="S1404" s="257">
        <f>INT($G1404*R1404*100+0.5)/100</f>
        <v>4188.8999999999996</v>
      </c>
      <c r="T1404" s="257"/>
      <c r="U1404" s="257"/>
      <c r="V1404" s="289"/>
      <c r="W1404" s="245"/>
      <c r="X1404" s="289"/>
      <c r="Y1404" s="245"/>
      <c r="Z1404" s="289"/>
      <c r="AA1404" s="245"/>
      <c r="AB1404" s="289"/>
      <c r="AC1404" s="245"/>
    </row>
    <row r="1405" spans="1:29" s="454" customFormat="1" ht="25.5">
      <c r="A1405" s="284"/>
      <c r="B1405" s="237"/>
      <c r="C1405" s="892" t="s">
        <v>2660</v>
      </c>
      <c r="D1405" s="238" t="s">
        <v>2768</v>
      </c>
      <c r="E1405" s="237" t="s">
        <v>2660</v>
      </c>
      <c r="F1405" s="733"/>
      <c r="G1405" s="849" t="s">
        <v>2660</v>
      </c>
      <c r="H1405" s="243"/>
      <c r="I1405" s="237" t="s">
        <v>2660</v>
      </c>
      <c r="J1405" s="243"/>
      <c r="K1405" s="243"/>
      <c r="L1405" s="243"/>
      <c r="M1405" s="243"/>
      <c r="N1405" s="289"/>
      <c r="O1405" s="245"/>
      <c r="P1405" s="289"/>
      <c r="Q1405" s="245"/>
      <c r="R1405" s="289"/>
      <c r="S1405" s="257"/>
      <c r="T1405" s="257"/>
      <c r="U1405" s="257"/>
      <c r="V1405" s="289"/>
      <c r="W1405" s="245"/>
      <c r="X1405" s="289"/>
      <c r="Y1405" s="245"/>
      <c r="Z1405" s="289"/>
      <c r="AA1405" s="245"/>
      <c r="AB1405" s="289"/>
      <c r="AC1405" s="245"/>
    </row>
    <row r="1406" spans="1:29" s="454" customFormat="1" ht="15">
      <c r="A1406" s="284"/>
      <c r="B1406" s="237"/>
      <c r="C1406" s="892" t="s">
        <v>2660</v>
      </c>
      <c r="D1406" s="238" t="s">
        <v>2660</v>
      </c>
      <c r="E1406" s="237" t="s">
        <v>2660</v>
      </c>
      <c r="F1406" s="733"/>
      <c r="G1406" s="849" t="s">
        <v>2660</v>
      </c>
      <c r="H1406" s="243"/>
      <c r="I1406" s="237" t="s">
        <v>2660</v>
      </c>
      <c r="J1406" s="243"/>
      <c r="K1406" s="243"/>
      <c r="L1406" s="243"/>
      <c r="M1406" s="243"/>
      <c r="N1406" s="289"/>
      <c r="O1406" s="245"/>
      <c r="P1406" s="289"/>
      <c r="Q1406" s="245"/>
      <c r="R1406" s="289"/>
      <c r="S1406" s="257"/>
      <c r="T1406" s="257"/>
      <c r="U1406" s="257"/>
      <c r="V1406" s="289"/>
      <c r="W1406" s="245"/>
      <c r="X1406" s="289"/>
      <c r="Y1406" s="245"/>
      <c r="Z1406" s="289"/>
      <c r="AA1406" s="245"/>
      <c r="AB1406" s="289"/>
      <c r="AC1406" s="245"/>
    </row>
    <row r="1407" spans="1:29" s="454" customFormat="1" ht="25.5">
      <c r="A1407" s="284">
        <f>A1404+1</f>
        <v>270</v>
      </c>
      <c r="B1407" s="237"/>
      <c r="C1407" s="892" t="s">
        <v>3429</v>
      </c>
      <c r="D1407" s="238" t="s">
        <v>2769</v>
      </c>
      <c r="E1407" s="237" t="s">
        <v>1901</v>
      </c>
      <c r="F1407" s="735">
        <f>N1407+R1407+P1407+T1407+V1407+X1407+Z1407+AB1407</f>
        <v>15</v>
      </c>
      <c r="G1407" s="849">
        <v>166.65</v>
      </c>
      <c r="H1407" s="261">
        <f>O1407+S1407+Q1407+U1407+W1407+Y1407+AA1407+AC1407</f>
        <v>2499.75</v>
      </c>
      <c r="I1407" s="237" t="s">
        <v>1901</v>
      </c>
      <c r="J1407" s="243"/>
      <c r="K1407" s="243"/>
      <c r="L1407" s="243"/>
      <c r="M1407" s="243"/>
      <c r="N1407" s="289"/>
      <c r="O1407" s="245"/>
      <c r="P1407" s="289"/>
      <c r="Q1407" s="245"/>
      <c r="R1407" s="289">
        <f>6*2+3</f>
        <v>15</v>
      </c>
      <c r="S1407" s="257">
        <f>INT($G1407*R1407*100+0.5)/100</f>
        <v>2499.75</v>
      </c>
      <c r="T1407" s="257"/>
      <c r="U1407" s="257"/>
      <c r="V1407" s="289"/>
      <c r="W1407" s="245"/>
      <c r="X1407" s="289"/>
      <c r="Y1407" s="245"/>
      <c r="Z1407" s="289"/>
      <c r="AA1407" s="245"/>
      <c r="AB1407" s="289"/>
      <c r="AC1407" s="245"/>
    </row>
    <row r="1408" spans="1:29" s="454" customFormat="1" ht="25.5">
      <c r="A1408" s="284"/>
      <c r="B1408" s="237"/>
      <c r="C1408" s="892" t="s">
        <v>2660</v>
      </c>
      <c r="D1408" s="238" t="s">
        <v>2770</v>
      </c>
      <c r="E1408" s="237" t="s">
        <v>2660</v>
      </c>
      <c r="F1408" s="733"/>
      <c r="G1408" s="849" t="s">
        <v>2660</v>
      </c>
      <c r="H1408" s="243"/>
      <c r="I1408" s="237" t="s">
        <v>2660</v>
      </c>
      <c r="J1408" s="243"/>
      <c r="K1408" s="243"/>
      <c r="L1408" s="243"/>
      <c r="M1408" s="243"/>
      <c r="N1408" s="289"/>
      <c r="O1408" s="245"/>
      <c r="P1408" s="289"/>
      <c r="Q1408" s="245"/>
      <c r="R1408" s="289"/>
      <c r="S1408" s="257"/>
      <c r="T1408" s="257"/>
      <c r="U1408" s="257"/>
      <c r="V1408" s="289"/>
      <c r="W1408" s="245"/>
      <c r="X1408" s="289"/>
      <c r="Y1408" s="245"/>
      <c r="Z1408" s="289"/>
      <c r="AA1408" s="245"/>
      <c r="AB1408" s="289"/>
      <c r="AC1408" s="245"/>
    </row>
    <row r="1409" spans="1:29" s="454" customFormat="1" ht="15">
      <c r="A1409" s="284"/>
      <c r="B1409" s="237"/>
      <c r="C1409" s="892" t="s">
        <v>2660</v>
      </c>
      <c r="D1409" s="238" t="s">
        <v>2660</v>
      </c>
      <c r="E1409" s="237" t="s">
        <v>2660</v>
      </c>
      <c r="F1409" s="733"/>
      <c r="G1409" s="849" t="s">
        <v>2660</v>
      </c>
      <c r="H1409" s="243"/>
      <c r="I1409" s="237" t="s">
        <v>2660</v>
      </c>
      <c r="J1409" s="243"/>
      <c r="K1409" s="243"/>
      <c r="L1409" s="243"/>
      <c r="M1409" s="243"/>
      <c r="N1409" s="289"/>
      <c r="O1409" s="245"/>
      <c r="P1409" s="289"/>
      <c r="Q1409" s="245"/>
      <c r="R1409" s="289"/>
      <c r="S1409" s="257"/>
      <c r="T1409" s="257"/>
      <c r="U1409" s="257"/>
      <c r="V1409" s="289"/>
      <c r="W1409" s="245"/>
      <c r="X1409" s="289"/>
      <c r="Y1409" s="245"/>
      <c r="Z1409" s="289"/>
      <c r="AA1409" s="245"/>
      <c r="AB1409" s="289"/>
      <c r="AC1409" s="245"/>
    </row>
    <row r="1410" spans="1:29" s="454" customFormat="1" ht="25.5">
      <c r="A1410" s="284">
        <f>A1407+1</f>
        <v>271</v>
      </c>
      <c r="B1410" s="237"/>
      <c r="C1410" s="892" t="s">
        <v>3430</v>
      </c>
      <c r="D1410" s="238" t="s">
        <v>2771</v>
      </c>
      <c r="E1410" s="237" t="s">
        <v>1901</v>
      </c>
      <c r="F1410" s="735">
        <f>N1410+R1410+P1410+T1410+V1410+X1410+Z1410+AB1410</f>
        <v>50</v>
      </c>
      <c r="G1410" s="849">
        <v>183.07</v>
      </c>
      <c r="H1410" s="261">
        <f>O1410+S1410+Q1410+U1410+W1410+Y1410+AA1410+AC1410</f>
        <v>9153.5</v>
      </c>
      <c r="I1410" s="237" t="s">
        <v>1901</v>
      </c>
      <c r="J1410" s="243"/>
      <c r="K1410" s="243"/>
      <c r="L1410" s="243"/>
      <c r="M1410" s="243"/>
      <c r="N1410" s="289"/>
      <c r="O1410" s="245"/>
      <c r="P1410" s="289"/>
      <c r="Q1410" s="245"/>
      <c r="R1410" s="289">
        <f>(2*2)+(20*2)+6</f>
        <v>50</v>
      </c>
      <c r="S1410" s="257">
        <f>INT($G1410*R1410*100+0.5)/100</f>
        <v>9153.5</v>
      </c>
      <c r="T1410" s="257"/>
      <c r="U1410" s="257"/>
      <c r="V1410" s="289"/>
      <c r="W1410" s="245"/>
      <c r="X1410" s="289"/>
      <c r="Y1410" s="245"/>
      <c r="Z1410" s="289"/>
      <c r="AA1410" s="245"/>
      <c r="AB1410" s="289"/>
      <c r="AC1410" s="245"/>
    </row>
    <row r="1411" spans="1:29" s="454" customFormat="1" ht="25.5">
      <c r="A1411" s="284"/>
      <c r="B1411" s="237"/>
      <c r="C1411" s="892" t="s">
        <v>2660</v>
      </c>
      <c r="D1411" s="238" t="s">
        <v>2772</v>
      </c>
      <c r="E1411" s="237" t="s">
        <v>2660</v>
      </c>
      <c r="F1411" s="733"/>
      <c r="G1411" s="849" t="s">
        <v>2660</v>
      </c>
      <c r="H1411" s="243"/>
      <c r="I1411" s="237" t="s">
        <v>2660</v>
      </c>
      <c r="J1411" s="243"/>
      <c r="K1411" s="243"/>
      <c r="L1411" s="243"/>
      <c r="M1411" s="243"/>
      <c r="N1411" s="289"/>
      <c r="O1411" s="245"/>
      <c r="P1411" s="289"/>
      <c r="Q1411" s="245"/>
      <c r="R1411" s="289"/>
      <c r="S1411" s="257"/>
      <c r="T1411" s="257"/>
      <c r="U1411" s="257"/>
      <c r="V1411" s="289"/>
      <c r="W1411" s="245"/>
      <c r="X1411" s="289"/>
      <c r="Y1411" s="245"/>
      <c r="Z1411" s="289"/>
      <c r="AA1411" s="245"/>
      <c r="AB1411" s="289"/>
      <c r="AC1411" s="245"/>
    </row>
    <row r="1412" spans="1:29" s="454" customFormat="1" ht="15">
      <c r="A1412" s="284"/>
      <c r="B1412" s="237"/>
      <c r="C1412" s="892" t="s">
        <v>2660</v>
      </c>
      <c r="D1412" s="238" t="s">
        <v>2660</v>
      </c>
      <c r="E1412" s="237" t="s">
        <v>2660</v>
      </c>
      <c r="F1412" s="733"/>
      <c r="G1412" s="849" t="s">
        <v>2660</v>
      </c>
      <c r="H1412" s="243"/>
      <c r="I1412" s="237" t="s">
        <v>2660</v>
      </c>
      <c r="J1412" s="243"/>
      <c r="K1412" s="243"/>
      <c r="L1412" s="243"/>
      <c r="M1412" s="243"/>
      <c r="N1412" s="289"/>
      <c r="O1412" s="245"/>
      <c r="P1412" s="289"/>
      <c r="Q1412" s="245"/>
      <c r="R1412" s="289"/>
      <c r="S1412" s="257"/>
      <c r="T1412" s="257"/>
      <c r="U1412" s="257"/>
      <c r="V1412" s="289"/>
      <c r="W1412" s="245"/>
      <c r="X1412" s="289"/>
      <c r="Y1412" s="245"/>
      <c r="Z1412" s="289"/>
      <c r="AA1412" s="245"/>
      <c r="AB1412" s="289"/>
      <c r="AC1412" s="245"/>
    </row>
    <row r="1413" spans="1:29" s="454" customFormat="1" ht="25.5">
      <c r="A1413" s="284">
        <f>A1410+1</f>
        <v>272</v>
      </c>
      <c r="B1413" s="237"/>
      <c r="C1413" s="892" t="s">
        <v>3431</v>
      </c>
      <c r="D1413" s="238" t="s">
        <v>2773</v>
      </c>
      <c r="E1413" s="237" t="s">
        <v>1901</v>
      </c>
      <c r="F1413" s="735">
        <f>N1413+R1413+P1413+T1413+V1413+X1413+Z1413+AB1413</f>
        <v>65</v>
      </c>
      <c r="G1413" s="849">
        <v>281.60000000000002</v>
      </c>
      <c r="H1413" s="261">
        <f>O1413+S1413+Q1413+U1413+W1413+Y1413+AA1413+AC1413</f>
        <v>18304</v>
      </c>
      <c r="I1413" s="237" t="s">
        <v>1901</v>
      </c>
      <c r="J1413" s="243"/>
      <c r="K1413" s="243"/>
      <c r="L1413" s="243"/>
      <c r="M1413" s="243"/>
      <c r="N1413" s="289"/>
      <c r="O1413" s="245"/>
      <c r="P1413" s="289"/>
      <c r="Q1413" s="245"/>
      <c r="R1413" s="289">
        <f>31*2+3</f>
        <v>65</v>
      </c>
      <c r="S1413" s="257">
        <f>INT($G1413*R1413*100+0.5)/100</f>
        <v>18304</v>
      </c>
      <c r="T1413" s="257"/>
      <c r="U1413" s="257"/>
      <c r="V1413" s="289"/>
      <c r="W1413" s="245"/>
      <c r="X1413" s="289"/>
      <c r="Y1413" s="245"/>
      <c r="Z1413" s="289"/>
      <c r="AA1413" s="245"/>
      <c r="AB1413" s="289"/>
      <c r="AC1413" s="245"/>
    </row>
    <row r="1414" spans="1:29" s="454" customFormat="1" ht="25.5">
      <c r="A1414" s="284"/>
      <c r="B1414" s="237"/>
      <c r="C1414" s="892" t="s">
        <v>2660</v>
      </c>
      <c r="D1414" s="238" t="s">
        <v>2774</v>
      </c>
      <c r="E1414" s="237" t="s">
        <v>2660</v>
      </c>
      <c r="F1414" s="733"/>
      <c r="G1414" s="849" t="s">
        <v>2660</v>
      </c>
      <c r="H1414" s="243"/>
      <c r="I1414" s="237" t="s">
        <v>2660</v>
      </c>
      <c r="J1414" s="243"/>
      <c r="K1414" s="243"/>
      <c r="L1414" s="243"/>
      <c r="M1414" s="243"/>
      <c r="N1414" s="289"/>
      <c r="O1414" s="245"/>
      <c r="P1414" s="289"/>
      <c r="Q1414" s="245"/>
      <c r="R1414" s="289"/>
      <c r="S1414" s="257"/>
      <c r="T1414" s="257"/>
      <c r="U1414" s="257"/>
      <c r="V1414" s="289"/>
      <c r="W1414" s="245"/>
      <c r="X1414" s="289"/>
      <c r="Y1414" s="245"/>
      <c r="Z1414" s="289"/>
      <c r="AA1414" s="245"/>
      <c r="AB1414" s="289"/>
      <c r="AC1414" s="245"/>
    </row>
    <row r="1415" spans="1:29" s="454" customFormat="1" ht="15">
      <c r="A1415" s="284"/>
      <c r="B1415" s="237"/>
      <c r="C1415" s="892" t="s">
        <v>2660</v>
      </c>
      <c r="D1415" s="238" t="s">
        <v>2660</v>
      </c>
      <c r="E1415" s="237" t="s">
        <v>2660</v>
      </c>
      <c r="F1415" s="733"/>
      <c r="G1415" s="849" t="s">
        <v>2660</v>
      </c>
      <c r="H1415" s="243"/>
      <c r="I1415" s="237" t="s">
        <v>2660</v>
      </c>
      <c r="J1415" s="243"/>
      <c r="K1415" s="243"/>
      <c r="L1415" s="243"/>
      <c r="M1415" s="243"/>
      <c r="N1415" s="289"/>
      <c r="O1415" s="245"/>
      <c r="P1415" s="289"/>
      <c r="Q1415" s="245"/>
      <c r="R1415" s="289"/>
      <c r="S1415" s="257"/>
      <c r="T1415" s="257"/>
      <c r="U1415" s="257"/>
      <c r="V1415" s="289"/>
      <c r="W1415" s="245"/>
      <c r="X1415" s="289"/>
      <c r="Y1415" s="245"/>
      <c r="Z1415" s="289"/>
      <c r="AA1415" s="245"/>
      <c r="AB1415" s="289"/>
      <c r="AC1415" s="245"/>
    </row>
    <row r="1416" spans="1:29" s="454" customFormat="1" ht="25.5">
      <c r="A1416" s="284"/>
      <c r="B1416" s="237"/>
      <c r="C1416" s="892" t="s">
        <v>3432</v>
      </c>
      <c r="D1416" s="238" t="s">
        <v>2775</v>
      </c>
      <c r="E1416" s="237" t="s">
        <v>2660</v>
      </c>
      <c r="F1416" s="733"/>
      <c r="G1416" s="849"/>
      <c r="H1416" s="243"/>
      <c r="I1416" s="237" t="s">
        <v>2660</v>
      </c>
      <c r="J1416" s="243"/>
      <c r="K1416" s="243"/>
      <c r="L1416" s="243"/>
      <c r="M1416" s="243"/>
      <c r="N1416" s="289"/>
      <c r="O1416" s="245"/>
      <c r="P1416" s="289"/>
      <c r="Q1416" s="245"/>
      <c r="R1416" s="289"/>
      <c r="S1416" s="257"/>
      <c r="T1416" s="257"/>
      <c r="U1416" s="257"/>
      <c r="V1416" s="289"/>
      <c r="W1416" s="245"/>
      <c r="X1416" s="289"/>
      <c r="Y1416" s="245"/>
      <c r="Z1416" s="289"/>
      <c r="AA1416" s="245"/>
      <c r="AB1416" s="289"/>
      <c r="AC1416" s="245"/>
    </row>
    <row r="1417" spans="1:29" s="454" customFormat="1" ht="25.5">
      <c r="A1417" s="284"/>
      <c r="B1417" s="237"/>
      <c r="C1417" s="892" t="s">
        <v>2660</v>
      </c>
      <c r="D1417" s="238" t="s">
        <v>2776</v>
      </c>
      <c r="E1417" s="237" t="s">
        <v>2660</v>
      </c>
      <c r="F1417" s="733"/>
      <c r="G1417" s="849" t="s">
        <v>2660</v>
      </c>
      <c r="H1417" s="243"/>
      <c r="I1417" s="237" t="s">
        <v>2660</v>
      </c>
      <c r="J1417" s="243"/>
      <c r="K1417" s="243"/>
      <c r="L1417" s="243"/>
      <c r="M1417" s="243"/>
      <c r="N1417" s="289"/>
      <c r="O1417" s="245"/>
      <c r="P1417" s="289"/>
      <c r="Q1417" s="245"/>
      <c r="R1417" s="289"/>
      <c r="S1417" s="257"/>
      <c r="T1417" s="257"/>
      <c r="U1417" s="257"/>
      <c r="V1417" s="289"/>
      <c r="W1417" s="245"/>
      <c r="X1417" s="289"/>
      <c r="Y1417" s="245"/>
      <c r="Z1417" s="289"/>
      <c r="AA1417" s="245"/>
      <c r="AB1417" s="289"/>
      <c r="AC1417" s="245"/>
    </row>
    <row r="1418" spans="1:29" s="454" customFormat="1" ht="15">
      <c r="A1418" s="284">
        <f>A1413+1</f>
        <v>273</v>
      </c>
      <c r="B1418" s="237"/>
      <c r="C1418" s="892" t="s">
        <v>3433</v>
      </c>
      <c r="D1418" s="238" t="s">
        <v>2777</v>
      </c>
      <c r="E1418" s="237" t="s">
        <v>1901</v>
      </c>
      <c r="F1418" s="735">
        <f>N1418+R1418+P1418+T1418+V1418+X1418+Z1418+AB1418</f>
        <v>4</v>
      </c>
      <c r="G1418" s="849">
        <v>86.08</v>
      </c>
      <c r="H1418" s="261">
        <f>O1418+S1418+Q1418+U1418+W1418+Y1418+AA1418+AC1418</f>
        <v>344.32</v>
      </c>
      <c r="I1418" s="237" t="s">
        <v>1901</v>
      </c>
      <c r="J1418" s="243"/>
      <c r="K1418" s="243"/>
      <c r="L1418" s="243"/>
      <c r="M1418" s="243"/>
      <c r="N1418" s="289"/>
      <c r="O1418" s="245"/>
      <c r="P1418" s="289"/>
      <c r="Q1418" s="245"/>
      <c r="R1418" s="289">
        <f>2+2</f>
        <v>4</v>
      </c>
      <c r="S1418" s="257">
        <f>INT($G1418*R1418*100+0.5)/100</f>
        <v>344.32</v>
      </c>
      <c r="T1418" s="257"/>
      <c r="U1418" s="257"/>
      <c r="V1418" s="289"/>
      <c r="W1418" s="245"/>
      <c r="X1418" s="289"/>
      <c r="Y1418" s="245"/>
      <c r="Z1418" s="289"/>
      <c r="AA1418" s="245"/>
      <c r="AB1418" s="289"/>
      <c r="AC1418" s="245"/>
    </row>
    <row r="1419" spans="1:29" s="454" customFormat="1" ht="15">
      <c r="A1419" s="284"/>
      <c r="B1419" s="237"/>
      <c r="C1419" s="892" t="s">
        <v>2660</v>
      </c>
      <c r="D1419" s="238" t="s">
        <v>2778</v>
      </c>
      <c r="E1419" s="237" t="s">
        <v>2660</v>
      </c>
      <c r="F1419" s="733"/>
      <c r="G1419" s="849" t="s">
        <v>2660</v>
      </c>
      <c r="H1419" s="243"/>
      <c r="I1419" s="237" t="s">
        <v>2660</v>
      </c>
      <c r="J1419" s="243"/>
      <c r="K1419" s="243"/>
      <c r="L1419" s="243"/>
      <c r="M1419" s="243"/>
      <c r="N1419" s="289"/>
      <c r="O1419" s="245"/>
      <c r="P1419" s="289"/>
      <c r="Q1419" s="245"/>
      <c r="R1419" s="289"/>
      <c r="S1419" s="257"/>
      <c r="T1419" s="257"/>
      <c r="U1419" s="257"/>
      <c r="V1419" s="289"/>
      <c r="W1419" s="245"/>
      <c r="X1419" s="289"/>
      <c r="Y1419" s="245"/>
      <c r="Z1419" s="289"/>
      <c r="AA1419" s="245"/>
      <c r="AB1419" s="289"/>
      <c r="AC1419" s="245"/>
    </row>
    <row r="1420" spans="1:29" s="454" customFormat="1" ht="15">
      <c r="A1420" s="284"/>
      <c r="B1420" s="237"/>
      <c r="C1420" s="892" t="s">
        <v>2660</v>
      </c>
      <c r="D1420" s="238" t="s">
        <v>2660</v>
      </c>
      <c r="E1420" s="237" t="s">
        <v>2660</v>
      </c>
      <c r="F1420" s="733"/>
      <c r="G1420" s="849" t="s">
        <v>2660</v>
      </c>
      <c r="H1420" s="243"/>
      <c r="I1420" s="237" t="s">
        <v>2660</v>
      </c>
      <c r="J1420" s="243"/>
      <c r="K1420" s="243"/>
      <c r="L1420" s="243"/>
      <c r="M1420" s="243"/>
      <c r="N1420" s="289"/>
      <c r="O1420" s="245"/>
      <c r="P1420" s="289"/>
      <c r="Q1420" s="245"/>
      <c r="R1420" s="289"/>
      <c r="S1420" s="257"/>
      <c r="T1420" s="257"/>
      <c r="U1420" s="257"/>
      <c r="V1420" s="289"/>
      <c r="W1420" s="245"/>
      <c r="X1420" s="289"/>
      <c r="Y1420" s="245"/>
      <c r="Z1420" s="289"/>
      <c r="AA1420" s="245"/>
      <c r="AB1420" s="289"/>
      <c r="AC1420" s="245"/>
    </row>
    <row r="1421" spans="1:29" s="454" customFormat="1" ht="15">
      <c r="A1421" s="284">
        <f>A1418+1</f>
        <v>274</v>
      </c>
      <c r="B1421" s="237"/>
      <c r="C1421" s="892" t="s">
        <v>3434</v>
      </c>
      <c r="D1421" s="238" t="s">
        <v>2779</v>
      </c>
      <c r="E1421" s="237" t="s">
        <v>1901</v>
      </c>
      <c r="F1421" s="735">
        <f>N1421+R1421+P1421+T1421+V1421+X1421+Z1421+AB1421</f>
        <v>4</v>
      </c>
      <c r="G1421" s="849">
        <v>298.10000000000002</v>
      </c>
      <c r="H1421" s="261">
        <f>O1421+S1421+Q1421+U1421+W1421+Y1421+AA1421+AC1421</f>
        <v>1192.4000000000001</v>
      </c>
      <c r="I1421" s="237" t="s">
        <v>1901</v>
      </c>
      <c r="J1421" s="243"/>
      <c r="K1421" s="243"/>
      <c r="L1421" s="243"/>
      <c r="M1421" s="243"/>
      <c r="N1421" s="289"/>
      <c r="O1421" s="245"/>
      <c r="P1421" s="289"/>
      <c r="Q1421" s="245"/>
      <c r="R1421" s="289">
        <f>2+2</f>
        <v>4</v>
      </c>
      <c r="S1421" s="257">
        <f>INT($G1421*R1421*100+0.5)/100</f>
        <v>1192.4000000000001</v>
      </c>
      <c r="T1421" s="257"/>
      <c r="U1421" s="257"/>
      <c r="V1421" s="289"/>
      <c r="W1421" s="245"/>
      <c r="X1421" s="289"/>
      <c r="Y1421" s="245"/>
      <c r="Z1421" s="289"/>
      <c r="AA1421" s="245"/>
      <c r="AB1421" s="289"/>
      <c r="AC1421" s="245"/>
    </row>
    <row r="1422" spans="1:29" s="454" customFormat="1" ht="15">
      <c r="A1422" s="284"/>
      <c r="B1422" s="237"/>
      <c r="C1422" s="892" t="s">
        <v>2660</v>
      </c>
      <c r="D1422" s="238" t="s">
        <v>2780</v>
      </c>
      <c r="E1422" s="237" t="s">
        <v>2660</v>
      </c>
      <c r="F1422" s="733"/>
      <c r="G1422" s="849" t="s">
        <v>2660</v>
      </c>
      <c r="H1422" s="243"/>
      <c r="I1422" s="237" t="s">
        <v>2660</v>
      </c>
      <c r="J1422" s="243"/>
      <c r="K1422" s="243"/>
      <c r="L1422" s="243"/>
      <c r="M1422" s="243"/>
      <c r="N1422" s="289"/>
      <c r="O1422" s="245"/>
      <c r="P1422" s="289"/>
      <c r="Q1422" s="245"/>
      <c r="R1422" s="289"/>
      <c r="S1422" s="257"/>
      <c r="T1422" s="257"/>
      <c r="U1422" s="257"/>
      <c r="V1422" s="289"/>
      <c r="W1422" s="245"/>
      <c r="X1422" s="289"/>
      <c r="Y1422" s="245"/>
      <c r="Z1422" s="289"/>
      <c r="AA1422" s="245"/>
      <c r="AB1422" s="289"/>
      <c r="AC1422" s="245"/>
    </row>
    <row r="1423" spans="1:29" s="454" customFormat="1" ht="15">
      <c r="A1423" s="284"/>
      <c r="B1423" s="237"/>
      <c r="C1423" s="892" t="s">
        <v>2660</v>
      </c>
      <c r="D1423" s="238" t="s">
        <v>2660</v>
      </c>
      <c r="E1423" s="237" t="s">
        <v>2660</v>
      </c>
      <c r="F1423" s="733"/>
      <c r="G1423" s="849" t="s">
        <v>2660</v>
      </c>
      <c r="H1423" s="243"/>
      <c r="I1423" s="237" t="s">
        <v>2660</v>
      </c>
      <c r="J1423" s="243"/>
      <c r="K1423" s="243"/>
      <c r="L1423" s="243"/>
      <c r="M1423" s="243"/>
      <c r="N1423" s="289"/>
      <c r="O1423" s="245"/>
      <c r="P1423" s="289"/>
      <c r="Q1423" s="245"/>
      <c r="R1423" s="289"/>
      <c r="S1423" s="257"/>
      <c r="T1423" s="257"/>
      <c r="U1423" s="257"/>
      <c r="V1423" s="289"/>
      <c r="W1423" s="245"/>
      <c r="X1423" s="289"/>
      <c r="Y1423" s="245"/>
      <c r="Z1423" s="289"/>
      <c r="AA1423" s="245"/>
      <c r="AB1423" s="289"/>
      <c r="AC1423" s="245"/>
    </row>
    <row r="1424" spans="1:29" s="454" customFormat="1" ht="25.5">
      <c r="A1424" s="284"/>
      <c r="B1424" s="237"/>
      <c r="C1424" s="892" t="s">
        <v>3435</v>
      </c>
      <c r="D1424" s="238" t="s">
        <v>2781</v>
      </c>
      <c r="E1424" s="237" t="s">
        <v>2660</v>
      </c>
      <c r="F1424" s="733"/>
      <c r="G1424" s="849" t="s">
        <v>2660</v>
      </c>
      <c r="H1424" s="243"/>
      <c r="I1424" s="237" t="s">
        <v>2660</v>
      </c>
      <c r="J1424" s="243"/>
      <c r="K1424" s="243"/>
      <c r="L1424" s="243"/>
      <c r="M1424" s="243"/>
      <c r="N1424" s="289"/>
      <c r="O1424" s="245"/>
      <c r="P1424" s="289"/>
      <c r="Q1424" s="245"/>
      <c r="R1424" s="289"/>
      <c r="S1424" s="257"/>
      <c r="T1424" s="257"/>
      <c r="U1424" s="257"/>
      <c r="V1424" s="289"/>
      <c r="W1424" s="245"/>
      <c r="X1424" s="289"/>
      <c r="Y1424" s="245"/>
      <c r="Z1424" s="289"/>
      <c r="AA1424" s="245"/>
      <c r="AB1424" s="289"/>
      <c r="AC1424" s="245"/>
    </row>
    <row r="1425" spans="1:29" s="454" customFormat="1" ht="15">
      <c r="A1425" s="284"/>
      <c r="B1425" s="237"/>
      <c r="C1425" s="892"/>
      <c r="D1425" s="238" t="s">
        <v>2782</v>
      </c>
      <c r="E1425" s="237"/>
      <c r="F1425" s="733"/>
      <c r="G1425" s="849"/>
      <c r="H1425" s="243"/>
      <c r="I1425" s="237"/>
      <c r="J1425" s="243"/>
      <c r="K1425" s="243"/>
      <c r="L1425" s="243"/>
      <c r="M1425" s="243"/>
      <c r="N1425" s="289"/>
      <c r="O1425" s="245"/>
      <c r="P1425" s="289"/>
      <c r="Q1425" s="245"/>
      <c r="R1425" s="289"/>
      <c r="S1425" s="257"/>
      <c r="T1425" s="257"/>
      <c r="U1425" s="257"/>
      <c r="V1425" s="289"/>
      <c r="W1425" s="245"/>
      <c r="X1425" s="289"/>
      <c r="Y1425" s="245"/>
      <c r="Z1425" s="289"/>
      <c r="AA1425" s="245"/>
      <c r="AB1425" s="289"/>
      <c r="AC1425" s="245"/>
    </row>
    <row r="1426" spans="1:29" s="454" customFormat="1" ht="15">
      <c r="A1426" s="284">
        <f>A1421+1</f>
        <v>275</v>
      </c>
      <c r="B1426" s="237"/>
      <c r="C1426" s="892" t="s">
        <v>3436</v>
      </c>
      <c r="D1426" s="238" t="s">
        <v>2783</v>
      </c>
      <c r="E1426" s="237" t="s">
        <v>1901</v>
      </c>
      <c r="F1426" s="735">
        <f>N1426+R1426+P1426+T1426+V1426+X1426+Z1426+AB1426</f>
        <v>16</v>
      </c>
      <c r="G1426" s="849">
        <v>70.69</v>
      </c>
      <c r="H1426" s="261">
        <f>O1426+S1426+Q1426+U1426+W1426+Y1426+AA1426+AC1426</f>
        <v>1131.04</v>
      </c>
      <c r="I1426" s="237" t="s">
        <v>1901</v>
      </c>
      <c r="J1426" s="243"/>
      <c r="K1426" s="243"/>
      <c r="L1426" s="243"/>
      <c r="M1426" s="243"/>
      <c r="N1426" s="289"/>
      <c r="O1426" s="245"/>
      <c r="P1426" s="289"/>
      <c r="Q1426" s="245"/>
      <c r="R1426" s="289">
        <f>2*(1*3+1*4)+2</f>
        <v>16</v>
      </c>
      <c r="S1426" s="257">
        <f>INT($G1426*R1426*100+0.5)/100</f>
        <v>1131.04</v>
      </c>
      <c r="T1426" s="257"/>
      <c r="U1426" s="257"/>
      <c r="V1426" s="289"/>
      <c r="W1426" s="245"/>
      <c r="X1426" s="289"/>
      <c r="Y1426" s="245"/>
      <c r="Z1426" s="289"/>
      <c r="AA1426" s="245"/>
      <c r="AB1426" s="289"/>
      <c r="AC1426" s="245"/>
    </row>
    <row r="1427" spans="1:29" s="454" customFormat="1" ht="15">
      <c r="A1427" s="284"/>
      <c r="B1427" s="237"/>
      <c r="C1427" s="892" t="s">
        <v>2660</v>
      </c>
      <c r="D1427" s="238" t="s">
        <v>2784</v>
      </c>
      <c r="E1427" s="237" t="s">
        <v>2660</v>
      </c>
      <c r="F1427" s="733"/>
      <c r="G1427" s="849" t="s">
        <v>2660</v>
      </c>
      <c r="H1427" s="243"/>
      <c r="I1427" s="237" t="s">
        <v>2660</v>
      </c>
      <c r="J1427" s="243"/>
      <c r="K1427" s="243"/>
      <c r="L1427" s="243"/>
      <c r="M1427" s="243"/>
      <c r="N1427" s="289"/>
      <c r="O1427" s="245"/>
      <c r="P1427" s="289"/>
      <c r="Q1427" s="245"/>
      <c r="R1427" s="289"/>
      <c r="S1427" s="257"/>
      <c r="T1427" s="257"/>
      <c r="U1427" s="257"/>
      <c r="V1427" s="289"/>
      <c r="W1427" s="245"/>
      <c r="X1427" s="289"/>
      <c r="Y1427" s="245"/>
      <c r="Z1427" s="289"/>
      <c r="AA1427" s="245"/>
      <c r="AB1427" s="289"/>
      <c r="AC1427" s="245"/>
    </row>
    <row r="1428" spans="1:29" s="454" customFormat="1" ht="15">
      <c r="A1428" s="284"/>
      <c r="B1428" s="237"/>
      <c r="C1428" s="892" t="s">
        <v>2660</v>
      </c>
      <c r="D1428" s="238" t="s">
        <v>2660</v>
      </c>
      <c r="E1428" s="237" t="s">
        <v>2660</v>
      </c>
      <c r="F1428" s="733"/>
      <c r="G1428" s="849" t="s">
        <v>2660</v>
      </c>
      <c r="H1428" s="243"/>
      <c r="I1428" s="237" t="s">
        <v>2660</v>
      </c>
      <c r="J1428" s="243"/>
      <c r="K1428" s="243"/>
      <c r="L1428" s="243"/>
      <c r="M1428" s="243"/>
      <c r="N1428" s="289"/>
      <c r="O1428" s="245"/>
      <c r="P1428" s="289"/>
      <c r="Q1428" s="245"/>
      <c r="R1428" s="289"/>
      <c r="S1428" s="257"/>
      <c r="T1428" s="257"/>
      <c r="U1428" s="257"/>
      <c r="V1428" s="289"/>
      <c r="W1428" s="245"/>
      <c r="X1428" s="289"/>
      <c r="Y1428" s="245"/>
      <c r="Z1428" s="289"/>
      <c r="AA1428" s="245"/>
      <c r="AB1428" s="289"/>
      <c r="AC1428" s="245"/>
    </row>
    <row r="1429" spans="1:29" s="454" customFormat="1" ht="15">
      <c r="A1429" s="284">
        <f>A1426+1</f>
        <v>276</v>
      </c>
      <c r="B1429" s="237"/>
      <c r="C1429" s="892" t="s">
        <v>3437</v>
      </c>
      <c r="D1429" s="238" t="s">
        <v>2785</v>
      </c>
      <c r="E1429" s="237" t="s">
        <v>1901</v>
      </c>
      <c r="F1429" s="735">
        <f>N1429+R1429+P1429+T1429+V1429+X1429+Z1429+AB1429</f>
        <v>28</v>
      </c>
      <c r="G1429" s="849">
        <v>73.510000000000005</v>
      </c>
      <c r="H1429" s="261">
        <f>O1429+S1429+Q1429+U1429+W1429+Y1429+AA1429+AC1429</f>
        <v>2058.2800000000002</v>
      </c>
      <c r="I1429" s="237" t="s">
        <v>1901</v>
      </c>
      <c r="J1429" s="243"/>
      <c r="K1429" s="243"/>
      <c r="L1429" s="243"/>
      <c r="M1429" s="243"/>
      <c r="N1429" s="289"/>
      <c r="O1429" s="245"/>
      <c r="P1429" s="289"/>
      <c r="Q1429" s="245"/>
      <c r="R1429" s="289">
        <f>2*(1*2+1*3+1*3+1+2+2)+2</f>
        <v>28</v>
      </c>
      <c r="S1429" s="257">
        <f>INT($G1429*R1429*100+0.5)/100</f>
        <v>2058.2800000000002</v>
      </c>
      <c r="T1429" s="257"/>
      <c r="U1429" s="257"/>
      <c r="V1429" s="289"/>
      <c r="W1429" s="245"/>
      <c r="X1429" s="289"/>
      <c r="Y1429" s="245"/>
      <c r="Z1429" s="289"/>
      <c r="AA1429" s="245"/>
      <c r="AB1429" s="289"/>
      <c r="AC1429" s="245"/>
    </row>
    <row r="1430" spans="1:29" s="454" customFormat="1" ht="15">
      <c r="A1430" s="284"/>
      <c r="B1430" s="237"/>
      <c r="C1430" s="892" t="s">
        <v>2660</v>
      </c>
      <c r="D1430" s="238" t="s">
        <v>2786</v>
      </c>
      <c r="E1430" s="237" t="s">
        <v>2660</v>
      </c>
      <c r="F1430" s="733"/>
      <c r="G1430" s="849" t="s">
        <v>2660</v>
      </c>
      <c r="H1430" s="243"/>
      <c r="I1430" s="237" t="s">
        <v>2660</v>
      </c>
      <c r="J1430" s="243"/>
      <c r="K1430" s="243"/>
      <c r="L1430" s="243"/>
      <c r="M1430" s="243"/>
      <c r="N1430" s="289"/>
      <c r="O1430" s="245"/>
      <c r="P1430" s="289"/>
      <c r="Q1430" s="245"/>
      <c r="R1430" s="289"/>
      <c r="S1430" s="257"/>
      <c r="T1430" s="257"/>
      <c r="U1430" s="257"/>
      <c r="V1430" s="289"/>
      <c r="W1430" s="245"/>
      <c r="X1430" s="289"/>
      <c r="Y1430" s="245"/>
      <c r="Z1430" s="289"/>
      <c r="AA1430" s="245"/>
      <c r="AB1430" s="289"/>
      <c r="AC1430" s="245"/>
    </row>
    <row r="1431" spans="1:29" s="454" customFormat="1" ht="15">
      <c r="A1431" s="284"/>
      <c r="B1431" s="237"/>
      <c r="C1431" s="892" t="s">
        <v>2660</v>
      </c>
      <c r="D1431" s="238" t="s">
        <v>2660</v>
      </c>
      <c r="E1431" s="237" t="s">
        <v>2660</v>
      </c>
      <c r="F1431" s="733"/>
      <c r="G1431" s="849" t="s">
        <v>2660</v>
      </c>
      <c r="H1431" s="243"/>
      <c r="I1431" s="237" t="s">
        <v>2660</v>
      </c>
      <c r="J1431" s="243"/>
      <c r="K1431" s="243"/>
      <c r="L1431" s="243"/>
      <c r="M1431" s="243"/>
      <c r="N1431" s="289"/>
      <c r="O1431" s="245"/>
      <c r="P1431" s="289"/>
      <c r="Q1431" s="245"/>
      <c r="R1431" s="289"/>
      <c r="S1431" s="257"/>
      <c r="T1431" s="257"/>
      <c r="U1431" s="257"/>
      <c r="V1431" s="289"/>
      <c r="W1431" s="245"/>
      <c r="X1431" s="289"/>
      <c r="Y1431" s="245"/>
      <c r="Z1431" s="289"/>
      <c r="AA1431" s="245"/>
      <c r="AB1431" s="289"/>
      <c r="AC1431" s="245"/>
    </row>
    <row r="1432" spans="1:29" s="454" customFormat="1" ht="15">
      <c r="A1432" s="284">
        <f>A1429+1</f>
        <v>277</v>
      </c>
      <c r="B1432" s="237"/>
      <c r="C1432" s="892" t="s">
        <v>3438</v>
      </c>
      <c r="D1432" s="238" t="s">
        <v>2787</v>
      </c>
      <c r="E1432" s="237" t="s">
        <v>1901</v>
      </c>
      <c r="F1432" s="735">
        <f>N1432+R1432+P1432+T1432+V1432+X1432+Z1432+AB1432</f>
        <v>10</v>
      </c>
      <c r="G1432" s="849">
        <v>73.510000000000005</v>
      </c>
      <c r="H1432" s="261">
        <f>O1432+S1432+Q1432+U1432+W1432+Y1432+AA1432+AC1432</f>
        <v>735.1</v>
      </c>
      <c r="I1432" s="237" t="s">
        <v>1901</v>
      </c>
      <c r="J1432" s="243"/>
      <c r="K1432" s="243"/>
      <c r="L1432" s="243"/>
      <c r="M1432" s="243"/>
      <c r="N1432" s="289"/>
      <c r="O1432" s="245"/>
      <c r="P1432" s="289"/>
      <c r="Q1432" s="245"/>
      <c r="R1432" s="289">
        <f>2*(1*4)+2</f>
        <v>10</v>
      </c>
      <c r="S1432" s="257">
        <f>INT($G1432*R1432*100+0.5)/100</f>
        <v>735.1</v>
      </c>
      <c r="T1432" s="257"/>
      <c r="U1432" s="257"/>
      <c r="V1432" s="289"/>
      <c r="W1432" s="245"/>
      <c r="X1432" s="289"/>
      <c r="Y1432" s="245"/>
      <c r="Z1432" s="289"/>
      <c r="AA1432" s="245"/>
      <c r="AB1432" s="289"/>
      <c r="AC1432" s="245"/>
    </row>
    <row r="1433" spans="1:29" s="454" customFormat="1" ht="15">
      <c r="A1433" s="284"/>
      <c r="B1433" s="237"/>
      <c r="C1433" s="892" t="s">
        <v>2660</v>
      </c>
      <c r="D1433" s="238" t="s">
        <v>2788</v>
      </c>
      <c r="E1433" s="237" t="s">
        <v>2660</v>
      </c>
      <c r="F1433" s="733"/>
      <c r="G1433" s="849" t="s">
        <v>2660</v>
      </c>
      <c r="H1433" s="243"/>
      <c r="I1433" s="237" t="s">
        <v>2660</v>
      </c>
      <c r="J1433" s="243"/>
      <c r="K1433" s="243"/>
      <c r="L1433" s="243"/>
      <c r="M1433" s="243"/>
      <c r="N1433" s="289"/>
      <c r="O1433" s="245"/>
      <c r="P1433" s="289"/>
      <c r="Q1433" s="245"/>
      <c r="R1433" s="289"/>
      <c r="S1433" s="257"/>
      <c r="T1433" s="257"/>
      <c r="U1433" s="257"/>
      <c r="V1433" s="289"/>
      <c r="W1433" s="245"/>
      <c r="X1433" s="289"/>
      <c r="Y1433" s="245"/>
      <c r="Z1433" s="289"/>
      <c r="AA1433" s="245"/>
      <c r="AB1433" s="289"/>
      <c r="AC1433" s="245"/>
    </row>
    <row r="1434" spans="1:29" s="454" customFormat="1" ht="15">
      <c r="A1434" s="284"/>
      <c r="B1434" s="237"/>
      <c r="C1434" s="892" t="s">
        <v>2660</v>
      </c>
      <c r="D1434" s="238" t="s">
        <v>2660</v>
      </c>
      <c r="E1434" s="237" t="s">
        <v>2660</v>
      </c>
      <c r="F1434" s="733"/>
      <c r="G1434" s="849" t="s">
        <v>2660</v>
      </c>
      <c r="H1434" s="243"/>
      <c r="I1434" s="237" t="s">
        <v>2660</v>
      </c>
      <c r="J1434" s="243"/>
      <c r="K1434" s="243"/>
      <c r="L1434" s="243"/>
      <c r="M1434" s="243"/>
      <c r="N1434" s="289"/>
      <c r="O1434" s="245"/>
      <c r="P1434" s="289"/>
      <c r="Q1434" s="245"/>
      <c r="R1434" s="289"/>
      <c r="S1434" s="257"/>
      <c r="T1434" s="257"/>
      <c r="U1434" s="257"/>
      <c r="V1434" s="289"/>
      <c r="W1434" s="245"/>
      <c r="X1434" s="289"/>
      <c r="Y1434" s="245"/>
      <c r="Z1434" s="289"/>
      <c r="AA1434" s="245"/>
      <c r="AB1434" s="289"/>
      <c r="AC1434" s="245"/>
    </row>
    <row r="1435" spans="1:29" s="454" customFormat="1" ht="15">
      <c r="A1435" s="284">
        <f>A1432+1</f>
        <v>278</v>
      </c>
      <c r="B1435" s="237"/>
      <c r="C1435" s="892" t="s">
        <v>3439</v>
      </c>
      <c r="D1435" s="238" t="s">
        <v>2789</v>
      </c>
      <c r="E1435" s="237" t="s">
        <v>1901</v>
      </c>
      <c r="F1435" s="735">
        <f>N1435+R1435+P1435+T1435+V1435+X1435+Z1435+AB1435</f>
        <v>12</v>
      </c>
      <c r="G1435" s="849">
        <v>79.13</v>
      </c>
      <c r="H1435" s="261">
        <f>O1435+S1435+Q1435+U1435+W1435+Y1435+AA1435+AC1435</f>
        <v>949.56</v>
      </c>
      <c r="I1435" s="237" t="s">
        <v>1901</v>
      </c>
      <c r="J1435" s="243"/>
      <c r="K1435" s="243"/>
      <c r="L1435" s="243"/>
      <c r="M1435" s="243"/>
      <c r="N1435" s="289"/>
      <c r="O1435" s="245"/>
      <c r="P1435" s="289"/>
      <c r="Q1435" s="245"/>
      <c r="R1435" s="289">
        <f>2*(1*2+3)+2</f>
        <v>12</v>
      </c>
      <c r="S1435" s="257">
        <f>INT($G1435*R1435*100+0.5)/100</f>
        <v>949.56</v>
      </c>
      <c r="T1435" s="257"/>
      <c r="U1435" s="257"/>
      <c r="V1435" s="289"/>
      <c r="W1435" s="245"/>
      <c r="X1435" s="289"/>
      <c r="Y1435" s="245"/>
      <c r="Z1435" s="289"/>
      <c r="AA1435" s="245"/>
      <c r="AB1435" s="289"/>
      <c r="AC1435" s="245"/>
    </row>
    <row r="1436" spans="1:29" s="454" customFormat="1" ht="15">
      <c r="A1436" s="284"/>
      <c r="B1436" s="237"/>
      <c r="C1436" s="892" t="s">
        <v>2660</v>
      </c>
      <c r="D1436" s="238" t="s">
        <v>2790</v>
      </c>
      <c r="E1436" s="237" t="s">
        <v>2660</v>
      </c>
      <c r="F1436" s="733"/>
      <c r="G1436" s="849" t="s">
        <v>2660</v>
      </c>
      <c r="H1436" s="243"/>
      <c r="I1436" s="237" t="s">
        <v>2660</v>
      </c>
      <c r="J1436" s="243"/>
      <c r="K1436" s="243"/>
      <c r="L1436" s="243"/>
      <c r="M1436" s="243"/>
      <c r="N1436" s="289"/>
      <c r="O1436" s="245"/>
      <c r="P1436" s="289"/>
      <c r="Q1436" s="245"/>
      <c r="R1436" s="289"/>
      <c r="S1436" s="257"/>
      <c r="T1436" s="257"/>
      <c r="U1436" s="257"/>
      <c r="V1436" s="289"/>
      <c r="W1436" s="245"/>
      <c r="X1436" s="289"/>
      <c r="Y1436" s="245"/>
      <c r="Z1436" s="289"/>
      <c r="AA1436" s="245"/>
      <c r="AB1436" s="289"/>
      <c r="AC1436" s="245"/>
    </row>
    <row r="1437" spans="1:29" s="454" customFormat="1" ht="15">
      <c r="A1437" s="284"/>
      <c r="B1437" s="237"/>
      <c r="C1437" s="892" t="s">
        <v>2660</v>
      </c>
      <c r="D1437" s="238" t="s">
        <v>2660</v>
      </c>
      <c r="E1437" s="237" t="s">
        <v>2660</v>
      </c>
      <c r="F1437" s="733"/>
      <c r="G1437" s="849" t="s">
        <v>2660</v>
      </c>
      <c r="H1437" s="243"/>
      <c r="I1437" s="237" t="s">
        <v>2660</v>
      </c>
      <c r="J1437" s="243"/>
      <c r="K1437" s="243"/>
      <c r="L1437" s="243"/>
      <c r="M1437" s="243"/>
      <c r="N1437" s="289"/>
      <c r="O1437" s="245"/>
      <c r="P1437" s="289"/>
      <c r="Q1437" s="245"/>
      <c r="R1437" s="289"/>
      <c r="S1437" s="257"/>
      <c r="T1437" s="257"/>
      <c r="U1437" s="257"/>
      <c r="V1437" s="289"/>
      <c r="W1437" s="245"/>
      <c r="X1437" s="289"/>
      <c r="Y1437" s="245"/>
      <c r="Z1437" s="289"/>
      <c r="AA1437" s="245"/>
      <c r="AB1437" s="289"/>
      <c r="AC1437" s="245"/>
    </row>
    <row r="1438" spans="1:29" s="454" customFormat="1" ht="15">
      <c r="A1438" s="284">
        <f>A1435+1</f>
        <v>279</v>
      </c>
      <c r="B1438" s="237"/>
      <c r="C1438" s="892" t="s">
        <v>3440</v>
      </c>
      <c r="D1438" s="238" t="s">
        <v>2791</v>
      </c>
      <c r="E1438" s="237" t="s">
        <v>1901</v>
      </c>
      <c r="F1438" s="735">
        <f>N1438+R1438+P1438+T1438+V1438+X1438+Z1438+AB1438</f>
        <v>6</v>
      </c>
      <c r="G1438" s="849">
        <v>84.76</v>
      </c>
      <c r="H1438" s="261">
        <f>O1438+S1438+Q1438+U1438+W1438+Y1438+AA1438+AC1438</f>
        <v>508.56</v>
      </c>
      <c r="I1438" s="237" t="s">
        <v>1901</v>
      </c>
      <c r="J1438" s="243"/>
      <c r="K1438" s="243"/>
      <c r="L1438" s="243"/>
      <c r="M1438" s="243"/>
      <c r="N1438" s="289"/>
      <c r="O1438" s="245"/>
      <c r="P1438" s="289"/>
      <c r="Q1438" s="245"/>
      <c r="R1438" s="289">
        <f>2*(1*3)</f>
        <v>6</v>
      </c>
      <c r="S1438" s="257">
        <f>INT($G1438*R1438*100+0.5)/100</f>
        <v>508.56</v>
      </c>
      <c r="T1438" s="257"/>
      <c r="U1438" s="257"/>
      <c r="V1438" s="289"/>
      <c r="W1438" s="245"/>
      <c r="X1438" s="289"/>
      <c r="Y1438" s="245"/>
      <c r="Z1438" s="289"/>
      <c r="AA1438" s="245"/>
      <c r="AB1438" s="289"/>
      <c r="AC1438" s="245"/>
    </row>
    <row r="1439" spans="1:29" s="454" customFormat="1" ht="15">
      <c r="A1439" s="284"/>
      <c r="B1439" s="237"/>
      <c r="C1439" s="892" t="s">
        <v>2660</v>
      </c>
      <c r="D1439" s="238" t="s">
        <v>2792</v>
      </c>
      <c r="E1439" s="237" t="s">
        <v>2660</v>
      </c>
      <c r="F1439" s="733"/>
      <c r="G1439" s="849" t="s">
        <v>2660</v>
      </c>
      <c r="H1439" s="243"/>
      <c r="I1439" s="237" t="s">
        <v>2660</v>
      </c>
      <c r="J1439" s="243"/>
      <c r="K1439" s="243"/>
      <c r="L1439" s="243"/>
      <c r="M1439" s="243"/>
      <c r="N1439" s="289"/>
      <c r="O1439" s="245"/>
      <c r="P1439" s="289"/>
      <c r="Q1439" s="245"/>
      <c r="R1439" s="289"/>
      <c r="S1439" s="257"/>
      <c r="T1439" s="257"/>
      <c r="U1439" s="257"/>
      <c r="V1439" s="289"/>
      <c r="W1439" s="245"/>
      <c r="X1439" s="289"/>
      <c r="Y1439" s="245"/>
      <c r="Z1439" s="289"/>
      <c r="AA1439" s="245"/>
      <c r="AB1439" s="289"/>
      <c r="AC1439" s="245"/>
    </row>
    <row r="1440" spans="1:29" s="454" customFormat="1" ht="15">
      <c r="A1440" s="284"/>
      <c r="B1440" s="237"/>
      <c r="C1440" s="892" t="s">
        <v>2660</v>
      </c>
      <c r="D1440" s="238" t="s">
        <v>2660</v>
      </c>
      <c r="E1440" s="237" t="s">
        <v>2660</v>
      </c>
      <c r="F1440" s="733"/>
      <c r="G1440" s="849" t="s">
        <v>2660</v>
      </c>
      <c r="H1440" s="243"/>
      <c r="I1440" s="237" t="s">
        <v>2660</v>
      </c>
      <c r="J1440" s="243"/>
      <c r="K1440" s="243"/>
      <c r="L1440" s="243"/>
      <c r="M1440" s="243"/>
      <c r="N1440" s="289"/>
      <c r="O1440" s="245"/>
      <c r="P1440" s="289"/>
      <c r="Q1440" s="245"/>
      <c r="R1440" s="289"/>
      <c r="S1440" s="257"/>
      <c r="T1440" s="257"/>
      <c r="U1440" s="257"/>
      <c r="V1440" s="289"/>
      <c r="W1440" s="245"/>
      <c r="X1440" s="289"/>
      <c r="Y1440" s="245"/>
      <c r="Z1440" s="289"/>
      <c r="AA1440" s="245"/>
      <c r="AB1440" s="289"/>
      <c r="AC1440" s="245"/>
    </row>
    <row r="1441" spans="1:29" s="454" customFormat="1" ht="15">
      <c r="A1441" s="284">
        <f>A1438+1</f>
        <v>280</v>
      </c>
      <c r="B1441" s="237"/>
      <c r="C1441" s="892" t="s">
        <v>3441</v>
      </c>
      <c r="D1441" s="238" t="s">
        <v>2793</v>
      </c>
      <c r="E1441" s="237" t="s">
        <v>1901</v>
      </c>
      <c r="F1441" s="735">
        <f>N1441+R1441+P1441+T1441+V1441+X1441+Z1441+AB1441</f>
        <v>12</v>
      </c>
      <c r="G1441" s="849">
        <v>93.2</v>
      </c>
      <c r="H1441" s="261">
        <f>O1441+S1441+Q1441+U1441+W1441+Y1441+AA1441+AC1441</f>
        <v>1118.4000000000001</v>
      </c>
      <c r="I1441" s="237" t="s">
        <v>1901</v>
      </c>
      <c r="J1441" s="243"/>
      <c r="K1441" s="243"/>
      <c r="L1441" s="243"/>
      <c r="M1441" s="243"/>
      <c r="N1441" s="289"/>
      <c r="O1441" s="245"/>
      <c r="P1441" s="289"/>
      <c r="Q1441" s="245"/>
      <c r="R1441" s="289">
        <f>2*(1*6)</f>
        <v>12</v>
      </c>
      <c r="S1441" s="257">
        <f>INT($G1441*R1441*100+0.5)/100</f>
        <v>1118.4000000000001</v>
      </c>
      <c r="T1441" s="257"/>
      <c r="U1441" s="257"/>
      <c r="V1441" s="289"/>
      <c r="W1441" s="245"/>
      <c r="X1441" s="289"/>
      <c r="Y1441" s="245"/>
      <c r="Z1441" s="289"/>
      <c r="AA1441" s="245"/>
      <c r="AB1441" s="289"/>
      <c r="AC1441" s="245"/>
    </row>
    <row r="1442" spans="1:29" s="454" customFormat="1" ht="15">
      <c r="A1442" s="284"/>
      <c r="B1442" s="237"/>
      <c r="C1442" s="892" t="s">
        <v>2660</v>
      </c>
      <c r="D1442" s="238" t="s">
        <v>2794</v>
      </c>
      <c r="E1442" s="237" t="s">
        <v>2660</v>
      </c>
      <c r="F1442" s="733"/>
      <c r="G1442" s="849" t="s">
        <v>2660</v>
      </c>
      <c r="H1442" s="243"/>
      <c r="I1442" s="237" t="s">
        <v>2660</v>
      </c>
      <c r="J1442" s="243"/>
      <c r="K1442" s="243"/>
      <c r="L1442" s="243"/>
      <c r="M1442" s="243"/>
      <c r="N1442" s="289"/>
      <c r="O1442" s="245"/>
      <c r="P1442" s="289"/>
      <c r="Q1442" s="245"/>
      <c r="R1442" s="289"/>
      <c r="S1442" s="257"/>
      <c r="T1442" s="257"/>
      <c r="U1442" s="257"/>
      <c r="V1442" s="289"/>
      <c r="W1442" s="245"/>
      <c r="X1442" s="289"/>
      <c r="Y1442" s="245"/>
      <c r="Z1442" s="289"/>
      <c r="AA1442" s="245"/>
      <c r="AB1442" s="289"/>
      <c r="AC1442" s="245"/>
    </row>
    <row r="1443" spans="1:29" s="454" customFormat="1" ht="15">
      <c r="A1443" s="284"/>
      <c r="B1443" s="237"/>
      <c r="C1443" s="892" t="s">
        <v>2660</v>
      </c>
      <c r="D1443" s="238" t="s">
        <v>2660</v>
      </c>
      <c r="E1443" s="237" t="s">
        <v>2660</v>
      </c>
      <c r="F1443" s="733"/>
      <c r="G1443" s="849" t="s">
        <v>2660</v>
      </c>
      <c r="H1443" s="243"/>
      <c r="I1443" s="237" t="s">
        <v>2660</v>
      </c>
      <c r="J1443" s="243"/>
      <c r="K1443" s="243"/>
      <c r="L1443" s="243"/>
      <c r="M1443" s="243"/>
      <c r="N1443" s="289"/>
      <c r="O1443" s="245"/>
      <c r="P1443" s="289"/>
      <c r="Q1443" s="245"/>
      <c r="R1443" s="289"/>
      <c r="S1443" s="257"/>
      <c r="T1443" s="257"/>
      <c r="U1443" s="257"/>
      <c r="V1443" s="289"/>
      <c r="W1443" s="245"/>
      <c r="X1443" s="289"/>
      <c r="Y1443" s="245"/>
      <c r="Z1443" s="289"/>
      <c r="AA1443" s="245"/>
      <c r="AB1443" s="289"/>
      <c r="AC1443" s="245"/>
    </row>
    <row r="1444" spans="1:29" s="454" customFormat="1" ht="15">
      <c r="A1444" s="284">
        <f>A1441+1</f>
        <v>281</v>
      </c>
      <c r="B1444" s="237"/>
      <c r="C1444" s="892" t="s">
        <v>3442</v>
      </c>
      <c r="D1444" s="238" t="s">
        <v>2795</v>
      </c>
      <c r="E1444" s="237" t="s">
        <v>1901</v>
      </c>
      <c r="F1444" s="735">
        <f>N1444+R1444+P1444+T1444+V1444+X1444+Z1444+AB1444</f>
        <v>8</v>
      </c>
      <c r="G1444" s="849">
        <v>104.46</v>
      </c>
      <c r="H1444" s="261">
        <f>O1444+S1444+Q1444+U1444+W1444+Y1444+AA1444+AC1444</f>
        <v>835.68</v>
      </c>
      <c r="I1444" s="237" t="s">
        <v>1901</v>
      </c>
      <c r="J1444" s="243"/>
      <c r="K1444" s="243"/>
      <c r="L1444" s="243"/>
      <c r="M1444" s="243"/>
      <c r="N1444" s="289"/>
      <c r="O1444" s="245"/>
      <c r="P1444" s="289"/>
      <c r="Q1444" s="245"/>
      <c r="R1444" s="289">
        <f>2*(2+2)</f>
        <v>8</v>
      </c>
      <c r="S1444" s="257">
        <f>INT($G1444*R1444*100+0.5)/100</f>
        <v>835.68</v>
      </c>
      <c r="T1444" s="257"/>
      <c r="U1444" s="257"/>
      <c r="V1444" s="289"/>
      <c r="W1444" s="245"/>
      <c r="X1444" s="289"/>
      <c r="Y1444" s="245"/>
      <c r="Z1444" s="289"/>
      <c r="AA1444" s="245"/>
      <c r="AB1444" s="289"/>
      <c r="AC1444" s="245"/>
    </row>
    <row r="1445" spans="1:29" s="454" customFormat="1" ht="15">
      <c r="A1445" s="284"/>
      <c r="B1445" s="237"/>
      <c r="C1445" s="892" t="s">
        <v>2660</v>
      </c>
      <c r="D1445" s="238" t="s">
        <v>2796</v>
      </c>
      <c r="E1445" s="237" t="s">
        <v>2660</v>
      </c>
      <c r="F1445" s="733"/>
      <c r="G1445" s="849" t="s">
        <v>2660</v>
      </c>
      <c r="H1445" s="243"/>
      <c r="I1445" s="237" t="s">
        <v>2660</v>
      </c>
      <c r="J1445" s="243"/>
      <c r="K1445" s="243"/>
      <c r="L1445" s="243"/>
      <c r="M1445" s="243"/>
      <c r="N1445" s="289"/>
      <c r="O1445" s="245"/>
      <c r="P1445" s="289"/>
      <c r="Q1445" s="245"/>
      <c r="R1445" s="289"/>
      <c r="S1445" s="257"/>
      <c r="T1445" s="257"/>
      <c r="U1445" s="257"/>
      <c r="V1445" s="289"/>
      <c r="W1445" s="245"/>
      <c r="X1445" s="289"/>
      <c r="Y1445" s="245"/>
      <c r="Z1445" s="289"/>
      <c r="AA1445" s="245"/>
      <c r="AB1445" s="289"/>
      <c r="AC1445" s="245"/>
    </row>
    <row r="1446" spans="1:29" s="454" customFormat="1" ht="15">
      <c r="A1446" s="284"/>
      <c r="B1446" s="237"/>
      <c r="C1446" s="892" t="s">
        <v>2660</v>
      </c>
      <c r="D1446" s="238" t="s">
        <v>2660</v>
      </c>
      <c r="E1446" s="237" t="s">
        <v>2660</v>
      </c>
      <c r="F1446" s="733"/>
      <c r="G1446" s="849" t="s">
        <v>2660</v>
      </c>
      <c r="H1446" s="243"/>
      <c r="I1446" s="237" t="s">
        <v>2660</v>
      </c>
      <c r="J1446" s="243"/>
      <c r="K1446" s="243"/>
      <c r="L1446" s="243"/>
      <c r="M1446" s="243"/>
      <c r="N1446" s="289"/>
      <c r="O1446" s="245"/>
      <c r="P1446" s="289"/>
      <c r="Q1446" s="245"/>
      <c r="R1446" s="289"/>
      <c r="S1446" s="257"/>
      <c r="T1446" s="257"/>
      <c r="U1446" s="257"/>
      <c r="V1446" s="289"/>
      <c r="W1446" s="245"/>
      <c r="X1446" s="289"/>
      <c r="Y1446" s="245"/>
      <c r="Z1446" s="289"/>
      <c r="AA1446" s="245"/>
      <c r="AB1446" s="289"/>
      <c r="AC1446" s="245"/>
    </row>
    <row r="1447" spans="1:29" s="454" customFormat="1" ht="15">
      <c r="A1447" s="284">
        <f>A1444+1</f>
        <v>282</v>
      </c>
      <c r="B1447" s="237"/>
      <c r="C1447" s="892" t="s">
        <v>3443</v>
      </c>
      <c r="D1447" s="238" t="s">
        <v>2797</v>
      </c>
      <c r="E1447" s="237" t="s">
        <v>1901</v>
      </c>
      <c r="F1447" s="735">
        <f>N1447+R1447+P1447+T1447+V1447+X1447+Z1447+AB1447</f>
        <v>4</v>
      </c>
      <c r="G1447" s="849">
        <v>141.02000000000001</v>
      </c>
      <c r="H1447" s="261">
        <f>O1447+S1447+Q1447+U1447+W1447+Y1447+AA1447+AC1447</f>
        <v>564.08000000000004</v>
      </c>
      <c r="I1447" s="237" t="s">
        <v>1901</v>
      </c>
      <c r="J1447" s="243"/>
      <c r="K1447" s="243"/>
      <c r="L1447" s="243"/>
      <c r="M1447" s="243"/>
      <c r="N1447" s="289"/>
      <c r="O1447" s="245"/>
      <c r="P1447" s="289"/>
      <c r="Q1447" s="245"/>
      <c r="R1447" s="289">
        <f>2*2</f>
        <v>4</v>
      </c>
      <c r="S1447" s="257">
        <f>INT($G1447*R1447*100+0.5)/100</f>
        <v>564.08000000000004</v>
      </c>
      <c r="T1447" s="257"/>
      <c r="U1447" s="257"/>
      <c r="V1447" s="289"/>
      <c r="W1447" s="245"/>
      <c r="X1447" s="289"/>
      <c r="Y1447" s="245"/>
      <c r="Z1447" s="289"/>
      <c r="AA1447" s="245"/>
      <c r="AB1447" s="289"/>
      <c r="AC1447" s="245"/>
    </row>
    <row r="1448" spans="1:29" s="454" customFormat="1" ht="15">
      <c r="A1448" s="284"/>
      <c r="B1448" s="237"/>
      <c r="C1448" s="892" t="s">
        <v>2660</v>
      </c>
      <c r="D1448" s="238" t="s">
        <v>2798</v>
      </c>
      <c r="E1448" s="237" t="s">
        <v>2660</v>
      </c>
      <c r="F1448" s="733"/>
      <c r="G1448" s="849" t="s">
        <v>2660</v>
      </c>
      <c r="H1448" s="243"/>
      <c r="I1448" s="237" t="s">
        <v>2660</v>
      </c>
      <c r="J1448" s="243"/>
      <c r="K1448" s="243"/>
      <c r="L1448" s="243"/>
      <c r="M1448" s="243"/>
      <c r="N1448" s="289"/>
      <c r="O1448" s="245"/>
      <c r="P1448" s="289"/>
      <c r="Q1448" s="245"/>
      <c r="R1448" s="289"/>
      <c r="S1448" s="257"/>
      <c r="T1448" s="257"/>
      <c r="U1448" s="257"/>
      <c r="V1448" s="289"/>
      <c r="W1448" s="245"/>
      <c r="X1448" s="289"/>
      <c r="Y1448" s="245"/>
      <c r="Z1448" s="289"/>
      <c r="AA1448" s="245"/>
      <c r="AB1448" s="289"/>
      <c r="AC1448" s="245"/>
    </row>
    <row r="1449" spans="1:29" s="454" customFormat="1" ht="15">
      <c r="A1449" s="284"/>
      <c r="B1449" s="237"/>
      <c r="C1449" s="892" t="s">
        <v>2660</v>
      </c>
      <c r="D1449" s="238" t="s">
        <v>2660</v>
      </c>
      <c r="E1449" s="237" t="s">
        <v>2660</v>
      </c>
      <c r="F1449" s="733"/>
      <c r="G1449" s="849" t="s">
        <v>2660</v>
      </c>
      <c r="H1449" s="243"/>
      <c r="I1449" s="237" t="s">
        <v>2660</v>
      </c>
      <c r="J1449" s="243"/>
      <c r="K1449" s="243"/>
      <c r="L1449" s="243"/>
      <c r="M1449" s="243"/>
      <c r="N1449" s="289"/>
      <c r="O1449" s="245"/>
      <c r="P1449" s="289"/>
      <c r="Q1449" s="245"/>
      <c r="R1449" s="289"/>
      <c r="S1449" s="257"/>
      <c r="T1449" s="257"/>
      <c r="U1449" s="257"/>
      <c r="V1449" s="289"/>
      <c r="W1449" s="245"/>
      <c r="X1449" s="289"/>
      <c r="Y1449" s="245"/>
      <c r="Z1449" s="289"/>
      <c r="AA1449" s="245"/>
      <c r="AB1449" s="289"/>
      <c r="AC1449" s="245"/>
    </row>
    <row r="1450" spans="1:29" s="454" customFormat="1" ht="15">
      <c r="A1450" s="284">
        <f>A1447+1</f>
        <v>283</v>
      </c>
      <c r="B1450" s="237"/>
      <c r="C1450" s="892" t="s">
        <v>3444</v>
      </c>
      <c r="D1450" s="238" t="s">
        <v>2799</v>
      </c>
      <c r="E1450" s="237" t="s">
        <v>1901</v>
      </c>
      <c r="F1450" s="735">
        <f>N1450+R1450+P1450+T1450+V1450+X1450+Z1450+AB1450</f>
        <v>8</v>
      </c>
      <c r="G1450" s="849">
        <v>196.63</v>
      </c>
      <c r="H1450" s="261">
        <f>O1450+S1450+Q1450+U1450+W1450+Y1450+AA1450+AC1450</f>
        <v>1573.04</v>
      </c>
      <c r="I1450" s="237" t="s">
        <v>1901</v>
      </c>
      <c r="J1450" s="243"/>
      <c r="K1450" s="243"/>
      <c r="L1450" s="243"/>
      <c r="M1450" s="243"/>
      <c r="N1450" s="289"/>
      <c r="O1450" s="245"/>
      <c r="P1450" s="289"/>
      <c r="Q1450" s="245"/>
      <c r="R1450" s="289">
        <f>2*(2+2)</f>
        <v>8</v>
      </c>
      <c r="S1450" s="257">
        <f>INT($G1450*R1450*100+0.5)/100</f>
        <v>1573.04</v>
      </c>
      <c r="T1450" s="257"/>
      <c r="U1450" s="257"/>
      <c r="V1450" s="289"/>
      <c r="W1450" s="245"/>
      <c r="X1450" s="289"/>
      <c r="Y1450" s="245"/>
      <c r="Z1450" s="289"/>
      <c r="AA1450" s="245"/>
      <c r="AB1450" s="289"/>
      <c r="AC1450" s="245"/>
    </row>
    <row r="1451" spans="1:29" s="454" customFormat="1" ht="15">
      <c r="A1451" s="284"/>
      <c r="B1451" s="237"/>
      <c r="C1451" s="892" t="s">
        <v>2660</v>
      </c>
      <c r="D1451" s="238" t="s">
        <v>2800</v>
      </c>
      <c r="E1451" s="237" t="s">
        <v>2660</v>
      </c>
      <c r="F1451" s="733"/>
      <c r="G1451" s="849" t="s">
        <v>2660</v>
      </c>
      <c r="H1451" s="243"/>
      <c r="I1451" s="237" t="s">
        <v>2660</v>
      </c>
      <c r="J1451" s="243"/>
      <c r="K1451" s="243"/>
      <c r="L1451" s="243"/>
      <c r="M1451" s="243"/>
      <c r="N1451" s="289"/>
      <c r="O1451" s="245"/>
      <c r="P1451" s="289"/>
      <c r="Q1451" s="245"/>
      <c r="R1451" s="289"/>
      <c r="S1451" s="257"/>
      <c r="T1451" s="257"/>
      <c r="U1451" s="257"/>
      <c r="V1451" s="289"/>
      <c r="W1451" s="245"/>
      <c r="X1451" s="289"/>
      <c r="Y1451" s="245"/>
      <c r="Z1451" s="289"/>
      <c r="AA1451" s="245"/>
      <c r="AB1451" s="289"/>
      <c r="AC1451" s="245"/>
    </row>
    <row r="1452" spans="1:29" s="454" customFormat="1" ht="15">
      <c r="A1452" s="284"/>
      <c r="B1452" s="237"/>
      <c r="C1452" s="892" t="s">
        <v>2660</v>
      </c>
      <c r="D1452" s="238" t="s">
        <v>2660</v>
      </c>
      <c r="E1452" s="237" t="s">
        <v>2660</v>
      </c>
      <c r="F1452" s="733"/>
      <c r="G1452" s="849" t="s">
        <v>2660</v>
      </c>
      <c r="H1452" s="243"/>
      <c r="I1452" s="237" t="s">
        <v>2660</v>
      </c>
      <c r="J1452" s="243"/>
      <c r="K1452" s="243"/>
      <c r="L1452" s="243"/>
      <c r="M1452" s="243"/>
      <c r="N1452" s="289"/>
      <c r="O1452" s="245"/>
      <c r="P1452" s="289"/>
      <c r="Q1452" s="245"/>
      <c r="R1452" s="289"/>
      <c r="S1452" s="257"/>
      <c r="T1452" s="257"/>
      <c r="U1452" s="257"/>
      <c r="V1452" s="289"/>
      <c r="W1452" s="245"/>
      <c r="X1452" s="289"/>
      <c r="Y1452" s="245"/>
      <c r="Z1452" s="289"/>
      <c r="AA1452" s="245"/>
      <c r="AB1452" s="289"/>
      <c r="AC1452" s="245"/>
    </row>
    <row r="1453" spans="1:29" s="454" customFormat="1" ht="15">
      <c r="A1453" s="284">
        <f>A1450+1</f>
        <v>284</v>
      </c>
      <c r="B1453" s="237"/>
      <c r="C1453" s="892" t="s">
        <v>3445</v>
      </c>
      <c r="D1453" s="238" t="s">
        <v>2801</v>
      </c>
      <c r="E1453" s="237" t="s">
        <v>1901</v>
      </c>
      <c r="F1453" s="735">
        <f>N1453+R1453+P1453+T1453+V1453+X1453+Z1453+AB1453</f>
        <v>8</v>
      </c>
      <c r="G1453" s="849">
        <v>247.5</v>
      </c>
      <c r="H1453" s="261">
        <f>O1453+S1453+Q1453+U1453+W1453+Y1453+AA1453+AC1453</f>
        <v>1980</v>
      </c>
      <c r="I1453" s="237" t="s">
        <v>1901</v>
      </c>
      <c r="J1453" s="243"/>
      <c r="K1453" s="243"/>
      <c r="L1453" s="243"/>
      <c r="M1453" s="243"/>
      <c r="N1453" s="289"/>
      <c r="O1453" s="245"/>
      <c r="P1453" s="289"/>
      <c r="Q1453" s="245"/>
      <c r="R1453" s="289">
        <f>2*(2+2)</f>
        <v>8</v>
      </c>
      <c r="S1453" s="257">
        <f>INT($G1453*R1453*100+0.5)/100</f>
        <v>1980</v>
      </c>
      <c r="T1453" s="257"/>
      <c r="U1453" s="257"/>
      <c r="V1453" s="289"/>
      <c r="W1453" s="245"/>
      <c r="X1453" s="289"/>
      <c r="Y1453" s="245"/>
      <c r="Z1453" s="289"/>
      <c r="AA1453" s="245"/>
      <c r="AB1453" s="289"/>
      <c r="AC1453" s="245"/>
    </row>
    <row r="1454" spans="1:29" s="454" customFormat="1" ht="15">
      <c r="A1454" s="284"/>
      <c r="B1454" s="237"/>
      <c r="C1454" s="892" t="s">
        <v>2660</v>
      </c>
      <c r="D1454" s="238" t="s">
        <v>2802</v>
      </c>
      <c r="E1454" s="237" t="s">
        <v>2660</v>
      </c>
      <c r="F1454" s="733"/>
      <c r="G1454" s="849" t="s">
        <v>2660</v>
      </c>
      <c r="H1454" s="243"/>
      <c r="I1454" s="237" t="s">
        <v>2660</v>
      </c>
      <c r="J1454" s="243"/>
      <c r="K1454" s="243"/>
      <c r="L1454" s="243"/>
      <c r="M1454" s="243"/>
      <c r="N1454" s="289"/>
      <c r="O1454" s="245"/>
      <c r="P1454" s="289"/>
      <c r="Q1454" s="245"/>
      <c r="R1454" s="289"/>
      <c r="S1454" s="257"/>
      <c r="T1454" s="257"/>
      <c r="U1454" s="257"/>
      <c r="V1454" s="289"/>
      <c r="W1454" s="245"/>
      <c r="X1454" s="289"/>
      <c r="Y1454" s="245"/>
      <c r="Z1454" s="289"/>
      <c r="AA1454" s="245"/>
      <c r="AB1454" s="289"/>
      <c r="AC1454" s="245"/>
    </row>
    <row r="1455" spans="1:29" s="454" customFormat="1" ht="15">
      <c r="A1455" s="284"/>
      <c r="B1455" s="237"/>
      <c r="C1455" s="892" t="s">
        <v>2660</v>
      </c>
      <c r="D1455" s="238" t="s">
        <v>2660</v>
      </c>
      <c r="E1455" s="237" t="s">
        <v>2660</v>
      </c>
      <c r="F1455" s="733"/>
      <c r="G1455" s="849" t="s">
        <v>2660</v>
      </c>
      <c r="H1455" s="243"/>
      <c r="I1455" s="237" t="s">
        <v>2660</v>
      </c>
      <c r="J1455" s="243"/>
      <c r="K1455" s="243"/>
      <c r="L1455" s="243"/>
      <c r="M1455" s="243"/>
      <c r="N1455" s="289"/>
      <c r="O1455" s="245"/>
      <c r="P1455" s="289"/>
      <c r="Q1455" s="245"/>
      <c r="R1455" s="289"/>
      <c r="S1455" s="257"/>
      <c r="T1455" s="257"/>
      <c r="U1455" s="257"/>
      <c r="V1455" s="289"/>
      <c r="W1455" s="245"/>
      <c r="X1455" s="289"/>
      <c r="Y1455" s="245"/>
      <c r="Z1455" s="289"/>
      <c r="AA1455" s="245"/>
      <c r="AB1455" s="289"/>
      <c r="AC1455" s="245"/>
    </row>
    <row r="1456" spans="1:29" s="454" customFormat="1" ht="25.5">
      <c r="A1456" s="284"/>
      <c r="B1456" s="237"/>
      <c r="C1456" s="892" t="s">
        <v>3446</v>
      </c>
      <c r="D1456" s="238" t="s">
        <v>2803</v>
      </c>
      <c r="E1456" s="237" t="s">
        <v>2660</v>
      </c>
      <c r="F1456" s="733"/>
      <c r="G1456" s="849" t="s">
        <v>2660</v>
      </c>
      <c r="H1456" s="243"/>
      <c r="I1456" s="237" t="s">
        <v>2660</v>
      </c>
      <c r="J1456" s="243"/>
      <c r="K1456" s="243"/>
      <c r="L1456" s="243"/>
      <c r="M1456" s="243"/>
      <c r="N1456" s="289"/>
      <c r="O1456" s="245"/>
      <c r="P1456" s="289"/>
      <c r="Q1456" s="245"/>
      <c r="R1456" s="289"/>
      <c r="S1456" s="257"/>
      <c r="T1456" s="257"/>
      <c r="U1456" s="257"/>
      <c r="V1456" s="289"/>
      <c r="W1456" s="245"/>
      <c r="X1456" s="289"/>
      <c r="Y1456" s="245"/>
      <c r="Z1456" s="289"/>
      <c r="AA1456" s="245"/>
      <c r="AB1456" s="289"/>
      <c r="AC1456" s="245"/>
    </row>
    <row r="1457" spans="1:29" s="454" customFormat="1" ht="25.5">
      <c r="A1457" s="284"/>
      <c r="B1457" s="237"/>
      <c r="C1457" s="892"/>
      <c r="D1457" s="238" t="s">
        <v>2804</v>
      </c>
      <c r="E1457" s="237"/>
      <c r="F1457" s="733"/>
      <c r="G1457" s="849"/>
      <c r="H1457" s="243"/>
      <c r="I1457" s="237"/>
      <c r="J1457" s="243"/>
      <c r="K1457" s="243"/>
      <c r="L1457" s="243"/>
      <c r="M1457" s="243"/>
      <c r="N1457" s="289"/>
      <c r="O1457" s="245"/>
      <c r="P1457" s="289"/>
      <c r="Q1457" s="245"/>
      <c r="R1457" s="289"/>
      <c r="S1457" s="257"/>
      <c r="T1457" s="257"/>
      <c r="U1457" s="257"/>
      <c r="V1457" s="289"/>
      <c r="W1457" s="245"/>
      <c r="X1457" s="289"/>
      <c r="Y1457" s="245"/>
      <c r="Z1457" s="289"/>
      <c r="AA1457" s="245"/>
      <c r="AB1457" s="289"/>
      <c r="AC1457" s="245"/>
    </row>
    <row r="1458" spans="1:29" s="454" customFormat="1" ht="15">
      <c r="A1458" s="284">
        <f>A1453+1</f>
        <v>285</v>
      </c>
      <c r="B1458" s="237"/>
      <c r="C1458" s="892" t="s">
        <v>3447</v>
      </c>
      <c r="D1458" s="238" t="s">
        <v>2806</v>
      </c>
      <c r="E1458" s="237" t="s">
        <v>1901</v>
      </c>
      <c r="F1458" s="735">
        <f>N1458+R1458+P1458+T1458+V1458+X1458+Z1458+AB1458</f>
        <v>2</v>
      </c>
      <c r="G1458" s="849">
        <v>169.25</v>
      </c>
      <c r="H1458" s="261">
        <f>O1458+S1458+Q1458+U1458+W1458+Y1458+AA1458+AC1458</f>
        <v>338.5</v>
      </c>
      <c r="I1458" s="237" t="s">
        <v>1901</v>
      </c>
      <c r="J1458" s="243"/>
      <c r="K1458" s="243"/>
      <c r="L1458" s="243"/>
      <c r="M1458" s="243"/>
      <c r="N1458" s="289"/>
      <c r="O1458" s="245"/>
      <c r="P1458" s="289"/>
      <c r="Q1458" s="245"/>
      <c r="R1458" s="289">
        <v>2</v>
      </c>
      <c r="S1458" s="257">
        <f>INT($G1458*R1458*100+0.5)/100</f>
        <v>338.5</v>
      </c>
      <c r="T1458" s="257"/>
      <c r="U1458" s="257"/>
      <c r="V1458" s="289"/>
      <c r="W1458" s="245"/>
      <c r="X1458" s="289"/>
      <c r="Y1458" s="245"/>
      <c r="Z1458" s="289"/>
      <c r="AA1458" s="245"/>
      <c r="AB1458" s="289"/>
      <c r="AC1458" s="245"/>
    </row>
    <row r="1459" spans="1:29" s="454" customFormat="1" ht="15">
      <c r="A1459" s="284"/>
      <c r="B1459" s="237"/>
      <c r="C1459" s="892" t="s">
        <v>2660</v>
      </c>
      <c r="D1459" s="238" t="s">
        <v>2805</v>
      </c>
      <c r="E1459" s="237" t="s">
        <v>2660</v>
      </c>
      <c r="F1459" s="733"/>
      <c r="G1459" s="849" t="s">
        <v>2660</v>
      </c>
      <c r="H1459" s="243"/>
      <c r="I1459" s="237" t="s">
        <v>2660</v>
      </c>
      <c r="J1459" s="243"/>
      <c r="K1459" s="243"/>
      <c r="L1459" s="243"/>
      <c r="M1459" s="243"/>
      <c r="N1459" s="289"/>
      <c r="O1459" s="245"/>
      <c r="P1459" s="289"/>
      <c r="Q1459" s="245"/>
      <c r="R1459" s="289"/>
      <c r="S1459" s="257"/>
      <c r="T1459" s="257"/>
      <c r="U1459" s="257"/>
      <c r="V1459" s="289"/>
      <c r="W1459" s="245"/>
      <c r="X1459" s="289"/>
      <c r="Y1459" s="245"/>
      <c r="Z1459" s="289"/>
      <c r="AA1459" s="245"/>
      <c r="AB1459" s="289"/>
      <c r="AC1459" s="245"/>
    </row>
    <row r="1460" spans="1:29" s="454" customFormat="1" ht="15">
      <c r="A1460" s="284"/>
      <c r="B1460" s="237"/>
      <c r="C1460" s="892" t="s">
        <v>2660</v>
      </c>
      <c r="D1460" s="238" t="s">
        <v>2660</v>
      </c>
      <c r="E1460" s="237" t="s">
        <v>2660</v>
      </c>
      <c r="F1460" s="733"/>
      <c r="G1460" s="849" t="s">
        <v>2660</v>
      </c>
      <c r="H1460" s="243"/>
      <c r="I1460" s="237" t="s">
        <v>2660</v>
      </c>
      <c r="J1460" s="243"/>
      <c r="K1460" s="243"/>
      <c r="L1460" s="243"/>
      <c r="M1460" s="243"/>
      <c r="N1460" s="289"/>
      <c r="O1460" s="245"/>
      <c r="P1460" s="289"/>
      <c r="Q1460" s="245"/>
      <c r="R1460" s="289"/>
      <c r="S1460" s="257"/>
      <c r="T1460" s="257"/>
      <c r="U1460" s="257"/>
      <c r="V1460" s="289"/>
      <c r="W1460" s="245"/>
      <c r="X1460" s="289"/>
      <c r="Y1460" s="245"/>
      <c r="Z1460" s="289"/>
      <c r="AA1460" s="245"/>
      <c r="AB1460" s="289"/>
      <c r="AC1460" s="245"/>
    </row>
    <row r="1461" spans="1:29" s="454" customFormat="1" ht="15">
      <c r="A1461" s="284">
        <f>A1458+1</f>
        <v>286</v>
      </c>
      <c r="B1461" s="237"/>
      <c r="C1461" s="892" t="s">
        <v>3448</v>
      </c>
      <c r="D1461" s="238" t="s">
        <v>2807</v>
      </c>
      <c r="E1461" s="237" t="s">
        <v>1901</v>
      </c>
      <c r="F1461" s="735">
        <f>N1461+R1461+P1461+T1461+V1461+X1461+Z1461+AB1461</f>
        <v>4</v>
      </c>
      <c r="G1461" s="849">
        <v>153.78</v>
      </c>
      <c r="H1461" s="261">
        <f>O1461+S1461+Q1461+U1461+W1461+Y1461+AA1461+AC1461</f>
        <v>615.12</v>
      </c>
      <c r="I1461" s="237" t="s">
        <v>1901</v>
      </c>
      <c r="J1461" s="243"/>
      <c r="K1461" s="243"/>
      <c r="L1461" s="243"/>
      <c r="M1461" s="243"/>
      <c r="N1461" s="289"/>
      <c r="O1461" s="245"/>
      <c r="P1461" s="289"/>
      <c r="Q1461" s="245"/>
      <c r="R1461" s="289">
        <f>2+2</f>
        <v>4</v>
      </c>
      <c r="S1461" s="257">
        <f>INT($G1461*R1461*100+0.5)/100</f>
        <v>615.12</v>
      </c>
      <c r="T1461" s="257"/>
      <c r="U1461" s="257"/>
      <c r="V1461" s="289"/>
      <c r="W1461" s="245"/>
      <c r="X1461" s="289"/>
      <c r="Y1461" s="245"/>
      <c r="Z1461" s="289"/>
      <c r="AA1461" s="245"/>
      <c r="AB1461" s="289"/>
      <c r="AC1461" s="245"/>
    </row>
    <row r="1462" spans="1:29" s="454" customFormat="1" ht="15">
      <c r="A1462" s="284"/>
      <c r="B1462" s="237"/>
      <c r="C1462" s="892" t="s">
        <v>2660</v>
      </c>
      <c r="D1462" s="238" t="s">
        <v>2808</v>
      </c>
      <c r="E1462" s="237" t="s">
        <v>2660</v>
      </c>
      <c r="F1462" s="733"/>
      <c r="G1462" s="849" t="s">
        <v>2660</v>
      </c>
      <c r="H1462" s="243"/>
      <c r="I1462" s="237" t="s">
        <v>2660</v>
      </c>
      <c r="J1462" s="243"/>
      <c r="K1462" s="243"/>
      <c r="L1462" s="243"/>
      <c r="M1462" s="243"/>
      <c r="N1462" s="289"/>
      <c r="O1462" s="245"/>
      <c r="P1462" s="289"/>
      <c r="Q1462" s="245"/>
      <c r="R1462" s="289"/>
      <c r="S1462" s="257"/>
      <c r="T1462" s="257"/>
      <c r="U1462" s="257"/>
      <c r="V1462" s="289"/>
      <c r="W1462" s="245"/>
      <c r="X1462" s="289"/>
      <c r="Y1462" s="245"/>
      <c r="Z1462" s="289"/>
      <c r="AA1462" s="245"/>
      <c r="AB1462" s="289"/>
      <c r="AC1462" s="245"/>
    </row>
    <row r="1463" spans="1:29" s="454" customFormat="1" ht="15">
      <c r="A1463" s="284"/>
      <c r="B1463" s="237"/>
      <c r="C1463" s="892" t="s">
        <v>2660</v>
      </c>
      <c r="D1463" s="238" t="s">
        <v>2660</v>
      </c>
      <c r="E1463" s="237" t="s">
        <v>2660</v>
      </c>
      <c r="F1463" s="733"/>
      <c r="G1463" s="849" t="s">
        <v>2660</v>
      </c>
      <c r="H1463" s="243"/>
      <c r="I1463" s="237" t="s">
        <v>2660</v>
      </c>
      <c r="J1463" s="243"/>
      <c r="K1463" s="243"/>
      <c r="L1463" s="243"/>
      <c r="M1463" s="243"/>
      <c r="N1463" s="289"/>
      <c r="O1463" s="245"/>
      <c r="P1463" s="289"/>
      <c r="Q1463" s="245"/>
      <c r="R1463" s="289"/>
      <c r="S1463" s="257"/>
      <c r="T1463" s="257"/>
      <c r="U1463" s="257"/>
      <c r="V1463" s="289"/>
      <c r="W1463" s="245"/>
      <c r="X1463" s="289"/>
      <c r="Y1463" s="245"/>
      <c r="Z1463" s="289"/>
      <c r="AA1463" s="245"/>
      <c r="AB1463" s="289"/>
      <c r="AC1463" s="245"/>
    </row>
    <row r="1464" spans="1:29" s="454" customFormat="1" ht="15">
      <c r="A1464" s="284">
        <f>A1461+1</f>
        <v>287</v>
      </c>
      <c r="B1464" s="237"/>
      <c r="C1464" s="892" t="s">
        <v>3449</v>
      </c>
      <c r="D1464" s="238" t="s">
        <v>2809</v>
      </c>
      <c r="E1464" s="237" t="s">
        <v>1901</v>
      </c>
      <c r="F1464" s="735">
        <f>N1464+R1464+P1464+T1464+V1464+X1464+Z1464+AB1464</f>
        <v>2</v>
      </c>
      <c r="G1464" s="849">
        <v>187.54</v>
      </c>
      <c r="H1464" s="261">
        <f>O1464+S1464+Q1464+U1464+W1464+Y1464+AA1464+AC1464</f>
        <v>375.08</v>
      </c>
      <c r="I1464" s="237" t="s">
        <v>1901</v>
      </c>
      <c r="J1464" s="243"/>
      <c r="K1464" s="243"/>
      <c r="L1464" s="243"/>
      <c r="M1464" s="243"/>
      <c r="N1464" s="289"/>
      <c r="O1464" s="245"/>
      <c r="P1464" s="289"/>
      <c r="Q1464" s="245"/>
      <c r="R1464" s="289">
        <f>2</f>
        <v>2</v>
      </c>
      <c r="S1464" s="257">
        <f>INT($G1464*R1464*100+0.5)/100</f>
        <v>375.08</v>
      </c>
      <c r="T1464" s="257"/>
      <c r="U1464" s="257"/>
      <c r="V1464" s="289"/>
      <c r="W1464" s="245"/>
      <c r="X1464" s="289"/>
      <c r="Y1464" s="245"/>
      <c r="Z1464" s="289"/>
      <c r="AA1464" s="245"/>
      <c r="AB1464" s="289"/>
      <c r="AC1464" s="245"/>
    </row>
    <row r="1465" spans="1:29" s="454" customFormat="1" ht="15">
      <c r="A1465" s="284"/>
      <c r="B1465" s="237"/>
      <c r="C1465" s="892" t="s">
        <v>2660</v>
      </c>
      <c r="D1465" s="238" t="s">
        <v>2810</v>
      </c>
      <c r="E1465" s="237" t="s">
        <v>2660</v>
      </c>
      <c r="F1465" s="733"/>
      <c r="G1465" s="849" t="s">
        <v>2660</v>
      </c>
      <c r="H1465" s="243"/>
      <c r="I1465" s="237" t="s">
        <v>2660</v>
      </c>
      <c r="J1465" s="243"/>
      <c r="K1465" s="243"/>
      <c r="L1465" s="243"/>
      <c r="M1465" s="243"/>
      <c r="N1465" s="289"/>
      <c r="O1465" s="245"/>
      <c r="P1465" s="289"/>
      <c r="Q1465" s="245"/>
      <c r="R1465" s="289"/>
      <c r="S1465" s="257"/>
      <c r="T1465" s="257"/>
      <c r="U1465" s="257"/>
      <c r="V1465" s="289"/>
      <c r="W1465" s="245"/>
      <c r="X1465" s="289"/>
      <c r="Y1465" s="245"/>
      <c r="Z1465" s="289"/>
      <c r="AA1465" s="245"/>
      <c r="AB1465" s="289"/>
      <c r="AC1465" s="245"/>
    </row>
    <row r="1466" spans="1:29" s="454" customFormat="1" ht="15">
      <c r="A1466" s="284"/>
      <c r="B1466" s="237"/>
      <c r="C1466" s="892" t="s">
        <v>2660</v>
      </c>
      <c r="D1466" s="238" t="s">
        <v>2660</v>
      </c>
      <c r="E1466" s="237" t="s">
        <v>2660</v>
      </c>
      <c r="F1466" s="733"/>
      <c r="G1466" s="849" t="s">
        <v>2660</v>
      </c>
      <c r="H1466" s="243"/>
      <c r="I1466" s="237" t="s">
        <v>2660</v>
      </c>
      <c r="J1466" s="243"/>
      <c r="K1466" s="243"/>
      <c r="L1466" s="243"/>
      <c r="M1466" s="243"/>
      <c r="N1466" s="289"/>
      <c r="O1466" s="245"/>
      <c r="P1466" s="289"/>
      <c r="Q1466" s="245"/>
      <c r="R1466" s="289"/>
      <c r="S1466" s="257"/>
      <c r="T1466" s="257"/>
      <c r="U1466" s="257"/>
      <c r="V1466" s="289"/>
      <c r="W1466" s="245"/>
      <c r="X1466" s="289"/>
      <c r="Y1466" s="245"/>
      <c r="Z1466" s="289"/>
      <c r="AA1466" s="245"/>
      <c r="AB1466" s="289"/>
      <c r="AC1466" s="245"/>
    </row>
    <row r="1467" spans="1:29" s="454" customFormat="1" ht="15">
      <c r="A1467" s="284">
        <f>A1464+1</f>
        <v>288</v>
      </c>
      <c r="B1467" s="237"/>
      <c r="C1467" s="892" t="s">
        <v>3450</v>
      </c>
      <c r="D1467" s="238" t="s">
        <v>2811</v>
      </c>
      <c r="E1467" s="237" t="s">
        <v>1901</v>
      </c>
      <c r="F1467" s="735">
        <f>N1467+R1467+P1467+T1467+V1467+X1467+Z1467+AB1467</f>
        <v>2</v>
      </c>
      <c r="G1467" s="849">
        <v>187.54</v>
      </c>
      <c r="H1467" s="261">
        <f>O1467+S1467+Q1467+U1467+W1467+Y1467+AA1467+AC1467</f>
        <v>375.08</v>
      </c>
      <c r="I1467" s="237" t="s">
        <v>1901</v>
      </c>
      <c r="J1467" s="243"/>
      <c r="K1467" s="243"/>
      <c r="L1467" s="243"/>
      <c r="M1467" s="243"/>
      <c r="N1467" s="289"/>
      <c r="O1467" s="245"/>
      <c r="P1467" s="289"/>
      <c r="Q1467" s="245"/>
      <c r="R1467" s="289">
        <f>2</f>
        <v>2</v>
      </c>
      <c r="S1467" s="257">
        <f>INT($G1467*R1467*100+0.5)/100</f>
        <v>375.08</v>
      </c>
      <c r="T1467" s="257"/>
      <c r="U1467" s="257"/>
      <c r="V1467" s="289"/>
      <c r="W1467" s="245"/>
      <c r="X1467" s="289"/>
      <c r="Y1467" s="245"/>
      <c r="Z1467" s="289"/>
      <c r="AA1467" s="245"/>
      <c r="AB1467" s="289"/>
      <c r="AC1467" s="245"/>
    </row>
    <row r="1468" spans="1:29" s="454" customFormat="1" ht="15">
      <c r="A1468" s="284"/>
      <c r="B1468" s="237"/>
      <c r="C1468" s="892" t="s">
        <v>2660</v>
      </c>
      <c r="D1468" s="238" t="s">
        <v>2812</v>
      </c>
      <c r="E1468" s="237" t="s">
        <v>2660</v>
      </c>
      <c r="F1468" s="733"/>
      <c r="G1468" s="849" t="s">
        <v>2660</v>
      </c>
      <c r="H1468" s="243"/>
      <c r="I1468" s="237" t="s">
        <v>2660</v>
      </c>
      <c r="J1468" s="243"/>
      <c r="K1468" s="243"/>
      <c r="L1468" s="243"/>
      <c r="M1468" s="243"/>
      <c r="N1468" s="289"/>
      <c r="O1468" s="245"/>
      <c r="P1468" s="289"/>
      <c r="Q1468" s="245"/>
      <c r="R1468" s="289"/>
      <c r="S1468" s="257"/>
      <c r="T1468" s="257"/>
      <c r="U1468" s="257"/>
      <c r="V1468" s="289"/>
      <c r="W1468" s="245"/>
      <c r="X1468" s="289"/>
      <c r="Y1468" s="245"/>
      <c r="Z1468" s="289"/>
      <c r="AA1468" s="245"/>
      <c r="AB1468" s="289"/>
      <c r="AC1468" s="245"/>
    </row>
    <row r="1469" spans="1:29" s="454" customFormat="1" ht="15">
      <c r="A1469" s="284"/>
      <c r="B1469" s="237"/>
      <c r="C1469" s="892" t="s">
        <v>2660</v>
      </c>
      <c r="D1469" s="238" t="s">
        <v>2660</v>
      </c>
      <c r="E1469" s="237" t="s">
        <v>2660</v>
      </c>
      <c r="F1469" s="733"/>
      <c r="G1469" s="849" t="s">
        <v>2660</v>
      </c>
      <c r="H1469" s="243"/>
      <c r="I1469" s="237" t="s">
        <v>2660</v>
      </c>
      <c r="J1469" s="243"/>
      <c r="K1469" s="243"/>
      <c r="L1469" s="243"/>
      <c r="M1469" s="243"/>
      <c r="N1469" s="289"/>
      <c r="O1469" s="245"/>
      <c r="P1469" s="289"/>
      <c r="Q1469" s="245"/>
      <c r="R1469" s="289"/>
      <c r="S1469" s="257"/>
      <c r="T1469" s="257"/>
      <c r="U1469" s="257"/>
      <c r="V1469" s="289"/>
      <c r="W1469" s="245"/>
      <c r="X1469" s="289"/>
      <c r="Y1469" s="245"/>
      <c r="Z1469" s="289"/>
      <c r="AA1469" s="245"/>
      <c r="AB1469" s="289"/>
      <c r="AC1469" s="245"/>
    </row>
    <row r="1470" spans="1:29" s="454" customFormat="1" ht="15">
      <c r="A1470" s="284">
        <f>A1467+1</f>
        <v>289</v>
      </c>
      <c r="B1470" s="237"/>
      <c r="C1470" s="892" t="s">
        <v>3451</v>
      </c>
      <c r="D1470" s="238" t="s">
        <v>2813</v>
      </c>
      <c r="E1470" s="237" t="s">
        <v>1901</v>
      </c>
      <c r="F1470" s="735">
        <f>N1470+R1470+P1470+T1470+V1470+X1470+Z1470+AB1470</f>
        <v>2</v>
      </c>
      <c r="G1470" s="849">
        <v>212.85</v>
      </c>
      <c r="H1470" s="261">
        <f>O1470+S1470+Q1470+U1470+W1470+Y1470+AA1470+AC1470</f>
        <v>425.7</v>
      </c>
      <c r="I1470" s="237" t="s">
        <v>1901</v>
      </c>
      <c r="J1470" s="243"/>
      <c r="K1470" s="243"/>
      <c r="L1470" s="243"/>
      <c r="M1470" s="243"/>
      <c r="N1470" s="289"/>
      <c r="O1470" s="245"/>
      <c r="P1470" s="289"/>
      <c r="Q1470" s="245"/>
      <c r="R1470" s="289">
        <f>2</f>
        <v>2</v>
      </c>
      <c r="S1470" s="257">
        <f>INT($G1470*R1470*100+0.5)/100</f>
        <v>425.7</v>
      </c>
      <c r="T1470" s="257"/>
      <c r="U1470" s="257"/>
      <c r="V1470" s="289"/>
      <c r="W1470" s="245"/>
      <c r="X1470" s="289"/>
      <c r="Y1470" s="245"/>
      <c r="Z1470" s="289"/>
      <c r="AA1470" s="245"/>
      <c r="AB1470" s="289"/>
      <c r="AC1470" s="245"/>
    </row>
    <row r="1471" spans="1:29" s="454" customFormat="1" ht="15">
      <c r="A1471" s="284"/>
      <c r="B1471" s="237"/>
      <c r="C1471" s="892" t="s">
        <v>2660</v>
      </c>
      <c r="D1471" s="238" t="s">
        <v>2814</v>
      </c>
      <c r="E1471" s="237" t="s">
        <v>2660</v>
      </c>
      <c r="F1471" s="733"/>
      <c r="G1471" s="849" t="s">
        <v>2660</v>
      </c>
      <c r="H1471" s="243"/>
      <c r="I1471" s="237" t="s">
        <v>2660</v>
      </c>
      <c r="J1471" s="243"/>
      <c r="K1471" s="243"/>
      <c r="L1471" s="243"/>
      <c r="M1471" s="243"/>
      <c r="N1471" s="289"/>
      <c r="O1471" s="245"/>
      <c r="P1471" s="289"/>
      <c r="Q1471" s="245"/>
      <c r="R1471" s="289"/>
      <c r="S1471" s="257"/>
      <c r="T1471" s="257"/>
      <c r="U1471" s="257"/>
      <c r="V1471" s="289"/>
      <c r="W1471" s="245"/>
      <c r="X1471" s="289"/>
      <c r="Y1471" s="245"/>
      <c r="Z1471" s="289"/>
      <c r="AA1471" s="245"/>
      <c r="AB1471" s="289"/>
      <c r="AC1471" s="245"/>
    </row>
    <row r="1472" spans="1:29" s="454" customFormat="1" ht="15">
      <c r="A1472" s="284"/>
      <c r="B1472" s="237"/>
      <c r="C1472" s="892" t="s">
        <v>2660</v>
      </c>
      <c r="D1472" s="238" t="s">
        <v>2660</v>
      </c>
      <c r="E1472" s="237" t="s">
        <v>2660</v>
      </c>
      <c r="F1472" s="733"/>
      <c r="G1472" s="849" t="s">
        <v>2660</v>
      </c>
      <c r="H1472" s="243"/>
      <c r="I1472" s="237" t="s">
        <v>2660</v>
      </c>
      <c r="J1472" s="243"/>
      <c r="K1472" s="243"/>
      <c r="L1472" s="243"/>
      <c r="M1472" s="243"/>
      <c r="N1472" s="289"/>
      <c r="O1472" s="245"/>
      <c r="P1472" s="289"/>
      <c r="Q1472" s="245"/>
      <c r="R1472" s="289"/>
      <c r="S1472" s="257"/>
      <c r="T1472" s="257"/>
      <c r="U1472" s="257"/>
      <c r="V1472" s="289"/>
      <c r="W1472" s="245"/>
      <c r="X1472" s="289"/>
      <c r="Y1472" s="245"/>
      <c r="Z1472" s="289"/>
      <c r="AA1472" s="245"/>
      <c r="AB1472" s="289"/>
      <c r="AC1472" s="245"/>
    </row>
    <row r="1473" spans="1:29" s="454" customFormat="1" ht="15">
      <c r="A1473" s="284">
        <f>A1470+1</f>
        <v>290</v>
      </c>
      <c r="B1473" s="237"/>
      <c r="C1473" s="892" t="s">
        <v>3452</v>
      </c>
      <c r="D1473" s="238" t="s">
        <v>2815</v>
      </c>
      <c r="E1473" s="237" t="s">
        <v>1901</v>
      </c>
      <c r="F1473" s="735">
        <f>N1473+R1473+P1473+T1473+V1473+X1473+Z1473+AB1473</f>
        <v>4</v>
      </c>
      <c r="G1473" s="849">
        <v>212.85</v>
      </c>
      <c r="H1473" s="261">
        <f>O1473+S1473+Q1473+U1473+W1473+Y1473+AA1473+AC1473</f>
        <v>851.4</v>
      </c>
      <c r="I1473" s="237" t="s">
        <v>1901</v>
      </c>
      <c r="J1473" s="243"/>
      <c r="K1473" s="243"/>
      <c r="L1473" s="243"/>
      <c r="M1473" s="243"/>
      <c r="N1473" s="289"/>
      <c r="O1473" s="245"/>
      <c r="P1473" s="289"/>
      <c r="Q1473" s="245"/>
      <c r="R1473" s="289">
        <f>2+2</f>
        <v>4</v>
      </c>
      <c r="S1473" s="257">
        <f>INT($G1473*R1473*100+0.5)/100</f>
        <v>851.4</v>
      </c>
      <c r="T1473" s="257"/>
      <c r="U1473" s="257"/>
      <c r="V1473" s="289"/>
      <c r="W1473" s="245"/>
      <c r="X1473" s="289"/>
      <c r="Y1473" s="245"/>
      <c r="Z1473" s="289"/>
      <c r="AA1473" s="245"/>
      <c r="AB1473" s="289"/>
      <c r="AC1473" s="245"/>
    </row>
    <row r="1474" spans="1:29" s="454" customFormat="1" ht="15">
      <c r="A1474" s="284"/>
      <c r="B1474" s="237"/>
      <c r="C1474" s="892" t="s">
        <v>2660</v>
      </c>
      <c r="D1474" s="238" t="s">
        <v>2816</v>
      </c>
      <c r="E1474" s="237" t="s">
        <v>2660</v>
      </c>
      <c r="F1474" s="733"/>
      <c r="G1474" s="849" t="s">
        <v>2660</v>
      </c>
      <c r="H1474" s="243"/>
      <c r="I1474" s="237" t="s">
        <v>2660</v>
      </c>
      <c r="J1474" s="243"/>
      <c r="K1474" s="243"/>
      <c r="L1474" s="243"/>
      <c r="M1474" s="243"/>
      <c r="N1474" s="289"/>
      <c r="O1474" s="245"/>
      <c r="P1474" s="289"/>
      <c r="Q1474" s="245"/>
      <c r="R1474" s="289"/>
      <c r="S1474" s="257"/>
      <c r="T1474" s="257"/>
      <c r="U1474" s="257"/>
      <c r="V1474" s="289"/>
      <c r="W1474" s="245"/>
      <c r="X1474" s="289"/>
      <c r="Y1474" s="245"/>
      <c r="Z1474" s="289"/>
      <c r="AA1474" s="245"/>
      <c r="AB1474" s="289"/>
      <c r="AC1474" s="245"/>
    </row>
    <row r="1475" spans="1:29" s="454" customFormat="1" ht="15">
      <c r="A1475" s="284"/>
      <c r="B1475" s="237"/>
      <c r="C1475" s="892" t="s">
        <v>2660</v>
      </c>
      <c r="D1475" s="238" t="s">
        <v>2660</v>
      </c>
      <c r="E1475" s="237" t="s">
        <v>2660</v>
      </c>
      <c r="F1475" s="733"/>
      <c r="G1475" s="849" t="s">
        <v>2660</v>
      </c>
      <c r="H1475" s="243"/>
      <c r="I1475" s="237" t="s">
        <v>2660</v>
      </c>
      <c r="J1475" s="243"/>
      <c r="K1475" s="243"/>
      <c r="L1475" s="243"/>
      <c r="M1475" s="243"/>
      <c r="N1475" s="289"/>
      <c r="O1475" s="245"/>
      <c r="P1475" s="289"/>
      <c r="Q1475" s="245"/>
      <c r="R1475" s="289"/>
      <c r="S1475" s="257"/>
      <c r="T1475" s="257"/>
      <c r="U1475" s="257"/>
      <c r="V1475" s="289"/>
      <c r="W1475" s="245"/>
      <c r="X1475" s="289"/>
      <c r="Y1475" s="245"/>
      <c r="Z1475" s="289"/>
      <c r="AA1475" s="245"/>
      <c r="AB1475" s="289"/>
      <c r="AC1475" s="245"/>
    </row>
    <row r="1476" spans="1:29" s="454" customFormat="1" ht="15">
      <c r="A1476" s="284">
        <f>A1473+1</f>
        <v>291</v>
      </c>
      <c r="B1476" s="237"/>
      <c r="C1476" s="892" t="s">
        <v>3453</v>
      </c>
      <c r="D1476" s="238" t="s">
        <v>2817</v>
      </c>
      <c r="E1476" s="237" t="s">
        <v>1901</v>
      </c>
      <c r="F1476" s="735">
        <f>N1476+R1476+P1476+T1476+V1476+X1476+Z1476+AB1476</f>
        <v>2</v>
      </c>
      <c r="G1476" s="849">
        <v>212.85</v>
      </c>
      <c r="H1476" s="261">
        <f>O1476+S1476+Q1476+U1476+W1476+Y1476+AA1476+AC1476</f>
        <v>425.7</v>
      </c>
      <c r="I1476" s="237" t="s">
        <v>1901</v>
      </c>
      <c r="J1476" s="243"/>
      <c r="K1476" s="243"/>
      <c r="L1476" s="243"/>
      <c r="M1476" s="243"/>
      <c r="N1476" s="289"/>
      <c r="O1476" s="245"/>
      <c r="P1476" s="289"/>
      <c r="Q1476" s="245"/>
      <c r="R1476" s="289">
        <v>2</v>
      </c>
      <c r="S1476" s="257">
        <f>INT($G1476*R1476*100+0.5)/100</f>
        <v>425.7</v>
      </c>
      <c r="T1476" s="257"/>
      <c r="U1476" s="257"/>
      <c r="V1476" s="289"/>
      <c r="W1476" s="245"/>
      <c r="X1476" s="289"/>
      <c r="Y1476" s="245"/>
      <c r="Z1476" s="289"/>
      <c r="AA1476" s="245"/>
      <c r="AB1476" s="289"/>
      <c r="AC1476" s="245"/>
    </row>
    <row r="1477" spans="1:29" s="454" customFormat="1" ht="15">
      <c r="A1477" s="284"/>
      <c r="B1477" s="237"/>
      <c r="C1477" s="892" t="s">
        <v>2660</v>
      </c>
      <c r="D1477" s="238" t="s">
        <v>2818</v>
      </c>
      <c r="E1477" s="237" t="s">
        <v>2660</v>
      </c>
      <c r="F1477" s="733"/>
      <c r="G1477" s="849" t="s">
        <v>2660</v>
      </c>
      <c r="H1477" s="243"/>
      <c r="I1477" s="237" t="s">
        <v>2660</v>
      </c>
      <c r="J1477" s="243"/>
      <c r="K1477" s="243"/>
      <c r="L1477" s="243"/>
      <c r="M1477" s="243"/>
      <c r="N1477" s="289"/>
      <c r="O1477" s="245"/>
      <c r="P1477" s="289"/>
      <c r="Q1477" s="245"/>
      <c r="R1477" s="289"/>
      <c r="S1477" s="257"/>
      <c r="T1477" s="257"/>
      <c r="U1477" s="257"/>
      <c r="V1477" s="289"/>
      <c r="W1477" s="245"/>
      <c r="X1477" s="289"/>
      <c r="Y1477" s="245"/>
      <c r="Z1477" s="289"/>
      <c r="AA1477" s="245"/>
      <c r="AB1477" s="289"/>
      <c r="AC1477" s="245"/>
    </row>
    <row r="1478" spans="1:29" s="454" customFormat="1" ht="15">
      <c r="A1478" s="284"/>
      <c r="B1478" s="237"/>
      <c r="C1478" s="892" t="s">
        <v>2660</v>
      </c>
      <c r="D1478" s="238" t="s">
        <v>2660</v>
      </c>
      <c r="E1478" s="237" t="s">
        <v>2660</v>
      </c>
      <c r="F1478" s="733"/>
      <c r="G1478" s="849" t="s">
        <v>2660</v>
      </c>
      <c r="H1478" s="243"/>
      <c r="I1478" s="237" t="s">
        <v>2660</v>
      </c>
      <c r="J1478" s="243"/>
      <c r="K1478" s="243"/>
      <c r="L1478" s="243"/>
      <c r="M1478" s="243"/>
      <c r="N1478" s="289"/>
      <c r="O1478" s="245"/>
      <c r="P1478" s="289"/>
      <c r="Q1478" s="245"/>
      <c r="R1478" s="289"/>
      <c r="S1478" s="257"/>
      <c r="T1478" s="257"/>
      <c r="U1478" s="257"/>
      <c r="V1478" s="289"/>
      <c r="W1478" s="245"/>
      <c r="X1478" s="289"/>
      <c r="Y1478" s="245"/>
      <c r="Z1478" s="289"/>
      <c r="AA1478" s="245"/>
      <c r="AB1478" s="289"/>
      <c r="AC1478" s="245"/>
    </row>
    <row r="1479" spans="1:29" s="454" customFormat="1" ht="15">
      <c r="A1479" s="284">
        <f>A1476+1</f>
        <v>292</v>
      </c>
      <c r="B1479" s="237"/>
      <c r="C1479" s="892" t="s">
        <v>2669</v>
      </c>
      <c r="D1479" s="238" t="s">
        <v>2819</v>
      </c>
      <c r="E1479" s="237" t="s">
        <v>1901</v>
      </c>
      <c r="F1479" s="735">
        <f>N1479+R1479+P1479+T1479+V1479+X1479+Z1479+AB1479</f>
        <v>2</v>
      </c>
      <c r="G1479" s="849">
        <v>387.29</v>
      </c>
      <c r="H1479" s="261">
        <f>O1479+S1479+Q1479+U1479+W1479+Y1479+AA1479+AC1479</f>
        <v>774.58</v>
      </c>
      <c r="I1479" s="237" t="s">
        <v>1901</v>
      </c>
      <c r="J1479" s="243"/>
      <c r="K1479" s="243"/>
      <c r="L1479" s="243"/>
      <c r="M1479" s="243"/>
      <c r="N1479" s="289"/>
      <c r="O1479" s="245"/>
      <c r="P1479" s="289"/>
      <c r="Q1479" s="245"/>
      <c r="R1479" s="289">
        <v>2</v>
      </c>
      <c r="S1479" s="257">
        <f>INT($G1479*R1479*100+0.5)/100</f>
        <v>774.58</v>
      </c>
      <c r="T1479" s="257"/>
      <c r="U1479" s="257"/>
      <c r="V1479" s="289"/>
      <c r="W1479" s="245"/>
      <c r="X1479" s="289"/>
      <c r="Y1479" s="245"/>
      <c r="Z1479" s="289"/>
      <c r="AA1479" s="245"/>
      <c r="AB1479" s="289"/>
      <c r="AC1479" s="245"/>
    </row>
    <row r="1480" spans="1:29" s="454" customFormat="1" ht="15">
      <c r="A1480" s="284"/>
      <c r="B1480" s="237"/>
      <c r="C1480" s="892" t="s">
        <v>2660</v>
      </c>
      <c r="D1480" s="238" t="s">
        <v>2820</v>
      </c>
      <c r="E1480" s="237" t="s">
        <v>2660</v>
      </c>
      <c r="F1480" s="733"/>
      <c r="G1480" s="849" t="s">
        <v>2660</v>
      </c>
      <c r="H1480" s="243"/>
      <c r="I1480" s="237" t="s">
        <v>2660</v>
      </c>
      <c r="J1480" s="243"/>
      <c r="K1480" s="243"/>
      <c r="L1480" s="243"/>
      <c r="M1480" s="243"/>
      <c r="N1480" s="289"/>
      <c r="O1480" s="245"/>
      <c r="P1480" s="289"/>
      <c r="Q1480" s="245"/>
      <c r="R1480" s="289"/>
      <c r="S1480" s="257"/>
      <c r="T1480" s="257"/>
      <c r="U1480" s="257"/>
      <c r="V1480" s="289"/>
      <c r="W1480" s="245"/>
      <c r="X1480" s="289"/>
      <c r="Y1480" s="245"/>
      <c r="Z1480" s="289"/>
      <c r="AA1480" s="245"/>
      <c r="AB1480" s="289"/>
      <c r="AC1480" s="245"/>
    </row>
    <row r="1481" spans="1:29" s="454" customFormat="1" ht="15">
      <c r="A1481" s="284"/>
      <c r="B1481" s="237"/>
      <c r="C1481" s="892" t="s">
        <v>2660</v>
      </c>
      <c r="D1481" s="238" t="s">
        <v>2660</v>
      </c>
      <c r="E1481" s="237" t="s">
        <v>2660</v>
      </c>
      <c r="F1481" s="733"/>
      <c r="G1481" s="849" t="s">
        <v>2660</v>
      </c>
      <c r="H1481" s="243"/>
      <c r="I1481" s="237" t="s">
        <v>2660</v>
      </c>
      <c r="J1481" s="243"/>
      <c r="K1481" s="243"/>
      <c r="L1481" s="243"/>
      <c r="M1481" s="243"/>
      <c r="N1481" s="289"/>
      <c r="O1481" s="245"/>
      <c r="P1481" s="289"/>
      <c r="Q1481" s="245"/>
      <c r="R1481" s="289"/>
      <c r="S1481" s="257"/>
      <c r="T1481" s="257"/>
      <c r="U1481" s="257"/>
      <c r="V1481" s="289"/>
      <c r="W1481" s="245"/>
      <c r="X1481" s="289"/>
      <c r="Y1481" s="245"/>
      <c r="Z1481" s="289"/>
      <c r="AA1481" s="245"/>
      <c r="AB1481" s="289"/>
      <c r="AC1481" s="245"/>
    </row>
    <row r="1482" spans="1:29" s="454" customFormat="1" ht="15">
      <c r="A1482" s="284">
        <f>A1479+1</f>
        <v>293</v>
      </c>
      <c r="B1482" s="237"/>
      <c r="C1482" s="892" t="s">
        <v>3454</v>
      </c>
      <c r="D1482" s="238" t="s">
        <v>2821</v>
      </c>
      <c r="E1482" s="237" t="s">
        <v>1901</v>
      </c>
      <c r="F1482" s="735">
        <v>4</v>
      </c>
      <c r="G1482" s="849">
        <v>247.5</v>
      </c>
      <c r="H1482" s="261">
        <f>O1482+S1482+Q1482+U1482+W1482+Y1482+AA1482+AC1482</f>
        <v>990</v>
      </c>
      <c r="I1482" s="237" t="s">
        <v>1901</v>
      </c>
      <c r="J1482" s="243"/>
      <c r="K1482" s="243"/>
      <c r="L1482" s="243"/>
      <c r="M1482" s="243"/>
      <c r="N1482" s="289"/>
      <c r="O1482" s="245"/>
      <c r="P1482" s="289"/>
      <c r="Q1482" s="245"/>
      <c r="R1482" s="289">
        <f>2+2</f>
        <v>4</v>
      </c>
      <c r="S1482" s="257">
        <f>INT($G1482*R1482*100+0.5)/100</f>
        <v>990</v>
      </c>
      <c r="T1482" s="257"/>
      <c r="U1482" s="257"/>
      <c r="V1482" s="289"/>
      <c r="W1482" s="245"/>
      <c r="X1482" s="289"/>
      <c r="Y1482" s="245"/>
      <c r="Z1482" s="289"/>
      <c r="AA1482" s="245"/>
      <c r="AB1482" s="289"/>
      <c r="AC1482" s="245"/>
    </row>
    <row r="1483" spans="1:29" s="454" customFormat="1" ht="15">
      <c r="A1483" s="284"/>
      <c r="B1483" s="237"/>
      <c r="C1483" s="892" t="s">
        <v>2660</v>
      </c>
      <c r="D1483" s="238" t="s">
        <v>2822</v>
      </c>
      <c r="E1483" s="237" t="s">
        <v>2660</v>
      </c>
      <c r="F1483" s="733"/>
      <c r="G1483" s="849" t="s">
        <v>2660</v>
      </c>
      <c r="H1483" s="243"/>
      <c r="I1483" s="237" t="s">
        <v>2660</v>
      </c>
      <c r="J1483" s="243"/>
      <c r="K1483" s="243"/>
      <c r="L1483" s="243"/>
      <c r="M1483" s="243"/>
      <c r="N1483" s="289"/>
      <c r="O1483" s="245"/>
      <c r="P1483" s="289"/>
      <c r="Q1483" s="245"/>
      <c r="R1483" s="289"/>
      <c r="S1483" s="257"/>
      <c r="T1483" s="257"/>
      <c r="U1483" s="257"/>
      <c r="V1483" s="289"/>
      <c r="W1483" s="245"/>
      <c r="X1483" s="289"/>
      <c r="Y1483" s="245"/>
      <c r="Z1483" s="289"/>
      <c r="AA1483" s="245"/>
      <c r="AB1483" s="289"/>
      <c r="AC1483" s="245"/>
    </row>
    <row r="1484" spans="1:29" s="454" customFormat="1" ht="15">
      <c r="A1484" s="284"/>
      <c r="B1484" s="237"/>
      <c r="C1484" s="892" t="s">
        <v>2660</v>
      </c>
      <c r="D1484" s="238" t="s">
        <v>2660</v>
      </c>
      <c r="E1484" s="237" t="s">
        <v>2660</v>
      </c>
      <c r="F1484" s="733"/>
      <c r="G1484" s="849" t="s">
        <v>2660</v>
      </c>
      <c r="H1484" s="243"/>
      <c r="I1484" s="237" t="s">
        <v>2660</v>
      </c>
      <c r="J1484" s="243"/>
      <c r="K1484" s="243"/>
      <c r="L1484" s="243"/>
      <c r="M1484" s="243"/>
      <c r="N1484" s="289"/>
      <c r="O1484" s="245"/>
      <c r="P1484" s="289"/>
      <c r="Q1484" s="245"/>
      <c r="R1484" s="289"/>
      <c r="S1484" s="257"/>
      <c r="T1484" s="257"/>
      <c r="U1484" s="257"/>
      <c r="V1484" s="289"/>
      <c r="W1484" s="245"/>
      <c r="X1484" s="289"/>
      <c r="Y1484" s="245"/>
      <c r="Z1484" s="289"/>
      <c r="AA1484" s="245"/>
      <c r="AB1484" s="289"/>
      <c r="AC1484" s="245"/>
    </row>
    <row r="1485" spans="1:29" s="454" customFormat="1" ht="15">
      <c r="A1485" s="284">
        <f>A1482+1</f>
        <v>294</v>
      </c>
      <c r="B1485" s="237"/>
      <c r="C1485" s="892" t="s">
        <v>3455</v>
      </c>
      <c r="D1485" s="238" t="s">
        <v>2823</v>
      </c>
      <c r="E1485" s="237" t="s">
        <v>1901</v>
      </c>
      <c r="F1485" s="735">
        <f>N1485+R1485+P1485+T1485+V1485+X1485+Z1485+AB1485</f>
        <v>2</v>
      </c>
      <c r="G1485" s="849">
        <v>247.5</v>
      </c>
      <c r="H1485" s="261">
        <f>O1485+S1485+Q1485+U1485+W1485+Y1485+AA1485+AC1485</f>
        <v>495</v>
      </c>
      <c r="I1485" s="237" t="s">
        <v>1901</v>
      </c>
      <c r="J1485" s="243"/>
      <c r="K1485" s="243"/>
      <c r="L1485" s="243"/>
      <c r="M1485" s="243"/>
      <c r="N1485" s="289"/>
      <c r="O1485" s="245"/>
      <c r="P1485" s="289"/>
      <c r="Q1485" s="245"/>
      <c r="R1485" s="289">
        <f>2</f>
        <v>2</v>
      </c>
      <c r="S1485" s="257">
        <f>INT($G1485*R1485*100+0.5)/100</f>
        <v>495</v>
      </c>
      <c r="T1485" s="257"/>
      <c r="U1485" s="257"/>
      <c r="V1485" s="289"/>
      <c r="W1485" s="245"/>
      <c r="X1485" s="289"/>
      <c r="Y1485" s="245"/>
      <c r="Z1485" s="289"/>
      <c r="AA1485" s="245"/>
      <c r="AB1485" s="289"/>
      <c r="AC1485" s="245"/>
    </row>
    <row r="1486" spans="1:29" s="454" customFormat="1" ht="15">
      <c r="A1486" s="284"/>
      <c r="B1486" s="237"/>
      <c r="C1486" s="892" t="s">
        <v>2660</v>
      </c>
      <c r="D1486" s="238" t="s">
        <v>2824</v>
      </c>
      <c r="E1486" s="237" t="s">
        <v>2660</v>
      </c>
      <c r="F1486" s="733"/>
      <c r="G1486" s="849" t="s">
        <v>2660</v>
      </c>
      <c r="H1486" s="243"/>
      <c r="I1486" s="237" t="s">
        <v>2660</v>
      </c>
      <c r="J1486" s="243"/>
      <c r="K1486" s="243"/>
      <c r="L1486" s="243"/>
      <c r="M1486" s="243"/>
      <c r="N1486" s="289"/>
      <c r="O1486" s="245"/>
      <c r="P1486" s="289"/>
      <c r="Q1486" s="245"/>
      <c r="R1486" s="289"/>
      <c r="S1486" s="257"/>
      <c r="T1486" s="257"/>
      <c r="U1486" s="257"/>
      <c r="V1486" s="289"/>
      <c r="W1486" s="245"/>
      <c r="X1486" s="289"/>
      <c r="Y1486" s="245"/>
      <c r="Z1486" s="289"/>
      <c r="AA1486" s="245"/>
      <c r="AB1486" s="289"/>
      <c r="AC1486" s="245"/>
    </row>
    <row r="1487" spans="1:29" s="454" customFormat="1" ht="15">
      <c r="A1487" s="284"/>
      <c r="B1487" s="237"/>
      <c r="C1487" s="892" t="s">
        <v>2660</v>
      </c>
      <c r="D1487" s="238" t="s">
        <v>2660</v>
      </c>
      <c r="E1487" s="237" t="s">
        <v>2660</v>
      </c>
      <c r="F1487" s="733"/>
      <c r="G1487" s="849" t="s">
        <v>2660</v>
      </c>
      <c r="H1487" s="243"/>
      <c r="I1487" s="237" t="s">
        <v>2660</v>
      </c>
      <c r="J1487" s="243"/>
      <c r="K1487" s="243"/>
      <c r="L1487" s="243"/>
      <c r="M1487" s="243"/>
      <c r="N1487" s="289"/>
      <c r="O1487" s="245"/>
      <c r="P1487" s="289"/>
      <c r="Q1487" s="245"/>
      <c r="R1487" s="289"/>
      <c r="S1487" s="257"/>
      <c r="T1487" s="257"/>
      <c r="U1487" s="257"/>
      <c r="V1487" s="289"/>
      <c r="W1487" s="245"/>
      <c r="X1487" s="289"/>
      <c r="Y1487" s="245"/>
      <c r="Z1487" s="289"/>
      <c r="AA1487" s="245"/>
      <c r="AB1487" s="289"/>
      <c r="AC1487" s="245"/>
    </row>
    <row r="1488" spans="1:29" s="454" customFormat="1" ht="15">
      <c r="A1488" s="284">
        <f>A1485+1</f>
        <v>295</v>
      </c>
      <c r="B1488" s="237"/>
      <c r="C1488" s="892" t="s">
        <v>3456</v>
      </c>
      <c r="D1488" s="238" t="s">
        <v>2825</v>
      </c>
      <c r="E1488" s="237" t="s">
        <v>1901</v>
      </c>
      <c r="F1488" s="735">
        <f>N1488+R1488+P1488+T1488+V1488+X1488+Z1488+AB1488</f>
        <v>2</v>
      </c>
      <c r="G1488" s="849">
        <v>418</v>
      </c>
      <c r="H1488" s="261">
        <f>O1488+S1488+Q1488+U1488+W1488+Y1488+AA1488+AC1488</f>
        <v>836</v>
      </c>
      <c r="I1488" s="237" t="s">
        <v>1901</v>
      </c>
      <c r="J1488" s="243"/>
      <c r="K1488" s="243"/>
      <c r="L1488" s="243"/>
      <c r="M1488" s="243"/>
      <c r="N1488" s="289"/>
      <c r="O1488" s="245"/>
      <c r="P1488" s="289"/>
      <c r="Q1488" s="245"/>
      <c r="R1488" s="289">
        <v>2</v>
      </c>
      <c r="S1488" s="257">
        <f>INT($G1488*R1488*100+0.5)/100</f>
        <v>836</v>
      </c>
      <c r="T1488" s="257"/>
      <c r="U1488" s="257"/>
      <c r="V1488" s="289"/>
      <c r="W1488" s="245"/>
      <c r="X1488" s="289"/>
      <c r="Y1488" s="245"/>
      <c r="Z1488" s="289"/>
      <c r="AA1488" s="245"/>
      <c r="AB1488" s="289"/>
      <c r="AC1488" s="245"/>
    </row>
    <row r="1489" spans="1:29" s="454" customFormat="1" ht="15">
      <c r="A1489" s="284"/>
      <c r="B1489" s="237"/>
      <c r="C1489" s="892" t="s">
        <v>2660</v>
      </c>
      <c r="D1489" s="238" t="s">
        <v>2826</v>
      </c>
      <c r="E1489" s="237" t="s">
        <v>2660</v>
      </c>
      <c r="F1489" s="733"/>
      <c r="G1489" s="849" t="s">
        <v>2660</v>
      </c>
      <c r="H1489" s="243"/>
      <c r="I1489" s="237" t="s">
        <v>2660</v>
      </c>
      <c r="J1489" s="243"/>
      <c r="K1489" s="243"/>
      <c r="L1489" s="243"/>
      <c r="M1489" s="243"/>
      <c r="N1489" s="289"/>
      <c r="O1489" s="245"/>
      <c r="P1489" s="289"/>
      <c r="Q1489" s="245"/>
      <c r="R1489" s="289"/>
      <c r="S1489" s="257"/>
      <c r="T1489" s="257"/>
      <c r="U1489" s="257"/>
      <c r="V1489" s="289"/>
      <c r="W1489" s="245"/>
      <c r="X1489" s="289"/>
      <c r="Y1489" s="245"/>
      <c r="Z1489" s="289"/>
      <c r="AA1489" s="245"/>
      <c r="AB1489" s="289"/>
      <c r="AC1489" s="245"/>
    </row>
    <row r="1490" spans="1:29" s="454" customFormat="1" ht="15">
      <c r="A1490" s="284"/>
      <c r="B1490" s="237"/>
      <c r="C1490" s="892" t="s">
        <v>2660</v>
      </c>
      <c r="D1490" s="238" t="s">
        <v>2660</v>
      </c>
      <c r="E1490" s="237" t="s">
        <v>2660</v>
      </c>
      <c r="F1490" s="733"/>
      <c r="G1490" s="849" t="s">
        <v>2660</v>
      </c>
      <c r="H1490" s="243"/>
      <c r="I1490" s="237" t="s">
        <v>2660</v>
      </c>
      <c r="J1490" s="243"/>
      <c r="K1490" s="243"/>
      <c r="L1490" s="243"/>
      <c r="M1490" s="243"/>
      <c r="N1490" s="289"/>
      <c r="O1490" s="245"/>
      <c r="P1490" s="289"/>
      <c r="Q1490" s="245"/>
      <c r="R1490" s="289"/>
      <c r="S1490" s="257"/>
      <c r="T1490" s="257"/>
      <c r="U1490" s="257"/>
      <c r="V1490" s="289"/>
      <c r="W1490" s="245"/>
      <c r="X1490" s="289"/>
      <c r="Y1490" s="245"/>
      <c r="Z1490" s="289"/>
      <c r="AA1490" s="245"/>
      <c r="AB1490" s="289"/>
      <c r="AC1490" s="245"/>
    </row>
    <row r="1491" spans="1:29" s="454" customFormat="1" ht="38.25">
      <c r="A1491" s="284"/>
      <c r="B1491" s="237"/>
      <c r="C1491" s="892" t="s">
        <v>3457</v>
      </c>
      <c r="D1491" s="238" t="s">
        <v>2827</v>
      </c>
      <c r="E1491" s="237" t="s">
        <v>2660</v>
      </c>
      <c r="F1491" s="733"/>
      <c r="G1491" s="849" t="s">
        <v>2660</v>
      </c>
      <c r="H1491" s="243"/>
      <c r="I1491" s="237" t="s">
        <v>2660</v>
      </c>
      <c r="J1491" s="243"/>
      <c r="K1491" s="243"/>
      <c r="L1491" s="243"/>
      <c r="M1491" s="243"/>
      <c r="N1491" s="289"/>
      <c r="O1491" s="245"/>
      <c r="P1491" s="289"/>
      <c r="Q1491" s="245"/>
      <c r="R1491" s="289"/>
      <c r="S1491" s="257"/>
      <c r="T1491" s="257"/>
      <c r="U1491" s="257"/>
      <c r="V1491" s="289"/>
      <c r="W1491" s="245"/>
      <c r="X1491" s="289"/>
      <c r="Y1491" s="245"/>
      <c r="Z1491" s="289"/>
      <c r="AA1491" s="245"/>
      <c r="AB1491" s="289"/>
      <c r="AC1491" s="245"/>
    </row>
    <row r="1492" spans="1:29" s="454" customFormat="1" ht="38.25">
      <c r="A1492" s="284"/>
      <c r="B1492" s="237"/>
      <c r="C1492" s="892"/>
      <c r="D1492" s="238" t="s">
        <v>2828</v>
      </c>
      <c r="E1492" s="237"/>
      <c r="F1492" s="733"/>
      <c r="G1492" s="849"/>
      <c r="H1492" s="243"/>
      <c r="I1492" s="237"/>
      <c r="J1492" s="243"/>
      <c r="K1492" s="243"/>
      <c r="L1492" s="243"/>
      <c r="M1492" s="243"/>
      <c r="N1492" s="289"/>
      <c r="O1492" s="245"/>
      <c r="P1492" s="289"/>
      <c r="Q1492" s="245"/>
      <c r="R1492" s="289"/>
      <c r="S1492" s="257"/>
      <c r="T1492" s="257"/>
      <c r="U1492" s="257"/>
      <c r="V1492" s="289"/>
      <c r="W1492" s="245"/>
      <c r="X1492" s="289"/>
      <c r="Y1492" s="245"/>
      <c r="Z1492" s="289"/>
      <c r="AA1492" s="245"/>
      <c r="AB1492" s="289"/>
      <c r="AC1492" s="245"/>
    </row>
    <row r="1493" spans="1:29" s="454" customFormat="1" ht="15">
      <c r="A1493" s="284">
        <f>A1488+1</f>
        <v>296</v>
      </c>
      <c r="B1493" s="237"/>
      <c r="C1493" s="892" t="s">
        <v>3458</v>
      </c>
      <c r="D1493" s="238" t="s">
        <v>2829</v>
      </c>
      <c r="E1493" s="237" t="s">
        <v>2475</v>
      </c>
      <c r="F1493" s="735">
        <f>N1493+R1493+P1493+T1493+V1493+X1493+Z1493+AB1493</f>
        <v>100</v>
      </c>
      <c r="G1493" s="849">
        <v>8.61</v>
      </c>
      <c r="H1493" s="261">
        <f>O1493+S1493+Q1493+U1493+W1493+Y1493+AA1493+AC1493</f>
        <v>861</v>
      </c>
      <c r="I1493" s="237" t="s">
        <v>2475</v>
      </c>
      <c r="J1493" s="243"/>
      <c r="K1493" s="243"/>
      <c r="L1493" s="243"/>
      <c r="M1493" s="243"/>
      <c r="N1493" s="289"/>
      <c r="O1493" s="245"/>
      <c r="P1493" s="289"/>
      <c r="Q1493" s="245"/>
      <c r="R1493" s="289">
        <v>100</v>
      </c>
      <c r="S1493" s="257">
        <f>INT($G1493*R1493*100+0.5)/100</f>
        <v>861</v>
      </c>
      <c r="T1493" s="257"/>
      <c r="U1493" s="257"/>
      <c r="V1493" s="289"/>
      <c r="W1493" s="245"/>
      <c r="X1493" s="289"/>
      <c r="Y1493" s="245"/>
      <c r="Z1493" s="289"/>
      <c r="AA1493" s="245"/>
      <c r="AB1493" s="289"/>
      <c r="AC1493" s="245"/>
    </row>
    <row r="1494" spans="1:29" s="454" customFormat="1" ht="15">
      <c r="A1494" s="284"/>
      <c r="B1494" s="237"/>
      <c r="C1494" s="892" t="s">
        <v>2660</v>
      </c>
      <c r="D1494" s="238" t="s">
        <v>2830</v>
      </c>
      <c r="E1494" s="237" t="s">
        <v>2660</v>
      </c>
      <c r="F1494" s="733"/>
      <c r="G1494" s="849" t="s">
        <v>2660</v>
      </c>
      <c r="H1494" s="243"/>
      <c r="I1494" s="237" t="s">
        <v>2660</v>
      </c>
      <c r="J1494" s="243"/>
      <c r="K1494" s="243"/>
      <c r="L1494" s="243"/>
      <c r="M1494" s="243"/>
      <c r="N1494" s="289"/>
      <c r="O1494" s="245"/>
      <c r="P1494" s="289"/>
      <c r="Q1494" s="245"/>
      <c r="R1494" s="289"/>
      <c r="S1494" s="257"/>
      <c r="T1494" s="257"/>
      <c r="U1494" s="257"/>
      <c r="V1494" s="289"/>
      <c r="W1494" s="245"/>
      <c r="X1494" s="289"/>
      <c r="Y1494" s="245"/>
      <c r="Z1494" s="289"/>
      <c r="AA1494" s="245"/>
      <c r="AB1494" s="289"/>
      <c r="AC1494" s="245"/>
    </row>
    <row r="1495" spans="1:29" s="454" customFormat="1" ht="15">
      <c r="A1495" s="284"/>
      <c r="B1495" s="237"/>
      <c r="C1495" s="892" t="s">
        <v>2660</v>
      </c>
      <c r="D1495" s="238" t="s">
        <v>2660</v>
      </c>
      <c r="E1495" s="237" t="s">
        <v>2660</v>
      </c>
      <c r="F1495" s="733"/>
      <c r="G1495" s="849" t="s">
        <v>2660</v>
      </c>
      <c r="H1495" s="243"/>
      <c r="I1495" s="237" t="s">
        <v>2660</v>
      </c>
      <c r="J1495" s="243"/>
      <c r="K1495" s="243"/>
      <c r="L1495" s="243"/>
      <c r="M1495" s="243"/>
      <c r="N1495" s="289"/>
      <c r="O1495" s="245"/>
      <c r="P1495" s="289"/>
      <c r="Q1495" s="245"/>
      <c r="R1495" s="289"/>
      <c r="S1495" s="257"/>
      <c r="T1495" s="257"/>
      <c r="U1495" s="257"/>
      <c r="V1495" s="289"/>
      <c r="W1495" s="245"/>
      <c r="X1495" s="289"/>
      <c r="Y1495" s="245"/>
      <c r="Z1495" s="289"/>
      <c r="AA1495" s="245"/>
      <c r="AB1495" s="289"/>
      <c r="AC1495" s="245"/>
    </row>
    <row r="1496" spans="1:29" s="454" customFormat="1" ht="15">
      <c r="A1496" s="284">
        <f>A1493+1</f>
        <v>297</v>
      </c>
      <c r="B1496" s="237"/>
      <c r="C1496" s="892" t="s">
        <v>3459</v>
      </c>
      <c r="D1496" s="238" t="s">
        <v>2831</v>
      </c>
      <c r="E1496" s="237" t="s">
        <v>2475</v>
      </c>
      <c r="F1496" s="735">
        <f>N1496+R1496+P1496+T1496+V1496+X1496+Z1496+AB1496</f>
        <v>100</v>
      </c>
      <c r="G1496" s="849">
        <v>12.87</v>
      </c>
      <c r="H1496" s="261">
        <f>O1496+S1496+Q1496+U1496+W1496+Y1496+AA1496+AC1496</f>
        <v>1287</v>
      </c>
      <c r="I1496" s="237" t="s">
        <v>2475</v>
      </c>
      <c r="J1496" s="243"/>
      <c r="K1496" s="243"/>
      <c r="L1496" s="243"/>
      <c r="M1496" s="243"/>
      <c r="N1496" s="289"/>
      <c r="O1496" s="245"/>
      <c r="P1496" s="289"/>
      <c r="Q1496" s="245"/>
      <c r="R1496" s="289">
        <v>100</v>
      </c>
      <c r="S1496" s="257">
        <f>INT($G1496*R1496*100+0.5)/100</f>
        <v>1287</v>
      </c>
      <c r="T1496" s="257"/>
      <c r="U1496" s="257"/>
      <c r="V1496" s="289"/>
      <c r="W1496" s="245"/>
      <c r="X1496" s="289"/>
      <c r="Y1496" s="245"/>
      <c r="Z1496" s="289"/>
      <c r="AA1496" s="245"/>
      <c r="AB1496" s="289"/>
      <c r="AC1496" s="245"/>
    </row>
    <row r="1497" spans="1:29" s="454" customFormat="1" ht="15">
      <c r="A1497" s="284"/>
      <c r="B1497" s="237"/>
      <c r="C1497" s="892" t="s">
        <v>2660</v>
      </c>
      <c r="D1497" s="238" t="s">
        <v>2832</v>
      </c>
      <c r="E1497" s="237" t="s">
        <v>2660</v>
      </c>
      <c r="F1497" s="733"/>
      <c r="G1497" s="849" t="s">
        <v>2660</v>
      </c>
      <c r="H1497" s="243"/>
      <c r="I1497" s="237" t="s">
        <v>2660</v>
      </c>
      <c r="J1497" s="243"/>
      <c r="K1497" s="243"/>
      <c r="L1497" s="243"/>
      <c r="M1497" s="243"/>
      <c r="N1497" s="289"/>
      <c r="O1497" s="245"/>
      <c r="P1497" s="289"/>
      <c r="Q1497" s="245"/>
      <c r="R1497" s="289"/>
      <c r="S1497" s="257"/>
      <c r="T1497" s="257"/>
      <c r="U1497" s="257"/>
      <c r="V1497" s="289"/>
      <c r="W1497" s="245"/>
      <c r="X1497" s="289"/>
      <c r="Y1497" s="245"/>
      <c r="Z1497" s="289"/>
      <c r="AA1497" s="245"/>
      <c r="AB1497" s="289"/>
      <c r="AC1497" s="245"/>
    </row>
    <row r="1498" spans="1:29" s="454" customFormat="1" ht="15">
      <c r="A1498" s="284"/>
      <c r="B1498" s="237"/>
      <c r="C1498" s="892" t="s">
        <v>2660</v>
      </c>
      <c r="D1498" s="238" t="s">
        <v>2660</v>
      </c>
      <c r="E1498" s="237" t="s">
        <v>2660</v>
      </c>
      <c r="F1498" s="733"/>
      <c r="G1498" s="849" t="s">
        <v>2660</v>
      </c>
      <c r="H1498" s="243"/>
      <c r="I1498" s="237" t="s">
        <v>2660</v>
      </c>
      <c r="J1498" s="243"/>
      <c r="K1498" s="243"/>
      <c r="L1498" s="243"/>
      <c r="M1498" s="243"/>
      <c r="N1498" s="289"/>
      <c r="O1498" s="245"/>
      <c r="P1498" s="289"/>
      <c r="Q1498" s="245"/>
      <c r="R1498" s="289"/>
      <c r="S1498" s="257"/>
      <c r="T1498" s="257"/>
      <c r="U1498" s="257"/>
      <c r="V1498" s="289"/>
      <c r="W1498" s="245"/>
      <c r="X1498" s="289"/>
      <c r="Y1498" s="245"/>
      <c r="Z1498" s="289"/>
      <c r="AA1498" s="245"/>
      <c r="AB1498" s="289"/>
      <c r="AC1498" s="245"/>
    </row>
    <row r="1499" spans="1:29" s="454" customFormat="1" ht="25.5">
      <c r="A1499" s="284">
        <f>A1496+1</f>
        <v>298</v>
      </c>
      <c r="B1499" s="237"/>
      <c r="C1499" s="892" t="s">
        <v>3460</v>
      </c>
      <c r="D1499" s="238" t="s">
        <v>2833</v>
      </c>
      <c r="E1499" s="237" t="s">
        <v>1901</v>
      </c>
      <c r="F1499" s="735">
        <f>N1499+R1499+P1499+T1499+V1499+X1499+Z1499+AB1499</f>
        <v>250</v>
      </c>
      <c r="G1499" s="849">
        <v>4.54</v>
      </c>
      <c r="H1499" s="261">
        <f>O1499+S1499+Q1499+U1499+W1499+Y1499+AA1499+AC1499</f>
        <v>1135</v>
      </c>
      <c r="I1499" s="237" t="s">
        <v>1901</v>
      </c>
      <c r="J1499" s="243"/>
      <c r="K1499" s="243"/>
      <c r="L1499" s="243"/>
      <c r="M1499" s="243"/>
      <c r="N1499" s="289"/>
      <c r="O1499" s="245"/>
      <c r="P1499" s="289"/>
      <c r="Q1499" s="245"/>
      <c r="R1499" s="289">
        <f>INT(2*(15+136.5+15+101.5+132.5+90+10)/5)+50</f>
        <v>250</v>
      </c>
      <c r="S1499" s="257">
        <f>INT($G1499*R1499*100+0.5)/100</f>
        <v>1135</v>
      </c>
      <c r="T1499" s="257"/>
      <c r="U1499" s="257"/>
      <c r="V1499" s="289"/>
      <c r="W1499" s="245"/>
      <c r="X1499" s="289"/>
      <c r="Y1499" s="245"/>
      <c r="Z1499" s="289"/>
      <c r="AA1499" s="245"/>
      <c r="AB1499" s="289"/>
      <c r="AC1499" s="245"/>
    </row>
    <row r="1500" spans="1:29" s="454" customFormat="1" ht="25.5">
      <c r="A1500" s="284"/>
      <c r="B1500" s="237"/>
      <c r="C1500" s="892" t="s">
        <v>2660</v>
      </c>
      <c r="D1500" s="238" t="s">
        <v>2834</v>
      </c>
      <c r="E1500" s="237" t="s">
        <v>2660</v>
      </c>
      <c r="F1500" s="733"/>
      <c r="G1500" s="849" t="s">
        <v>2660</v>
      </c>
      <c r="H1500" s="243"/>
      <c r="I1500" s="237" t="s">
        <v>2660</v>
      </c>
      <c r="J1500" s="243"/>
      <c r="K1500" s="243"/>
      <c r="L1500" s="243"/>
      <c r="M1500" s="243"/>
      <c r="N1500" s="289"/>
      <c r="O1500" s="245"/>
      <c r="P1500" s="289"/>
      <c r="Q1500" s="245"/>
      <c r="R1500" s="289"/>
      <c r="S1500" s="257"/>
      <c r="T1500" s="257"/>
      <c r="U1500" s="257"/>
      <c r="V1500" s="289"/>
      <c r="W1500" s="245"/>
      <c r="X1500" s="289"/>
      <c r="Y1500" s="245"/>
      <c r="Z1500" s="289"/>
      <c r="AA1500" s="245"/>
      <c r="AB1500" s="289"/>
      <c r="AC1500" s="245"/>
    </row>
    <row r="1501" spans="1:29" s="454" customFormat="1" ht="15">
      <c r="A1501" s="284"/>
      <c r="B1501" s="237"/>
      <c r="C1501" s="892" t="s">
        <v>2660</v>
      </c>
      <c r="D1501" s="238" t="s">
        <v>2660</v>
      </c>
      <c r="E1501" s="237" t="s">
        <v>2660</v>
      </c>
      <c r="F1501" s="733"/>
      <c r="G1501" s="849" t="s">
        <v>2660</v>
      </c>
      <c r="H1501" s="243"/>
      <c r="I1501" s="237" t="s">
        <v>2660</v>
      </c>
      <c r="J1501" s="243"/>
      <c r="K1501" s="243"/>
      <c r="L1501" s="243"/>
      <c r="M1501" s="243"/>
      <c r="N1501" s="289"/>
      <c r="O1501" s="245"/>
      <c r="P1501" s="289"/>
      <c r="Q1501" s="245"/>
      <c r="R1501" s="289"/>
      <c r="S1501" s="257"/>
      <c r="T1501" s="257"/>
      <c r="U1501" s="257"/>
      <c r="V1501" s="289"/>
      <c r="W1501" s="245"/>
      <c r="X1501" s="289"/>
      <c r="Y1501" s="245"/>
      <c r="Z1501" s="289"/>
      <c r="AA1501" s="245"/>
      <c r="AB1501" s="289"/>
      <c r="AC1501" s="245"/>
    </row>
    <row r="1502" spans="1:29" s="454" customFormat="1" ht="15">
      <c r="A1502" s="284"/>
      <c r="B1502" s="237"/>
      <c r="C1502" s="892" t="s">
        <v>3461</v>
      </c>
      <c r="D1502" s="238" t="s">
        <v>2835</v>
      </c>
      <c r="E1502" s="237" t="s">
        <v>2660</v>
      </c>
      <c r="F1502" s="733"/>
      <c r="G1502" s="849" t="s">
        <v>2660</v>
      </c>
      <c r="H1502" s="243"/>
      <c r="I1502" s="237" t="s">
        <v>2660</v>
      </c>
      <c r="J1502" s="243"/>
      <c r="K1502" s="243"/>
      <c r="L1502" s="243"/>
      <c r="M1502" s="243"/>
      <c r="N1502" s="289"/>
      <c r="O1502" s="245"/>
      <c r="P1502" s="289"/>
      <c r="Q1502" s="245"/>
      <c r="R1502" s="289"/>
      <c r="S1502" s="257"/>
      <c r="T1502" s="257"/>
      <c r="U1502" s="257"/>
      <c r="V1502" s="289"/>
      <c r="W1502" s="245"/>
      <c r="X1502" s="289"/>
      <c r="Y1502" s="245"/>
      <c r="Z1502" s="289"/>
      <c r="AA1502" s="245"/>
      <c r="AB1502" s="289"/>
      <c r="AC1502" s="245"/>
    </row>
    <row r="1503" spans="1:29" s="454" customFormat="1" ht="15">
      <c r="A1503" s="284"/>
      <c r="B1503" s="237"/>
      <c r="C1503" s="892"/>
      <c r="D1503" s="238" t="s">
        <v>2836</v>
      </c>
      <c r="E1503" s="237"/>
      <c r="F1503" s="733"/>
      <c r="G1503" s="849"/>
      <c r="H1503" s="243"/>
      <c r="I1503" s="237"/>
      <c r="J1503" s="243"/>
      <c r="K1503" s="243"/>
      <c r="L1503" s="243"/>
      <c r="M1503" s="243"/>
      <c r="N1503" s="289"/>
      <c r="O1503" s="245"/>
      <c r="P1503" s="289"/>
      <c r="Q1503" s="245"/>
      <c r="R1503" s="289"/>
      <c r="S1503" s="257"/>
      <c r="T1503" s="257"/>
      <c r="U1503" s="257"/>
      <c r="V1503" s="289"/>
      <c r="W1503" s="245"/>
      <c r="X1503" s="289"/>
      <c r="Y1503" s="245"/>
      <c r="Z1503" s="289"/>
      <c r="AA1503" s="245"/>
      <c r="AB1503" s="289"/>
      <c r="AC1503" s="245"/>
    </row>
    <row r="1504" spans="1:29" s="454" customFormat="1" ht="15">
      <c r="A1504" s="284">
        <f>A1499+1</f>
        <v>299</v>
      </c>
      <c r="B1504" s="237"/>
      <c r="C1504" s="892" t="s">
        <v>3462</v>
      </c>
      <c r="D1504" s="238" t="s">
        <v>2837</v>
      </c>
      <c r="E1504" s="237" t="s">
        <v>2657</v>
      </c>
      <c r="F1504" s="735">
        <f>N1504+R1504+P1504+T1504+V1504+X1504+Z1504+AB1504</f>
        <v>4</v>
      </c>
      <c r="G1504" s="849">
        <v>2359.5</v>
      </c>
      <c r="H1504" s="261">
        <f>O1504+S1504+Q1504+U1504+W1504+Y1504+AA1504+AC1504</f>
        <v>9438</v>
      </c>
      <c r="I1504" s="237" t="s">
        <v>2657</v>
      </c>
      <c r="J1504" s="243"/>
      <c r="K1504" s="243"/>
      <c r="L1504" s="243"/>
      <c r="M1504" s="243"/>
      <c r="N1504" s="289"/>
      <c r="O1504" s="245"/>
      <c r="P1504" s="289"/>
      <c r="Q1504" s="245"/>
      <c r="R1504" s="289">
        <v>4</v>
      </c>
      <c r="S1504" s="257">
        <f>INT($G1504*R1504*100+0.5)/100</f>
        <v>9438</v>
      </c>
      <c r="T1504" s="257"/>
      <c r="U1504" s="257"/>
      <c r="V1504" s="289"/>
      <c r="W1504" s="245"/>
      <c r="X1504" s="289"/>
      <c r="Y1504" s="245"/>
      <c r="Z1504" s="289"/>
      <c r="AA1504" s="245"/>
      <c r="AB1504" s="289"/>
      <c r="AC1504" s="245"/>
    </row>
    <row r="1505" spans="1:29" s="454" customFormat="1" ht="25.5">
      <c r="A1505" s="284"/>
      <c r="B1505" s="237"/>
      <c r="C1505" s="892" t="s">
        <v>2660</v>
      </c>
      <c r="D1505" s="238" t="s">
        <v>2838</v>
      </c>
      <c r="E1505" s="237" t="s">
        <v>2660</v>
      </c>
      <c r="F1505" s="733"/>
      <c r="G1505" s="849" t="s">
        <v>2660</v>
      </c>
      <c r="H1505" s="243"/>
      <c r="I1505" s="237" t="s">
        <v>2660</v>
      </c>
      <c r="J1505" s="243"/>
      <c r="K1505" s="243"/>
      <c r="L1505" s="243"/>
      <c r="M1505" s="243"/>
      <c r="N1505" s="289"/>
      <c r="O1505" s="245"/>
      <c r="P1505" s="289"/>
      <c r="Q1505" s="245"/>
      <c r="R1505" s="289"/>
      <c r="S1505" s="257"/>
      <c r="T1505" s="257"/>
      <c r="U1505" s="257"/>
      <c r="V1505" s="289"/>
      <c r="W1505" s="245"/>
      <c r="X1505" s="289"/>
      <c r="Y1505" s="245"/>
      <c r="Z1505" s="289"/>
      <c r="AA1505" s="245"/>
      <c r="AB1505" s="289"/>
      <c r="AC1505" s="245"/>
    </row>
    <row r="1506" spans="1:29" s="454" customFormat="1" ht="15">
      <c r="A1506" s="284"/>
      <c r="B1506" s="237"/>
      <c r="C1506" s="892" t="s">
        <v>2660</v>
      </c>
      <c r="D1506" s="238" t="s">
        <v>2660</v>
      </c>
      <c r="E1506" s="237" t="s">
        <v>2660</v>
      </c>
      <c r="F1506" s="733"/>
      <c r="G1506" s="849" t="s">
        <v>2660</v>
      </c>
      <c r="H1506" s="243"/>
      <c r="I1506" s="237" t="s">
        <v>2660</v>
      </c>
      <c r="J1506" s="243"/>
      <c r="K1506" s="243"/>
      <c r="L1506" s="243"/>
      <c r="M1506" s="243"/>
      <c r="N1506" s="289"/>
      <c r="O1506" s="245"/>
      <c r="P1506" s="289"/>
      <c r="Q1506" s="245"/>
      <c r="R1506" s="289"/>
      <c r="S1506" s="257"/>
      <c r="T1506" s="257"/>
      <c r="U1506" s="257"/>
      <c r="V1506" s="289"/>
      <c r="W1506" s="245"/>
      <c r="X1506" s="289"/>
      <c r="Y1506" s="245"/>
      <c r="Z1506" s="289"/>
      <c r="AA1506" s="245"/>
      <c r="AB1506" s="289"/>
      <c r="AC1506" s="245"/>
    </row>
    <row r="1507" spans="1:29" s="454" customFormat="1" ht="25.5">
      <c r="A1507" s="284">
        <f>A1504+1</f>
        <v>300</v>
      </c>
      <c r="B1507" s="237"/>
      <c r="C1507" s="892" t="s">
        <v>3463</v>
      </c>
      <c r="D1507" s="238" t="s">
        <v>2839</v>
      </c>
      <c r="E1507" s="237" t="s">
        <v>2657</v>
      </c>
      <c r="F1507" s="735">
        <f>N1507+R1507+P1507+T1507+V1507+X1507+Z1507+AB1507</f>
        <v>2</v>
      </c>
      <c r="G1507" s="849">
        <v>2541</v>
      </c>
      <c r="H1507" s="261">
        <f>O1507+S1507+Q1507+U1507+W1507+Y1507+AA1507+AC1507</f>
        <v>5082</v>
      </c>
      <c r="I1507" s="237" t="s">
        <v>2657</v>
      </c>
      <c r="J1507" s="243"/>
      <c r="K1507" s="243"/>
      <c r="L1507" s="243"/>
      <c r="M1507" s="243"/>
      <c r="N1507" s="289"/>
      <c r="O1507" s="245"/>
      <c r="P1507" s="289"/>
      <c r="Q1507" s="245"/>
      <c r="R1507" s="289">
        <v>2</v>
      </c>
      <c r="S1507" s="257">
        <f>INT($G1507*R1507*100+0.5)/100</f>
        <v>5082</v>
      </c>
      <c r="T1507" s="257"/>
      <c r="U1507" s="257"/>
      <c r="V1507" s="289"/>
      <c r="W1507" s="245"/>
      <c r="X1507" s="289"/>
      <c r="Y1507" s="245"/>
      <c r="Z1507" s="289"/>
      <c r="AA1507" s="245"/>
      <c r="AB1507" s="289"/>
      <c r="AC1507" s="245"/>
    </row>
    <row r="1508" spans="1:29" s="454" customFormat="1" ht="25.5">
      <c r="A1508" s="284"/>
      <c r="B1508" s="237"/>
      <c r="C1508" s="892" t="s">
        <v>2660</v>
      </c>
      <c r="D1508" s="238" t="s">
        <v>2840</v>
      </c>
      <c r="E1508" s="237" t="s">
        <v>2660</v>
      </c>
      <c r="F1508" s="733"/>
      <c r="G1508" s="849" t="s">
        <v>2660</v>
      </c>
      <c r="H1508" s="243"/>
      <c r="I1508" s="237" t="s">
        <v>2660</v>
      </c>
      <c r="J1508" s="243"/>
      <c r="K1508" s="243"/>
      <c r="L1508" s="243"/>
      <c r="M1508" s="243"/>
      <c r="N1508" s="289"/>
      <c r="O1508" s="245"/>
      <c r="P1508" s="289"/>
      <c r="Q1508" s="245"/>
      <c r="R1508" s="289"/>
      <c r="S1508" s="257"/>
      <c r="T1508" s="257"/>
      <c r="U1508" s="257"/>
      <c r="V1508" s="289"/>
      <c r="W1508" s="245"/>
      <c r="X1508" s="289"/>
      <c r="Y1508" s="245"/>
      <c r="Z1508" s="289"/>
      <c r="AA1508" s="245"/>
      <c r="AB1508" s="289"/>
      <c r="AC1508" s="245"/>
    </row>
    <row r="1509" spans="1:29" s="454" customFormat="1" ht="15">
      <c r="A1509" s="284"/>
      <c r="B1509" s="237"/>
      <c r="C1509" s="892" t="s">
        <v>2660</v>
      </c>
      <c r="D1509" s="238" t="s">
        <v>2660</v>
      </c>
      <c r="E1509" s="237" t="s">
        <v>2660</v>
      </c>
      <c r="F1509" s="733"/>
      <c r="G1509" s="849" t="s">
        <v>2660</v>
      </c>
      <c r="H1509" s="243"/>
      <c r="I1509" s="237" t="s">
        <v>2660</v>
      </c>
      <c r="J1509" s="243"/>
      <c r="K1509" s="243"/>
      <c r="L1509" s="243"/>
      <c r="M1509" s="243"/>
      <c r="N1509" s="289"/>
      <c r="O1509" s="245"/>
      <c r="P1509" s="289"/>
      <c r="Q1509" s="245"/>
      <c r="R1509" s="289"/>
      <c r="S1509" s="257"/>
      <c r="T1509" s="257"/>
      <c r="U1509" s="257"/>
      <c r="V1509" s="289"/>
      <c r="W1509" s="245"/>
      <c r="X1509" s="289"/>
      <c r="Y1509" s="245"/>
      <c r="Z1509" s="289"/>
      <c r="AA1509" s="245"/>
      <c r="AB1509" s="289"/>
      <c r="AC1509" s="245"/>
    </row>
    <row r="1510" spans="1:29" s="454" customFormat="1" ht="25.5">
      <c r="A1510" s="284"/>
      <c r="B1510" s="237"/>
      <c r="C1510" s="892" t="s">
        <v>3464</v>
      </c>
      <c r="D1510" s="238" t="s">
        <v>2841</v>
      </c>
      <c r="E1510" s="237" t="s">
        <v>2660</v>
      </c>
      <c r="F1510" s="733"/>
      <c r="G1510" s="849" t="s">
        <v>2660</v>
      </c>
      <c r="H1510" s="243"/>
      <c r="I1510" s="237" t="s">
        <v>2660</v>
      </c>
      <c r="J1510" s="243"/>
      <c r="K1510" s="243"/>
      <c r="L1510" s="243"/>
      <c r="M1510" s="243"/>
      <c r="N1510" s="289"/>
      <c r="O1510" s="245"/>
      <c r="P1510" s="289"/>
      <c r="Q1510" s="245"/>
      <c r="R1510" s="289"/>
      <c r="S1510" s="257"/>
      <c r="T1510" s="257"/>
      <c r="U1510" s="257"/>
      <c r="V1510" s="289"/>
      <c r="W1510" s="245"/>
      <c r="X1510" s="289"/>
      <c r="Y1510" s="245"/>
      <c r="Z1510" s="289"/>
      <c r="AA1510" s="245"/>
      <c r="AB1510" s="289"/>
      <c r="AC1510" s="245"/>
    </row>
    <row r="1511" spans="1:29" s="454" customFormat="1" ht="25.5">
      <c r="A1511" s="284"/>
      <c r="B1511" s="237"/>
      <c r="C1511" s="892"/>
      <c r="D1511" s="238" t="s">
        <v>2842</v>
      </c>
      <c r="E1511" s="237"/>
      <c r="F1511" s="733"/>
      <c r="G1511" s="849"/>
      <c r="H1511" s="243"/>
      <c r="I1511" s="237"/>
      <c r="J1511" s="243"/>
      <c r="K1511" s="243"/>
      <c r="L1511" s="243"/>
      <c r="M1511" s="243"/>
      <c r="N1511" s="289"/>
      <c r="O1511" s="245"/>
      <c r="P1511" s="289"/>
      <c r="Q1511" s="245"/>
      <c r="R1511" s="289"/>
      <c r="S1511" s="257"/>
      <c r="T1511" s="257"/>
      <c r="U1511" s="257"/>
      <c r="V1511" s="289"/>
      <c r="W1511" s="245"/>
      <c r="X1511" s="289"/>
      <c r="Y1511" s="245"/>
      <c r="Z1511" s="289"/>
      <c r="AA1511" s="245"/>
      <c r="AB1511" s="289"/>
      <c r="AC1511" s="245"/>
    </row>
    <row r="1512" spans="1:29" s="454" customFormat="1" ht="15">
      <c r="A1512" s="284">
        <f>A1507+1</f>
        <v>301</v>
      </c>
      <c r="B1512" s="237"/>
      <c r="C1512" s="892" t="s">
        <v>3465</v>
      </c>
      <c r="D1512" s="238" t="s">
        <v>2843</v>
      </c>
      <c r="E1512" s="237" t="s">
        <v>1901</v>
      </c>
      <c r="F1512" s="735">
        <f>N1512+R1512+P1512+T1512+V1512+X1512+Z1512+AB1512</f>
        <v>2</v>
      </c>
      <c r="G1512" s="849">
        <v>163.83000000000001</v>
      </c>
      <c r="H1512" s="261">
        <f>O1512+S1512+Q1512+U1512+W1512+Y1512+AA1512+AC1512</f>
        <v>327.66000000000003</v>
      </c>
      <c r="I1512" s="237" t="s">
        <v>1901</v>
      </c>
      <c r="J1512" s="243"/>
      <c r="K1512" s="243"/>
      <c r="L1512" s="243"/>
      <c r="M1512" s="243"/>
      <c r="N1512" s="289"/>
      <c r="O1512" s="245"/>
      <c r="P1512" s="289"/>
      <c r="Q1512" s="245"/>
      <c r="R1512" s="289">
        <v>2</v>
      </c>
      <c r="S1512" s="257">
        <f>INT($G1512*R1512*100+0.5)/100</f>
        <v>327.66000000000003</v>
      </c>
      <c r="T1512" s="257"/>
      <c r="U1512" s="257"/>
      <c r="V1512" s="289"/>
      <c r="W1512" s="245"/>
      <c r="X1512" s="289"/>
      <c r="Y1512" s="245"/>
      <c r="Z1512" s="289"/>
      <c r="AA1512" s="245"/>
      <c r="AB1512" s="289"/>
      <c r="AC1512" s="245"/>
    </row>
    <row r="1513" spans="1:29" s="454" customFormat="1" ht="15">
      <c r="A1513" s="284"/>
      <c r="B1513" s="237"/>
      <c r="C1513" s="892" t="s">
        <v>2660</v>
      </c>
      <c r="D1513" s="238" t="s">
        <v>2844</v>
      </c>
      <c r="E1513" s="237" t="s">
        <v>2660</v>
      </c>
      <c r="F1513" s="733"/>
      <c r="G1513" s="849" t="s">
        <v>2660</v>
      </c>
      <c r="H1513" s="243"/>
      <c r="I1513" s="237" t="s">
        <v>2660</v>
      </c>
      <c r="J1513" s="243"/>
      <c r="K1513" s="243"/>
      <c r="L1513" s="243"/>
      <c r="M1513" s="243"/>
      <c r="N1513" s="289"/>
      <c r="O1513" s="245"/>
      <c r="P1513" s="289"/>
      <c r="Q1513" s="245"/>
      <c r="R1513" s="289"/>
      <c r="S1513" s="257"/>
      <c r="T1513" s="257"/>
      <c r="U1513" s="257"/>
      <c r="V1513" s="289"/>
      <c r="W1513" s="245"/>
      <c r="X1513" s="289"/>
      <c r="Y1513" s="245"/>
      <c r="Z1513" s="289"/>
      <c r="AA1513" s="245"/>
      <c r="AB1513" s="289"/>
      <c r="AC1513" s="245"/>
    </row>
    <row r="1514" spans="1:29" s="454" customFormat="1" ht="15">
      <c r="A1514" s="284"/>
      <c r="B1514" s="237"/>
      <c r="C1514" s="892" t="s">
        <v>2660</v>
      </c>
      <c r="D1514" s="238" t="s">
        <v>2660</v>
      </c>
      <c r="E1514" s="237" t="s">
        <v>2660</v>
      </c>
      <c r="F1514" s="733"/>
      <c r="G1514" s="849" t="s">
        <v>2660</v>
      </c>
      <c r="H1514" s="243"/>
      <c r="I1514" s="237" t="s">
        <v>2660</v>
      </c>
      <c r="J1514" s="243"/>
      <c r="K1514" s="243"/>
      <c r="L1514" s="243"/>
      <c r="M1514" s="243"/>
      <c r="N1514" s="289"/>
      <c r="O1514" s="245"/>
      <c r="P1514" s="289"/>
      <c r="Q1514" s="245"/>
      <c r="R1514" s="289"/>
      <c r="S1514" s="257"/>
      <c r="T1514" s="257"/>
      <c r="U1514" s="257"/>
      <c r="V1514" s="289"/>
      <c r="W1514" s="245"/>
      <c r="X1514" s="289"/>
      <c r="Y1514" s="245"/>
      <c r="Z1514" s="289"/>
      <c r="AA1514" s="245"/>
      <c r="AB1514" s="289"/>
      <c r="AC1514" s="245"/>
    </row>
    <row r="1515" spans="1:29" s="454" customFormat="1" ht="15">
      <c r="A1515" s="284">
        <f>A1512+1</f>
        <v>302</v>
      </c>
      <c r="B1515" s="237"/>
      <c r="C1515" s="892" t="s">
        <v>3466</v>
      </c>
      <c r="D1515" s="238" t="s">
        <v>2845</v>
      </c>
      <c r="E1515" s="237" t="s">
        <v>1901</v>
      </c>
      <c r="F1515" s="735">
        <f>N1515+R1515+P1515+T1515+V1515+X1515+Z1515+AB1515</f>
        <v>7</v>
      </c>
      <c r="G1515" s="849">
        <v>169.46</v>
      </c>
      <c r="H1515" s="261">
        <f>O1515+S1515+Q1515+U1515+W1515+Y1515+AA1515+AC1515</f>
        <v>1186.22</v>
      </c>
      <c r="I1515" s="237" t="s">
        <v>1901</v>
      </c>
      <c r="J1515" s="243"/>
      <c r="K1515" s="243"/>
      <c r="L1515" s="243"/>
      <c r="M1515" s="243"/>
      <c r="N1515" s="289"/>
      <c r="O1515" s="245"/>
      <c r="P1515" s="289"/>
      <c r="Q1515" s="245"/>
      <c r="R1515" s="289">
        <v>7</v>
      </c>
      <c r="S1515" s="257">
        <f>INT($G1515*R1515*100+0.5)/100</f>
        <v>1186.22</v>
      </c>
      <c r="T1515" s="257"/>
      <c r="U1515" s="257"/>
      <c r="V1515" s="289"/>
      <c r="W1515" s="245"/>
      <c r="X1515" s="289"/>
      <c r="Y1515" s="245"/>
      <c r="Z1515" s="289"/>
      <c r="AA1515" s="245"/>
      <c r="AB1515" s="289"/>
      <c r="AC1515" s="245"/>
    </row>
    <row r="1516" spans="1:29" s="454" customFormat="1" ht="15">
      <c r="A1516" s="284"/>
      <c r="B1516" s="237"/>
      <c r="C1516" s="892" t="s">
        <v>2660</v>
      </c>
      <c r="D1516" s="238" t="s">
        <v>2846</v>
      </c>
      <c r="E1516" s="237" t="s">
        <v>2660</v>
      </c>
      <c r="F1516" s="733"/>
      <c r="G1516" s="849" t="s">
        <v>2660</v>
      </c>
      <c r="H1516" s="243"/>
      <c r="I1516" s="237" t="s">
        <v>2660</v>
      </c>
      <c r="J1516" s="243"/>
      <c r="K1516" s="243"/>
      <c r="L1516" s="243"/>
      <c r="M1516" s="243"/>
      <c r="N1516" s="289"/>
      <c r="O1516" s="245"/>
      <c r="P1516" s="289"/>
      <c r="Q1516" s="245"/>
      <c r="R1516" s="289"/>
      <c r="S1516" s="257"/>
      <c r="T1516" s="257"/>
      <c r="U1516" s="257"/>
      <c r="V1516" s="289"/>
      <c r="W1516" s="245"/>
      <c r="X1516" s="289"/>
      <c r="Y1516" s="245"/>
      <c r="Z1516" s="289"/>
      <c r="AA1516" s="245"/>
      <c r="AB1516" s="289"/>
      <c r="AC1516" s="245"/>
    </row>
    <row r="1517" spans="1:29" s="454" customFormat="1" ht="15">
      <c r="A1517" s="284"/>
      <c r="B1517" s="237"/>
      <c r="C1517" s="892" t="s">
        <v>2660</v>
      </c>
      <c r="D1517" s="238" t="s">
        <v>2660</v>
      </c>
      <c r="E1517" s="237" t="s">
        <v>2660</v>
      </c>
      <c r="F1517" s="733"/>
      <c r="G1517" s="849" t="s">
        <v>2660</v>
      </c>
      <c r="H1517" s="243"/>
      <c r="I1517" s="237" t="s">
        <v>2660</v>
      </c>
      <c r="J1517" s="243"/>
      <c r="K1517" s="243"/>
      <c r="L1517" s="243"/>
      <c r="M1517" s="243"/>
      <c r="N1517" s="289"/>
      <c r="O1517" s="245"/>
      <c r="P1517" s="289"/>
      <c r="Q1517" s="245"/>
      <c r="R1517" s="289"/>
      <c r="S1517" s="257"/>
      <c r="T1517" s="257"/>
      <c r="U1517" s="257"/>
      <c r="V1517" s="289"/>
      <c r="W1517" s="245"/>
      <c r="X1517" s="289"/>
      <c r="Y1517" s="245"/>
      <c r="Z1517" s="289"/>
      <c r="AA1517" s="245"/>
      <c r="AB1517" s="289"/>
      <c r="AC1517" s="245"/>
    </row>
    <row r="1518" spans="1:29" s="454" customFormat="1" ht="15">
      <c r="A1518" s="284">
        <f>A1515+1</f>
        <v>303</v>
      </c>
      <c r="B1518" s="237"/>
      <c r="C1518" s="892" t="s">
        <v>3467</v>
      </c>
      <c r="D1518" s="238" t="s">
        <v>2847</v>
      </c>
      <c r="E1518" s="237" t="s">
        <v>1901</v>
      </c>
      <c r="F1518" s="735">
        <f>N1518+R1518+P1518+T1518+V1518+X1518+Z1518+AB1518</f>
        <v>2</v>
      </c>
      <c r="G1518" s="849">
        <v>188.28</v>
      </c>
      <c r="H1518" s="261">
        <f>O1518+S1518+Q1518+U1518+W1518+Y1518+AA1518+AC1518</f>
        <v>376.56</v>
      </c>
      <c r="I1518" s="237" t="s">
        <v>1901</v>
      </c>
      <c r="J1518" s="243"/>
      <c r="K1518" s="243"/>
      <c r="L1518" s="243"/>
      <c r="M1518" s="243"/>
      <c r="N1518" s="289"/>
      <c r="O1518" s="245"/>
      <c r="P1518" s="289"/>
      <c r="Q1518" s="245"/>
      <c r="R1518" s="289">
        <v>2</v>
      </c>
      <c r="S1518" s="257">
        <f>INT($G1518*R1518*100+0.5)/100</f>
        <v>376.56</v>
      </c>
      <c r="T1518" s="257"/>
      <c r="U1518" s="257"/>
      <c r="V1518" s="289"/>
      <c r="W1518" s="245"/>
      <c r="X1518" s="289"/>
      <c r="Y1518" s="245"/>
      <c r="Z1518" s="289"/>
      <c r="AA1518" s="245"/>
      <c r="AB1518" s="289"/>
      <c r="AC1518" s="245"/>
    </row>
    <row r="1519" spans="1:29" s="454" customFormat="1" ht="15">
      <c r="A1519" s="284"/>
      <c r="B1519" s="237"/>
      <c r="C1519" s="892" t="s">
        <v>2660</v>
      </c>
      <c r="D1519" s="238" t="s">
        <v>2848</v>
      </c>
      <c r="E1519" s="237" t="s">
        <v>2660</v>
      </c>
      <c r="F1519" s="733"/>
      <c r="G1519" s="849" t="s">
        <v>2660</v>
      </c>
      <c r="H1519" s="243"/>
      <c r="I1519" s="237" t="s">
        <v>2660</v>
      </c>
      <c r="J1519" s="243"/>
      <c r="K1519" s="243"/>
      <c r="L1519" s="243"/>
      <c r="M1519" s="243"/>
      <c r="N1519" s="289"/>
      <c r="O1519" s="245"/>
      <c r="P1519" s="289"/>
      <c r="Q1519" s="245"/>
      <c r="R1519" s="289"/>
      <c r="S1519" s="257"/>
      <c r="T1519" s="257"/>
      <c r="U1519" s="257"/>
      <c r="V1519" s="289"/>
      <c r="W1519" s="245"/>
      <c r="X1519" s="289"/>
      <c r="Y1519" s="245"/>
      <c r="Z1519" s="289"/>
      <c r="AA1519" s="245"/>
      <c r="AB1519" s="289"/>
      <c r="AC1519" s="245"/>
    </row>
    <row r="1520" spans="1:29" s="454" customFormat="1" ht="15">
      <c r="A1520" s="284"/>
      <c r="B1520" s="237"/>
      <c r="C1520" s="892" t="s">
        <v>2660</v>
      </c>
      <c r="D1520" s="238" t="s">
        <v>2660</v>
      </c>
      <c r="E1520" s="237" t="s">
        <v>2660</v>
      </c>
      <c r="F1520" s="733"/>
      <c r="G1520" s="849" t="s">
        <v>2660</v>
      </c>
      <c r="H1520" s="243"/>
      <c r="I1520" s="237" t="s">
        <v>2660</v>
      </c>
      <c r="J1520" s="243"/>
      <c r="K1520" s="243"/>
      <c r="L1520" s="243"/>
      <c r="M1520" s="243"/>
      <c r="N1520" s="289"/>
      <c r="O1520" s="245"/>
      <c r="P1520" s="289"/>
      <c r="Q1520" s="245"/>
      <c r="R1520" s="289"/>
      <c r="S1520" s="257"/>
      <c r="T1520" s="257"/>
      <c r="U1520" s="257"/>
      <c r="V1520" s="289"/>
      <c r="W1520" s="245"/>
      <c r="X1520" s="289"/>
      <c r="Y1520" s="245"/>
      <c r="Z1520" s="289"/>
      <c r="AA1520" s="245"/>
      <c r="AB1520" s="289"/>
      <c r="AC1520" s="245"/>
    </row>
    <row r="1521" spans="1:29" s="454" customFormat="1" ht="15">
      <c r="A1521" s="284">
        <f>A1518+1</f>
        <v>304</v>
      </c>
      <c r="B1521" s="237"/>
      <c r="C1521" s="892" t="s">
        <v>3468</v>
      </c>
      <c r="D1521" s="238" t="s">
        <v>2849</v>
      </c>
      <c r="E1521" s="237" t="s">
        <v>1901</v>
      </c>
      <c r="F1521" s="735">
        <f>N1521+R1521+P1521+T1521+V1521+X1521+Z1521+AB1521</f>
        <v>1</v>
      </c>
      <c r="G1521" s="849">
        <v>223.97</v>
      </c>
      <c r="H1521" s="261">
        <f>O1521+S1521+Q1521+U1521+W1521+Y1521+AA1521+AC1521</f>
        <v>223.97</v>
      </c>
      <c r="I1521" s="237" t="s">
        <v>1901</v>
      </c>
      <c r="J1521" s="243"/>
      <c r="K1521" s="243"/>
      <c r="L1521" s="243"/>
      <c r="M1521" s="243"/>
      <c r="N1521" s="289"/>
      <c r="O1521" s="245"/>
      <c r="P1521" s="289"/>
      <c r="Q1521" s="245"/>
      <c r="R1521" s="289">
        <v>1</v>
      </c>
      <c r="S1521" s="257">
        <f>INT($G1521*R1521*100+0.5)/100</f>
        <v>223.97</v>
      </c>
      <c r="T1521" s="257"/>
      <c r="U1521" s="257"/>
      <c r="V1521" s="289"/>
      <c r="W1521" s="245"/>
      <c r="X1521" s="289"/>
      <c r="Y1521" s="245"/>
      <c r="Z1521" s="289"/>
      <c r="AA1521" s="245"/>
      <c r="AB1521" s="289"/>
      <c r="AC1521" s="245"/>
    </row>
    <row r="1522" spans="1:29" s="454" customFormat="1" ht="15">
      <c r="A1522" s="284"/>
      <c r="B1522" s="237"/>
      <c r="C1522" s="892" t="s">
        <v>2660</v>
      </c>
      <c r="D1522" s="238" t="s">
        <v>2850</v>
      </c>
      <c r="E1522" s="237" t="s">
        <v>2660</v>
      </c>
      <c r="F1522" s="733"/>
      <c r="G1522" s="849" t="s">
        <v>2660</v>
      </c>
      <c r="H1522" s="243"/>
      <c r="I1522" s="237" t="s">
        <v>2660</v>
      </c>
      <c r="J1522" s="243"/>
      <c r="K1522" s="243"/>
      <c r="L1522" s="243"/>
      <c r="M1522" s="243"/>
      <c r="N1522" s="289"/>
      <c r="O1522" s="245"/>
      <c r="P1522" s="289"/>
      <c r="Q1522" s="245"/>
      <c r="R1522" s="289"/>
      <c r="S1522" s="257"/>
      <c r="T1522" s="257"/>
      <c r="U1522" s="257"/>
      <c r="V1522" s="289"/>
      <c r="W1522" s="245"/>
      <c r="X1522" s="289"/>
      <c r="Y1522" s="245"/>
      <c r="Z1522" s="289"/>
      <c r="AA1522" s="245"/>
      <c r="AB1522" s="289"/>
      <c r="AC1522" s="245"/>
    </row>
    <row r="1523" spans="1:29" s="454" customFormat="1" ht="15">
      <c r="A1523" s="284"/>
      <c r="B1523" s="237"/>
      <c r="C1523" s="892" t="s">
        <v>2660</v>
      </c>
      <c r="D1523" s="238" t="s">
        <v>2660</v>
      </c>
      <c r="E1523" s="237" t="s">
        <v>2660</v>
      </c>
      <c r="F1523" s="733"/>
      <c r="G1523" s="849" t="s">
        <v>2660</v>
      </c>
      <c r="H1523" s="243"/>
      <c r="I1523" s="237" t="s">
        <v>2660</v>
      </c>
      <c r="J1523" s="243"/>
      <c r="K1523" s="243"/>
      <c r="L1523" s="243"/>
      <c r="M1523" s="243"/>
      <c r="N1523" s="289"/>
      <c r="O1523" s="245"/>
      <c r="P1523" s="289"/>
      <c r="Q1523" s="245"/>
      <c r="R1523" s="289"/>
      <c r="S1523" s="257"/>
      <c r="T1523" s="257"/>
      <c r="U1523" s="257"/>
      <c r="V1523" s="289"/>
      <c r="W1523" s="245"/>
      <c r="X1523" s="289"/>
      <c r="Y1523" s="245"/>
      <c r="Z1523" s="289"/>
      <c r="AA1523" s="245"/>
      <c r="AB1523" s="289"/>
      <c r="AC1523" s="245"/>
    </row>
    <row r="1524" spans="1:29" s="454" customFormat="1" ht="89.25">
      <c r="A1524" s="284">
        <f>A1521+1</f>
        <v>305</v>
      </c>
      <c r="B1524" s="237"/>
      <c r="C1524" s="892" t="s">
        <v>3469</v>
      </c>
      <c r="D1524" s="238" t="s">
        <v>2851</v>
      </c>
      <c r="E1524" s="237" t="s">
        <v>2475</v>
      </c>
      <c r="F1524" s="735">
        <f>N1524+R1524+P1524+T1524+V1524+X1524+Z1524+AB1524</f>
        <v>1000</v>
      </c>
      <c r="G1524" s="849">
        <v>11.37</v>
      </c>
      <c r="H1524" s="261">
        <f>O1524+S1524+Q1524+U1524+W1524+Y1524+AA1524+AC1524</f>
        <v>11370</v>
      </c>
      <c r="I1524" s="237" t="s">
        <v>2475</v>
      </c>
      <c r="J1524" s="243"/>
      <c r="K1524" s="243"/>
      <c r="L1524" s="243"/>
      <c r="M1524" s="243"/>
      <c r="N1524" s="289"/>
      <c r="O1524" s="245"/>
      <c r="P1524" s="289"/>
      <c r="Q1524" s="245"/>
      <c r="R1524" s="289">
        <f>(90+(23+136.5+101.5+10+10)+(132.5+10))+(10+25+20+20+33+10+27+2+2+10+34+38+14+10+8+10+54+10+21+10+26+20+29+5+8+5)+25.5</f>
        <v>1000</v>
      </c>
      <c r="S1524" s="257">
        <f>INT($G1524*R1524*100+0.5)/100</f>
        <v>11370</v>
      </c>
      <c r="T1524" s="257"/>
      <c r="U1524" s="257"/>
      <c r="V1524" s="289"/>
      <c r="W1524" s="245"/>
      <c r="X1524" s="289"/>
      <c r="Y1524" s="245"/>
      <c r="Z1524" s="289"/>
      <c r="AA1524" s="245"/>
      <c r="AB1524" s="289"/>
      <c r="AC1524" s="245"/>
    </row>
    <row r="1525" spans="1:29" s="454" customFormat="1" ht="76.5">
      <c r="A1525" s="284"/>
      <c r="B1525" s="237"/>
      <c r="C1525" s="892" t="s">
        <v>2660</v>
      </c>
      <c r="D1525" s="238" t="s">
        <v>2852</v>
      </c>
      <c r="E1525" s="237" t="s">
        <v>2660</v>
      </c>
      <c r="F1525" s="733"/>
      <c r="G1525" s="849" t="s">
        <v>2660</v>
      </c>
      <c r="H1525" s="243"/>
      <c r="I1525" s="237" t="s">
        <v>2660</v>
      </c>
      <c r="J1525" s="243"/>
      <c r="K1525" s="243"/>
      <c r="L1525" s="243"/>
      <c r="M1525" s="243"/>
      <c r="N1525" s="289"/>
      <c r="O1525" s="245"/>
      <c r="P1525" s="289"/>
      <c r="Q1525" s="245"/>
      <c r="R1525" s="289"/>
      <c r="S1525" s="257"/>
      <c r="T1525" s="257"/>
      <c r="U1525" s="257"/>
      <c r="V1525" s="289"/>
      <c r="W1525" s="245"/>
      <c r="X1525" s="289"/>
      <c r="Y1525" s="245"/>
      <c r="Z1525" s="289"/>
      <c r="AA1525" s="245"/>
      <c r="AB1525" s="289"/>
      <c r="AC1525" s="245"/>
    </row>
    <row r="1526" spans="1:29" s="454" customFormat="1" ht="15">
      <c r="A1526" s="284"/>
      <c r="B1526" s="237"/>
      <c r="C1526" s="892" t="s">
        <v>2660</v>
      </c>
      <c r="D1526" s="238"/>
      <c r="E1526" s="237" t="s">
        <v>2660</v>
      </c>
      <c r="F1526" s="733"/>
      <c r="G1526" s="849" t="s">
        <v>2660</v>
      </c>
      <c r="H1526" s="243"/>
      <c r="I1526" s="237" t="s">
        <v>2660</v>
      </c>
      <c r="J1526" s="243"/>
      <c r="K1526" s="243"/>
      <c r="L1526" s="243"/>
      <c r="M1526" s="243"/>
      <c r="N1526" s="289"/>
      <c r="O1526" s="245"/>
      <c r="P1526" s="289"/>
      <c r="Q1526" s="245"/>
      <c r="R1526" s="289"/>
      <c r="S1526" s="257"/>
      <c r="T1526" s="257"/>
      <c r="U1526" s="257"/>
      <c r="V1526" s="289"/>
      <c r="W1526" s="245"/>
      <c r="X1526" s="289"/>
      <c r="Y1526" s="245"/>
      <c r="Z1526" s="289"/>
      <c r="AA1526" s="245"/>
      <c r="AB1526" s="289"/>
      <c r="AC1526" s="245"/>
    </row>
    <row r="1527" spans="1:29" s="454" customFormat="1" ht="15">
      <c r="A1527" s="284"/>
      <c r="B1527" s="237"/>
      <c r="C1527" s="892" t="s">
        <v>3470</v>
      </c>
      <c r="D1527" s="238" t="s">
        <v>2853</v>
      </c>
      <c r="E1527" s="237" t="s">
        <v>2660</v>
      </c>
      <c r="F1527" s="733"/>
      <c r="G1527" s="849" t="s">
        <v>2660</v>
      </c>
      <c r="H1527" s="243"/>
      <c r="I1527" s="237" t="s">
        <v>2660</v>
      </c>
      <c r="J1527" s="243"/>
      <c r="K1527" s="243"/>
      <c r="L1527" s="243"/>
      <c r="M1527" s="243"/>
      <c r="N1527" s="289"/>
      <c r="O1527" s="245"/>
      <c r="P1527" s="289"/>
      <c r="Q1527" s="245"/>
      <c r="R1527" s="289"/>
      <c r="S1527" s="257"/>
      <c r="T1527" s="257"/>
      <c r="U1527" s="257"/>
      <c r="V1527" s="289"/>
      <c r="W1527" s="245"/>
      <c r="X1527" s="289"/>
      <c r="Y1527" s="245"/>
      <c r="Z1527" s="289"/>
      <c r="AA1527" s="245"/>
      <c r="AB1527" s="289"/>
      <c r="AC1527" s="245"/>
    </row>
    <row r="1528" spans="1:29" s="454" customFormat="1" ht="15">
      <c r="A1528" s="284"/>
      <c r="B1528" s="237"/>
      <c r="C1528" s="892"/>
      <c r="D1528" s="238" t="s">
        <v>2854</v>
      </c>
      <c r="E1528" s="237"/>
      <c r="F1528" s="733"/>
      <c r="G1528" s="849"/>
      <c r="H1528" s="243"/>
      <c r="I1528" s="237"/>
      <c r="J1528" s="243"/>
      <c r="K1528" s="243"/>
      <c r="L1528" s="243"/>
      <c r="M1528" s="243"/>
      <c r="N1528" s="289"/>
      <c r="O1528" s="245"/>
      <c r="P1528" s="289"/>
      <c r="Q1528" s="245"/>
      <c r="R1528" s="289"/>
      <c r="S1528" s="257"/>
      <c r="T1528" s="257"/>
      <c r="U1528" s="257"/>
      <c r="V1528" s="289"/>
      <c r="W1528" s="245"/>
      <c r="X1528" s="289"/>
      <c r="Y1528" s="245"/>
      <c r="Z1528" s="289"/>
      <c r="AA1528" s="245"/>
      <c r="AB1528" s="289"/>
      <c r="AC1528" s="245"/>
    </row>
    <row r="1529" spans="1:29" s="454" customFormat="1" ht="15">
      <c r="A1529" s="284">
        <f>A1524+1</f>
        <v>306</v>
      </c>
      <c r="B1529" s="237"/>
      <c r="C1529" s="892" t="s">
        <v>3471</v>
      </c>
      <c r="D1529" s="238" t="s">
        <v>2855</v>
      </c>
      <c r="E1529" s="237" t="s">
        <v>2475</v>
      </c>
      <c r="F1529" s="735">
        <f>N1529+R1529+P1529+T1529+V1529+X1529+Z1529+AB1529</f>
        <v>780</v>
      </c>
      <c r="G1529" s="849">
        <v>1.87</v>
      </c>
      <c r="H1529" s="261">
        <f>O1529+S1529+Q1529+U1529+W1529+Y1529+AA1529+AC1529</f>
        <v>1458.6</v>
      </c>
      <c r="I1529" s="237" t="s">
        <v>2475</v>
      </c>
      <c r="J1529" s="243"/>
      <c r="K1529" s="243"/>
      <c r="L1529" s="243"/>
      <c r="M1529" s="243"/>
      <c r="N1529" s="289"/>
      <c r="O1529" s="245"/>
      <c r="P1529" s="289"/>
      <c r="Q1529" s="245"/>
      <c r="R1529" s="289">
        <f>R1244+R1245+R1249+R1250+R1251+R1252+R1256</f>
        <v>780</v>
      </c>
      <c r="S1529" s="257">
        <f>INT($G1529*R1529*100+0.5)/100</f>
        <v>1458.6</v>
      </c>
      <c r="T1529" s="257"/>
      <c r="U1529" s="257"/>
      <c r="V1529" s="289"/>
      <c r="W1529" s="245"/>
      <c r="X1529" s="289"/>
      <c r="Y1529" s="245"/>
      <c r="Z1529" s="289"/>
      <c r="AA1529" s="245"/>
      <c r="AB1529" s="289"/>
      <c r="AC1529" s="245"/>
    </row>
    <row r="1530" spans="1:29" s="454" customFormat="1" ht="15">
      <c r="A1530" s="284"/>
      <c r="B1530" s="237"/>
      <c r="C1530" s="892" t="s">
        <v>2660</v>
      </c>
      <c r="D1530" s="238" t="s">
        <v>2856</v>
      </c>
      <c r="E1530" s="237" t="s">
        <v>2660</v>
      </c>
      <c r="F1530" s="733"/>
      <c r="G1530" s="849" t="s">
        <v>2660</v>
      </c>
      <c r="H1530" s="243"/>
      <c r="I1530" s="237" t="s">
        <v>2660</v>
      </c>
      <c r="J1530" s="243"/>
      <c r="K1530" s="243"/>
      <c r="L1530" s="243"/>
      <c r="M1530" s="243"/>
      <c r="N1530" s="289"/>
      <c r="O1530" s="245"/>
      <c r="P1530" s="289"/>
      <c r="Q1530" s="245"/>
      <c r="R1530" s="289"/>
      <c r="S1530" s="257"/>
      <c r="T1530" s="257"/>
      <c r="U1530" s="257"/>
      <c r="V1530" s="289"/>
      <c r="W1530" s="245"/>
      <c r="X1530" s="289"/>
      <c r="Y1530" s="245"/>
      <c r="Z1530" s="289"/>
      <c r="AA1530" s="245"/>
      <c r="AB1530" s="289"/>
      <c r="AC1530" s="245"/>
    </row>
    <row r="1531" spans="1:29" s="454" customFormat="1" ht="15">
      <c r="A1531" s="284"/>
      <c r="B1531" s="237"/>
      <c r="C1531" s="892" t="s">
        <v>2660</v>
      </c>
      <c r="D1531" s="238" t="s">
        <v>2660</v>
      </c>
      <c r="E1531" s="237" t="s">
        <v>2660</v>
      </c>
      <c r="F1531" s="733"/>
      <c r="G1531" s="849" t="s">
        <v>2660</v>
      </c>
      <c r="H1531" s="243"/>
      <c r="I1531" s="237" t="s">
        <v>2660</v>
      </c>
      <c r="J1531" s="243"/>
      <c r="K1531" s="243"/>
      <c r="L1531" s="243"/>
      <c r="M1531" s="243"/>
      <c r="N1531" s="289"/>
      <c r="O1531" s="245"/>
      <c r="P1531" s="289"/>
      <c r="Q1531" s="245"/>
      <c r="R1531" s="289"/>
      <c r="S1531" s="257"/>
      <c r="T1531" s="257"/>
      <c r="U1531" s="257"/>
      <c r="V1531" s="289"/>
      <c r="W1531" s="245"/>
      <c r="X1531" s="289"/>
      <c r="Y1531" s="245"/>
      <c r="Z1531" s="289"/>
      <c r="AA1531" s="245"/>
      <c r="AB1531" s="289"/>
      <c r="AC1531" s="245"/>
    </row>
    <row r="1532" spans="1:29" s="454" customFormat="1" ht="15">
      <c r="A1532" s="284">
        <f>A1529+1</f>
        <v>307</v>
      </c>
      <c r="B1532" s="237"/>
      <c r="C1532" s="892" t="s">
        <v>3472</v>
      </c>
      <c r="D1532" s="238" t="s">
        <v>2857</v>
      </c>
      <c r="E1532" s="237" t="s">
        <v>2475</v>
      </c>
      <c r="F1532" s="735">
        <f>N1532+R1532+P1532+T1532+V1532+X1532+Z1532+AB1532</f>
        <v>370</v>
      </c>
      <c r="G1532" s="849">
        <v>2.13</v>
      </c>
      <c r="H1532" s="261">
        <f>O1532+S1532+Q1532+U1532+W1532+Y1532+AA1532+AC1532</f>
        <v>788.1</v>
      </c>
      <c r="I1532" s="237" t="s">
        <v>2475</v>
      </c>
      <c r="J1532" s="243"/>
      <c r="K1532" s="243"/>
      <c r="L1532" s="243"/>
      <c r="M1532" s="243"/>
      <c r="N1532" s="289"/>
      <c r="O1532" s="245"/>
      <c r="P1532" s="289"/>
      <c r="Q1532" s="245"/>
      <c r="R1532" s="289">
        <f>R1262+R1264+R1269</f>
        <v>370</v>
      </c>
      <c r="S1532" s="257">
        <f>INT($G1532*R1532*100+0.5)/100</f>
        <v>788.1</v>
      </c>
      <c r="T1532" s="257"/>
      <c r="U1532" s="257"/>
      <c r="V1532" s="289"/>
      <c r="W1532" s="245"/>
      <c r="X1532" s="289"/>
      <c r="Y1532" s="245"/>
      <c r="Z1532" s="289"/>
      <c r="AA1532" s="245"/>
      <c r="AB1532" s="289"/>
      <c r="AC1532" s="245"/>
    </row>
    <row r="1533" spans="1:29" s="454" customFormat="1" ht="15">
      <c r="A1533" s="284"/>
      <c r="B1533" s="237"/>
      <c r="C1533" s="892" t="s">
        <v>2660</v>
      </c>
      <c r="D1533" s="238" t="s">
        <v>2858</v>
      </c>
      <c r="E1533" s="237" t="s">
        <v>2660</v>
      </c>
      <c r="F1533" s="733"/>
      <c r="G1533" s="849" t="s">
        <v>2660</v>
      </c>
      <c r="H1533" s="243"/>
      <c r="I1533" s="237" t="s">
        <v>2660</v>
      </c>
      <c r="J1533" s="243"/>
      <c r="K1533" s="243"/>
      <c r="L1533" s="243"/>
      <c r="M1533" s="243"/>
      <c r="N1533" s="289"/>
      <c r="O1533" s="245"/>
      <c r="P1533" s="289"/>
      <c r="Q1533" s="245"/>
      <c r="R1533" s="289"/>
      <c r="S1533" s="257"/>
      <c r="T1533" s="257"/>
      <c r="U1533" s="257"/>
      <c r="V1533" s="289"/>
      <c r="W1533" s="245"/>
      <c r="X1533" s="289"/>
      <c r="Y1533" s="245"/>
      <c r="Z1533" s="289"/>
      <c r="AA1533" s="245"/>
      <c r="AB1533" s="289"/>
      <c r="AC1533" s="245"/>
    </row>
    <row r="1534" spans="1:29" s="454" customFormat="1" ht="15">
      <c r="A1534" s="284"/>
      <c r="B1534" s="237"/>
      <c r="C1534" s="892" t="s">
        <v>2660</v>
      </c>
      <c r="D1534" s="238" t="s">
        <v>2660</v>
      </c>
      <c r="E1534" s="237" t="s">
        <v>2660</v>
      </c>
      <c r="F1534" s="733"/>
      <c r="G1534" s="849" t="s">
        <v>2660</v>
      </c>
      <c r="H1534" s="243"/>
      <c r="I1534" s="237" t="s">
        <v>2660</v>
      </c>
      <c r="J1534" s="243"/>
      <c r="K1534" s="243"/>
      <c r="L1534" s="243"/>
      <c r="M1534" s="243"/>
      <c r="N1534" s="289"/>
      <c r="O1534" s="245"/>
      <c r="P1534" s="289"/>
      <c r="Q1534" s="245"/>
      <c r="R1534" s="289"/>
      <c r="S1534" s="257"/>
      <c r="T1534" s="257"/>
      <c r="U1534" s="257"/>
      <c r="V1534" s="289"/>
      <c r="W1534" s="245"/>
      <c r="X1534" s="289"/>
      <c r="Y1534" s="245"/>
      <c r="Z1534" s="289"/>
      <c r="AA1534" s="245"/>
      <c r="AB1534" s="289"/>
      <c r="AC1534" s="245"/>
    </row>
    <row r="1535" spans="1:29" s="454" customFormat="1" ht="15">
      <c r="A1535" s="284">
        <f>A1532+1</f>
        <v>308</v>
      </c>
      <c r="B1535" s="237"/>
      <c r="C1535" s="892" t="s">
        <v>3473</v>
      </c>
      <c r="D1535" s="238" t="s">
        <v>2859</v>
      </c>
      <c r="E1535" s="237" t="s">
        <v>2475</v>
      </c>
      <c r="F1535" s="735">
        <f>N1535+R1535+P1535+T1535+V1535+X1535+Z1535+AB1535</f>
        <v>1100</v>
      </c>
      <c r="G1535" s="849">
        <v>3.3</v>
      </c>
      <c r="H1535" s="261">
        <f>O1535+S1535+Q1535+U1535+W1535+Y1535+AA1535+AC1535</f>
        <v>3630</v>
      </c>
      <c r="I1535" s="237" t="s">
        <v>2475</v>
      </c>
      <c r="J1535" s="243"/>
      <c r="K1535" s="243"/>
      <c r="L1535" s="243"/>
      <c r="M1535" s="243"/>
      <c r="N1535" s="289"/>
      <c r="O1535" s="245"/>
      <c r="P1535" s="289"/>
      <c r="Q1535" s="245"/>
      <c r="R1535" s="289">
        <f>R1275+R1279+R1288+R1294</f>
        <v>1100</v>
      </c>
      <c r="S1535" s="257">
        <f>INT($G1535*R1535*100+0.5)/100</f>
        <v>3630</v>
      </c>
      <c r="T1535" s="257"/>
      <c r="U1535" s="257"/>
      <c r="V1535" s="289"/>
      <c r="W1535" s="245"/>
      <c r="X1535" s="289"/>
      <c r="Y1535" s="245"/>
      <c r="Z1535" s="289"/>
      <c r="AA1535" s="245"/>
      <c r="AB1535" s="289"/>
      <c r="AC1535" s="245"/>
    </row>
    <row r="1536" spans="1:29" s="454" customFormat="1" ht="15">
      <c r="A1536" s="284"/>
      <c r="B1536" s="237"/>
      <c r="C1536" s="892" t="s">
        <v>2660</v>
      </c>
      <c r="D1536" s="238" t="s">
        <v>2860</v>
      </c>
      <c r="E1536" s="237" t="s">
        <v>2660</v>
      </c>
      <c r="F1536" s="733"/>
      <c r="G1536" s="849" t="s">
        <v>2660</v>
      </c>
      <c r="H1536" s="243"/>
      <c r="I1536" s="237" t="s">
        <v>2660</v>
      </c>
      <c r="J1536" s="243"/>
      <c r="K1536" s="243"/>
      <c r="L1536" s="243"/>
      <c r="M1536" s="243"/>
      <c r="N1536" s="289"/>
      <c r="O1536" s="245"/>
      <c r="P1536" s="289"/>
      <c r="Q1536" s="245"/>
      <c r="R1536" s="289"/>
      <c r="S1536" s="257"/>
      <c r="T1536" s="257"/>
      <c r="U1536" s="257"/>
      <c r="V1536" s="289"/>
      <c r="W1536" s="245"/>
      <c r="X1536" s="289"/>
      <c r="Y1536" s="245"/>
      <c r="Z1536" s="289"/>
      <c r="AA1536" s="245"/>
      <c r="AB1536" s="289"/>
      <c r="AC1536" s="245"/>
    </row>
    <row r="1537" spans="1:29" s="454" customFormat="1" ht="15">
      <c r="A1537" s="284"/>
      <c r="B1537" s="237"/>
      <c r="C1537" s="892" t="s">
        <v>2660</v>
      </c>
      <c r="D1537" s="238" t="s">
        <v>2660</v>
      </c>
      <c r="E1537" s="237" t="s">
        <v>2660</v>
      </c>
      <c r="F1537" s="733"/>
      <c r="G1537" s="849" t="s">
        <v>2660</v>
      </c>
      <c r="H1537" s="243"/>
      <c r="I1537" s="237" t="s">
        <v>2660</v>
      </c>
      <c r="J1537" s="243"/>
      <c r="K1537" s="243"/>
      <c r="L1537" s="243"/>
      <c r="M1537" s="243"/>
      <c r="N1537" s="289"/>
      <c r="O1537" s="245"/>
      <c r="P1537" s="289"/>
      <c r="Q1537" s="245"/>
      <c r="R1537" s="289"/>
      <c r="S1537" s="257"/>
      <c r="T1537" s="257"/>
      <c r="U1537" s="257"/>
      <c r="V1537" s="289"/>
      <c r="W1537" s="245"/>
      <c r="X1537" s="289"/>
      <c r="Y1537" s="245"/>
      <c r="Z1537" s="289"/>
      <c r="AA1537" s="245"/>
      <c r="AB1537" s="289"/>
      <c r="AC1537" s="245"/>
    </row>
    <row r="1538" spans="1:29" s="454" customFormat="1" ht="25.5">
      <c r="A1538" s="284"/>
      <c r="B1538" s="237"/>
      <c r="C1538" s="892" t="s">
        <v>3474</v>
      </c>
      <c r="D1538" s="238" t="s">
        <v>2861</v>
      </c>
      <c r="E1538" s="237" t="s">
        <v>2660</v>
      </c>
      <c r="F1538" s="733"/>
      <c r="G1538" s="849" t="s">
        <v>2660</v>
      </c>
      <c r="H1538" s="243"/>
      <c r="I1538" s="237" t="s">
        <v>2660</v>
      </c>
      <c r="J1538" s="243"/>
      <c r="K1538" s="243"/>
      <c r="L1538" s="243"/>
      <c r="M1538" s="243"/>
      <c r="N1538" s="289"/>
      <c r="O1538" s="245"/>
      <c r="P1538" s="289"/>
      <c r="Q1538" s="245"/>
      <c r="R1538" s="289"/>
      <c r="S1538" s="257"/>
      <c r="T1538" s="257"/>
      <c r="U1538" s="257"/>
      <c r="V1538" s="289"/>
      <c r="W1538" s="245"/>
      <c r="X1538" s="289"/>
      <c r="Y1538" s="245"/>
      <c r="Z1538" s="289"/>
      <c r="AA1538" s="245"/>
      <c r="AB1538" s="289"/>
      <c r="AC1538" s="245"/>
    </row>
    <row r="1539" spans="1:29" s="454" customFormat="1" ht="25.5">
      <c r="A1539" s="284"/>
      <c r="B1539" s="237"/>
      <c r="C1539" s="892"/>
      <c r="D1539" s="238" t="s">
        <v>2862</v>
      </c>
      <c r="E1539" s="237"/>
      <c r="F1539" s="733"/>
      <c r="G1539" s="849"/>
      <c r="H1539" s="243"/>
      <c r="I1539" s="237"/>
      <c r="J1539" s="243"/>
      <c r="K1539" s="243"/>
      <c r="L1539" s="243"/>
      <c r="M1539" s="243"/>
      <c r="N1539" s="289"/>
      <c r="O1539" s="245"/>
      <c r="P1539" s="289"/>
      <c r="Q1539" s="245"/>
      <c r="R1539" s="289"/>
      <c r="S1539" s="257"/>
      <c r="T1539" s="257"/>
      <c r="U1539" s="257"/>
      <c r="V1539" s="289"/>
      <c r="W1539" s="245"/>
      <c r="X1539" s="289"/>
      <c r="Y1539" s="245"/>
      <c r="Z1539" s="289"/>
      <c r="AA1539" s="245"/>
      <c r="AB1539" s="289"/>
      <c r="AC1539" s="245"/>
    </row>
    <row r="1540" spans="1:29" s="454" customFormat="1" ht="38.25">
      <c r="A1540" s="284">
        <f>A1535+1</f>
        <v>309</v>
      </c>
      <c r="B1540" s="237"/>
      <c r="C1540" s="892" t="s">
        <v>3475</v>
      </c>
      <c r="D1540" s="238" t="s">
        <v>2863</v>
      </c>
      <c r="E1540" s="237" t="s">
        <v>1901</v>
      </c>
      <c r="F1540" s="735">
        <f>N1540+R1540+P1540+T1540+V1540+X1540+Z1540+AB1540</f>
        <v>15</v>
      </c>
      <c r="G1540" s="849">
        <v>60.5</v>
      </c>
      <c r="H1540" s="261">
        <f>O1540+S1540+Q1540+U1540+W1540+Y1540+AA1540+AC1540</f>
        <v>907.5</v>
      </c>
      <c r="I1540" s="237" t="s">
        <v>1901</v>
      </c>
      <c r="J1540" s="243"/>
      <c r="K1540" s="243"/>
      <c r="L1540" s="243"/>
      <c r="M1540" s="243"/>
      <c r="N1540" s="289"/>
      <c r="O1540" s="245"/>
      <c r="P1540" s="289"/>
      <c r="Q1540" s="245"/>
      <c r="R1540" s="289">
        <v>15</v>
      </c>
      <c r="S1540" s="257">
        <f>INT($G1540*R1540*100+0.5)/100</f>
        <v>907.5</v>
      </c>
      <c r="T1540" s="257"/>
      <c r="U1540" s="257"/>
      <c r="V1540" s="289"/>
      <c r="W1540" s="245"/>
      <c r="X1540" s="289"/>
      <c r="Y1540" s="245"/>
      <c r="Z1540" s="289"/>
      <c r="AA1540" s="245"/>
      <c r="AB1540" s="289"/>
      <c r="AC1540" s="245"/>
    </row>
    <row r="1541" spans="1:29" s="454" customFormat="1" ht="38.25">
      <c r="A1541" s="284"/>
      <c r="B1541" s="237"/>
      <c r="C1541" s="892" t="s">
        <v>2660</v>
      </c>
      <c r="D1541" s="238" t="s">
        <v>2864</v>
      </c>
      <c r="E1541" s="237" t="s">
        <v>2660</v>
      </c>
      <c r="F1541" s="733"/>
      <c r="G1541" s="849" t="s">
        <v>2660</v>
      </c>
      <c r="H1541" s="243"/>
      <c r="I1541" s="237" t="s">
        <v>2660</v>
      </c>
      <c r="J1541" s="243"/>
      <c r="K1541" s="243"/>
      <c r="L1541" s="243"/>
      <c r="M1541" s="243"/>
      <c r="N1541" s="289"/>
      <c r="O1541" s="245"/>
      <c r="P1541" s="289"/>
      <c r="Q1541" s="245"/>
      <c r="R1541" s="289"/>
      <c r="S1541" s="257"/>
      <c r="T1541" s="257"/>
      <c r="U1541" s="257"/>
      <c r="V1541" s="289"/>
      <c r="W1541" s="245"/>
      <c r="X1541" s="289"/>
      <c r="Y1541" s="245"/>
      <c r="Z1541" s="289"/>
      <c r="AA1541" s="245"/>
      <c r="AB1541" s="289"/>
      <c r="AC1541" s="245"/>
    </row>
    <row r="1542" spans="1:29" s="454" customFormat="1" ht="15">
      <c r="A1542" s="284"/>
      <c r="B1542" s="237"/>
      <c r="C1542" s="892" t="s">
        <v>2660</v>
      </c>
      <c r="D1542" s="238" t="s">
        <v>2660</v>
      </c>
      <c r="E1542" s="237" t="s">
        <v>2660</v>
      </c>
      <c r="F1542" s="733"/>
      <c r="G1542" s="849" t="s">
        <v>2660</v>
      </c>
      <c r="H1542" s="243"/>
      <c r="I1542" s="237" t="s">
        <v>2660</v>
      </c>
      <c r="J1542" s="243"/>
      <c r="K1542" s="243"/>
      <c r="L1542" s="243"/>
      <c r="M1542" s="243"/>
      <c r="N1542" s="289"/>
      <c r="O1542" s="245"/>
      <c r="P1542" s="289"/>
      <c r="Q1542" s="245"/>
      <c r="R1542" s="289"/>
      <c r="S1542" s="257"/>
      <c r="T1542" s="257"/>
      <c r="U1542" s="257"/>
      <c r="V1542" s="289"/>
      <c r="W1542" s="245"/>
      <c r="X1542" s="289"/>
      <c r="Y1542" s="245"/>
      <c r="Z1542" s="289"/>
      <c r="AA1542" s="245"/>
      <c r="AB1542" s="289"/>
      <c r="AC1542" s="245"/>
    </row>
    <row r="1543" spans="1:29" s="454" customFormat="1" ht="38.25">
      <c r="A1543" s="284">
        <f>A1540+1</f>
        <v>310</v>
      </c>
      <c r="B1543" s="237"/>
      <c r="C1543" s="892" t="s">
        <v>3476</v>
      </c>
      <c r="D1543" s="238" t="s">
        <v>3374</v>
      </c>
      <c r="E1543" s="237" t="s">
        <v>1901</v>
      </c>
      <c r="F1543" s="735">
        <f>N1543+R1543+P1543+T1543+V1543+X1543+Z1543+AB1543</f>
        <v>10</v>
      </c>
      <c r="G1543" s="849">
        <v>65.040000000000006</v>
      </c>
      <c r="H1543" s="261">
        <f>O1543+S1543+Q1543+U1543+W1543+Y1543+AA1543+AC1543</f>
        <v>650.4</v>
      </c>
      <c r="I1543" s="237" t="s">
        <v>1901</v>
      </c>
      <c r="J1543" s="243"/>
      <c r="K1543" s="243"/>
      <c r="L1543" s="243"/>
      <c r="M1543" s="243"/>
      <c r="N1543" s="289"/>
      <c r="O1543" s="245"/>
      <c r="P1543" s="289"/>
      <c r="Q1543" s="245"/>
      <c r="R1543" s="289">
        <v>10</v>
      </c>
      <c r="S1543" s="257">
        <f>INT($G1543*R1543*100+0.5)/100</f>
        <v>650.4</v>
      </c>
      <c r="T1543" s="257"/>
      <c r="U1543" s="257"/>
      <c r="V1543" s="289"/>
      <c r="W1543" s="245"/>
      <c r="X1543" s="289"/>
      <c r="Y1543" s="245"/>
      <c r="Z1543" s="289"/>
      <c r="AA1543" s="245"/>
      <c r="AB1543" s="289"/>
      <c r="AC1543" s="245"/>
    </row>
    <row r="1544" spans="1:29" s="454" customFormat="1" ht="38.25">
      <c r="A1544" s="284"/>
      <c r="B1544" s="237"/>
      <c r="C1544" s="892" t="s">
        <v>2660</v>
      </c>
      <c r="D1544" s="238" t="s">
        <v>2865</v>
      </c>
      <c r="E1544" s="237"/>
      <c r="F1544" s="733"/>
      <c r="G1544" s="849" t="s">
        <v>2660</v>
      </c>
      <c r="H1544" s="243"/>
      <c r="I1544" s="237"/>
      <c r="J1544" s="243"/>
      <c r="K1544" s="243"/>
      <c r="L1544" s="243"/>
      <c r="M1544" s="243"/>
      <c r="N1544" s="289"/>
      <c r="O1544" s="245"/>
      <c r="P1544" s="289"/>
      <c r="Q1544" s="245"/>
      <c r="R1544" s="289"/>
      <c r="S1544" s="257"/>
      <c r="T1544" s="257"/>
      <c r="U1544" s="257"/>
      <c r="V1544" s="289"/>
      <c r="W1544" s="245"/>
      <c r="X1544" s="289"/>
      <c r="Y1544" s="245"/>
      <c r="Z1544" s="289"/>
      <c r="AA1544" s="245"/>
      <c r="AB1544" s="289"/>
      <c r="AC1544" s="245"/>
    </row>
    <row r="1545" spans="1:29" s="454" customFormat="1" ht="15">
      <c r="A1545" s="284"/>
      <c r="B1545" s="237"/>
      <c r="C1545" s="892" t="s">
        <v>2660</v>
      </c>
      <c r="D1545" s="238" t="s">
        <v>2660</v>
      </c>
      <c r="E1545" s="237" t="s">
        <v>2660</v>
      </c>
      <c r="F1545" s="733"/>
      <c r="G1545" s="849" t="s">
        <v>2660</v>
      </c>
      <c r="H1545" s="243"/>
      <c r="I1545" s="237" t="s">
        <v>2660</v>
      </c>
      <c r="J1545" s="243"/>
      <c r="K1545" s="243"/>
      <c r="L1545" s="243"/>
      <c r="M1545" s="243"/>
      <c r="N1545" s="289"/>
      <c r="O1545" s="245"/>
      <c r="P1545" s="289"/>
      <c r="Q1545" s="245"/>
      <c r="R1545" s="289"/>
      <c r="S1545" s="257"/>
      <c r="T1545" s="257"/>
      <c r="U1545" s="257"/>
      <c r="V1545" s="289"/>
      <c r="W1545" s="245"/>
      <c r="X1545" s="289"/>
      <c r="Y1545" s="245"/>
      <c r="Z1545" s="289"/>
      <c r="AA1545" s="245"/>
      <c r="AB1545" s="289"/>
      <c r="AC1545" s="245"/>
    </row>
    <row r="1546" spans="1:29" s="454" customFormat="1" ht="38.25">
      <c r="A1546" s="284">
        <f>A1543+1</f>
        <v>311</v>
      </c>
      <c r="B1546" s="237"/>
      <c r="C1546" s="892" t="s">
        <v>3477</v>
      </c>
      <c r="D1546" s="238" t="s">
        <v>2866</v>
      </c>
      <c r="E1546" s="237" t="s">
        <v>1901</v>
      </c>
      <c r="F1546" s="735">
        <f>N1546+R1546+P1546+T1546+V1546+X1546+Z1546+AB1546</f>
        <v>20</v>
      </c>
      <c r="G1546" s="849">
        <v>71.5</v>
      </c>
      <c r="H1546" s="261">
        <f>O1546+S1546+Q1546+U1546+W1546+Y1546+AA1546+AC1546</f>
        <v>1430</v>
      </c>
      <c r="I1546" s="237" t="s">
        <v>1901</v>
      </c>
      <c r="J1546" s="243"/>
      <c r="K1546" s="243"/>
      <c r="L1546" s="243"/>
      <c r="M1546" s="243"/>
      <c r="N1546" s="289"/>
      <c r="O1546" s="245"/>
      <c r="P1546" s="289"/>
      <c r="Q1546" s="245"/>
      <c r="R1546" s="289">
        <v>20</v>
      </c>
      <c r="S1546" s="257">
        <f>INT($G1546*R1546*100+0.5)/100</f>
        <v>1430</v>
      </c>
      <c r="T1546" s="257"/>
      <c r="U1546" s="257"/>
      <c r="V1546" s="289"/>
      <c r="W1546" s="245"/>
      <c r="X1546" s="289"/>
      <c r="Y1546" s="245"/>
      <c r="Z1546" s="289"/>
      <c r="AA1546" s="245"/>
      <c r="AB1546" s="289"/>
      <c r="AC1546" s="245"/>
    </row>
    <row r="1547" spans="1:29" s="454" customFormat="1" ht="38.25">
      <c r="B1547" s="237"/>
      <c r="C1547" s="892"/>
      <c r="D1547" s="238" t="s">
        <v>2867</v>
      </c>
      <c r="F1547" s="733"/>
      <c r="G1547" s="849"/>
      <c r="H1547" s="243"/>
      <c r="I1547" s="850"/>
      <c r="J1547" s="243"/>
      <c r="K1547" s="243"/>
      <c r="L1547" s="243"/>
      <c r="M1547" s="243"/>
      <c r="N1547" s="289"/>
      <c r="O1547" s="245"/>
      <c r="P1547" s="289"/>
      <c r="Q1547" s="245"/>
      <c r="R1547" s="289"/>
      <c r="S1547" s="245"/>
      <c r="T1547" s="245"/>
      <c r="U1547" s="245"/>
      <c r="V1547" s="289"/>
      <c r="W1547" s="245"/>
      <c r="X1547" s="289"/>
      <c r="Y1547" s="245"/>
      <c r="Z1547" s="289"/>
      <c r="AA1547" s="245"/>
      <c r="AB1547" s="289"/>
      <c r="AC1547" s="245"/>
    </row>
    <row r="1548" spans="1:29" s="454" customFormat="1" ht="15">
      <c r="A1548" s="284"/>
      <c r="B1548" s="237"/>
      <c r="C1548" s="892"/>
      <c r="D1548" s="238"/>
      <c r="E1548" s="237"/>
      <c r="F1548" s="733"/>
      <c r="G1548" s="849"/>
      <c r="H1548" s="243"/>
      <c r="I1548" s="237"/>
      <c r="J1548" s="243"/>
      <c r="K1548" s="243"/>
      <c r="L1548" s="243"/>
      <c r="M1548" s="243"/>
      <c r="N1548" s="289"/>
      <c r="O1548" s="245"/>
      <c r="P1548" s="289"/>
      <c r="Q1548" s="245"/>
      <c r="R1548" s="850"/>
      <c r="S1548" s="245"/>
      <c r="T1548" s="245"/>
      <c r="U1548" s="245"/>
      <c r="V1548" s="289"/>
      <c r="W1548" s="245"/>
      <c r="X1548" s="289"/>
      <c r="Y1548" s="245"/>
      <c r="Z1548" s="289"/>
      <c r="AA1548" s="245"/>
      <c r="AB1548" s="289"/>
      <c r="AC1548" s="245"/>
    </row>
    <row r="1549" spans="1:29" s="454" customFormat="1" ht="25.5">
      <c r="A1549" s="284"/>
      <c r="B1549" s="237"/>
      <c r="C1549" s="892" t="s">
        <v>3478</v>
      </c>
      <c r="D1549" s="238" t="s">
        <v>3324</v>
      </c>
      <c r="E1549" s="237" t="s">
        <v>2660</v>
      </c>
      <c r="F1549" s="733"/>
      <c r="G1549" s="849" t="s">
        <v>2660</v>
      </c>
      <c r="H1549" s="243"/>
      <c r="I1549" s="237" t="s">
        <v>2660</v>
      </c>
      <c r="J1549" s="243"/>
      <c r="K1549" s="243"/>
      <c r="L1549" s="243"/>
      <c r="M1549" s="243"/>
      <c r="N1549" s="289"/>
      <c r="O1549" s="245"/>
      <c r="P1549" s="289"/>
      <c r="Q1549" s="245"/>
      <c r="R1549" s="850"/>
      <c r="S1549" s="245"/>
      <c r="T1549" s="245"/>
      <c r="U1549" s="245"/>
      <c r="V1549" s="289"/>
      <c r="W1549" s="245"/>
      <c r="X1549" s="289"/>
      <c r="Y1549" s="245"/>
      <c r="Z1549" s="289"/>
      <c r="AA1549" s="245"/>
      <c r="AB1549" s="289"/>
      <c r="AC1549" s="245"/>
    </row>
    <row r="1550" spans="1:29" s="454" customFormat="1" ht="25.5">
      <c r="A1550" s="284"/>
      <c r="B1550" s="237"/>
      <c r="C1550" s="892" t="s">
        <v>2660</v>
      </c>
      <c r="D1550" s="238" t="s">
        <v>3325</v>
      </c>
      <c r="E1550" s="237" t="s">
        <v>2660</v>
      </c>
      <c r="F1550" s="733"/>
      <c r="G1550" s="849" t="s">
        <v>2660</v>
      </c>
      <c r="H1550" s="243"/>
      <c r="I1550" s="237" t="s">
        <v>2660</v>
      </c>
      <c r="J1550" s="243"/>
      <c r="K1550" s="243"/>
      <c r="L1550" s="243"/>
      <c r="M1550" s="243"/>
      <c r="N1550" s="289"/>
      <c r="O1550" s="245"/>
      <c r="P1550" s="289"/>
      <c r="Q1550" s="245"/>
      <c r="R1550" s="850"/>
      <c r="S1550" s="245"/>
      <c r="T1550" s="245"/>
      <c r="U1550" s="245"/>
      <c r="V1550" s="289"/>
      <c r="W1550" s="245"/>
      <c r="X1550" s="289"/>
      <c r="Y1550" s="245"/>
      <c r="Z1550" s="289"/>
      <c r="AA1550" s="245"/>
      <c r="AB1550" s="289"/>
      <c r="AC1550" s="245"/>
    </row>
    <row r="1551" spans="1:29" s="454" customFormat="1" ht="15">
      <c r="A1551" s="284"/>
      <c r="B1551" s="237"/>
      <c r="C1551" s="892"/>
      <c r="D1551" s="238"/>
      <c r="E1551" s="237"/>
      <c r="F1551" s="733"/>
      <c r="G1551" s="849"/>
      <c r="H1551" s="243"/>
      <c r="I1551" s="237"/>
      <c r="J1551" s="243"/>
      <c r="K1551" s="243"/>
      <c r="L1551" s="243"/>
      <c r="M1551" s="243"/>
      <c r="N1551" s="289"/>
      <c r="O1551" s="245"/>
      <c r="P1551" s="289"/>
      <c r="Q1551" s="245"/>
      <c r="R1551" s="850"/>
      <c r="S1551" s="245"/>
      <c r="T1551" s="245"/>
      <c r="U1551" s="245"/>
      <c r="V1551" s="289"/>
      <c r="W1551" s="245"/>
      <c r="X1551" s="289"/>
      <c r="Y1551" s="245"/>
      <c r="Z1551" s="289"/>
      <c r="AA1551" s="245"/>
      <c r="AB1551" s="289"/>
      <c r="AC1551" s="245"/>
    </row>
    <row r="1552" spans="1:29" s="454" customFormat="1" ht="52.9" hidden="1" customHeight="1">
      <c r="A1552" s="753" t="s">
        <v>2510</v>
      </c>
      <c r="B1552" s="237"/>
      <c r="C1552" s="892" t="s">
        <v>3205</v>
      </c>
      <c r="D1552" s="238" t="s">
        <v>3209</v>
      </c>
      <c r="E1552" s="237" t="s">
        <v>1901</v>
      </c>
      <c r="F1552" s="735">
        <v>0</v>
      </c>
      <c r="G1552" s="849">
        <v>6710</v>
      </c>
      <c r="H1552" s="261">
        <f>O1552+S1552+Q1552+U1552+W1552+Y1552+AA1552+AC1552</f>
        <v>6710</v>
      </c>
      <c r="I1552" s="237" t="s">
        <v>1901</v>
      </c>
      <c r="J1552" s="243"/>
      <c r="K1552" s="243"/>
      <c r="L1552" s="243"/>
      <c r="M1552" s="243"/>
      <c r="N1552" s="289"/>
      <c r="O1552" s="245"/>
      <c r="P1552" s="289"/>
      <c r="Q1552" s="245"/>
      <c r="R1552" s="289">
        <v>1</v>
      </c>
      <c r="S1552" s="257">
        <f>INT($G1552*R1552*100+0.5)/100</f>
        <v>6710</v>
      </c>
      <c r="T1552" s="257"/>
      <c r="U1552" s="257"/>
      <c r="V1552" s="289"/>
      <c r="W1552" s="245"/>
      <c r="X1552" s="289"/>
      <c r="Y1552" s="245"/>
      <c r="Z1552" s="289"/>
      <c r="AA1552" s="245"/>
      <c r="AB1552" s="289"/>
      <c r="AC1552" s="245"/>
    </row>
    <row r="1553" spans="1:29" s="454" customFormat="1" ht="52.9" hidden="1" customHeight="1">
      <c r="A1553" s="284"/>
      <c r="B1553" s="237"/>
      <c r="C1553" s="892"/>
      <c r="D1553" s="238" t="s">
        <v>3210</v>
      </c>
      <c r="E1553" s="237" t="s">
        <v>2660</v>
      </c>
      <c r="F1553" s="733"/>
      <c r="G1553" s="849"/>
      <c r="H1553" s="243"/>
      <c r="I1553" s="237" t="s">
        <v>2660</v>
      </c>
      <c r="J1553" s="243"/>
      <c r="K1553" s="243"/>
      <c r="L1553" s="243"/>
      <c r="M1553" s="243"/>
      <c r="N1553" s="289"/>
      <c r="O1553" s="245"/>
      <c r="P1553" s="289"/>
      <c r="Q1553" s="245"/>
      <c r="R1553" s="850"/>
      <c r="S1553" s="245"/>
      <c r="T1553" s="245"/>
      <c r="U1553" s="245"/>
      <c r="V1553" s="289"/>
      <c r="W1553" s="245"/>
      <c r="X1553" s="289"/>
      <c r="Y1553" s="245"/>
      <c r="Z1553" s="289"/>
      <c r="AA1553" s="245"/>
      <c r="AB1553" s="289"/>
      <c r="AC1553" s="245"/>
    </row>
    <row r="1554" spans="1:29" s="454" customFormat="1" ht="15.6" hidden="1" customHeight="1">
      <c r="A1554" s="284"/>
      <c r="B1554" s="237"/>
      <c r="C1554" s="892" t="s">
        <v>2660</v>
      </c>
      <c r="D1554" s="238"/>
      <c r="E1554" s="237"/>
      <c r="F1554" s="733"/>
      <c r="G1554" s="849" t="s">
        <v>2660</v>
      </c>
      <c r="H1554" s="243"/>
      <c r="I1554" s="237"/>
      <c r="J1554" s="243"/>
      <c r="K1554" s="243"/>
      <c r="L1554" s="243"/>
      <c r="M1554" s="243"/>
      <c r="N1554" s="289"/>
      <c r="O1554" s="245"/>
      <c r="P1554" s="289"/>
      <c r="Q1554" s="245"/>
      <c r="R1554" s="850"/>
      <c r="S1554" s="245"/>
      <c r="T1554" s="245"/>
      <c r="U1554" s="245"/>
      <c r="V1554" s="289"/>
      <c r="W1554" s="245"/>
      <c r="X1554" s="289"/>
      <c r="Y1554" s="245"/>
      <c r="Z1554" s="289"/>
      <c r="AA1554" s="245"/>
      <c r="AB1554" s="289"/>
      <c r="AC1554" s="245"/>
    </row>
    <row r="1555" spans="1:29" s="454" customFormat="1" ht="26.45" hidden="1" customHeight="1">
      <c r="A1555" s="753" t="s">
        <v>2510</v>
      </c>
      <c r="B1555" s="237"/>
      <c r="C1555" s="892" t="s">
        <v>3206</v>
      </c>
      <c r="D1555" s="238" t="s">
        <v>3211</v>
      </c>
      <c r="E1555" s="237" t="s">
        <v>1901</v>
      </c>
      <c r="F1555" s="735">
        <v>0</v>
      </c>
      <c r="G1555" s="849">
        <v>198</v>
      </c>
      <c r="H1555" s="261">
        <f>O1555+S1555+Q1555+U1555+W1555+Y1555+AA1555+AC1555</f>
        <v>594</v>
      </c>
      <c r="I1555" s="237" t="s">
        <v>1901</v>
      </c>
      <c r="J1555" s="243"/>
      <c r="K1555" s="243"/>
      <c r="L1555" s="243"/>
      <c r="M1555" s="243"/>
      <c r="N1555" s="289"/>
      <c r="O1555" s="245"/>
      <c r="P1555" s="289"/>
      <c r="Q1555" s="245"/>
      <c r="R1555" s="289">
        <v>3</v>
      </c>
      <c r="S1555" s="257">
        <f>INT($G1555*R1555*100+0.5)/100</f>
        <v>594</v>
      </c>
      <c r="T1555" s="257"/>
      <c r="U1555" s="257"/>
      <c r="V1555" s="289"/>
      <c r="W1555" s="245"/>
      <c r="X1555" s="289"/>
      <c r="Y1555" s="245"/>
      <c r="Z1555" s="289"/>
      <c r="AA1555" s="245"/>
      <c r="AB1555" s="289"/>
      <c r="AC1555" s="245"/>
    </row>
    <row r="1556" spans="1:29" s="454" customFormat="1" ht="26.45" hidden="1" customHeight="1">
      <c r="A1556" s="284"/>
      <c r="B1556" s="237"/>
      <c r="C1556" s="892"/>
      <c r="D1556" s="238" t="s">
        <v>3212</v>
      </c>
      <c r="E1556" s="237" t="s">
        <v>2660</v>
      </c>
      <c r="F1556" s="733"/>
      <c r="G1556" s="849"/>
      <c r="H1556" s="243"/>
      <c r="I1556" s="237" t="s">
        <v>2660</v>
      </c>
      <c r="J1556" s="243"/>
      <c r="K1556" s="243"/>
      <c r="L1556" s="243"/>
      <c r="M1556" s="243"/>
      <c r="N1556" s="289"/>
      <c r="O1556" s="245"/>
      <c r="P1556" s="289"/>
      <c r="Q1556" s="245"/>
      <c r="R1556" s="850"/>
      <c r="S1556" s="245"/>
      <c r="T1556" s="245"/>
      <c r="U1556" s="245"/>
      <c r="V1556" s="289"/>
      <c r="W1556" s="245"/>
      <c r="X1556" s="289"/>
      <c r="Y1556" s="245"/>
      <c r="Z1556" s="289"/>
      <c r="AA1556" s="245"/>
      <c r="AB1556" s="289"/>
      <c r="AC1556" s="245"/>
    </row>
    <row r="1557" spans="1:29" s="454" customFormat="1" ht="15.6" hidden="1" customHeight="1">
      <c r="A1557" s="284"/>
      <c r="B1557" s="237"/>
      <c r="C1557" s="892" t="s">
        <v>2660</v>
      </c>
      <c r="D1557" s="238" t="s">
        <v>2660</v>
      </c>
      <c r="E1557" s="237"/>
      <c r="F1557" s="733"/>
      <c r="G1557" s="849" t="s">
        <v>2660</v>
      </c>
      <c r="H1557" s="243"/>
      <c r="I1557" s="237"/>
      <c r="J1557" s="243"/>
      <c r="K1557" s="243"/>
      <c r="L1557" s="243"/>
      <c r="M1557" s="243"/>
      <c r="N1557" s="289"/>
      <c r="O1557" s="245"/>
      <c r="P1557" s="289"/>
      <c r="Q1557" s="245"/>
      <c r="R1557" s="850"/>
      <c r="S1557" s="245"/>
      <c r="T1557" s="245"/>
      <c r="U1557" s="245"/>
      <c r="V1557" s="289"/>
      <c r="W1557" s="245"/>
      <c r="X1557" s="289"/>
      <c r="Y1557" s="245"/>
      <c r="Z1557" s="289"/>
      <c r="AA1557" s="245"/>
      <c r="AB1557" s="289"/>
      <c r="AC1557" s="245"/>
    </row>
    <row r="1558" spans="1:29" s="454" customFormat="1" ht="15.6" hidden="1" customHeight="1">
      <c r="A1558" s="753" t="s">
        <v>2510</v>
      </c>
      <c r="B1558" s="237"/>
      <c r="C1558" s="892" t="s">
        <v>3207</v>
      </c>
      <c r="D1558" s="238" t="s">
        <v>3213</v>
      </c>
      <c r="E1558" s="237" t="s">
        <v>1901</v>
      </c>
      <c r="F1558" s="735">
        <v>0</v>
      </c>
      <c r="G1558" s="849">
        <v>143</v>
      </c>
      <c r="H1558" s="261">
        <f>O1558+S1558+Q1558+U1558+W1558+Y1558+AA1558+AC1558</f>
        <v>429</v>
      </c>
      <c r="I1558" s="237" t="s">
        <v>1901</v>
      </c>
      <c r="J1558" s="243"/>
      <c r="K1558" s="243"/>
      <c r="L1558" s="243"/>
      <c r="M1558" s="243"/>
      <c r="N1558" s="289"/>
      <c r="O1558" s="245"/>
      <c r="P1558" s="289"/>
      <c r="Q1558" s="245"/>
      <c r="R1558" s="289">
        <v>3</v>
      </c>
      <c r="S1558" s="257">
        <f>INT($G1558*R1558*100+0.5)/100</f>
        <v>429</v>
      </c>
      <c r="T1558" s="257"/>
      <c r="U1558" s="257"/>
      <c r="V1558" s="289"/>
      <c r="W1558" s="245"/>
      <c r="X1558" s="289"/>
      <c r="Y1558" s="245"/>
      <c r="Z1558" s="289"/>
      <c r="AA1558" s="245"/>
      <c r="AB1558" s="289"/>
      <c r="AC1558" s="245"/>
    </row>
    <row r="1559" spans="1:29" s="454" customFormat="1" ht="15.6" hidden="1" customHeight="1">
      <c r="A1559" s="284"/>
      <c r="B1559" s="237"/>
      <c r="C1559" s="892"/>
      <c r="D1559" s="238" t="s">
        <v>3214</v>
      </c>
      <c r="E1559" s="237" t="s">
        <v>2660</v>
      </c>
      <c r="F1559" s="733"/>
      <c r="G1559" s="849"/>
      <c r="H1559" s="243"/>
      <c r="I1559" s="237" t="s">
        <v>2660</v>
      </c>
      <c r="J1559" s="243"/>
      <c r="K1559" s="243"/>
      <c r="L1559" s="243"/>
      <c r="M1559" s="243"/>
      <c r="N1559" s="289"/>
      <c r="O1559" s="245"/>
      <c r="P1559" s="289"/>
      <c r="Q1559" s="245"/>
      <c r="R1559" s="850"/>
      <c r="S1559" s="245"/>
      <c r="T1559" s="245"/>
      <c r="U1559" s="245"/>
      <c r="V1559" s="289"/>
      <c r="W1559" s="245"/>
      <c r="X1559" s="289"/>
      <c r="Y1559" s="245"/>
      <c r="Z1559" s="289"/>
      <c r="AA1559" s="245"/>
      <c r="AB1559" s="289"/>
      <c r="AC1559" s="245"/>
    </row>
    <row r="1560" spans="1:29" s="454" customFormat="1" ht="15.6" hidden="1" customHeight="1">
      <c r="A1560" s="284"/>
      <c r="B1560" s="237"/>
      <c r="C1560" s="892" t="s">
        <v>2660</v>
      </c>
      <c r="D1560" s="238" t="s">
        <v>2660</v>
      </c>
      <c r="E1560" s="237"/>
      <c r="F1560" s="733"/>
      <c r="G1560" s="849" t="s">
        <v>2660</v>
      </c>
      <c r="H1560" s="243"/>
      <c r="I1560" s="237"/>
      <c r="J1560" s="243"/>
      <c r="K1560" s="243"/>
      <c r="L1560" s="243"/>
      <c r="M1560" s="243"/>
      <c r="N1560" s="289"/>
      <c r="O1560" s="245"/>
      <c r="P1560" s="289"/>
      <c r="Q1560" s="245"/>
      <c r="R1560" s="850"/>
      <c r="S1560" s="245"/>
      <c r="T1560" s="245"/>
      <c r="U1560" s="245"/>
      <c r="V1560" s="289"/>
      <c r="W1560" s="245"/>
      <c r="X1560" s="289"/>
      <c r="Y1560" s="245"/>
      <c r="Z1560" s="289"/>
      <c r="AA1560" s="245"/>
      <c r="AB1560" s="289"/>
      <c r="AC1560" s="245"/>
    </row>
    <row r="1561" spans="1:29" s="454" customFormat="1" ht="25.5">
      <c r="A1561" s="284">
        <f>A1546+1</f>
        <v>312</v>
      </c>
      <c r="B1561" s="237"/>
      <c r="C1561" s="892" t="s">
        <v>3479</v>
      </c>
      <c r="D1561" s="238" t="s">
        <v>3215</v>
      </c>
      <c r="E1561" s="237" t="s">
        <v>1901</v>
      </c>
      <c r="F1561" s="735">
        <f>N1561+R1561+P1561+T1561+V1561+X1561+Z1561+AB1561</f>
        <v>11</v>
      </c>
      <c r="G1561" s="849">
        <v>198</v>
      </c>
      <c r="H1561" s="261">
        <f>O1561+S1561+Q1561+U1561+W1561+Y1561+AA1561+AC1561</f>
        <v>2178</v>
      </c>
      <c r="I1561" s="237" t="s">
        <v>1901</v>
      </c>
      <c r="J1561" s="243"/>
      <c r="K1561" s="243"/>
      <c r="L1561" s="243"/>
      <c r="M1561" s="243"/>
      <c r="N1561" s="289"/>
      <c r="O1561" s="245"/>
      <c r="P1561" s="289"/>
      <c r="Q1561" s="245"/>
      <c r="R1561" s="289">
        <v>11</v>
      </c>
      <c r="S1561" s="257">
        <f>INT($G1561*R1561*100+0.5)/100</f>
        <v>2178</v>
      </c>
      <c r="T1561" s="257"/>
      <c r="U1561" s="257"/>
      <c r="V1561" s="289"/>
      <c r="W1561" s="245"/>
      <c r="X1561" s="289"/>
      <c r="Y1561" s="245"/>
      <c r="Z1561" s="289"/>
      <c r="AA1561" s="245"/>
      <c r="AB1561" s="289"/>
      <c r="AC1561" s="245"/>
    </row>
    <row r="1562" spans="1:29" s="454" customFormat="1" ht="38.25">
      <c r="A1562" s="284"/>
      <c r="B1562" s="237"/>
      <c r="C1562" s="892"/>
      <c r="D1562" s="238" t="s">
        <v>3216</v>
      </c>
      <c r="E1562" s="237" t="s">
        <v>2660</v>
      </c>
      <c r="F1562" s="733"/>
      <c r="G1562" s="849"/>
      <c r="H1562" s="243"/>
      <c r="I1562" s="237" t="s">
        <v>2660</v>
      </c>
      <c r="J1562" s="243"/>
      <c r="K1562" s="243"/>
      <c r="L1562" s="243"/>
      <c r="M1562" s="243"/>
      <c r="N1562" s="289"/>
      <c r="O1562" s="245"/>
      <c r="P1562" s="289"/>
      <c r="Q1562" s="245"/>
      <c r="R1562" s="850"/>
      <c r="S1562" s="245"/>
      <c r="T1562" s="245"/>
      <c r="U1562" s="245"/>
      <c r="V1562" s="289"/>
      <c r="W1562" s="245"/>
      <c r="X1562" s="289"/>
      <c r="Y1562" s="245"/>
      <c r="Z1562" s="289"/>
      <c r="AA1562" s="245"/>
      <c r="AB1562" s="289"/>
      <c r="AC1562" s="245"/>
    </row>
    <row r="1563" spans="1:29" s="454" customFormat="1" ht="15">
      <c r="A1563" s="284"/>
      <c r="B1563" s="237"/>
      <c r="C1563" s="892" t="s">
        <v>2660</v>
      </c>
      <c r="D1563" s="238" t="s">
        <v>2660</v>
      </c>
      <c r="E1563" s="237"/>
      <c r="F1563" s="733"/>
      <c r="G1563" s="849" t="s">
        <v>2660</v>
      </c>
      <c r="H1563" s="243"/>
      <c r="I1563" s="237"/>
      <c r="J1563" s="243"/>
      <c r="K1563" s="243"/>
      <c r="L1563" s="243"/>
      <c r="M1563" s="243"/>
      <c r="N1563" s="289"/>
      <c r="O1563" s="245"/>
      <c r="P1563" s="289"/>
      <c r="Q1563" s="245"/>
      <c r="R1563" s="850"/>
      <c r="S1563" s="245"/>
      <c r="T1563" s="245"/>
      <c r="U1563" s="245"/>
      <c r="V1563" s="289"/>
      <c r="W1563" s="245"/>
      <c r="X1563" s="289"/>
      <c r="Y1563" s="245"/>
      <c r="Z1563" s="289"/>
      <c r="AA1563" s="245"/>
      <c r="AB1563" s="289"/>
      <c r="AC1563" s="245"/>
    </row>
    <row r="1564" spans="1:29" s="454" customFormat="1" ht="52.9" hidden="1" customHeight="1">
      <c r="A1564" s="753" t="s">
        <v>2510</v>
      </c>
      <c r="B1564" s="237"/>
      <c r="C1564" s="892" t="s">
        <v>3208</v>
      </c>
      <c r="D1564" s="238" t="s">
        <v>3217</v>
      </c>
      <c r="E1564" s="237" t="s">
        <v>1901</v>
      </c>
      <c r="F1564" s="735">
        <v>0</v>
      </c>
      <c r="G1564" s="849">
        <v>638</v>
      </c>
      <c r="H1564" s="261">
        <f>O1564+S1564+Q1564+U1564+W1564+Y1564+AA1564+AC1564</f>
        <v>0</v>
      </c>
      <c r="I1564" s="237" t="s">
        <v>1901</v>
      </c>
      <c r="J1564" s="243"/>
      <c r="K1564" s="243"/>
      <c r="L1564" s="243"/>
      <c r="M1564" s="243"/>
      <c r="N1564" s="289"/>
      <c r="O1564" s="245"/>
      <c r="P1564" s="289"/>
      <c r="Q1564" s="245"/>
      <c r="R1564" s="289">
        <v>0</v>
      </c>
      <c r="S1564" s="257">
        <f>INT($G1564*R1564*100+0.5)/100</f>
        <v>0</v>
      </c>
      <c r="T1564" s="257"/>
      <c r="U1564" s="257"/>
      <c r="V1564" s="289"/>
      <c r="W1564" s="245"/>
      <c r="X1564" s="289"/>
      <c r="Y1564" s="245"/>
      <c r="Z1564" s="289"/>
      <c r="AA1564" s="245"/>
      <c r="AB1564" s="289"/>
      <c r="AC1564" s="245"/>
    </row>
    <row r="1565" spans="1:29" s="454" customFormat="1" ht="39.6" hidden="1" customHeight="1">
      <c r="A1565" s="284"/>
      <c r="B1565" s="237"/>
      <c r="C1565" s="892"/>
      <c r="D1565" s="238" t="s">
        <v>3218</v>
      </c>
      <c r="E1565" s="237" t="s">
        <v>2660</v>
      </c>
      <c r="F1565" s="733"/>
      <c r="G1565" s="849"/>
      <c r="H1565" s="243"/>
      <c r="I1565" s="237" t="s">
        <v>2660</v>
      </c>
      <c r="J1565" s="243"/>
      <c r="K1565" s="243"/>
      <c r="L1565" s="243"/>
      <c r="M1565" s="243"/>
      <c r="N1565" s="289"/>
      <c r="O1565" s="245"/>
      <c r="P1565" s="289"/>
      <c r="Q1565" s="245"/>
      <c r="R1565" s="850"/>
      <c r="S1565" s="245"/>
      <c r="T1565" s="245"/>
      <c r="U1565" s="245"/>
      <c r="V1565" s="289"/>
      <c r="W1565" s="245"/>
      <c r="X1565" s="289"/>
      <c r="Y1565" s="245"/>
      <c r="Z1565" s="289"/>
      <c r="AA1565" s="245"/>
      <c r="AB1565" s="289"/>
      <c r="AC1565" s="245"/>
    </row>
    <row r="1566" spans="1:29" s="454" customFormat="1" ht="15.6" hidden="1" customHeight="1">
      <c r="A1566" s="284"/>
      <c r="B1566" s="237"/>
      <c r="C1566" s="892" t="s">
        <v>2660</v>
      </c>
      <c r="D1566" s="238" t="s">
        <v>2660</v>
      </c>
      <c r="E1566" s="237"/>
      <c r="F1566" s="733"/>
      <c r="G1566" s="849" t="s">
        <v>2660</v>
      </c>
      <c r="H1566" s="243"/>
      <c r="I1566" s="237"/>
      <c r="J1566" s="243"/>
      <c r="K1566" s="243"/>
      <c r="L1566" s="243"/>
      <c r="M1566" s="243"/>
      <c r="N1566" s="289"/>
      <c r="O1566" s="245"/>
      <c r="P1566" s="289"/>
      <c r="Q1566" s="245"/>
      <c r="R1566" s="850"/>
      <c r="S1566" s="245"/>
      <c r="T1566" s="245"/>
      <c r="U1566" s="245"/>
      <c r="V1566" s="289"/>
      <c r="W1566" s="245"/>
      <c r="X1566" s="289"/>
      <c r="Y1566" s="245"/>
      <c r="Z1566" s="289"/>
      <c r="AA1566" s="245"/>
      <c r="AB1566" s="289"/>
      <c r="AC1566" s="245"/>
    </row>
    <row r="1567" spans="1:29" s="454" customFormat="1" ht="15">
      <c r="A1567" s="284">
        <f>A1561+1</f>
        <v>313</v>
      </c>
      <c r="B1567" s="237"/>
      <c r="C1567" s="892" t="s">
        <v>3480</v>
      </c>
      <c r="D1567" s="238" t="s">
        <v>3219</v>
      </c>
      <c r="E1567" s="237" t="s">
        <v>1901</v>
      </c>
      <c r="F1567" s="735">
        <v>4</v>
      </c>
      <c r="G1567" s="849">
        <v>198</v>
      </c>
      <c r="H1567" s="261">
        <f>O1567+S1567+Q1567+U1567+W1567+Y1567+AA1567+AC1567</f>
        <v>792</v>
      </c>
      <c r="I1567" s="237" t="s">
        <v>1901</v>
      </c>
      <c r="J1567" s="243"/>
      <c r="K1567" s="243"/>
      <c r="L1567" s="243"/>
      <c r="M1567" s="243"/>
      <c r="N1567" s="289"/>
      <c r="O1567" s="245"/>
      <c r="P1567" s="289"/>
      <c r="Q1567" s="245"/>
      <c r="R1567" s="289">
        <v>4</v>
      </c>
      <c r="S1567" s="257">
        <f>INT($G1567*R1567*100+0.5)/100</f>
        <v>792</v>
      </c>
      <c r="T1567" s="257"/>
      <c r="U1567" s="257"/>
      <c r="V1567" s="289"/>
      <c r="W1567" s="245"/>
      <c r="X1567" s="289"/>
      <c r="Y1567" s="245"/>
      <c r="Z1567" s="289"/>
      <c r="AA1567" s="245"/>
      <c r="AB1567" s="289"/>
      <c r="AC1567" s="245"/>
    </row>
    <row r="1568" spans="1:29" s="454" customFormat="1" ht="15">
      <c r="A1568" s="284"/>
      <c r="B1568" s="237"/>
      <c r="C1568" s="892"/>
      <c r="D1568" s="238" t="s">
        <v>3220</v>
      </c>
      <c r="E1568" s="237" t="s">
        <v>2660</v>
      </c>
      <c r="F1568" s="733"/>
      <c r="G1568" s="849"/>
      <c r="H1568" s="243"/>
      <c r="I1568" s="237" t="s">
        <v>2660</v>
      </c>
      <c r="J1568" s="243"/>
      <c r="K1568" s="243"/>
      <c r="L1568" s="243"/>
      <c r="M1568" s="243"/>
      <c r="N1568" s="289"/>
      <c r="O1568" s="245"/>
      <c r="P1568" s="289"/>
      <c r="Q1568" s="245"/>
      <c r="R1568" s="850"/>
      <c r="S1568" s="245"/>
      <c r="T1568" s="245"/>
      <c r="U1568" s="245"/>
      <c r="V1568" s="289"/>
      <c r="W1568" s="245"/>
      <c r="X1568" s="289"/>
      <c r="Y1568" s="245"/>
      <c r="Z1568" s="289"/>
      <c r="AA1568" s="245"/>
      <c r="AB1568" s="289"/>
      <c r="AC1568" s="245"/>
    </row>
    <row r="1569" spans="1:29" s="454" customFormat="1" ht="15">
      <c r="A1569" s="284"/>
      <c r="B1569" s="237"/>
      <c r="C1569" s="892" t="s">
        <v>2660</v>
      </c>
      <c r="D1569" s="238" t="s">
        <v>2660</v>
      </c>
      <c r="E1569" s="237"/>
      <c r="F1569" s="733"/>
      <c r="G1569" s="849" t="s">
        <v>2660</v>
      </c>
      <c r="H1569" s="243"/>
      <c r="I1569" s="237"/>
      <c r="J1569" s="243"/>
      <c r="K1569" s="243"/>
      <c r="L1569" s="243"/>
      <c r="M1569" s="243"/>
      <c r="N1569" s="289"/>
      <c r="O1569" s="245"/>
      <c r="P1569" s="289"/>
      <c r="Q1569" s="245"/>
      <c r="R1569" s="850"/>
      <c r="S1569" s="245"/>
      <c r="T1569" s="245"/>
      <c r="U1569" s="245"/>
      <c r="V1569" s="289"/>
      <c r="W1569" s="245"/>
      <c r="X1569" s="289"/>
      <c r="Y1569" s="245"/>
      <c r="Z1569" s="289"/>
      <c r="AA1569" s="245"/>
      <c r="AB1569" s="289"/>
      <c r="AC1569" s="245"/>
    </row>
    <row r="1570" spans="1:29" s="454" customFormat="1" ht="15">
      <c r="A1570" s="284">
        <f>A1567+1</f>
        <v>314</v>
      </c>
      <c r="B1570" s="237"/>
      <c r="C1570" s="892" t="s">
        <v>3481</v>
      </c>
      <c r="D1570" s="238" t="s">
        <v>3221</v>
      </c>
      <c r="E1570" s="237" t="s">
        <v>3223</v>
      </c>
      <c r="F1570" s="735">
        <v>3</v>
      </c>
      <c r="G1570" s="849">
        <v>385</v>
      </c>
      <c r="H1570" s="261">
        <f>O1570+S1570+Q1570+U1570+W1570+Y1570+AA1570+AC1570</f>
        <v>1155</v>
      </c>
      <c r="I1570" s="237" t="s">
        <v>3223</v>
      </c>
      <c r="J1570" s="243"/>
      <c r="K1570" s="243"/>
      <c r="L1570" s="243"/>
      <c r="M1570" s="243"/>
      <c r="N1570" s="289"/>
      <c r="O1570" s="245"/>
      <c r="P1570" s="289"/>
      <c r="Q1570" s="245"/>
      <c r="R1570" s="289">
        <v>3</v>
      </c>
      <c r="S1570" s="257">
        <f>INT($G1570*R1570*100+0.5)/100</f>
        <v>1155</v>
      </c>
      <c r="T1570" s="257"/>
      <c r="U1570" s="257"/>
      <c r="V1570" s="289"/>
      <c r="W1570" s="245"/>
      <c r="X1570" s="289"/>
      <c r="Y1570" s="245"/>
      <c r="Z1570" s="289"/>
      <c r="AA1570" s="245"/>
      <c r="AB1570" s="289"/>
      <c r="AC1570" s="245"/>
    </row>
    <row r="1571" spans="1:29" s="454" customFormat="1" ht="15">
      <c r="A1571" s="284"/>
      <c r="B1571" s="237"/>
      <c r="C1571" s="892"/>
      <c r="D1571" s="238" t="s">
        <v>3222</v>
      </c>
      <c r="E1571" s="237" t="s">
        <v>2660</v>
      </c>
      <c r="F1571" s="733"/>
      <c r="G1571" s="849"/>
      <c r="H1571" s="243"/>
      <c r="I1571" s="237" t="s">
        <v>2660</v>
      </c>
      <c r="J1571" s="243"/>
      <c r="K1571" s="243"/>
      <c r="L1571" s="243"/>
      <c r="M1571" s="243"/>
      <c r="N1571" s="289"/>
      <c r="O1571" s="245"/>
      <c r="P1571" s="289"/>
      <c r="Q1571" s="245"/>
      <c r="R1571" s="850"/>
      <c r="S1571" s="245"/>
      <c r="T1571" s="245"/>
      <c r="U1571" s="245"/>
      <c r="V1571" s="289"/>
      <c r="W1571" s="245"/>
      <c r="X1571" s="289"/>
      <c r="Y1571" s="245"/>
      <c r="Z1571" s="289"/>
      <c r="AA1571" s="245"/>
      <c r="AB1571" s="289"/>
      <c r="AC1571" s="245"/>
    </row>
    <row r="1572" spans="1:29" s="454" customFormat="1" ht="15">
      <c r="A1572" s="284"/>
      <c r="B1572" s="237"/>
      <c r="C1572" s="892" t="s">
        <v>2660</v>
      </c>
      <c r="D1572" s="238" t="s">
        <v>2660</v>
      </c>
      <c r="E1572" s="237"/>
      <c r="F1572" s="733"/>
      <c r="G1572" s="849" t="s">
        <v>2660</v>
      </c>
      <c r="H1572" s="243"/>
      <c r="I1572" s="237"/>
      <c r="J1572" s="243"/>
      <c r="K1572" s="243"/>
      <c r="L1572" s="243"/>
      <c r="M1572" s="243"/>
      <c r="N1572" s="289"/>
      <c r="O1572" s="245"/>
      <c r="P1572" s="289"/>
      <c r="Q1572" s="245"/>
      <c r="R1572" s="850"/>
      <c r="S1572" s="245"/>
      <c r="T1572" s="245"/>
      <c r="U1572" s="245"/>
      <c r="V1572" s="289"/>
      <c r="W1572" s="245"/>
      <c r="X1572" s="289"/>
      <c r="Y1572" s="245"/>
      <c r="Z1572" s="289"/>
      <c r="AA1572" s="245"/>
      <c r="AB1572" s="289"/>
      <c r="AC1572" s="245"/>
    </row>
    <row r="1573" spans="1:29" s="454" customFormat="1" ht="25.5">
      <c r="A1573" s="284">
        <f>A1570+1</f>
        <v>315</v>
      </c>
      <c r="B1573" s="237"/>
      <c r="C1573" s="892" t="s">
        <v>3482</v>
      </c>
      <c r="D1573" s="238" t="s">
        <v>3224</v>
      </c>
      <c r="E1573" s="237" t="s">
        <v>3226</v>
      </c>
      <c r="F1573" s="735">
        <f>N1573+R1573+P1573+T1573+V1573+X1573+Z1573+AB1573</f>
        <v>1000</v>
      </c>
      <c r="G1573" s="849">
        <v>1.98</v>
      </c>
      <c r="H1573" s="261">
        <f>O1573+S1573+Q1573+U1573+W1573+Y1573+AA1573+AC1573</f>
        <v>1980</v>
      </c>
      <c r="I1573" s="237" t="s">
        <v>3226</v>
      </c>
      <c r="J1573" s="243"/>
      <c r="K1573" s="243"/>
      <c r="L1573" s="243"/>
      <c r="M1573" s="243"/>
      <c r="N1573" s="289"/>
      <c r="O1573" s="245"/>
      <c r="P1573" s="289"/>
      <c r="Q1573" s="245"/>
      <c r="R1573" s="289">
        <f>(90+(23+136.5+101.5+10+10)+(132.5+10))+(10+25+20+20+33+10+27+2+2+10+34+38+14+10+8+10+54+10+21+10+26+20+29+5+8+5)+25.5</f>
        <v>1000</v>
      </c>
      <c r="S1573" s="257">
        <f>INT($G1573*R1573*100+0.5)/100</f>
        <v>1980</v>
      </c>
      <c r="T1573" s="257"/>
      <c r="U1573" s="257"/>
      <c r="V1573" s="289"/>
      <c r="W1573" s="245"/>
      <c r="X1573" s="289"/>
      <c r="Y1573" s="245"/>
      <c r="Z1573" s="289"/>
      <c r="AA1573" s="245"/>
      <c r="AB1573" s="289"/>
      <c r="AC1573" s="245"/>
    </row>
    <row r="1574" spans="1:29" s="454" customFormat="1" ht="25.5">
      <c r="A1574" s="284"/>
      <c r="B1574" s="237"/>
      <c r="C1574" s="892"/>
      <c r="D1574" s="238" t="s">
        <v>3225</v>
      </c>
      <c r="E1574" s="237" t="s">
        <v>2660</v>
      </c>
      <c r="F1574" s="733"/>
      <c r="G1574" s="849"/>
      <c r="H1574" s="243"/>
      <c r="I1574" s="237" t="s">
        <v>2660</v>
      </c>
      <c r="J1574" s="243"/>
      <c r="K1574" s="243"/>
      <c r="L1574" s="243"/>
      <c r="M1574" s="243"/>
      <c r="N1574" s="289"/>
      <c r="O1574" s="245"/>
      <c r="P1574" s="289"/>
      <c r="Q1574" s="245"/>
      <c r="R1574" s="850"/>
      <c r="S1574" s="245"/>
      <c r="T1574" s="245"/>
      <c r="U1574" s="245"/>
      <c r="V1574" s="289"/>
      <c r="W1574" s="245"/>
      <c r="X1574" s="289"/>
      <c r="Y1574" s="245"/>
      <c r="Z1574" s="289"/>
      <c r="AA1574" s="245"/>
      <c r="AB1574" s="289"/>
      <c r="AC1574" s="245"/>
    </row>
    <row r="1575" spans="1:29" s="454" customFormat="1" ht="15">
      <c r="A1575" s="284"/>
      <c r="B1575" s="237"/>
      <c r="C1575" s="892" t="s">
        <v>2660</v>
      </c>
      <c r="D1575" s="238" t="s">
        <v>2660</v>
      </c>
      <c r="E1575" s="237"/>
      <c r="F1575" s="733"/>
      <c r="G1575" s="849" t="s">
        <v>2660</v>
      </c>
      <c r="H1575" s="243"/>
      <c r="I1575" s="237"/>
      <c r="J1575" s="243"/>
      <c r="K1575" s="243"/>
      <c r="L1575" s="243"/>
      <c r="M1575" s="243"/>
      <c r="N1575" s="289"/>
      <c r="O1575" s="245"/>
      <c r="P1575" s="289"/>
      <c r="Q1575" s="245"/>
      <c r="R1575" s="850"/>
      <c r="S1575" s="245"/>
      <c r="T1575" s="245"/>
      <c r="U1575" s="245"/>
      <c r="V1575" s="289"/>
      <c r="W1575" s="245"/>
      <c r="X1575" s="289"/>
      <c r="Y1575" s="245"/>
      <c r="Z1575" s="289"/>
      <c r="AA1575" s="245"/>
      <c r="AB1575" s="289"/>
      <c r="AC1575" s="245"/>
    </row>
    <row r="1576" spans="1:29" s="454" customFormat="1" ht="42.75" customHeight="1">
      <c r="A1576" s="284">
        <f>A1573+1</f>
        <v>316</v>
      </c>
      <c r="B1576" s="237"/>
      <c r="C1576" s="892" t="s">
        <v>3483</v>
      </c>
      <c r="D1576" s="878" t="s">
        <v>3228</v>
      </c>
      <c r="E1576" s="237" t="s">
        <v>3226</v>
      </c>
      <c r="F1576" s="735">
        <f>N1576+R1576+P1576+T1576+V1576+X1576+Z1576+AB1576</f>
        <v>1000</v>
      </c>
      <c r="G1576" s="849">
        <v>1.98</v>
      </c>
      <c r="H1576" s="261">
        <f>O1576+S1576+Q1576+U1576+W1576+Y1576+AA1576+AC1576</f>
        <v>1980</v>
      </c>
      <c r="I1576" s="237" t="s">
        <v>3226</v>
      </c>
      <c r="J1576" s="243"/>
      <c r="K1576" s="243"/>
      <c r="L1576" s="243"/>
      <c r="M1576" s="243"/>
      <c r="N1576" s="289"/>
      <c r="O1576" s="245"/>
      <c r="P1576" s="289"/>
      <c r="Q1576" s="245"/>
      <c r="R1576" s="289">
        <f>(90+(23+136.5+101.5+10+10)+(132.5+10))+(10+25+20+20+33+10+27+2+2+10+34+38+14+10+8+10+54+10+21+10+26+20+29+5+8+5)+25.5</f>
        <v>1000</v>
      </c>
      <c r="S1576" s="257">
        <f>INT($G1576*R1576*100+0.5)/100</f>
        <v>1980</v>
      </c>
      <c r="T1576" s="257"/>
      <c r="U1576" s="257"/>
      <c r="V1576" s="289"/>
      <c r="W1576" s="245"/>
      <c r="X1576" s="289"/>
      <c r="Y1576" s="245"/>
      <c r="Z1576" s="289"/>
      <c r="AA1576" s="245"/>
      <c r="AB1576" s="289"/>
      <c r="AC1576" s="245"/>
    </row>
    <row r="1577" spans="1:29" s="454" customFormat="1" ht="43.5" customHeight="1">
      <c r="A1577" s="284"/>
      <c r="B1577" s="237"/>
      <c r="C1577" s="892"/>
      <c r="D1577" s="878" t="s">
        <v>3227</v>
      </c>
      <c r="E1577" s="237"/>
      <c r="F1577" s="733"/>
      <c r="G1577" s="849"/>
      <c r="H1577" s="243"/>
      <c r="I1577" s="237"/>
      <c r="J1577" s="243"/>
      <c r="K1577" s="243"/>
      <c r="L1577" s="243"/>
      <c r="M1577" s="243"/>
      <c r="N1577" s="289"/>
      <c r="O1577" s="245"/>
      <c r="P1577" s="289"/>
      <c r="Q1577" s="245"/>
      <c r="R1577" s="850"/>
      <c r="S1577" s="245"/>
      <c r="T1577" s="245"/>
      <c r="U1577" s="245"/>
      <c r="V1577" s="289"/>
      <c r="W1577" s="245"/>
      <c r="X1577" s="289"/>
      <c r="Y1577" s="245"/>
      <c r="Z1577" s="289"/>
      <c r="AA1577" s="245"/>
      <c r="AB1577" s="289"/>
      <c r="AC1577" s="245"/>
    </row>
    <row r="1578" spans="1:29" s="454" customFormat="1" ht="15">
      <c r="A1578" s="284"/>
      <c r="B1578" s="237"/>
      <c r="C1578" s="892" t="s">
        <v>2660</v>
      </c>
      <c r="D1578" s="238"/>
      <c r="E1578" s="237"/>
      <c r="F1578" s="733"/>
      <c r="G1578" s="849" t="s">
        <v>2660</v>
      </c>
      <c r="H1578" s="243"/>
      <c r="I1578" s="237"/>
      <c r="J1578" s="243"/>
      <c r="K1578" s="243"/>
      <c r="L1578" s="243"/>
      <c r="M1578" s="243"/>
      <c r="N1578" s="289"/>
      <c r="O1578" s="245"/>
      <c r="P1578" s="289"/>
      <c r="Q1578" s="245"/>
      <c r="R1578" s="850"/>
      <c r="S1578" s="245"/>
      <c r="T1578" s="245"/>
      <c r="U1578" s="245"/>
      <c r="V1578" s="289"/>
      <c r="W1578" s="245"/>
      <c r="X1578" s="289"/>
      <c r="Y1578" s="245"/>
      <c r="Z1578" s="289"/>
      <c r="AA1578" s="245"/>
      <c r="AB1578" s="289"/>
      <c r="AC1578" s="245"/>
    </row>
    <row r="1579" spans="1:29" s="454" customFormat="1" ht="25.5">
      <c r="A1579" s="284">
        <f>A1576+1</f>
        <v>317</v>
      </c>
      <c r="B1579" s="237"/>
      <c r="C1579" s="892" t="s">
        <v>3484</v>
      </c>
      <c r="D1579" s="238" t="s">
        <v>3323</v>
      </c>
      <c r="E1579" s="237" t="s">
        <v>1901</v>
      </c>
      <c r="F1579" s="735">
        <f>1+1+1+1+1</f>
        <v>5</v>
      </c>
      <c r="G1579" s="849">
        <v>456.5</v>
      </c>
      <c r="H1579" s="261">
        <f>O1579+S1579+Q1579+U1579+W1579+Y1579+AA1579+AC1579</f>
        <v>2282.5</v>
      </c>
      <c r="I1579" s="237" t="s">
        <v>1901</v>
      </c>
      <c r="J1579" s="243"/>
      <c r="K1579" s="243"/>
      <c r="L1579" s="243"/>
      <c r="M1579" s="243"/>
      <c r="N1579" s="289"/>
      <c r="O1579" s="245"/>
      <c r="P1579" s="289"/>
      <c r="Q1579" s="245"/>
      <c r="R1579" s="289">
        <v>5</v>
      </c>
      <c r="S1579" s="257">
        <f>INT($G1579*R1579*100+0.5)/100</f>
        <v>2282.5</v>
      </c>
      <c r="T1579" s="257"/>
      <c r="U1579" s="257"/>
      <c r="V1579" s="289"/>
      <c r="W1579" s="245"/>
      <c r="X1579" s="289"/>
      <c r="Y1579" s="245"/>
      <c r="Z1579" s="289"/>
      <c r="AA1579" s="245"/>
      <c r="AB1579" s="289"/>
      <c r="AC1579" s="245"/>
    </row>
    <row r="1580" spans="1:29" s="454" customFormat="1" ht="25.5">
      <c r="A1580" s="284"/>
      <c r="B1580" s="237"/>
      <c r="C1580" s="892"/>
      <c r="D1580" s="238" t="s">
        <v>3229</v>
      </c>
      <c r="E1580" s="237"/>
      <c r="F1580" s="733"/>
      <c r="G1580" s="849"/>
      <c r="H1580" s="243"/>
      <c r="I1580" s="237"/>
      <c r="J1580" s="243"/>
      <c r="K1580" s="243"/>
      <c r="L1580" s="243"/>
      <c r="M1580" s="243"/>
      <c r="N1580" s="289"/>
      <c r="O1580" s="245"/>
      <c r="P1580" s="289"/>
      <c r="Q1580" s="245"/>
      <c r="R1580" s="850"/>
      <c r="S1580" s="245"/>
      <c r="T1580" s="245"/>
      <c r="U1580" s="245"/>
      <c r="V1580" s="289"/>
      <c r="W1580" s="245"/>
      <c r="X1580" s="289"/>
      <c r="Y1580" s="245"/>
      <c r="Z1580" s="289"/>
      <c r="AA1580" s="245"/>
      <c r="AB1580" s="289"/>
      <c r="AC1580" s="245"/>
    </row>
    <row r="1581" spans="1:29" s="454" customFormat="1" ht="15.6" hidden="1" customHeight="1">
      <c r="A1581" s="284"/>
      <c r="B1581" s="237"/>
      <c r="C1581" s="460"/>
      <c r="D1581" s="238"/>
      <c r="E1581" s="237"/>
      <c r="F1581" s="733"/>
      <c r="G1581" s="243"/>
      <c r="H1581" s="243"/>
      <c r="I1581" s="237"/>
      <c r="J1581" s="243"/>
      <c r="K1581" s="243"/>
      <c r="L1581" s="243"/>
      <c r="M1581" s="243"/>
      <c r="N1581" s="289"/>
      <c r="O1581" s="245"/>
      <c r="P1581" s="289"/>
      <c r="Q1581" s="245"/>
      <c r="R1581" s="850"/>
      <c r="S1581" s="245"/>
      <c r="T1581" s="245"/>
      <c r="U1581" s="245"/>
      <c r="V1581" s="289"/>
      <c r="W1581" s="245"/>
      <c r="X1581" s="289"/>
      <c r="Y1581" s="245"/>
      <c r="Z1581" s="289"/>
      <c r="AA1581" s="245"/>
      <c r="AB1581" s="289"/>
      <c r="AC1581" s="245"/>
    </row>
    <row r="1582" spans="1:29" s="436" customFormat="1" ht="15.6" hidden="1" customHeight="1">
      <c r="A1582" s="926"/>
      <c r="B1582" s="444"/>
      <c r="C1582" s="460"/>
      <c r="D1582" s="238"/>
      <c r="E1582" s="237"/>
      <c r="F1582" s="733"/>
      <c r="G1582" s="243"/>
      <c r="H1582" s="243"/>
      <c r="I1582" s="237"/>
      <c r="J1582" s="243"/>
      <c r="K1582" s="243"/>
      <c r="L1582" s="243"/>
      <c r="M1582" s="243"/>
      <c r="N1582" s="289"/>
      <c r="O1582" s="245"/>
      <c r="P1582" s="289"/>
      <c r="Q1582" s="245"/>
      <c r="R1582" s="850"/>
      <c r="S1582" s="811">
        <f>((23+10+136.5+10+106.5)+(132.5+90+10))*700*1.05/1.0144-S1877</f>
        <v>375687.59858044167</v>
      </c>
      <c r="T1582" s="245"/>
      <c r="U1582" s="245"/>
      <c r="V1582" s="289"/>
      <c r="W1582" s="245"/>
      <c r="X1582" s="289"/>
      <c r="Y1582" s="245"/>
      <c r="Z1582" s="289"/>
      <c r="AA1582" s="245"/>
      <c r="AB1582" s="289"/>
      <c r="AC1582" s="245"/>
    </row>
    <row r="1583" spans="1:29" ht="15">
      <c r="A1583" s="250"/>
      <c r="B1583" s="251"/>
      <c r="C1583" s="453"/>
      <c r="D1583" s="330"/>
      <c r="E1583" s="251"/>
      <c r="F1583" s="735"/>
      <c r="G1583" s="261"/>
      <c r="H1583" s="261"/>
      <c r="I1583" s="251"/>
      <c r="J1583" s="261"/>
      <c r="K1583" s="261"/>
      <c r="L1583" s="261"/>
      <c r="M1583" s="261"/>
      <c r="N1583" s="289"/>
      <c r="O1583" s="245"/>
      <c r="P1583" s="258"/>
      <c r="Q1583" s="257"/>
      <c r="R1583" s="258"/>
      <c r="S1583" s="257"/>
      <c r="T1583" s="257"/>
      <c r="U1583" s="257"/>
      <c r="V1583" s="258"/>
      <c r="W1583" s="257"/>
      <c r="X1583" s="258"/>
      <c r="Y1583" s="257"/>
      <c r="Z1583" s="258"/>
      <c r="AA1583" s="257"/>
      <c r="AB1583" s="258"/>
      <c r="AC1583" s="257"/>
    </row>
    <row r="1584" spans="1:29" s="303" customFormat="1" ht="30">
      <c r="A1584" s="298"/>
      <c r="B1584" s="299"/>
      <c r="C1584" s="267"/>
      <c r="D1584" s="333" t="s">
        <v>989</v>
      </c>
      <c r="E1584" s="299"/>
      <c r="F1584" s="782"/>
      <c r="G1584" s="271"/>
      <c r="H1584" s="271">
        <f>O1584+S1584+Q1584+U1584+W1584+Y1584+AA1584+AC1584</f>
        <v>288828.22999999992</v>
      </c>
      <c r="I1584" s="299"/>
      <c r="J1584" s="271"/>
      <c r="K1584" s="271"/>
      <c r="L1584" s="271"/>
      <c r="M1584" s="271"/>
      <c r="N1584" s="323"/>
      <c r="O1584" s="323"/>
      <c r="P1584" s="273"/>
      <c r="Q1584" s="323"/>
      <c r="R1584" s="273"/>
      <c r="S1584" s="323">
        <f>SUM(S1241:S1581)</f>
        <v>288828.22999999992</v>
      </c>
      <c r="T1584" s="323"/>
      <c r="U1584" s="323"/>
      <c r="V1584" s="273"/>
      <c r="W1584" s="323">
        <f>SUM(W1241:W1583)</f>
        <v>0</v>
      </c>
      <c r="X1584" s="273"/>
      <c r="Y1584" s="323">
        <f>SUM(Y1241:Y1583)</f>
        <v>0</v>
      </c>
      <c r="Z1584" s="273"/>
      <c r="AA1584" s="323">
        <f>SUM(AA1241:AA1583)</f>
        <v>0</v>
      </c>
      <c r="AB1584" s="273"/>
      <c r="AC1584" s="323">
        <f>SUM(AC1241:AC1583)</f>
        <v>0</v>
      </c>
    </row>
    <row r="1585" spans="1:29" ht="15.6" hidden="1" customHeight="1">
      <c r="A1585" s="250"/>
      <c r="B1585" s="251"/>
      <c r="C1585" s="526"/>
      <c r="D1585" s="292"/>
      <c r="E1585" s="237"/>
      <c r="F1585" s="240"/>
      <c r="G1585" s="568"/>
      <c r="H1585" s="764"/>
      <c r="I1585" s="237"/>
      <c r="J1585" s="568"/>
      <c r="K1585" s="568"/>
      <c r="L1585" s="568"/>
      <c r="M1585" s="568"/>
      <c r="N1585" s="309"/>
      <c r="O1585" s="494"/>
      <c r="P1585" s="309"/>
      <c r="Q1585" s="237"/>
      <c r="R1585" s="309"/>
      <c r="S1585" s="237"/>
      <c r="T1585" s="237"/>
      <c r="U1585" s="237"/>
      <c r="V1585" s="237"/>
      <c r="W1585" s="237"/>
      <c r="X1585" s="237"/>
      <c r="Y1585" s="237"/>
      <c r="Z1585" s="237"/>
      <c r="AA1585" s="237"/>
      <c r="AB1585" s="237"/>
      <c r="AC1585" s="554"/>
    </row>
    <row r="1586" spans="1:29" ht="15.6" hidden="1" customHeight="1">
      <c r="A1586" s="250"/>
      <c r="B1586" s="251"/>
      <c r="C1586" s="526"/>
      <c r="D1586" s="292"/>
      <c r="E1586" s="237"/>
      <c r="F1586" s="240"/>
      <c r="G1586" s="568"/>
      <c r="H1586" s="764"/>
      <c r="I1586" s="237"/>
      <c r="J1586" s="568"/>
      <c r="K1586" s="568"/>
      <c r="L1586" s="568"/>
      <c r="M1586" s="568"/>
      <c r="N1586" s="309"/>
      <c r="O1586" s="494"/>
      <c r="P1586" s="309"/>
      <c r="Q1586" s="237"/>
      <c r="R1586" s="309"/>
      <c r="S1586" s="237"/>
      <c r="T1586" s="237"/>
      <c r="U1586" s="237"/>
      <c r="V1586" s="237"/>
      <c r="W1586" s="237"/>
      <c r="X1586" s="237"/>
      <c r="Y1586" s="237"/>
      <c r="Z1586" s="237"/>
      <c r="AA1586" s="237"/>
      <c r="AB1586" s="237"/>
      <c r="AC1586" s="554"/>
    </row>
    <row r="1587" spans="1:29" ht="26.45" hidden="1" customHeight="1">
      <c r="A1587" s="250"/>
      <c r="B1587" s="251"/>
      <c r="C1587" s="453" t="s">
        <v>1030</v>
      </c>
      <c r="D1587" s="330" t="s">
        <v>1029</v>
      </c>
      <c r="E1587" s="251"/>
      <c r="F1587" s="735"/>
      <c r="G1587" s="568"/>
      <c r="H1587" s="522"/>
      <c r="I1587" s="370"/>
      <c r="J1587" s="568"/>
      <c r="K1587" s="568"/>
      <c r="L1587" s="568"/>
      <c r="M1587" s="568"/>
      <c r="N1587" s="309"/>
      <c r="O1587" s="257"/>
      <c r="P1587" s="309"/>
      <c r="Q1587" s="257"/>
      <c r="R1587" s="309"/>
      <c r="S1587" s="257"/>
      <c r="T1587" s="257"/>
      <c r="U1587" s="257"/>
      <c r="V1587" s="258"/>
      <c r="W1587" s="257"/>
      <c r="X1587" s="258"/>
      <c r="Y1587" s="257"/>
      <c r="Z1587" s="258"/>
      <c r="AA1587" s="257"/>
      <c r="AB1587" s="258"/>
      <c r="AC1587" s="257"/>
    </row>
    <row r="1588" spans="1:29" ht="26.45" hidden="1" customHeight="1">
      <c r="A1588" s="750" t="s">
        <v>2510</v>
      </c>
      <c r="B1588" s="251">
        <v>30</v>
      </c>
      <c r="C1588" s="555" t="s">
        <v>2191</v>
      </c>
      <c r="D1588" s="526" t="s">
        <v>2062</v>
      </c>
      <c r="E1588" s="251" t="s">
        <v>1909</v>
      </c>
      <c r="F1588" s="735"/>
      <c r="G1588" s="568"/>
      <c r="H1588" s="261"/>
      <c r="I1588" s="251" t="s">
        <v>1909</v>
      </c>
      <c r="J1588" s="568"/>
      <c r="K1588" s="568"/>
      <c r="L1588" s="568"/>
      <c r="M1588" s="568"/>
      <c r="N1588" s="309"/>
      <c r="O1588" s="257"/>
      <c r="P1588" s="309"/>
      <c r="Q1588" s="257"/>
      <c r="R1588" s="309"/>
      <c r="S1588" s="257"/>
      <c r="T1588" s="257"/>
      <c r="U1588" s="257"/>
      <c r="V1588" s="258"/>
      <c r="W1588" s="257"/>
      <c r="X1588" s="258"/>
      <c r="Y1588" s="257"/>
      <c r="Z1588" s="258"/>
      <c r="AA1588" s="257"/>
      <c r="AB1588" s="258"/>
      <c r="AC1588" s="257"/>
    </row>
    <row r="1589" spans="1:29" ht="26.45" hidden="1" customHeight="1">
      <c r="A1589" s="250"/>
      <c r="B1589" s="251"/>
      <c r="C1589" s="556" t="s">
        <v>2061</v>
      </c>
      <c r="D1589" s="557" t="s">
        <v>2063</v>
      </c>
      <c r="E1589" s="251" t="s">
        <v>2461</v>
      </c>
      <c r="F1589" s="735"/>
      <c r="G1589" s="568"/>
      <c r="H1589" s="261"/>
      <c r="I1589" s="251" t="s">
        <v>2461</v>
      </c>
      <c r="J1589" s="568"/>
      <c r="K1589" s="568"/>
      <c r="L1589" s="568"/>
      <c r="M1589" s="568"/>
      <c r="N1589" s="309"/>
      <c r="O1589" s="257"/>
      <c r="P1589" s="309"/>
      <c r="Q1589" s="257"/>
      <c r="R1589" s="309"/>
      <c r="S1589" s="257"/>
      <c r="T1589" s="257"/>
      <c r="U1589" s="257"/>
      <c r="V1589" s="258"/>
      <c r="W1589" s="257"/>
      <c r="X1589" s="258"/>
      <c r="Y1589" s="257"/>
      <c r="Z1589" s="258"/>
      <c r="AA1589" s="257"/>
      <c r="AB1589" s="258"/>
      <c r="AC1589" s="257"/>
    </row>
    <row r="1590" spans="1:29" ht="15.6" hidden="1" customHeight="1">
      <c r="A1590" s="250"/>
      <c r="B1590" s="251"/>
      <c r="C1590" s="526"/>
      <c r="D1590" s="292" t="s">
        <v>585</v>
      </c>
      <c r="E1590" s="251"/>
      <c r="F1590" s="735"/>
      <c r="G1590" s="568"/>
      <c r="H1590" s="261"/>
      <c r="I1590" s="251"/>
      <c r="J1590" s="568"/>
      <c r="K1590" s="568"/>
      <c r="L1590" s="568"/>
      <c r="M1590" s="568"/>
      <c r="N1590" s="309"/>
      <c r="O1590" s="257"/>
      <c r="P1590" s="309"/>
      <c r="Q1590" s="257"/>
      <c r="R1590" s="309"/>
      <c r="S1590" s="257"/>
      <c r="T1590" s="257"/>
      <c r="U1590" s="257"/>
      <c r="V1590" s="258">
        <v>0</v>
      </c>
      <c r="W1590" s="257"/>
      <c r="X1590" s="258">
        <v>0</v>
      </c>
      <c r="Y1590" s="257"/>
      <c r="Z1590" s="258">
        <v>0</v>
      </c>
      <c r="AA1590" s="257"/>
      <c r="AB1590" s="258">
        <v>0</v>
      </c>
      <c r="AC1590" s="257"/>
    </row>
    <row r="1591" spans="1:29" ht="15.6" hidden="1" customHeight="1">
      <c r="A1591" s="250"/>
      <c r="B1591" s="251"/>
      <c r="C1591" s="532"/>
      <c r="D1591" s="238" t="s">
        <v>586</v>
      </c>
      <c r="E1591" s="237"/>
      <c r="F1591" s="733"/>
      <c r="G1591" s="568"/>
      <c r="H1591" s="243"/>
      <c r="I1591" s="237"/>
      <c r="J1591" s="568"/>
      <c r="K1591" s="568"/>
      <c r="L1591" s="568"/>
      <c r="M1591" s="568"/>
      <c r="N1591" s="309"/>
      <c r="O1591" s="257"/>
      <c r="P1591" s="309"/>
      <c r="Q1591" s="257"/>
      <c r="R1591" s="309"/>
      <c r="S1591" s="257"/>
      <c r="T1591" s="257"/>
      <c r="U1591" s="257"/>
      <c r="V1591" s="258">
        <v>0</v>
      </c>
      <c r="W1591" s="257"/>
      <c r="X1591" s="258">
        <v>0</v>
      </c>
      <c r="Y1591" s="257"/>
      <c r="Z1591" s="258">
        <v>0</v>
      </c>
      <c r="AA1591" s="257"/>
      <c r="AB1591" s="258">
        <v>0</v>
      </c>
      <c r="AC1591" s="257"/>
    </row>
    <row r="1592" spans="1:29" ht="15.6" hidden="1" customHeight="1">
      <c r="A1592" s="250"/>
      <c r="B1592" s="251"/>
      <c r="C1592" s="532"/>
      <c r="D1592" s="238" t="s">
        <v>1899</v>
      </c>
      <c r="E1592" s="237"/>
      <c r="F1592" s="785"/>
      <c r="G1592" s="568"/>
      <c r="H1592" s="243"/>
      <c r="I1592" s="237"/>
      <c r="J1592" s="568"/>
      <c r="K1592" s="568"/>
      <c r="L1592" s="568"/>
      <c r="M1592" s="568"/>
      <c r="N1592" s="309"/>
      <c r="O1592" s="294"/>
      <c r="P1592" s="309"/>
      <c r="Q1592" s="294"/>
      <c r="R1592" s="309"/>
      <c r="S1592" s="294"/>
      <c r="T1592" s="294"/>
      <c r="U1592" s="294"/>
      <c r="V1592" s="293">
        <v>0</v>
      </c>
      <c r="W1592" s="294"/>
      <c r="X1592" s="293">
        <v>0</v>
      </c>
      <c r="Y1592" s="294"/>
      <c r="Z1592" s="293">
        <v>0</v>
      </c>
      <c r="AA1592" s="294"/>
      <c r="AB1592" s="293">
        <v>0</v>
      </c>
      <c r="AC1592" s="294"/>
    </row>
    <row r="1593" spans="1:29" ht="15.6" hidden="1" customHeight="1">
      <c r="A1593" s="250"/>
      <c r="B1593" s="251"/>
      <c r="C1593" s="532"/>
      <c r="D1593" s="238" t="s">
        <v>575</v>
      </c>
      <c r="E1593" s="237"/>
      <c r="F1593" s="733"/>
      <c r="G1593" s="568"/>
      <c r="H1593" s="243"/>
      <c r="I1593" s="237"/>
      <c r="J1593" s="568"/>
      <c r="K1593" s="568"/>
      <c r="L1593" s="568"/>
      <c r="M1593" s="568"/>
      <c r="N1593" s="309"/>
      <c r="O1593" s="257">
        <f>INT($G1593*N1593*100+0.5)/100</f>
        <v>0</v>
      </c>
      <c r="P1593" s="309"/>
      <c r="Q1593" s="257">
        <f>INT($G1593*P1593*100+0.5)/100</f>
        <v>0</v>
      </c>
      <c r="R1593" s="309"/>
      <c r="S1593" s="257">
        <f>INT($G1593*R1593*100+0.5)/100</f>
        <v>0</v>
      </c>
      <c r="T1593" s="257"/>
      <c r="U1593" s="257"/>
      <c r="V1593" s="258">
        <v>0</v>
      </c>
      <c r="W1593" s="257">
        <f>INT($G1593*V1593*100+0.5)/100</f>
        <v>0</v>
      </c>
      <c r="X1593" s="258">
        <v>0</v>
      </c>
      <c r="Y1593" s="257">
        <f>INT($G1593*X1593*100+0.5)/100</f>
        <v>0</v>
      </c>
      <c r="Z1593" s="258">
        <v>0</v>
      </c>
      <c r="AA1593" s="257">
        <f>INT($G1593*Z1593*100+0.5)/100</f>
        <v>0</v>
      </c>
      <c r="AB1593" s="258">
        <v>0</v>
      </c>
      <c r="AC1593" s="257">
        <f>INT($G1593*AB1593*100+0.5)/100</f>
        <v>0</v>
      </c>
    </row>
    <row r="1594" spans="1:29" ht="15.6" hidden="1" customHeight="1">
      <c r="A1594" s="250"/>
      <c r="B1594" s="251"/>
      <c r="C1594" s="532"/>
      <c r="D1594" s="238"/>
      <c r="E1594" s="237"/>
      <c r="F1594" s="733"/>
      <c r="G1594" s="568"/>
      <c r="H1594" s="243"/>
      <c r="I1594" s="237"/>
      <c r="J1594" s="568"/>
      <c r="K1594" s="568"/>
      <c r="L1594" s="568"/>
      <c r="M1594" s="568"/>
      <c r="N1594" s="309"/>
      <c r="O1594" s="257"/>
      <c r="P1594" s="309"/>
      <c r="Q1594" s="257"/>
      <c r="R1594" s="309"/>
      <c r="S1594" s="257"/>
      <c r="T1594" s="257"/>
      <c r="U1594" s="257"/>
      <c r="V1594" s="258"/>
      <c r="W1594" s="257"/>
      <c r="X1594" s="258"/>
      <c r="Y1594" s="257"/>
      <c r="Z1594" s="258"/>
      <c r="AA1594" s="257"/>
      <c r="AB1594" s="258"/>
      <c r="AC1594" s="257"/>
    </row>
    <row r="1595" spans="1:29" ht="15.6" hidden="1" customHeight="1">
      <c r="A1595" s="250" t="e">
        <f>A1588+1</f>
        <v>#VALUE!</v>
      </c>
      <c r="B1595" s="251">
        <v>31</v>
      </c>
      <c r="C1595" s="555" t="s">
        <v>289</v>
      </c>
      <c r="D1595" s="532" t="s">
        <v>2065</v>
      </c>
      <c r="E1595" s="237" t="s">
        <v>1909</v>
      </c>
      <c r="F1595" s="733"/>
      <c r="G1595" s="568"/>
      <c r="H1595" s="243"/>
      <c r="I1595" s="237" t="s">
        <v>1909</v>
      </c>
      <c r="J1595" s="568"/>
      <c r="K1595" s="568"/>
      <c r="L1595" s="568"/>
      <c r="M1595" s="568"/>
      <c r="N1595" s="309"/>
      <c r="O1595" s="257"/>
      <c r="P1595" s="309"/>
      <c r="Q1595" s="257"/>
      <c r="R1595" s="309"/>
      <c r="S1595" s="257"/>
      <c r="T1595" s="257"/>
      <c r="U1595" s="257"/>
      <c r="V1595" s="258"/>
      <c r="W1595" s="257"/>
      <c r="X1595" s="258"/>
      <c r="Y1595" s="257"/>
      <c r="Z1595" s="258"/>
      <c r="AA1595" s="257"/>
      <c r="AB1595" s="258"/>
      <c r="AC1595" s="257"/>
    </row>
    <row r="1596" spans="1:29" ht="15.6" hidden="1" customHeight="1">
      <c r="A1596" s="250"/>
      <c r="B1596" s="251"/>
      <c r="C1596" s="556" t="s">
        <v>2064</v>
      </c>
      <c r="D1596" s="532" t="s">
        <v>2066</v>
      </c>
      <c r="E1596" s="237" t="s">
        <v>2461</v>
      </c>
      <c r="F1596" s="733"/>
      <c r="G1596" s="568"/>
      <c r="H1596" s="243"/>
      <c r="I1596" s="237" t="s">
        <v>2461</v>
      </c>
      <c r="J1596" s="568"/>
      <c r="K1596" s="568"/>
      <c r="L1596" s="568"/>
      <c r="M1596" s="568"/>
      <c r="N1596" s="309"/>
      <c r="O1596" s="257"/>
      <c r="P1596" s="309"/>
      <c r="Q1596" s="257"/>
      <c r="R1596" s="309"/>
      <c r="S1596" s="257"/>
      <c r="T1596" s="257"/>
      <c r="U1596" s="257"/>
      <c r="V1596" s="258"/>
      <c r="W1596" s="257"/>
      <c r="X1596" s="258"/>
      <c r="Y1596" s="257"/>
      <c r="Z1596" s="258"/>
      <c r="AA1596" s="257"/>
      <c r="AB1596" s="258"/>
      <c r="AC1596" s="257"/>
    </row>
    <row r="1597" spans="1:29" ht="15.6" hidden="1" customHeight="1">
      <c r="A1597" s="250"/>
      <c r="B1597" s="251"/>
      <c r="C1597" s="532"/>
      <c r="D1597" s="238" t="s">
        <v>587</v>
      </c>
      <c r="E1597" s="237"/>
      <c r="F1597" s="733"/>
      <c r="G1597" s="568"/>
      <c r="H1597" s="243"/>
      <c r="I1597" s="237"/>
      <c r="J1597" s="568"/>
      <c r="K1597" s="568"/>
      <c r="L1597" s="568"/>
      <c r="M1597" s="568"/>
      <c r="N1597" s="309"/>
      <c r="O1597" s="257"/>
      <c r="P1597" s="309"/>
      <c r="Q1597" s="257"/>
      <c r="R1597" s="309"/>
      <c r="S1597" s="257"/>
      <c r="T1597" s="257"/>
      <c r="U1597" s="257"/>
      <c r="V1597" s="258">
        <v>0</v>
      </c>
      <c r="W1597" s="257"/>
      <c r="X1597" s="258">
        <v>0</v>
      </c>
      <c r="Y1597" s="257"/>
      <c r="Z1597" s="258">
        <v>0</v>
      </c>
      <c r="AA1597" s="257"/>
      <c r="AB1597" s="258">
        <v>0</v>
      </c>
      <c r="AC1597" s="257"/>
    </row>
    <row r="1598" spans="1:29" ht="15.6" hidden="1" customHeight="1">
      <c r="A1598" s="250"/>
      <c r="B1598" s="251"/>
      <c r="C1598" s="532"/>
      <c r="D1598" s="238" t="s">
        <v>2102</v>
      </c>
      <c r="E1598" s="237"/>
      <c r="F1598" s="785"/>
      <c r="G1598" s="568"/>
      <c r="H1598" s="243"/>
      <c r="I1598" s="237"/>
      <c r="J1598" s="568"/>
      <c r="K1598" s="568"/>
      <c r="L1598" s="568"/>
      <c r="M1598" s="568"/>
      <c r="N1598" s="309"/>
      <c r="O1598" s="294"/>
      <c r="P1598" s="309"/>
      <c r="Q1598" s="294"/>
      <c r="R1598" s="309"/>
      <c r="S1598" s="294"/>
      <c r="T1598" s="294"/>
      <c r="U1598" s="294"/>
      <c r="V1598" s="293">
        <v>0</v>
      </c>
      <c r="W1598" s="294"/>
      <c r="X1598" s="293">
        <v>0</v>
      </c>
      <c r="Y1598" s="294"/>
      <c r="Z1598" s="293">
        <v>0</v>
      </c>
      <c r="AA1598" s="294"/>
      <c r="AB1598" s="293">
        <v>0</v>
      </c>
      <c r="AC1598" s="294"/>
    </row>
    <row r="1599" spans="1:29" ht="15.6" hidden="1" customHeight="1">
      <c r="A1599" s="250"/>
      <c r="B1599" s="251"/>
      <c r="C1599" s="532"/>
      <c r="D1599" s="238" t="s">
        <v>575</v>
      </c>
      <c r="E1599" s="237"/>
      <c r="F1599" s="733"/>
      <c r="G1599" s="568"/>
      <c r="H1599" s="243"/>
      <c r="I1599" s="237"/>
      <c r="J1599" s="568"/>
      <c r="K1599" s="568"/>
      <c r="L1599" s="568"/>
      <c r="M1599" s="568"/>
      <c r="N1599" s="309"/>
      <c r="O1599" s="257">
        <f>INT($G1599*N1599*100+0.5)/100</f>
        <v>0</v>
      </c>
      <c r="P1599" s="309"/>
      <c r="Q1599" s="257">
        <f>INT($G1599*P1599*100+0.5)/100</f>
        <v>0</v>
      </c>
      <c r="R1599" s="309"/>
      <c r="S1599" s="257">
        <f>INT($G1599*R1599*100+0.5)/100</f>
        <v>0</v>
      </c>
      <c r="T1599" s="257"/>
      <c r="U1599" s="257"/>
      <c r="V1599" s="258">
        <v>0</v>
      </c>
      <c r="W1599" s="257">
        <f>INT($G1599*V1599*100+0.5)/100</f>
        <v>0</v>
      </c>
      <c r="X1599" s="258">
        <v>0</v>
      </c>
      <c r="Y1599" s="257">
        <f>INT($G1599*X1599*100+0.5)/100</f>
        <v>0</v>
      </c>
      <c r="Z1599" s="258">
        <v>0</v>
      </c>
      <c r="AA1599" s="257">
        <f>INT($G1599*Z1599*100+0.5)/100</f>
        <v>0</v>
      </c>
      <c r="AB1599" s="258">
        <v>0</v>
      </c>
      <c r="AC1599" s="257">
        <f>INT($G1599*AB1599*100+0.5)/100</f>
        <v>0</v>
      </c>
    </row>
    <row r="1600" spans="1:29" ht="15.6" hidden="1" customHeight="1">
      <c r="A1600" s="250"/>
      <c r="B1600" s="251"/>
      <c r="C1600" s="532"/>
      <c r="D1600" s="238"/>
      <c r="E1600" s="237"/>
      <c r="F1600" s="733"/>
      <c r="G1600" s="568"/>
      <c r="H1600" s="243"/>
      <c r="I1600" s="237"/>
      <c r="J1600" s="568"/>
      <c r="K1600" s="568"/>
      <c r="L1600" s="568"/>
      <c r="M1600" s="568"/>
      <c r="N1600" s="309"/>
      <c r="O1600" s="257"/>
      <c r="P1600" s="309"/>
      <c r="Q1600" s="257"/>
      <c r="R1600" s="309"/>
      <c r="S1600" s="257"/>
      <c r="T1600" s="257"/>
      <c r="U1600" s="257"/>
      <c r="V1600" s="258"/>
      <c r="W1600" s="257"/>
      <c r="X1600" s="258"/>
      <c r="Y1600" s="257"/>
      <c r="Z1600" s="258"/>
      <c r="AA1600" s="257"/>
      <c r="AB1600" s="258"/>
      <c r="AC1600" s="257"/>
    </row>
    <row r="1601" spans="1:29" ht="15.6" hidden="1" customHeight="1">
      <c r="A1601" s="250" t="e">
        <f>A1595+1</f>
        <v>#VALUE!</v>
      </c>
      <c r="B1601" s="251">
        <v>32</v>
      </c>
      <c r="C1601" s="555" t="s">
        <v>2192</v>
      </c>
      <c r="D1601" s="532" t="s">
        <v>218</v>
      </c>
      <c r="E1601" s="237" t="s">
        <v>1909</v>
      </c>
      <c r="F1601" s="733"/>
      <c r="G1601" s="568"/>
      <c r="H1601" s="243"/>
      <c r="I1601" s="237" t="s">
        <v>1909</v>
      </c>
      <c r="J1601" s="568"/>
      <c r="K1601" s="568"/>
      <c r="L1601" s="568"/>
      <c r="M1601" s="568"/>
      <c r="N1601" s="309"/>
      <c r="O1601" s="257"/>
      <c r="P1601" s="309"/>
      <c r="Q1601" s="257"/>
      <c r="R1601" s="309"/>
      <c r="S1601" s="257"/>
      <c r="T1601" s="257"/>
      <c r="U1601" s="257"/>
      <c r="V1601" s="258"/>
      <c r="W1601" s="257"/>
      <c r="X1601" s="258"/>
      <c r="Y1601" s="257"/>
      <c r="Z1601" s="258"/>
      <c r="AA1601" s="257"/>
      <c r="AB1601" s="258"/>
      <c r="AC1601" s="257"/>
    </row>
    <row r="1602" spans="1:29" ht="15.6" hidden="1" customHeight="1">
      <c r="A1602" s="250"/>
      <c r="B1602" s="251"/>
      <c r="C1602" s="556" t="s">
        <v>2067</v>
      </c>
      <c r="D1602" s="532" t="s">
        <v>219</v>
      </c>
      <c r="E1602" s="237" t="s">
        <v>2461</v>
      </c>
      <c r="F1602" s="733"/>
      <c r="G1602" s="568"/>
      <c r="H1602" s="243"/>
      <c r="I1602" s="237" t="s">
        <v>2461</v>
      </c>
      <c r="J1602" s="568"/>
      <c r="K1602" s="568"/>
      <c r="L1602" s="568"/>
      <c r="M1602" s="568"/>
      <c r="N1602" s="309"/>
      <c r="O1602" s="257"/>
      <c r="P1602" s="309"/>
      <c r="Q1602" s="257"/>
      <c r="R1602" s="309"/>
      <c r="S1602" s="257"/>
      <c r="T1602" s="257"/>
      <c r="U1602" s="257"/>
      <c r="V1602" s="258"/>
      <c r="W1602" s="257"/>
      <c r="X1602" s="258"/>
      <c r="Y1602" s="257"/>
      <c r="Z1602" s="258"/>
      <c r="AA1602" s="257"/>
      <c r="AB1602" s="258"/>
      <c r="AC1602" s="257"/>
    </row>
    <row r="1603" spans="1:29" ht="15.6" hidden="1" customHeight="1">
      <c r="A1603" s="250"/>
      <c r="B1603" s="251"/>
      <c r="C1603" s="526"/>
      <c r="D1603" s="238" t="s">
        <v>588</v>
      </c>
      <c r="E1603" s="237"/>
      <c r="F1603" s="733"/>
      <c r="G1603" s="568"/>
      <c r="H1603" s="243"/>
      <c r="I1603" s="237"/>
      <c r="J1603" s="568"/>
      <c r="K1603" s="568"/>
      <c r="L1603" s="568"/>
      <c r="M1603" s="568"/>
      <c r="N1603" s="309"/>
      <c r="O1603" s="257"/>
      <c r="P1603" s="309"/>
      <c r="Q1603" s="257"/>
      <c r="R1603" s="309"/>
      <c r="S1603" s="257"/>
      <c r="T1603" s="257"/>
      <c r="U1603" s="257"/>
      <c r="V1603" s="258">
        <v>0</v>
      </c>
      <c r="W1603" s="257"/>
      <c r="X1603" s="258">
        <v>0</v>
      </c>
      <c r="Y1603" s="257"/>
      <c r="Z1603" s="258">
        <v>0</v>
      </c>
      <c r="AA1603" s="257"/>
      <c r="AB1603" s="258">
        <v>0</v>
      </c>
      <c r="AC1603" s="257"/>
    </row>
    <row r="1604" spans="1:29" ht="15.6" hidden="1" customHeight="1">
      <c r="A1604" s="250"/>
      <c r="B1604" s="251"/>
      <c r="C1604" s="526"/>
      <c r="D1604" s="238" t="s">
        <v>1899</v>
      </c>
      <c r="E1604" s="237"/>
      <c r="F1604" s="785"/>
      <c r="G1604" s="568"/>
      <c r="H1604" s="243"/>
      <c r="I1604" s="237"/>
      <c r="J1604" s="568"/>
      <c r="K1604" s="568"/>
      <c r="L1604" s="568"/>
      <c r="M1604" s="568"/>
      <c r="N1604" s="309"/>
      <c r="O1604" s="294"/>
      <c r="P1604" s="309"/>
      <c r="Q1604" s="294"/>
      <c r="R1604" s="309"/>
      <c r="S1604" s="294"/>
      <c r="T1604" s="294"/>
      <c r="U1604" s="294"/>
      <c r="V1604" s="293">
        <v>0</v>
      </c>
      <c r="W1604" s="294"/>
      <c r="X1604" s="293">
        <v>0</v>
      </c>
      <c r="Y1604" s="294"/>
      <c r="Z1604" s="293">
        <v>0</v>
      </c>
      <c r="AA1604" s="294"/>
      <c r="AB1604" s="293">
        <v>0</v>
      </c>
      <c r="AC1604" s="294"/>
    </row>
    <row r="1605" spans="1:29" ht="15.6" hidden="1" customHeight="1">
      <c r="A1605" s="250"/>
      <c r="B1605" s="251"/>
      <c r="C1605" s="526"/>
      <c r="D1605" s="238" t="s">
        <v>575</v>
      </c>
      <c r="E1605" s="237"/>
      <c r="F1605" s="733"/>
      <c r="G1605" s="568"/>
      <c r="H1605" s="243"/>
      <c r="I1605" s="237"/>
      <c r="J1605" s="568"/>
      <c r="K1605" s="568"/>
      <c r="L1605" s="568"/>
      <c r="M1605" s="568"/>
      <c r="N1605" s="309"/>
      <c r="O1605" s="257">
        <f>INT($G1605*N1605*100+0.5)/100</f>
        <v>0</v>
      </c>
      <c r="P1605" s="309"/>
      <c r="Q1605" s="257">
        <f>INT($G1605*P1605*100+0.5)/100</f>
        <v>0</v>
      </c>
      <c r="R1605" s="309"/>
      <c r="S1605" s="257">
        <f>INT($G1605*R1605*100+0.5)/100</f>
        <v>0</v>
      </c>
      <c r="T1605" s="257"/>
      <c r="U1605" s="257"/>
      <c r="V1605" s="258">
        <v>0</v>
      </c>
      <c r="W1605" s="257">
        <f>INT($G1605*V1605*100+0.5)/100</f>
        <v>0</v>
      </c>
      <c r="X1605" s="258">
        <v>0</v>
      </c>
      <c r="Y1605" s="257">
        <f>INT($G1605*X1605*100+0.5)/100</f>
        <v>0</v>
      </c>
      <c r="Z1605" s="258">
        <v>0</v>
      </c>
      <c r="AA1605" s="257">
        <f>INT($G1605*Z1605*100+0.5)/100</f>
        <v>0</v>
      </c>
      <c r="AB1605" s="258">
        <v>0</v>
      </c>
      <c r="AC1605" s="257">
        <f>INT($G1605*AB1605*100+0.5)/100</f>
        <v>0</v>
      </c>
    </row>
    <row r="1606" spans="1:29" ht="15.6" hidden="1" customHeight="1">
      <c r="A1606" s="250"/>
      <c r="B1606" s="251"/>
      <c r="C1606" s="526"/>
      <c r="D1606" s="292"/>
      <c r="E1606" s="251"/>
      <c r="F1606" s="735"/>
      <c r="G1606" s="568"/>
      <c r="H1606" s="261"/>
      <c r="I1606" s="251"/>
      <c r="J1606" s="568"/>
      <c r="K1606" s="568"/>
      <c r="L1606" s="568"/>
      <c r="M1606" s="568"/>
      <c r="N1606" s="309"/>
      <c r="O1606" s="257"/>
      <c r="P1606" s="309"/>
      <c r="Q1606" s="257"/>
      <c r="R1606" s="309"/>
      <c r="S1606" s="257"/>
      <c r="T1606" s="257"/>
      <c r="U1606" s="257"/>
      <c r="V1606" s="258"/>
      <c r="W1606" s="257"/>
      <c r="X1606" s="258"/>
      <c r="Y1606" s="257"/>
      <c r="Z1606" s="258"/>
      <c r="AA1606" s="257"/>
      <c r="AB1606" s="258"/>
      <c r="AC1606" s="257"/>
    </row>
    <row r="1607" spans="1:29" ht="15.6" hidden="1" customHeight="1">
      <c r="A1607" s="250" t="e">
        <f>A1601+1</f>
        <v>#VALUE!</v>
      </c>
      <c r="B1607" s="251"/>
      <c r="C1607" s="535" t="s">
        <v>292</v>
      </c>
      <c r="D1607" s="558" t="s">
        <v>1014</v>
      </c>
      <c r="E1607" s="251" t="s">
        <v>1898</v>
      </c>
      <c r="F1607" s="735"/>
      <c r="G1607" s="568"/>
      <c r="H1607" s="260"/>
      <c r="I1607" s="251" t="s">
        <v>1898</v>
      </c>
      <c r="J1607" s="568"/>
      <c r="K1607" s="568"/>
      <c r="L1607" s="568"/>
      <c r="M1607" s="568"/>
      <c r="N1607" s="309"/>
      <c r="O1607" s="257"/>
      <c r="P1607" s="309"/>
      <c r="Q1607" s="257"/>
      <c r="R1607" s="309"/>
      <c r="S1607" s="257"/>
      <c r="T1607" s="257"/>
      <c r="U1607" s="257"/>
      <c r="V1607" s="258"/>
      <c r="W1607" s="257"/>
      <c r="X1607" s="258"/>
      <c r="Y1607" s="257"/>
      <c r="Z1607" s="258"/>
      <c r="AA1607" s="257"/>
      <c r="AB1607" s="258"/>
      <c r="AC1607" s="257"/>
    </row>
    <row r="1608" spans="1:29" ht="26.45" hidden="1" customHeight="1">
      <c r="A1608" s="250"/>
      <c r="B1608" s="251"/>
      <c r="C1608" s="526"/>
      <c r="D1608" s="558" t="s">
        <v>1013</v>
      </c>
      <c r="E1608" s="251" t="s">
        <v>1898</v>
      </c>
      <c r="F1608" s="735"/>
      <c r="G1608" s="568"/>
      <c r="H1608" s="260"/>
      <c r="I1608" s="251" t="s">
        <v>1898</v>
      </c>
      <c r="J1608" s="568"/>
      <c r="K1608" s="568"/>
      <c r="L1608" s="568"/>
      <c r="M1608" s="568"/>
      <c r="N1608" s="309"/>
      <c r="O1608" s="257"/>
      <c r="P1608" s="309"/>
      <c r="Q1608" s="257"/>
      <c r="R1608" s="309"/>
      <c r="S1608" s="257"/>
      <c r="T1608" s="257"/>
      <c r="U1608" s="257"/>
      <c r="V1608" s="258"/>
      <c r="W1608" s="257"/>
      <c r="X1608" s="258"/>
      <c r="Y1608" s="257"/>
      <c r="Z1608" s="258"/>
      <c r="AA1608" s="257"/>
      <c r="AB1608" s="258"/>
      <c r="AC1608" s="257"/>
    </row>
    <row r="1609" spans="1:29" s="247" customFormat="1" ht="15.6" hidden="1" customHeight="1">
      <c r="A1609" s="284"/>
      <c r="B1609" s="237"/>
      <c r="C1609" s="532"/>
      <c r="D1609" s="276"/>
      <c r="E1609" s="237"/>
      <c r="F1609" s="733"/>
      <c r="G1609" s="568"/>
      <c r="H1609" s="242"/>
      <c r="I1609" s="237"/>
      <c r="J1609" s="568"/>
      <c r="K1609" s="568"/>
      <c r="L1609" s="568"/>
      <c r="M1609" s="568"/>
      <c r="N1609" s="309"/>
      <c r="O1609" s="245">
        <f>INT($G1609*N1609*100+0.5)/100</f>
        <v>0</v>
      </c>
      <c r="P1609" s="309"/>
      <c r="Q1609" s="245">
        <f>INT($G1609*P1609*100+0.5)/100</f>
        <v>0</v>
      </c>
      <c r="R1609" s="309"/>
      <c r="S1609" s="245">
        <f>INT($G1609*R1609*100+0.5)/100</f>
        <v>0</v>
      </c>
      <c r="T1609" s="245"/>
      <c r="U1609" s="245"/>
      <c r="V1609" s="289">
        <v>0</v>
      </c>
      <c r="W1609" s="245">
        <f>INT($G1609*V1609*100+0.5)/100</f>
        <v>0</v>
      </c>
      <c r="X1609" s="289">
        <v>0</v>
      </c>
      <c r="Y1609" s="245">
        <f>INT($G1609*X1609*100+0.5)/100</f>
        <v>0</v>
      </c>
      <c r="Z1609" s="289">
        <v>0</v>
      </c>
      <c r="AA1609" s="245">
        <f>INT($G1609*Z1609*100+0.5)/100</f>
        <v>0</v>
      </c>
      <c r="AB1609" s="289">
        <v>0</v>
      </c>
      <c r="AC1609" s="245">
        <f>INT($G1609*AB1609*100+0.5)/100</f>
        <v>0</v>
      </c>
    </row>
    <row r="1610" spans="1:29" s="247" customFormat="1" ht="15.6" hidden="1" customHeight="1">
      <c r="A1610" s="284"/>
      <c r="B1610" s="237"/>
      <c r="C1610" s="532"/>
      <c r="D1610" s="276"/>
      <c r="E1610" s="237"/>
      <c r="F1610" s="733"/>
      <c r="G1610" s="568"/>
      <c r="H1610" s="242"/>
      <c r="I1610" s="237"/>
      <c r="J1610" s="568"/>
      <c r="K1610" s="568"/>
      <c r="L1610" s="568"/>
      <c r="M1610" s="568"/>
      <c r="N1610" s="309"/>
      <c r="O1610" s="245"/>
      <c r="P1610" s="309"/>
      <c r="Q1610" s="245"/>
      <c r="R1610" s="309"/>
      <c r="S1610" s="245"/>
      <c r="T1610" s="245"/>
      <c r="U1610" s="245"/>
      <c r="V1610" s="289"/>
      <c r="W1610" s="245"/>
      <c r="X1610" s="289"/>
      <c r="Y1610" s="245"/>
      <c r="Z1610" s="289"/>
      <c r="AA1610" s="245"/>
      <c r="AB1610" s="289"/>
      <c r="AC1610" s="245"/>
    </row>
    <row r="1611" spans="1:29" ht="15.6" hidden="1" customHeight="1">
      <c r="A1611" s="250" t="e">
        <f>A1607+1</f>
        <v>#VALUE!</v>
      </c>
      <c r="B1611" s="251"/>
      <c r="C1611" s="559" t="s">
        <v>2152</v>
      </c>
      <c r="D1611" s="558" t="s">
        <v>1861</v>
      </c>
      <c r="E1611" s="251" t="s">
        <v>1898</v>
      </c>
      <c r="F1611" s="735"/>
      <c r="G1611" s="568"/>
      <c r="H1611" s="260"/>
      <c r="I1611" s="251" t="s">
        <v>1898</v>
      </c>
      <c r="J1611" s="568"/>
      <c r="K1611" s="568"/>
      <c r="L1611" s="568"/>
      <c r="M1611" s="568"/>
      <c r="N1611" s="309"/>
      <c r="O1611" s="257">
        <f>INT($G1611*N1611*100+0.5)/100</f>
        <v>0</v>
      </c>
      <c r="P1611" s="309"/>
      <c r="Q1611" s="257">
        <f>INT($G1611*P1611*100+0.5)/100</f>
        <v>0</v>
      </c>
      <c r="R1611" s="309"/>
      <c r="S1611" s="257">
        <f>INT($G1611*R1611*100+0.5)/100</f>
        <v>0</v>
      </c>
      <c r="T1611" s="257"/>
      <c r="U1611" s="257"/>
      <c r="V1611" s="258">
        <v>0</v>
      </c>
      <c r="W1611" s="257">
        <f>INT($G1611*V1611*100+0.5)/100</f>
        <v>0</v>
      </c>
      <c r="X1611" s="258">
        <v>0</v>
      </c>
      <c r="Y1611" s="257">
        <f>INT($G1611*X1611*100+0.5)/100</f>
        <v>0</v>
      </c>
      <c r="Z1611" s="258">
        <v>0</v>
      </c>
      <c r="AA1611" s="257">
        <f>INT($G1611*Z1611*100+0.5)/100</f>
        <v>0</v>
      </c>
      <c r="AB1611" s="258">
        <v>0</v>
      </c>
      <c r="AC1611" s="257">
        <f>INT($G1611*AB1611*100+0.5)/100</f>
        <v>0</v>
      </c>
    </row>
    <row r="1612" spans="1:29" ht="15.6" hidden="1" customHeight="1">
      <c r="A1612" s="250"/>
      <c r="B1612" s="251"/>
      <c r="C1612" s="540"/>
      <c r="D1612" s="558" t="s">
        <v>1860</v>
      </c>
      <c r="E1612" s="251" t="s">
        <v>1898</v>
      </c>
      <c r="F1612" s="735"/>
      <c r="G1612" s="568"/>
      <c r="H1612" s="260"/>
      <c r="I1612" s="251" t="s">
        <v>1898</v>
      </c>
      <c r="J1612" s="568"/>
      <c r="K1612" s="568"/>
      <c r="L1612" s="568"/>
      <c r="M1612" s="568"/>
      <c r="N1612" s="309"/>
      <c r="O1612" s="257"/>
      <c r="P1612" s="309"/>
      <c r="Q1612" s="257"/>
      <c r="R1612" s="309"/>
      <c r="S1612" s="257"/>
      <c r="T1612" s="257"/>
      <c r="U1612" s="257"/>
      <c r="V1612" s="258"/>
      <c r="W1612" s="257"/>
      <c r="X1612" s="258"/>
      <c r="Y1612" s="257"/>
      <c r="Z1612" s="258"/>
      <c r="AA1612" s="257"/>
      <c r="AB1612" s="258"/>
      <c r="AC1612" s="257"/>
    </row>
    <row r="1613" spans="1:29" ht="15.6" hidden="1" customHeight="1">
      <c r="A1613" s="250"/>
      <c r="B1613" s="251"/>
      <c r="C1613" s="540"/>
      <c r="D1613" s="335"/>
      <c r="E1613" s="251"/>
      <c r="F1613" s="735"/>
      <c r="G1613" s="568"/>
      <c r="H1613" s="260"/>
      <c r="I1613" s="251"/>
      <c r="J1613" s="568"/>
      <c r="K1613" s="568"/>
      <c r="L1613" s="568"/>
      <c r="M1613" s="568"/>
      <c r="N1613" s="309"/>
      <c r="O1613" s="257"/>
      <c r="P1613" s="309"/>
      <c r="Q1613" s="257"/>
      <c r="R1613" s="309"/>
      <c r="S1613" s="257"/>
      <c r="T1613" s="257"/>
      <c r="U1613" s="257"/>
      <c r="V1613" s="258"/>
      <c r="W1613" s="257"/>
      <c r="X1613" s="258"/>
      <c r="Y1613" s="257"/>
      <c r="Z1613" s="258"/>
      <c r="AA1613" s="257"/>
      <c r="AB1613" s="258"/>
      <c r="AC1613" s="257"/>
    </row>
    <row r="1614" spans="1:29" ht="15.6" hidden="1" customHeight="1">
      <c r="A1614" s="250" t="e">
        <f>A1601+1</f>
        <v>#VALUE!</v>
      </c>
      <c r="B1614" s="251"/>
      <c r="C1614" s="559" t="s">
        <v>2205</v>
      </c>
      <c r="D1614" s="558" t="s">
        <v>529</v>
      </c>
      <c r="E1614" s="251" t="s">
        <v>1901</v>
      </c>
      <c r="F1614" s="735"/>
      <c r="G1614" s="568"/>
      <c r="H1614" s="260"/>
      <c r="I1614" s="251" t="s">
        <v>1901</v>
      </c>
      <c r="J1614" s="568"/>
      <c r="K1614" s="568"/>
      <c r="L1614" s="568"/>
      <c r="M1614" s="568"/>
      <c r="N1614" s="309"/>
      <c r="O1614" s="259">
        <f>INT($G1614*N1614*100+0.5)/100</f>
        <v>0</v>
      </c>
      <c r="P1614" s="309"/>
      <c r="Q1614" s="259">
        <f>INT($G1614*P1614*100+0.5)/100</f>
        <v>0</v>
      </c>
      <c r="R1614" s="309"/>
      <c r="S1614" s="259">
        <f>INT($G1614*R1614*100+0.5)/100</f>
        <v>0</v>
      </c>
      <c r="T1614" s="259"/>
      <c r="U1614" s="259"/>
      <c r="V1614" s="316">
        <v>0</v>
      </c>
      <c r="W1614" s="257">
        <f>INT($G1614*V1614*100+0.5)/100</f>
        <v>0</v>
      </c>
      <c r="X1614" s="316">
        <v>0</v>
      </c>
      <c r="Y1614" s="257">
        <f>INT($G1614*X1614*100+0.5)/100</f>
        <v>0</v>
      </c>
      <c r="Z1614" s="316">
        <v>0</v>
      </c>
      <c r="AA1614" s="257">
        <f>INT($G1614*Z1614*100+0.5)/100</f>
        <v>0</v>
      </c>
      <c r="AB1614" s="316">
        <v>0</v>
      </c>
      <c r="AC1614" s="257">
        <f>INT($G1614*AB1614*100+0.5)/100</f>
        <v>0</v>
      </c>
    </row>
    <row r="1615" spans="1:29" ht="15.6" hidden="1" customHeight="1">
      <c r="A1615" s="250"/>
      <c r="B1615" s="251"/>
      <c r="C1615" s="540"/>
      <c r="D1615" s="558" t="s">
        <v>340</v>
      </c>
      <c r="E1615" s="251" t="s">
        <v>1902</v>
      </c>
      <c r="F1615" s="735"/>
      <c r="G1615" s="568"/>
      <c r="H1615" s="260"/>
      <c r="I1615" s="251" t="s">
        <v>1902</v>
      </c>
      <c r="J1615" s="568"/>
      <c r="K1615" s="568"/>
      <c r="L1615" s="568"/>
      <c r="M1615" s="568"/>
      <c r="N1615" s="309"/>
      <c r="O1615" s="259"/>
      <c r="P1615" s="309"/>
      <c r="Q1615" s="259"/>
      <c r="R1615" s="309"/>
      <c r="S1615" s="259"/>
      <c r="T1615" s="259"/>
      <c r="U1615" s="259"/>
      <c r="V1615" s="316"/>
      <c r="W1615" s="257"/>
      <c r="X1615" s="316"/>
      <c r="Y1615" s="257"/>
      <c r="Z1615" s="316"/>
      <c r="AA1615" s="257"/>
      <c r="AB1615" s="316"/>
      <c r="AC1615" s="257"/>
    </row>
    <row r="1616" spans="1:29" ht="15.6" hidden="1" customHeight="1">
      <c r="A1616" s="250"/>
      <c r="B1616" s="251"/>
      <c r="C1616" s="540"/>
      <c r="D1616" s="335" t="s">
        <v>1016</v>
      </c>
      <c r="E1616" s="251"/>
      <c r="F1616" s="735"/>
      <c r="G1616" s="568"/>
      <c r="H1616" s="260"/>
      <c r="I1616" s="251"/>
      <c r="J1616" s="568"/>
      <c r="K1616" s="568"/>
      <c r="L1616" s="568"/>
      <c r="M1616" s="568"/>
      <c r="N1616" s="309"/>
      <c r="O1616" s="259"/>
      <c r="P1616" s="309"/>
      <c r="Q1616" s="259"/>
      <c r="R1616" s="309"/>
      <c r="S1616" s="259"/>
      <c r="T1616" s="259"/>
      <c r="U1616" s="259"/>
      <c r="V1616" s="316"/>
      <c r="W1616" s="257"/>
      <c r="X1616" s="316"/>
      <c r="Y1616" s="257"/>
      <c r="Z1616" s="316"/>
      <c r="AA1616" s="257"/>
      <c r="AB1616" s="316"/>
      <c r="AC1616" s="257"/>
    </row>
    <row r="1617" spans="1:29" ht="15.6" hidden="1" customHeight="1">
      <c r="A1617" s="250"/>
      <c r="B1617" s="251"/>
      <c r="C1617" s="540"/>
      <c r="D1617" s="558"/>
      <c r="E1617" s="251"/>
      <c r="F1617" s="735"/>
      <c r="G1617" s="568"/>
      <c r="H1617" s="260"/>
      <c r="I1617" s="251"/>
      <c r="J1617" s="568"/>
      <c r="K1617" s="568"/>
      <c r="L1617" s="568"/>
      <c r="M1617" s="568"/>
      <c r="N1617" s="309"/>
      <c r="O1617" s="259"/>
      <c r="P1617" s="309"/>
      <c r="Q1617" s="259"/>
      <c r="R1617" s="309"/>
      <c r="S1617" s="259"/>
      <c r="T1617" s="259"/>
      <c r="U1617" s="259"/>
      <c r="V1617" s="316"/>
      <c r="W1617" s="257"/>
      <c r="X1617" s="316"/>
      <c r="Y1617" s="257"/>
      <c r="Z1617" s="316"/>
      <c r="AA1617" s="257"/>
      <c r="AB1617" s="316"/>
      <c r="AC1617" s="257"/>
    </row>
    <row r="1618" spans="1:29" ht="15.6" hidden="1" customHeight="1">
      <c r="A1618" s="250" t="e">
        <f>A1614+1</f>
        <v>#VALUE!</v>
      </c>
      <c r="B1618" s="251"/>
      <c r="C1618" s="559" t="s">
        <v>1862</v>
      </c>
      <c r="D1618" s="558" t="s">
        <v>1859</v>
      </c>
      <c r="E1618" s="251" t="s">
        <v>1898</v>
      </c>
      <c r="F1618" s="735"/>
      <c r="G1618" s="568"/>
      <c r="H1618" s="260"/>
      <c r="I1618" s="251" t="s">
        <v>1898</v>
      </c>
      <c r="J1618" s="568"/>
      <c r="K1618" s="568"/>
      <c r="L1618" s="568"/>
      <c r="M1618" s="568"/>
      <c r="N1618" s="309"/>
      <c r="O1618" s="257">
        <f>INT($G1618*N1618*100+0.5)/100</f>
        <v>0</v>
      </c>
      <c r="P1618" s="309"/>
      <c r="Q1618" s="257">
        <f>INT($G1618*P1618*100+0.5)/100</f>
        <v>0</v>
      </c>
      <c r="R1618" s="309"/>
      <c r="S1618" s="257">
        <f>INT($G1618*R1618*100+0.5)/100</f>
        <v>0</v>
      </c>
      <c r="T1618" s="257"/>
      <c r="U1618" s="257"/>
      <c r="V1618" s="258">
        <v>0</v>
      </c>
      <c r="W1618" s="257">
        <f>INT($G1618*V1618*100+0.5)/100</f>
        <v>0</v>
      </c>
      <c r="X1618" s="258">
        <v>0</v>
      </c>
      <c r="Y1618" s="257">
        <f>INT($G1618*X1618*100+0.5)/100</f>
        <v>0</v>
      </c>
      <c r="Z1618" s="258">
        <v>0</v>
      </c>
      <c r="AA1618" s="257">
        <f>INT($G1618*Z1618*100+0.5)/100</f>
        <v>0</v>
      </c>
      <c r="AB1618" s="258">
        <v>0</v>
      </c>
      <c r="AC1618" s="257">
        <f>INT($G1618*AB1618*100+0.5)/100</f>
        <v>0</v>
      </c>
    </row>
    <row r="1619" spans="1:29" ht="15.6" hidden="1" customHeight="1">
      <c r="A1619" s="250"/>
      <c r="B1619" s="251"/>
      <c r="C1619" s="540"/>
      <c r="D1619" s="558" t="s">
        <v>1858</v>
      </c>
      <c r="E1619" s="251" t="s">
        <v>1898</v>
      </c>
      <c r="F1619" s="735"/>
      <c r="G1619" s="568"/>
      <c r="H1619" s="260"/>
      <c r="I1619" s="251" t="s">
        <v>1898</v>
      </c>
      <c r="J1619" s="568"/>
      <c r="K1619" s="568"/>
      <c r="L1619" s="568"/>
      <c r="M1619" s="568"/>
      <c r="N1619" s="309"/>
      <c r="O1619" s="257"/>
      <c r="P1619" s="309"/>
      <c r="Q1619" s="257"/>
      <c r="R1619" s="309"/>
      <c r="S1619" s="257"/>
      <c r="T1619" s="257"/>
      <c r="U1619" s="257"/>
      <c r="V1619" s="258"/>
      <c r="W1619" s="257"/>
      <c r="X1619" s="258"/>
      <c r="Y1619" s="257"/>
      <c r="Z1619" s="258"/>
      <c r="AA1619" s="257"/>
      <c r="AB1619" s="258"/>
      <c r="AC1619" s="257"/>
    </row>
    <row r="1620" spans="1:29" ht="15.6" hidden="1" customHeight="1">
      <c r="A1620" s="250"/>
      <c r="B1620" s="251"/>
      <c r="C1620" s="540"/>
      <c r="D1620" s="335"/>
      <c r="E1620" s="251"/>
      <c r="F1620" s="735"/>
      <c r="G1620" s="568"/>
      <c r="H1620" s="260"/>
      <c r="I1620" s="251"/>
      <c r="J1620" s="568"/>
      <c r="K1620" s="568"/>
      <c r="L1620" s="568"/>
      <c r="M1620" s="568"/>
      <c r="N1620" s="309"/>
      <c r="O1620" s="257"/>
      <c r="P1620" s="309"/>
      <c r="Q1620" s="257"/>
      <c r="R1620" s="309"/>
      <c r="S1620" s="257"/>
      <c r="T1620" s="257"/>
      <c r="U1620" s="257"/>
      <c r="V1620" s="258"/>
      <c r="W1620" s="257"/>
      <c r="X1620" s="258"/>
      <c r="Y1620" s="257"/>
      <c r="Z1620" s="258"/>
      <c r="AA1620" s="257"/>
      <c r="AB1620" s="258"/>
      <c r="AC1620" s="257"/>
    </row>
    <row r="1621" spans="1:29" ht="15.6" hidden="1" customHeight="1">
      <c r="A1621" s="250" t="e">
        <f>A1618+1</f>
        <v>#VALUE!</v>
      </c>
      <c r="B1621" s="251"/>
      <c r="C1621" s="560" t="s">
        <v>2193</v>
      </c>
      <c r="D1621" s="558" t="s">
        <v>1864</v>
      </c>
      <c r="E1621" s="251" t="s">
        <v>2475</v>
      </c>
      <c r="F1621" s="735"/>
      <c r="G1621" s="568"/>
      <c r="H1621" s="260"/>
      <c r="I1621" s="251" t="s">
        <v>2475</v>
      </c>
      <c r="J1621" s="568"/>
      <c r="K1621" s="568"/>
      <c r="L1621" s="568"/>
      <c r="M1621" s="568"/>
      <c r="N1621" s="309"/>
      <c r="O1621" s="257">
        <f>INT($G1621*N1621*100+0.5)/100</f>
        <v>0</v>
      </c>
      <c r="P1621" s="309"/>
      <c r="Q1621" s="257">
        <f>INT($G1621*P1621*100+0.5)/100</f>
        <v>0</v>
      </c>
      <c r="R1621" s="309"/>
      <c r="S1621" s="257">
        <f>INT($G1621*R1621*100+0.5)/100</f>
        <v>0</v>
      </c>
      <c r="T1621" s="257"/>
      <c r="U1621" s="257"/>
      <c r="V1621" s="258">
        <v>0</v>
      </c>
      <c r="W1621" s="257">
        <f>INT($G1621*V1621*100+0.5)/100</f>
        <v>0</v>
      </c>
      <c r="X1621" s="258">
        <v>0</v>
      </c>
      <c r="Y1621" s="257">
        <f>INT($G1621*X1621*100+0.5)/100</f>
        <v>0</v>
      </c>
      <c r="Z1621" s="258">
        <v>0</v>
      </c>
      <c r="AA1621" s="257">
        <f>INT($G1621*Z1621*100+0.5)/100</f>
        <v>0</v>
      </c>
      <c r="AB1621" s="258">
        <v>0</v>
      </c>
      <c r="AC1621" s="257">
        <f>INT($G1621*AB1621*100+0.5)/100</f>
        <v>0</v>
      </c>
    </row>
    <row r="1622" spans="1:29" ht="15.6" hidden="1" customHeight="1">
      <c r="A1622" s="250"/>
      <c r="B1622" s="251"/>
      <c r="C1622" s="540"/>
      <c r="D1622" s="558" t="s">
        <v>1863</v>
      </c>
      <c r="E1622" s="251"/>
      <c r="F1622" s="735"/>
      <c r="G1622" s="568"/>
      <c r="H1622" s="260"/>
      <c r="I1622" s="251"/>
      <c r="J1622" s="568"/>
      <c r="K1622" s="568"/>
      <c r="L1622" s="568"/>
      <c r="M1622" s="568"/>
      <c r="N1622" s="309"/>
      <c r="O1622" s="257"/>
      <c r="P1622" s="309"/>
      <c r="Q1622" s="257"/>
      <c r="R1622" s="309"/>
      <c r="S1622" s="257"/>
      <c r="T1622" s="257"/>
      <c r="U1622" s="257"/>
      <c r="V1622" s="258"/>
      <c r="W1622" s="257"/>
      <c r="X1622" s="258"/>
      <c r="Y1622" s="257"/>
      <c r="Z1622" s="258"/>
      <c r="AA1622" s="257"/>
      <c r="AB1622" s="258"/>
      <c r="AC1622" s="257"/>
    </row>
    <row r="1623" spans="1:29" ht="15.6" hidden="1" customHeight="1">
      <c r="A1623" s="250"/>
      <c r="B1623" s="251"/>
      <c r="C1623" s="540"/>
      <c r="D1623" s="335"/>
      <c r="E1623" s="251"/>
      <c r="F1623" s="735"/>
      <c r="G1623" s="568"/>
      <c r="H1623" s="260"/>
      <c r="I1623" s="251"/>
      <c r="J1623" s="568"/>
      <c r="K1623" s="568"/>
      <c r="L1623" s="568"/>
      <c r="M1623" s="568"/>
      <c r="N1623" s="309"/>
      <c r="O1623" s="257"/>
      <c r="P1623" s="309"/>
      <c r="Q1623" s="257"/>
      <c r="R1623" s="309"/>
      <c r="S1623" s="257"/>
      <c r="T1623" s="257"/>
      <c r="U1623" s="257"/>
      <c r="V1623" s="258"/>
      <c r="W1623" s="257"/>
      <c r="X1623" s="258"/>
      <c r="Y1623" s="257"/>
      <c r="Z1623" s="258"/>
      <c r="AA1623" s="257"/>
      <c r="AB1623" s="258"/>
      <c r="AC1623" s="257"/>
    </row>
    <row r="1624" spans="1:29" ht="15.6" hidden="1" customHeight="1">
      <c r="A1624" s="250" t="e">
        <f>A1621+1</f>
        <v>#VALUE!</v>
      </c>
      <c r="B1624" s="251"/>
      <c r="C1624" s="560" t="s">
        <v>2194</v>
      </c>
      <c r="D1624" s="558" t="s">
        <v>1868</v>
      </c>
      <c r="E1624" s="251" t="s">
        <v>1901</v>
      </c>
      <c r="F1624" s="735"/>
      <c r="G1624" s="568"/>
      <c r="H1624" s="260"/>
      <c r="I1624" s="251" t="s">
        <v>1901</v>
      </c>
      <c r="J1624" s="568"/>
      <c r="K1624" s="568"/>
      <c r="L1624" s="568"/>
      <c r="M1624" s="568"/>
      <c r="N1624" s="309"/>
      <c r="O1624" s="257">
        <f>INT($G1624*N1624*100+0.5)/100</f>
        <v>0</v>
      </c>
      <c r="P1624" s="309"/>
      <c r="Q1624" s="259">
        <f>INT($G1624*P1624*100+0.5)/100</f>
        <v>0</v>
      </c>
      <c r="R1624" s="309"/>
      <c r="S1624" s="259">
        <f>INT($G1624*R1624*100+0.5)/100</f>
        <v>0</v>
      </c>
      <c r="T1624" s="259"/>
      <c r="U1624" s="259"/>
      <c r="V1624" s="258">
        <v>0</v>
      </c>
      <c r="W1624" s="257">
        <f>INT($G1624*V1624*100+0.5)/100</f>
        <v>0</v>
      </c>
      <c r="X1624" s="258">
        <v>0</v>
      </c>
      <c r="Y1624" s="257">
        <f>INT($G1624*X1624*100+0.5)/100</f>
        <v>0</v>
      </c>
      <c r="Z1624" s="258">
        <v>0</v>
      </c>
      <c r="AA1624" s="257">
        <f>INT($G1624*Z1624*100+0.5)/100</f>
        <v>0</v>
      </c>
      <c r="AB1624" s="258">
        <v>0</v>
      </c>
      <c r="AC1624" s="257">
        <f>INT($G1624*AB1624*100+0.5)/100</f>
        <v>0</v>
      </c>
    </row>
    <row r="1625" spans="1:29" ht="15.6" hidden="1" customHeight="1">
      <c r="A1625" s="250"/>
      <c r="B1625" s="251"/>
      <c r="C1625" s="540"/>
      <c r="D1625" s="558" t="s">
        <v>1867</v>
      </c>
      <c r="E1625" s="251" t="s">
        <v>1902</v>
      </c>
      <c r="F1625" s="735"/>
      <c r="G1625" s="568"/>
      <c r="H1625" s="260"/>
      <c r="I1625" s="251" t="s">
        <v>1902</v>
      </c>
      <c r="J1625" s="568"/>
      <c r="K1625" s="568"/>
      <c r="L1625" s="568"/>
      <c r="M1625" s="568"/>
      <c r="N1625" s="309"/>
      <c r="O1625" s="259"/>
      <c r="P1625" s="309"/>
      <c r="Q1625" s="259"/>
      <c r="R1625" s="309"/>
      <c r="S1625" s="259"/>
      <c r="T1625" s="259"/>
      <c r="U1625" s="259"/>
      <c r="V1625" s="316"/>
      <c r="W1625" s="257"/>
      <c r="X1625" s="316"/>
      <c r="Y1625" s="257"/>
      <c r="Z1625" s="316"/>
      <c r="AA1625" s="257"/>
      <c r="AB1625" s="316"/>
      <c r="AC1625" s="257"/>
    </row>
    <row r="1626" spans="1:29" ht="15.6" hidden="1" customHeight="1">
      <c r="A1626" s="250"/>
      <c r="B1626" s="251"/>
      <c r="C1626" s="540"/>
      <c r="D1626" s="335"/>
      <c r="E1626" s="251"/>
      <c r="F1626" s="735"/>
      <c r="G1626" s="568"/>
      <c r="H1626" s="260"/>
      <c r="I1626" s="251"/>
      <c r="J1626" s="568"/>
      <c r="K1626" s="568"/>
      <c r="L1626" s="568"/>
      <c r="M1626" s="568"/>
      <c r="N1626" s="309"/>
      <c r="O1626" s="259"/>
      <c r="P1626" s="309"/>
      <c r="Q1626" s="259"/>
      <c r="R1626" s="309"/>
      <c r="S1626" s="259"/>
      <c r="T1626" s="259"/>
      <c r="U1626" s="259"/>
      <c r="V1626" s="316"/>
      <c r="W1626" s="257"/>
      <c r="X1626" s="316"/>
      <c r="Y1626" s="257"/>
      <c r="Z1626" s="316"/>
      <c r="AA1626" s="257"/>
      <c r="AB1626" s="316"/>
      <c r="AC1626" s="257"/>
    </row>
    <row r="1627" spans="1:29" ht="15.6" hidden="1" customHeight="1">
      <c r="A1627" s="561"/>
      <c r="B1627" s="251"/>
      <c r="C1627" s="560" t="s">
        <v>1025</v>
      </c>
      <c r="D1627" s="562" t="s">
        <v>1020</v>
      </c>
      <c r="E1627" s="251"/>
      <c r="F1627" s="735"/>
      <c r="G1627" s="568"/>
      <c r="H1627" s="260"/>
      <c r="I1627" s="251"/>
      <c r="J1627" s="568"/>
      <c r="K1627" s="568"/>
      <c r="L1627" s="568"/>
      <c r="M1627" s="568"/>
      <c r="N1627" s="309"/>
      <c r="O1627" s="259"/>
      <c r="P1627" s="309"/>
      <c r="Q1627" s="259"/>
      <c r="R1627" s="309"/>
      <c r="S1627" s="259"/>
      <c r="T1627" s="259"/>
      <c r="U1627" s="259"/>
      <c r="V1627" s="316"/>
      <c r="W1627" s="257"/>
      <c r="X1627" s="316"/>
      <c r="Y1627" s="257"/>
      <c r="Z1627" s="316"/>
      <c r="AA1627" s="257"/>
      <c r="AB1627" s="316"/>
      <c r="AC1627" s="257"/>
    </row>
    <row r="1628" spans="1:29" ht="15.6" hidden="1" customHeight="1">
      <c r="A1628" s="250"/>
      <c r="B1628" s="251"/>
      <c r="C1628" s="540"/>
      <c r="D1628" s="562" t="s">
        <v>1021</v>
      </c>
      <c r="E1628" s="251"/>
      <c r="F1628" s="735"/>
      <c r="G1628" s="568"/>
      <c r="H1628" s="260"/>
      <c r="I1628" s="251"/>
      <c r="J1628" s="568"/>
      <c r="K1628" s="568"/>
      <c r="L1628" s="568"/>
      <c r="M1628" s="568"/>
      <c r="N1628" s="309"/>
      <c r="O1628" s="259"/>
      <c r="P1628" s="309"/>
      <c r="Q1628" s="259"/>
      <c r="R1628" s="309"/>
      <c r="S1628" s="259"/>
      <c r="T1628" s="259"/>
      <c r="U1628" s="259"/>
      <c r="V1628" s="316"/>
      <c r="W1628" s="257"/>
      <c r="X1628" s="316"/>
      <c r="Y1628" s="257"/>
      <c r="Z1628" s="316"/>
      <c r="AA1628" s="257"/>
      <c r="AB1628" s="316"/>
      <c r="AC1628" s="257"/>
    </row>
    <row r="1629" spans="1:29" ht="15.6" hidden="1" customHeight="1">
      <c r="A1629" s="250" t="e">
        <f>A1624+1</f>
        <v>#VALUE!</v>
      </c>
      <c r="B1629" s="251"/>
      <c r="C1629" s="560" t="s">
        <v>1022</v>
      </c>
      <c r="D1629" s="335" t="s">
        <v>1023</v>
      </c>
      <c r="E1629" s="251" t="s">
        <v>2475</v>
      </c>
      <c r="F1629" s="735"/>
      <c r="G1629" s="568"/>
      <c r="H1629" s="260"/>
      <c r="I1629" s="251" t="s">
        <v>2475</v>
      </c>
      <c r="J1629" s="568"/>
      <c r="K1629" s="568"/>
      <c r="L1629" s="568"/>
      <c r="M1629" s="568"/>
      <c r="N1629" s="309"/>
      <c r="O1629" s="259">
        <f>INT($G1629*N1629*100+0.5)/100</f>
        <v>0</v>
      </c>
      <c r="P1629" s="309"/>
      <c r="Q1629" s="259">
        <f>INT($G1629*P1629*100+0.5)/100</f>
        <v>0</v>
      </c>
      <c r="R1629" s="309"/>
      <c r="S1629" s="259">
        <f>INT($G1629*R1629*100+0.5)/100</f>
        <v>0</v>
      </c>
      <c r="T1629" s="259"/>
      <c r="U1629" s="259"/>
      <c r="V1629" s="316">
        <v>0</v>
      </c>
      <c r="W1629" s="257">
        <f>INT($G1629*V1629*100+0.5)/100</f>
        <v>0</v>
      </c>
      <c r="X1629" s="316">
        <v>0</v>
      </c>
      <c r="Y1629" s="257">
        <f>INT($G1629*X1629*100+0.5)/100</f>
        <v>0</v>
      </c>
      <c r="Z1629" s="316">
        <v>0</v>
      </c>
      <c r="AA1629" s="257">
        <f>INT($G1629*Z1629*100+0.5)/100</f>
        <v>0</v>
      </c>
      <c r="AB1629" s="316">
        <v>0</v>
      </c>
      <c r="AC1629" s="257">
        <f>INT($G1629*AB1629*100+0.5)/100</f>
        <v>0</v>
      </c>
    </row>
    <row r="1630" spans="1:29" ht="15.6" hidden="1" customHeight="1">
      <c r="A1630" s="250"/>
      <c r="B1630" s="251"/>
      <c r="C1630" s="563"/>
      <c r="D1630" s="335"/>
      <c r="E1630" s="251"/>
      <c r="F1630" s="735"/>
      <c r="G1630" s="568"/>
      <c r="H1630" s="260"/>
      <c r="I1630" s="251"/>
      <c r="J1630" s="568"/>
      <c r="K1630" s="568"/>
      <c r="L1630" s="568"/>
      <c r="M1630" s="568"/>
      <c r="N1630" s="309"/>
      <c r="O1630" s="259"/>
      <c r="P1630" s="309"/>
      <c r="Q1630" s="259"/>
      <c r="R1630" s="309"/>
      <c r="S1630" s="259"/>
      <c r="T1630" s="259"/>
      <c r="U1630" s="259"/>
      <c r="V1630" s="316"/>
      <c r="W1630" s="257"/>
      <c r="X1630" s="316"/>
      <c r="Y1630" s="257"/>
      <c r="Z1630" s="316"/>
      <c r="AA1630" s="257"/>
      <c r="AB1630" s="316"/>
      <c r="AC1630" s="257"/>
    </row>
    <row r="1631" spans="1:29" ht="26.45" hidden="1" customHeight="1">
      <c r="A1631" s="250" t="e">
        <f>A1629+1</f>
        <v>#VALUE!</v>
      </c>
      <c r="B1631" s="251"/>
      <c r="C1631" s="560" t="s">
        <v>1024</v>
      </c>
      <c r="D1631" s="558" t="s">
        <v>1866</v>
      </c>
      <c r="E1631" s="251" t="s">
        <v>1901</v>
      </c>
      <c r="F1631" s="735"/>
      <c r="G1631" s="568"/>
      <c r="H1631" s="260"/>
      <c r="I1631" s="251" t="s">
        <v>1901</v>
      </c>
      <c r="J1631" s="568"/>
      <c r="K1631" s="568"/>
      <c r="L1631" s="568"/>
      <c r="M1631" s="568"/>
      <c r="N1631" s="309"/>
      <c r="O1631" s="257">
        <f>INT($G1631*N1631*100+0.5)/100</f>
        <v>0</v>
      </c>
      <c r="P1631" s="309"/>
      <c r="Q1631" s="257">
        <f>INT($G1631*P1631*100+0.5)/100</f>
        <v>0</v>
      </c>
      <c r="R1631" s="309"/>
      <c r="S1631" s="257">
        <f>INT($G1631*R1631*100+0.5)/100</f>
        <v>0</v>
      </c>
      <c r="T1631" s="257"/>
      <c r="U1631" s="257"/>
      <c r="V1631" s="258">
        <v>0</v>
      </c>
      <c r="W1631" s="257">
        <f>INT($G1631*V1631*100+0.5)/100</f>
        <v>0</v>
      </c>
      <c r="X1631" s="258">
        <v>0</v>
      </c>
      <c r="Y1631" s="257">
        <f>INT($G1631*X1631*100+0.5)/100</f>
        <v>0</v>
      </c>
      <c r="Z1631" s="258">
        <v>0</v>
      </c>
      <c r="AA1631" s="257">
        <f>INT($G1631*Z1631*100+0.5)/100</f>
        <v>0</v>
      </c>
      <c r="AB1631" s="258">
        <v>0</v>
      </c>
      <c r="AC1631" s="257">
        <f>INT($G1631*AB1631*100+0.5)/100</f>
        <v>0</v>
      </c>
    </row>
    <row r="1632" spans="1:29" ht="26.45" hidden="1" customHeight="1">
      <c r="A1632" s="250"/>
      <c r="B1632" s="251"/>
      <c r="C1632" s="540"/>
      <c r="D1632" s="558" t="s">
        <v>1865</v>
      </c>
      <c r="E1632" s="251" t="s">
        <v>1902</v>
      </c>
      <c r="F1632" s="735"/>
      <c r="G1632" s="568"/>
      <c r="H1632" s="260"/>
      <c r="I1632" s="251" t="s">
        <v>1902</v>
      </c>
      <c r="J1632" s="568"/>
      <c r="K1632" s="568"/>
      <c r="L1632" s="568"/>
      <c r="M1632" s="568"/>
      <c r="N1632" s="309"/>
      <c r="O1632" s="257"/>
      <c r="P1632" s="309"/>
      <c r="Q1632" s="257"/>
      <c r="R1632" s="309"/>
      <c r="S1632" s="257"/>
      <c r="T1632" s="257"/>
      <c r="U1632" s="257"/>
      <c r="V1632" s="258"/>
      <c r="W1632" s="257"/>
      <c r="X1632" s="258"/>
      <c r="Y1632" s="257"/>
      <c r="Z1632" s="258"/>
      <c r="AA1632" s="257"/>
      <c r="AB1632" s="258"/>
      <c r="AC1632" s="257"/>
    </row>
    <row r="1633" spans="1:29" ht="15.6" hidden="1" customHeight="1">
      <c r="A1633" s="250"/>
      <c r="B1633" s="251"/>
      <c r="C1633" s="563"/>
      <c r="D1633" s="335"/>
      <c r="E1633" s="251"/>
      <c r="F1633" s="735"/>
      <c r="G1633" s="568"/>
      <c r="H1633" s="260"/>
      <c r="I1633" s="251"/>
      <c r="J1633" s="568"/>
      <c r="K1633" s="568"/>
      <c r="L1633" s="568"/>
      <c r="M1633" s="568"/>
      <c r="N1633" s="309"/>
      <c r="O1633" s="257"/>
      <c r="P1633" s="309"/>
      <c r="Q1633" s="257"/>
      <c r="R1633" s="309"/>
      <c r="S1633" s="257"/>
      <c r="T1633" s="257"/>
      <c r="U1633" s="257"/>
      <c r="V1633" s="258"/>
      <c r="W1633" s="257"/>
      <c r="X1633" s="258"/>
      <c r="Y1633" s="257"/>
      <c r="Z1633" s="258"/>
      <c r="AA1633" s="257"/>
      <c r="AB1633" s="258"/>
      <c r="AC1633" s="257"/>
    </row>
    <row r="1634" spans="1:29" s="247" customFormat="1" ht="15.6" hidden="1" customHeight="1">
      <c r="A1634" s="284" t="e">
        <f>A1631+1</f>
        <v>#VALUE!</v>
      </c>
      <c r="B1634" s="251"/>
      <c r="C1634" s="560" t="s">
        <v>1768</v>
      </c>
      <c r="D1634" s="335" t="s">
        <v>1767</v>
      </c>
      <c r="E1634" s="251" t="s">
        <v>2879</v>
      </c>
      <c r="F1634" s="735"/>
      <c r="G1634" s="568"/>
      <c r="H1634" s="740"/>
      <c r="I1634" s="251" t="s">
        <v>2879</v>
      </c>
      <c r="J1634" s="568"/>
      <c r="K1634" s="568"/>
      <c r="L1634" s="568"/>
      <c r="M1634" s="568"/>
      <c r="N1634" s="309"/>
      <c r="O1634" s="257">
        <f>INT($G1634*N1634*100+0.5)/100</f>
        <v>0</v>
      </c>
      <c r="P1634" s="309"/>
      <c r="Q1634" s="257">
        <f>INT($G1634*P1634*100+0.5)/100</f>
        <v>0</v>
      </c>
      <c r="R1634" s="309"/>
      <c r="S1634" s="257">
        <f>INT($G1634*R1634*100+0.5)/100</f>
        <v>0</v>
      </c>
      <c r="T1634" s="260"/>
      <c r="U1634" s="260"/>
      <c r="V1634" s="288">
        <v>0</v>
      </c>
      <c r="W1634" s="257">
        <f>INT($G1634*V1634*100+0.5)/100</f>
        <v>0</v>
      </c>
      <c r="X1634" s="288">
        <v>0</v>
      </c>
      <c r="Y1634" s="257">
        <f>INT($G1634*X1634*100+0.5)/100</f>
        <v>0</v>
      </c>
      <c r="Z1634" s="288">
        <v>0</v>
      </c>
      <c r="AA1634" s="257">
        <f>INT($G1634*Z1634*100+0.5)/100</f>
        <v>0</v>
      </c>
      <c r="AB1634" s="288">
        <v>0</v>
      </c>
      <c r="AC1634" s="257">
        <f>INT($G1634*AB1634*100+0.5)/100</f>
        <v>0</v>
      </c>
    </row>
    <row r="1635" spans="1:29" s="247" customFormat="1" ht="15.6" hidden="1" customHeight="1">
      <c r="A1635" s="250"/>
      <c r="B1635" s="251"/>
      <c r="C1635" s="326"/>
      <c r="D1635" s="564" t="s">
        <v>1766</v>
      </c>
      <c r="E1635" s="251" t="s">
        <v>545</v>
      </c>
      <c r="F1635" s="735"/>
      <c r="G1635" s="568"/>
      <c r="H1635" s="740"/>
      <c r="I1635" s="251" t="s">
        <v>545</v>
      </c>
      <c r="J1635" s="568"/>
      <c r="K1635" s="568"/>
      <c r="L1635" s="568"/>
      <c r="M1635" s="568"/>
      <c r="N1635" s="309"/>
      <c r="O1635" s="257"/>
      <c r="P1635" s="309"/>
      <c r="Q1635" s="257"/>
      <c r="R1635" s="309"/>
      <c r="S1635" s="257"/>
      <c r="T1635" s="260"/>
      <c r="U1635" s="260"/>
      <c r="V1635" s="288"/>
      <c r="W1635" s="257"/>
      <c r="X1635" s="288"/>
      <c r="Y1635" s="257"/>
      <c r="Z1635" s="288"/>
      <c r="AA1635" s="257"/>
      <c r="AB1635" s="288"/>
      <c r="AC1635" s="257"/>
    </row>
    <row r="1636" spans="1:29" s="247" customFormat="1" ht="22.9" hidden="1" customHeight="1">
      <c r="A1636" s="284"/>
      <c r="B1636" s="237"/>
      <c r="C1636" s="352"/>
      <c r="D1636" s="565"/>
      <c r="E1636" s="237"/>
      <c r="F1636" s="733"/>
      <c r="G1636" s="568"/>
      <c r="H1636" s="740"/>
      <c r="I1636" s="237"/>
      <c r="J1636" s="568"/>
      <c r="K1636" s="568"/>
      <c r="L1636" s="568"/>
      <c r="M1636" s="568"/>
      <c r="N1636" s="309"/>
      <c r="O1636" s="245"/>
      <c r="P1636" s="309"/>
      <c r="Q1636" s="245"/>
      <c r="R1636" s="309"/>
      <c r="S1636" s="245"/>
      <c r="T1636" s="242"/>
      <c r="U1636" s="242"/>
      <c r="V1636" s="288"/>
      <c r="W1636" s="245"/>
      <c r="X1636" s="288"/>
      <c r="Y1636" s="245"/>
      <c r="Z1636" s="288"/>
      <c r="AA1636" s="245"/>
      <c r="AB1636" s="288"/>
      <c r="AC1636" s="245"/>
    </row>
    <row r="1637" spans="1:29" s="247" customFormat="1" ht="15.6" hidden="1" customHeight="1">
      <c r="A1637" s="250" t="e">
        <f>A1634+1</f>
        <v>#VALUE!</v>
      </c>
      <c r="B1637" s="251"/>
      <c r="C1637" s="560" t="s">
        <v>1769</v>
      </c>
      <c r="D1637" s="335" t="s">
        <v>1770</v>
      </c>
      <c r="E1637" s="251" t="s">
        <v>2879</v>
      </c>
      <c r="F1637" s="735"/>
      <c r="G1637" s="568"/>
      <c r="H1637" s="740"/>
      <c r="I1637" s="251" t="s">
        <v>2879</v>
      </c>
      <c r="J1637" s="568"/>
      <c r="K1637" s="568"/>
      <c r="L1637" s="568"/>
      <c r="M1637" s="568"/>
      <c r="N1637" s="309"/>
      <c r="O1637" s="257">
        <f>INT($G1637*N1637*100+0.5)/100</f>
        <v>0</v>
      </c>
      <c r="P1637" s="309"/>
      <c r="Q1637" s="257">
        <f>INT($G1637*P1637*100+0.5)/100</f>
        <v>0</v>
      </c>
      <c r="R1637" s="309"/>
      <c r="S1637" s="257">
        <f>INT($G1637*R1637*100+0.5)/100</f>
        <v>0</v>
      </c>
      <c r="T1637" s="260"/>
      <c r="U1637" s="260"/>
      <c r="V1637" s="288">
        <v>0</v>
      </c>
      <c r="W1637" s="257">
        <f>INT($G1637*V1637*100+0.5)/100</f>
        <v>0</v>
      </c>
      <c r="X1637" s="288">
        <v>0</v>
      </c>
      <c r="Y1637" s="257">
        <f>INT($G1637*X1637*100+0.5)/100</f>
        <v>0</v>
      </c>
      <c r="Z1637" s="288">
        <v>0</v>
      </c>
      <c r="AA1637" s="257">
        <f>INT($G1637*Z1637*100+0.5)/100</f>
        <v>0</v>
      </c>
      <c r="AB1637" s="288">
        <v>0</v>
      </c>
      <c r="AC1637" s="257">
        <f>INT($G1637*AB1637*100+0.5)/100</f>
        <v>0</v>
      </c>
    </row>
    <row r="1638" spans="1:29" s="247" customFormat="1" ht="15.6" hidden="1" customHeight="1">
      <c r="A1638" s="250"/>
      <c r="B1638" s="251"/>
      <c r="C1638" s="326"/>
      <c r="D1638" s="564" t="s">
        <v>1771</v>
      </c>
      <c r="E1638" s="251" t="s">
        <v>545</v>
      </c>
      <c r="F1638" s="735"/>
      <c r="G1638" s="568"/>
      <c r="H1638" s="740"/>
      <c r="I1638" s="251" t="s">
        <v>545</v>
      </c>
      <c r="J1638" s="568"/>
      <c r="K1638" s="568"/>
      <c r="L1638" s="568"/>
      <c r="M1638" s="568"/>
      <c r="N1638" s="309"/>
      <c r="O1638" s="257"/>
      <c r="P1638" s="309"/>
      <c r="Q1638" s="257"/>
      <c r="R1638" s="309"/>
      <c r="S1638" s="257"/>
      <c r="T1638" s="260"/>
      <c r="U1638" s="260"/>
      <c r="V1638" s="288"/>
      <c r="W1638" s="257"/>
      <c r="X1638" s="288"/>
      <c r="Y1638" s="257"/>
      <c r="Z1638" s="288"/>
      <c r="AA1638" s="257"/>
      <c r="AB1638" s="288"/>
      <c r="AC1638" s="257"/>
    </row>
    <row r="1639" spans="1:29" s="247" customFormat="1" ht="22.9" hidden="1" customHeight="1">
      <c r="A1639" s="284"/>
      <c r="B1639" s="237"/>
      <c r="C1639" s="352"/>
      <c r="D1639" s="565"/>
      <c r="E1639" s="237"/>
      <c r="F1639" s="733"/>
      <c r="G1639" s="568"/>
      <c r="H1639" s="740"/>
      <c r="I1639" s="237"/>
      <c r="J1639" s="568"/>
      <c r="K1639" s="568"/>
      <c r="L1639" s="568"/>
      <c r="M1639" s="568"/>
      <c r="N1639" s="309"/>
      <c r="O1639" s="245"/>
      <c r="P1639" s="309"/>
      <c r="Q1639" s="245"/>
      <c r="R1639" s="309"/>
      <c r="S1639" s="245"/>
      <c r="T1639" s="242"/>
      <c r="U1639" s="242"/>
      <c r="V1639" s="288"/>
      <c r="W1639" s="245"/>
      <c r="X1639" s="288"/>
      <c r="Y1639" s="245"/>
      <c r="Z1639" s="288"/>
      <c r="AA1639" s="245"/>
      <c r="AB1639" s="288"/>
      <c r="AC1639" s="245"/>
    </row>
    <row r="1640" spans="1:29" s="247" customFormat="1" ht="15.6" hidden="1" customHeight="1">
      <c r="A1640" s="284" t="e">
        <f>A1637+1</f>
        <v>#VALUE!</v>
      </c>
      <c r="B1640" s="251"/>
      <c r="C1640" s="560" t="s">
        <v>216</v>
      </c>
      <c r="D1640" s="335" t="s">
        <v>1027</v>
      </c>
      <c r="E1640" s="251" t="s">
        <v>2879</v>
      </c>
      <c r="F1640" s="735"/>
      <c r="G1640" s="568"/>
      <c r="H1640" s="740"/>
      <c r="I1640" s="251" t="s">
        <v>2879</v>
      </c>
      <c r="J1640" s="568"/>
      <c r="K1640" s="568"/>
      <c r="L1640" s="568"/>
      <c r="M1640" s="568"/>
      <c r="N1640" s="309"/>
      <c r="O1640" s="257">
        <f>INT($G1640*N1640*100+0.5)/100</f>
        <v>0</v>
      </c>
      <c r="P1640" s="309"/>
      <c r="Q1640" s="257">
        <f>INT($G1640*P1640*100+0.5)/100</f>
        <v>0</v>
      </c>
      <c r="R1640" s="309"/>
      <c r="S1640" s="257">
        <f>INT($G1640*R1640*100+0.5)/100</f>
        <v>0</v>
      </c>
      <c r="T1640" s="260"/>
      <c r="U1640" s="260"/>
      <c r="V1640" s="288">
        <v>0</v>
      </c>
      <c r="W1640" s="257">
        <f>INT($G1640*V1640*100+0.5)/100</f>
        <v>0</v>
      </c>
      <c r="X1640" s="288">
        <v>0</v>
      </c>
      <c r="Y1640" s="257">
        <f>INT($G1640*X1640*100+0.5)/100</f>
        <v>0</v>
      </c>
      <c r="Z1640" s="288">
        <v>0</v>
      </c>
      <c r="AA1640" s="257">
        <f>INT($G1640*Z1640*100+0.5)/100</f>
        <v>0</v>
      </c>
      <c r="AB1640" s="288">
        <v>0</v>
      </c>
      <c r="AC1640" s="257">
        <f>INT($G1640*AB1640*100+0.5)/100</f>
        <v>0</v>
      </c>
    </row>
    <row r="1641" spans="1:29" s="247" customFormat="1" ht="15.6" hidden="1" customHeight="1">
      <c r="A1641" s="250"/>
      <c r="B1641" s="251"/>
      <c r="C1641" s="326"/>
      <c r="D1641" s="562" t="s">
        <v>1026</v>
      </c>
      <c r="E1641" s="251" t="s">
        <v>545</v>
      </c>
      <c r="F1641" s="735"/>
      <c r="G1641" s="568"/>
      <c r="H1641" s="740"/>
      <c r="I1641" s="251" t="s">
        <v>545</v>
      </c>
      <c r="J1641" s="568"/>
      <c r="K1641" s="568"/>
      <c r="L1641" s="568"/>
      <c r="M1641" s="568"/>
      <c r="N1641" s="309"/>
      <c r="O1641" s="257"/>
      <c r="P1641" s="309"/>
      <c r="Q1641" s="257"/>
      <c r="R1641" s="309"/>
      <c r="S1641" s="257"/>
      <c r="T1641" s="260"/>
      <c r="U1641" s="260"/>
      <c r="V1641" s="288"/>
      <c r="W1641" s="257"/>
      <c r="X1641" s="288"/>
      <c r="Y1641" s="257"/>
      <c r="Z1641" s="288"/>
      <c r="AA1641" s="257"/>
      <c r="AB1641" s="288"/>
      <c r="AC1641" s="257"/>
    </row>
    <row r="1642" spans="1:29" s="247" customFormat="1" ht="15.6" hidden="1" customHeight="1">
      <c r="A1642" s="250"/>
      <c r="B1642" s="251"/>
      <c r="C1642" s="326"/>
      <c r="D1642" s="562"/>
      <c r="E1642" s="251"/>
      <c r="F1642" s="735"/>
      <c r="G1642" s="568"/>
      <c r="H1642" s="740"/>
      <c r="I1642" s="251"/>
      <c r="J1642" s="568"/>
      <c r="K1642" s="568"/>
      <c r="L1642" s="568"/>
      <c r="M1642" s="568"/>
      <c r="N1642" s="309"/>
      <c r="O1642" s="257"/>
      <c r="P1642" s="309"/>
      <c r="Q1642" s="257"/>
      <c r="R1642" s="309"/>
      <c r="S1642" s="257"/>
      <c r="T1642" s="260"/>
      <c r="U1642" s="260"/>
      <c r="V1642" s="288"/>
      <c r="W1642" s="257"/>
      <c r="X1642" s="288"/>
      <c r="Y1642" s="257"/>
      <c r="Z1642" s="288"/>
      <c r="AA1642" s="257"/>
      <c r="AB1642" s="288"/>
      <c r="AC1642" s="257"/>
    </row>
    <row r="1643" spans="1:29" s="325" customFormat="1" ht="27.6" hidden="1" customHeight="1">
      <c r="A1643" s="318"/>
      <c r="B1643" s="319"/>
      <c r="C1643" s="267" t="s">
        <v>1030</v>
      </c>
      <c r="D1643" s="333" t="s">
        <v>1029</v>
      </c>
      <c r="E1643" s="319"/>
      <c r="F1643" s="784"/>
      <c r="G1643" s="568"/>
      <c r="H1643" s="741"/>
      <c r="I1643" s="319"/>
      <c r="J1643" s="568"/>
      <c r="K1643" s="568"/>
      <c r="L1643" s="568"/>
      <c r="M1643" s="568"/>
      <c r="N1643" s="309"/>
      <c r="O1643" s="323">
        <f>SUM(O1588:O1642)</f>
        <v>0</v>
      </c>
      <c r="P1643" s="309"/>
      <c r="Q1643" s="323">
        <f>SUM(Q1588:Q1642)</f>
        <v>0</v>
      </c>
      <c r="R1643" s="309"/>
      <c r="S1643" s="323">
        <f>SUM(S1588:S1642)</f>
        <v>0</v>
      </c>
      <c r="T1643" s="324"/>
      <c r="U1643" s="324"/>
      <c r="V1643" s="324"/>
      <c r="W1643" s="323">
        <f>SUM(W1588:W1642)</f>
        <v>0</v>
      </c>
      <c r="X1643" s="324"/>
      <c r="Y1643" s="323">
        <f>SUM(Y1588:Y1642)</f>
        <v>0</v>
      </c>
      <c r="Z1643" s="324"/>
      <c r="AA1643" s="323">
        <f>SUM(AA1588:AA1642)</f>
        <v>0</v>
      </c>
      <c r="AB1643" s="324"/>
      <c r="AC1643" s="323">
        <f>SUM(AC1588:AC1642)</f>
        <v>0</v>
      </c>
    </row>
    <row r="1644" spans="1:29" s="247" customFormat="1" ht="15.6" hidden="1" customHeight="1">
      <c r="A1644" s="284"/>
      <c r="B1644" s="237"/>
      <c r="C1644" s="453"/>
      <c r="D1644" s="330"/>
      <c r="E1644" s="237"/>
      <c r="F1644" s="733"/>
      <c r="G1644" s="568"/>
      <c r="H1644" s="740"/>
      <c r="I1644" s="237"/>
      <c r="J1644" s="568"/>
      <c r="K1644" s="568"/>
      <c r="L1644" s="568"/>
      <c r="M1644" s="568"/>
      <c r="N1644" s="309"/>
      <c r="O1644" s="245"/>
      <c r="P1644" s="309"/>
      <c r="Q1644" s="245"/>
      <c r="R1644" s="309"/>
      <c r="S1644" s="245"/>
      <c r="T1644" s="242"/>
      <c r="U1644" s="242"/>
      <c r="V1644" s="288"/>
      <c r="W1644" s="245"/>
      <c r="X1644" s="288"/>
      <c r="Y1644" s="245"/>
      <c r="Z1644" s="288"/>
      <c r="AA1644" s="245"/>
      <c r="AB1644" s="288"/>
      <c r="AC1644" s="245"/>
    </row>
    <row r="1645" spans="1:29" ht="15.6" hidden="1" customHeight="1">
      <c r="A1645" s="250"/>
      <c r="B1645" s="251"/>
      <c r="C1645" s="453" t="s">
        <v>1585</v>
      </c>
      <c r="D1645" s="330" t="s">
        <v>1586</v>
      </c>
      <c r="E1645" s="251"/>
      <c r="F1645" s="735"/>
      <c r="G1645" s="568"/>
      <c r="H1645" s="261"/>
      <c r="I1645" s="251"/>
      <c r="J1645" s="568"/>
      <c r="K1645" s="568"/>
      <c r="L1645" s="568"/>
      <c r="M1645" s="568"/>
      <c r="N1645" s="309"/>
      <c r="O1645" s="257"/>
      <c r="P1645" s="309"/>
      <c r="Q1645" s="257"/>
      <c r="R1645" s="309"/>
      <c r="S1645" s="257"/>
      <c r="T1645" s="257"/>
      <c r="U1645" s="257"/>
      <c r="V1645" s="258"/>
      <c r="W1645" s="257"/>
      <c r="X1645" s="258"/>
      <c r="Y1645" s="257"/>
      <c r="Z1645" s="258"/>
      <c r="AA1645" s="257"/>
      <c r="AB1645" s="258"/>
      <c r="AC1645" s="257"/>
    </row>
    <row r="1646" spans="1:29" ht="15.6" hidden="1" customHeight="1">
      <c r="A1646" s="250" t="e">
        <f>A1640+1</f>
        <v>#VALUE!</v>
      </c>
      <c r="B1646" s="251"/>
      <c r="C1646" s="540" t="s">
        <v>2197</v>
      </c>
      <c r="D1646" s="558" t="s">
        <v>1870</v>
      </c>
      <c r="E1646" s="251" t="s">
        <v>1901</v>
      </c>
      <c r="F1646" s="735"/>
      <c r="G1646" s="568"/>
      <c r="H1646" s="260"/>
      <c r="I1646" s="251" t="s">
        <v>1901</v>
      </c>
      <c r="J1646" s="568"/>
      <c r="K1646" s="568"/>
      <c r="L1646" s="568"/>
      <c r="M1646" s="568"/>
      <c r="N1646" s="309"/>
      <c r="O1646" s="259">
        <f>INT($G1646*N1646*100+0.5)/100</f>
        <v>0</v>
      </c>
      <c r="P1646" s="309"/>
      <c r="Q1646" s="259">
        <f>INT($G1646*P1646*100+0.5)/100</f>
        <v>0</v>
      </c>
      <c r="R1646" s="309"/>
      <c r="S1646" s="259">
        <f>INT($G1646*R1646*100+0.5)/100</f>
        <v>0</v>
      </c>
      <c r="T1646" s="259"/>
      <c r="U1646" s="259"/>
      <c r="V1646" s="316">
        <v>0</v>
      </c>
      <c r="W1646" s="257">
        <f>INT($G1646*V1646*100+0.5)/100</f>
        <v>0</v>
      </c>
      <c r="X1646" s="316">
        <v>0</v>
      </c>
      <c r="Y1646" s="257">
        <f>INT($G1646*X1646*100+0.5)/100</f>
        <v>0</v>
      </c>
      <c r="Z1646" s="316">
        <v>0</v>
      </c>
      <c r="AA1646" s="257">
        <f>INT($G1646*Z1646*100+0.5)/100</f>
        <v>0</v>
      </c>
      <c r="AB1646" s="316">
        <v>0</v>
      </c>
      <c r="AC1646" s="257">
        <f>INT($G1646*AB1646*100+0.5)/100</f>
        <v>0</v>
      </c>
    </row>
    <row r="1647" spans="1:29" ht="15.6" hidden="1" customHeight="1">
      <c r="A1647" s="250"/>
      <c r="B1647" s="251"/>
      <c r="C1647" s="540"/>
      <c r="D1647" s="558" t="s">
        <v>1869</v>
      </c>
      <c r="E1647" s="251" t="s">
        <v>1902</v>
      </c>
      <c r="F1647" s="735"/>
      <c r="G1647" s="568"/>
      <c r="H1647" s="260"/>
      <c r="I1647" s="251" t="s">
        <v>1902</v>
      </c>
      <c r="J1647" s="568"/>
      <c r="K1647" s="568"/>
      <c r="L1647" s="568"/>
      <c r="M1647" s="568"/>
      <c r="N1647" s="309"/>
      <c r="O1647" s="259"/>
      <c r="P1647" s="309"/>
      <c r="Q1647" s="259"/>
      <c r="R1647" s="309"/>
      <c r="S1647" s="259"/>
      <c r="T1647" s="259"/>
      <c r="U1647" s="259"/>
      <c r="V1647" s="316"/>
      <c r="W1647" s="257"/>
      <c r="X1647" s="316"/>
      <c r="Y1647" s="257"/>
      <c r="Z1647" s="316"/>
      <c r="AA1647" s="257"/>
      <c r="AB1647" s="316"/>
      <c r="AC1647" s="257"/>
    </row>
    <row r="1648" spans="1:29" ht="15.6" hidden="1" customHeight="1">
      <c r="A1648" s="250"/>
      <c r="B1648" s="251"/>
      <c r="C1648" s="540"/>
      <c r="D1648" s="335"/>
      <c r="E1648" s="251"/>
      <c r="F1648" s="735"/>
      <c r="G1648" s="568"/>
      <c r="H1648" s="260"/>
      <c r="I1648" s="251"/>
      <c r="J1648" s="568"/>
      <c r="K1648" s="568"/>
      <c r="L1648" s="568"/>
      <c r="M1648" s="568"/>
      <c r="N1648" s="309"/>
      <c r="O1648" s="259"/>
      <c r="P1648" s="309"/>
      <c r="Q1648" s="259"/>
      <c r="R1648" s="309"/>
      <c r="S1648" s="259"/>
      <c r="T1648" s="259"/>
      <c r="U1648" s="259"/>
      <c r="V1648" s="316"/>
      <c r="W1648" s="257"/>
      <c r="X1648" s="316"/>
      <c r="Y1648" s="257"/>
      <c r="Z1648" s="316"/>
      <c r="AA1648" s="257"/>
      <c r="AB1648" s="316"/>
      <c r="AC1648" s="257"/>
    </row>
    <row r="1649" spans="1:29" ht="26.45" hidden="1" customHeight="1">
      <c r="A1649" s="250" t="e">
        <f>A1646+1</f>
        <v>#VALUE!</v>
      </c>
      <c r="B1649" s="251"/>
      <c r="C1649" s="540" t="s">
        <v>2198</v>
      </c>
      <c r="D1649" s="558" t="s">
        <v>2209</v>
      </c>
      <c r="E1649" s="251" t="s">
        <v>2475</v>
      </c>
      <c r="F1649" s="735"/>
      <c r="G1649" s="568"/>
      <c r="H1649" s="260"/>
      <c r="I1649" s="251" t="s">
        <v>2475</v>
      </c>
      <c r="J1649" s="568"/>
      <c r="K1649" s="568"/>
      <c r="L1649" s="568"/>
      <c r="M1649" s="568"/>
      <c r="N1649" s="309"/>
      <c r="O1649" s="259"/>
      <c r="P1649" s="309"/>
      <c r="Q1649" s="259"/>
      <c r="R1649" s="309"/>
      <c r="S1649" s="259"/>
      <c r="T1649" s="259"/>
      <c r="U1649" s="259"/>
      <c r="V1649" s="316"/>
      <c r="W1649" s="257"/>
      <c r="X1649" s="316"/>
      <c r="Y1649" s="257"/>
      <c r="Z1649" s="316"/>
      <c r="AA1649" s="257"/>
      <c r="AB1649" s="316"/>
      <c r="AC1649" s="257"/>
    </row>
    <row r="1650" spans="1:29" ht="15.6" hidden="1" customHeight="1">
      <c r="A1650" s="250"/>
      <c r="B1650" s="251"/>
      <c r="C1650" s="540"/>
      <c r="D1650" s="558" t="s">
        <v>1015</v>
      </c>
      <c r="E1650" s="251" t="s">
        <v>2475</v>
      </c>
      <c r="F1650" s="735"/>
      <c r="G1650" s="568"/>
      <c r="H1650" s="260"/>
      <c r="I1650" s="251" t="s">
        <v>2475</v>
      </c>
      <c r="J1650" s="568"/>
      <c r="K1650" s="568"/>
      <c r="L1650" s="568"/>
      <c r="M1650" s="568"/>
      <c r="N1650" s="309"/>
      <c r="O1650" s="259"/>
      <c r="P1650" s="309"/>
      <c r="Q1650" s="259"/>
      <c r="R1650" s="309"/>
      <c r="S1650" s="259"/>
      <c r="T1650" s="259"/>
      <c r="U1650" s="259"/>
      <c r="V1650" s="316"/>
      <c r="W1650" s="257"/>
      <c r="X1650" s="316"/>
      <c r="Y1650" s="257"/>
      <c r="Z1650" s="316"/>
      <c r="AA1650" s="257"/>
      <c r="AB1650" s="316"/>
      <c r="AC1650" s="257"/>
    </row>
    <row r="1651" spans="1:29" ht="26.45" hidden="1" customHeight="1">
      <c r="A1651" s="250"/>
      <c r="B1651" s="251"/>
      <c r="C1651" s="540"/>
      <c r="D1651" s="335" t="s">
        <v>1588</v>
      </c>
      <c r="E1651" s="251"/>
      <c r="F1651" s="735"/>
      <c r="G1651" s="568"/>
      <c r="H1651" s="260"/>
      <c r="I1651" s="251"/>
      <c r="J1651" s="568"/>
      <c r="K1651" s="568"/>
      <c r="L1651" s="568"/>
      <c r="M1651" s="568"/>
      <c r="N1651" s="309"/>
      <c r="O1651" s="259">
        <f>INT($G1651*N1651*100+0.5)/100</f>
        <v>0</v>
      </c>
      <c r="P1651" s="309"/>
      <c r="Q1651" s="259">
        <f>INT($G1651*P1651*100+0.5)/100</f>
        <v>0</v>
      </c>
      <c r="R1651" s="309"/>
      <c r="S1651" s="259">
        <f>INT($G1651*R1651*100+0.5)/100</f>
        <v>0</v>
      </c>
      <c r="T1651" s="259"/>
      <c r="U1651" s="259"/>
      <c r="V1651" s="316">
        <v>0</v>
      </c>
      <c r="W1651" s="257">
        <f>INT($G1651*V1651*100+0.5)/100</f>
        <v>0</v>
      </c>
      <c r="X1651" s="316">
        <v>0</v>
      </c>
      <c r="Y1651" s="257">
        <f>INT($G1651*X1651*100+0.5)/100</f>
        <v>0</v>
      </c>
      <c r="Z1651" s="316">
        <v>0</v>
      </c>
      <c r="AA1651" s="257">
        <f>INT($G1651*Z1651*100+0.5)/100</f>
        <v>0</v>
      </c>
      <c r="AB1651" s="316">
        <v>0</v>
      </c>
      <c r="AC1651" s="257">
        <f>INT($G1651*AB1651*100+0.5)/100</f>
        <v>0</v>
      </c>
    </row>
    <row r="1652" spans="1:29" ht="15.6" hidden="1" customHeight="1">
      <c r="A1652" s="250"/>
      <c r="B1652" s="251"/>
      <c r="C1652" s="540"/>
      <c r="D1652" s="335"/>
      <c r="E1652" s="251"/>
      <c r="F1652" s="735"/>
      <c r="G1652" s="568"/>
      <c r="H1652" s="260"/>
      <c r="I1652" s="251"/>
      <c r="J1652" s="568"/>
      <c r="K1652" s="568"/>
      <c r="L1652" s="568"/>
      <c r="M1652" s="568"/>
      <c r="N1652" s="309"/>
      <c r="O1652" s="259"/>
      <c r="P1652" s="309"/>
      <c r="Q1652" s="259"/>
      <c r="R1652" s="309"/>
      <c r="S1652" s="259"/>
      <c r="T1652" s="259"/>
      <c r="U1652" s="259"/>
      <c r="V1652" s="316"/>
      <c r="W1652" s="257"/>
      <c r="X1652" s="316"/>
      <c r="Y1652" s="257"/>
      <c r="Z1652" s="316"/>
      <c r="AA1652" s="257"/>
      <c r="AB1652" s="316"/>
      <c r="AC1652" s="257"/>
    </row>
    <row r="1653" spans="1:29" ht="15.6" hidden="1" customHeight="1">
      <c r="A1653" s="250" t="e">
        <f>A1649+1</f>
        <v>#VALUE!</v>
      </c>
      <c r="B1653" s="251"/>
      <c r="C1653" s="540" t="s">
        <v>2199</v>
      </c>
      <c r="D1653" s="558" t="s">
        <v>1589</v>
      </c>
      <c r="E1653" s="251" t="s">
        <v>1898</v>
      </c>
      <c r="F1653" s="735"/>
      <c r="G1653" s="568"/>
      <c r="H1653" s="260"/>
      <c r="I1653" s="251" t="s">
        <v>1898</v>
      </c>
      <c r="J1653" s="568"/>
      <c r="K1653" s="568"/>
      <c r="L1653" s="568"/>
      <c r="M1653" s="568"/>
      <c r="N1653" s="309"/>
      <c r="O1653" s="259"/>
      <c r="P1653" s="309"/>
      <c r="Q1653" s="259"/>
      <c r="R1653" s="309"/>
      <c r="S1653" s="259"/>
      <c r="T1653" s="259"/>
      <c r="U1653" s="259"/>
      <c r="V1653" s="316"/>
      <c r="W1653" s="257"/>
      <c r="X1653" s="316"/>
      <c r="Y1653" s="257"/>
      <c r="Z1653" s="316"/>
      <c r="AA1653" s="257"/>
      <c r="AB1653" s="316"/>
      <c r="AC1653" s="257"/>
    </row>
    <row r="1654" spans="1:29" ht="15.6" hidden="1" customHeight="1">
      <c r="A1654" s="250"/>
      <c r="B1654" s="251"/>
      <c r="C1654" s="540"/>
      <c r="D1654" s="558" t="s">
        <v>1590</v>
      </c>
      <c r="E1654" s="251" t="s">
        <v>2475</v>
      </c>
      <c r="F1654" s="735"/>
      <c r="G1654" s="568"/>
      <c r="H1654" s="260"/>
      <c r="I1654" s="251" t="s">
        <v>2475</v>
      </c>
      <c r="J1654" s="568"/>
      <c r="K1654" s="568"/>
      <c r="L1654" s="568"/>
      <c r="M1654" s="568"/>
      <c r="N1654" s="309"/>
      <c r="O1654" s="259"/>
      <c r="P1654" s="309"/>
      <c r="Q1654" s="259"/>
      <c r="R1654" s="309"/>
      <c r="S1654" s="259"/>
      <c r="T1654" s="259"/>
      <c r="U1654" s="259"/>
      <c r="V1654" s="316"/>
      <c r="W1654" s="257"/>
      <c r="X1654" s="316"/>
      <c r="Y1654" s="257"/>
      <c r="Z1654" s="316"/>
      <c r="AA1654" s="257"/>
      <c r="AB1654" s="316"/>
      <c r="AC1654" s="257"/>
    </row>
    <row r="1655" spans="1:29" ht="15.6" hidden="1" customHeight="1">
      <c r="A1655" s="250"/>
      <c r="B1655" s="251"/>
      <c r="C1655" s="540"/>
      <c r="D1655" s="335" t="s">
        <v>590</v>
      </c>
      <c r="E1655" s="251"/>
      <c r="F1655" s="735"/>
      <c r="G1655" s="568"/>
      <c r="H1655" s="260"/>
      <c r="I1655" s="251"/>
      <c r="J1655" s="568"/>
      <c r="K1655" s="568"/>
      <c r="L1655" s="568"/>
      <c r="M1655" s="568"/>
      <c r="N1655" s="309"/>
      <c r="O1655" s="259">
        <f>INT($G1655*N1655*100+0.5)/100</f>
        <v>0</v>
      </c>
      <c r="P1655" s="309"/>
      <c r="Q1655" s="259">
        <f>INT($G1655*P1655*100+0.5)/100</f>
        <v>0</v>
      </c>
      <c r="R1655" s="309"/>
      <c r="S1655" s="259">
        <f>INT($G1655*R1655*100+0.5)/100</f>
        <v>0</v>
      </c>
      <c r="T1655" s="259"/>
      <c r="U1655" s="259"/>
      <c r="V1655" s="316">
        <v>0</v>
      </c>
      <c r="W1655" s="257">
        <f>INT($G1655*V1655*100+0.5)/100</f>
        <v>0</v>
      </c>
      <c r="X1655" s="316">
        <v>0</v>
      </c>
      <c r="Y1655" s="257">
        <f>INT($G1655*X1655*100+0.5)/100</f>
        <v>0</v>
      </c>
      <c r="Z1655" s="316">
        <v>0</v>
      </c>
      <c r="AA1655" s="257">
        <f>INT($G1655*Z1655*100+0.5)/100</f>
        <v>0</v>
      </c>
      <c r="AB1655" s="316">
        <v>0</v>
      </c>
      <c r="AC1655" s="257">
        <f>INT($G1655*AB1655*100+0.5)/100</f>
        <v>0</v>
      </c>
    </row>
    <row r="1656" spans="1:29" ht="15.6" hidden="1" customHeight="1">
      <c r="A1656" s="250"/>
      <c r="B1656" s="251"/>
      <c r="C1656" s="540"/>
      <c r="D1656" s="335"/>
      <c r="E1656" s="251"/>
      <c r="F1656" s="735"/>
      <c r="G1656" s="568"/>
      <c r="H1656" s="260"/>
      <c r="I1656" s="251"/>
      <c r="J1656" s="568"/>
      <c r="K1656" s="568"/>
      <c r="L1656" s="568"/>
      <c r="M1656" s="568"/>
      <c r="N1656" s="309"/>
      <c r="O1656" s="259"/>
      <c r="P1656" s="309"/>
      <c r="Q1656" s="259"/>
      <c r="R1656" s="309"/>
      <c r="S1656" s="259"/>
      <c r="T1656" s="259"/>
      <c r="U1656" s="259"/>
      <c r="V1656" s="316"/>
      <c r="W1656" s="257"/>
      <c r="X1656" s="316"/>
      <c r="Y1656" s="257"/>
      <c r="Z1656" s="316"/>
      <c r="AA1656" s="257"/>
      <c r="AB1656" s="316"/>
      <c r="AC1656" s="257"/>
    </row>
    <row r="1657" spans="1:29" ht="26.45" hidden="1" customHeight="1">
      <c r="A1657" s="250" t="e">
        <f>A1653+1</f>
        <v>#VALUE!</v>
      </c>
      <c r="B1657" s="251"/>
      <c r="C1657" s="540" t="s">
        <v>2200</v>
      </c>
      <c r="D1657" s="558" t="s">
        <v>1017</v>
      </c>
      <c r="E1657" s="251" t="s">
        <v>1909</v>
      </c>
      <c r="F1657" s="735"/>
      <c r="G1657" s="568"/>
      <c r="H1657" s="260"/>
      <c r="I1657" s="251" t="s">
        <v>1909</v>
      </c>
      <c r="J1657" s="568"/>
      <c r="K1657" s="568"/>
      <c r="L1657" s="568"/>
      <c r="M1657" s="568"/>
      <c r="N1657" s="309"/>
      <c r="O1657" s="259"/>
      <c r="P1657" s="309"/>
      <c r="Q1657" s="259"/>
      <c r="R1657" s="309"/>
      <c r="S1657" s="259"/>
      <c r="T1657" s="259"/>
      <c r="U1657" s="259"/>
      <c r="V1657" s="316"/>
      <c r="W1657" s="257"/>
      <c r="X1657" s="316"/>
      <c r="Y1657" s="257"/>
      <c r="Z1657" s="316"/>
      <c r="AA1657" s="257"/>
      <c r="AB1657" s="316"/>
      <c r="AC1657" s="257"/>
    </row>
    <row r="1658" spans="1:29" ht="15.6" hidden="1" customHeight="1">
      <c r="A1658" s="250"/>
      <c r="B1658" s="251"/>
      <c r="C1658" s="540"/>
      <c r="D1658" s="558" t="s">
        <v>1018</v>
      </c>
      <c r="E1658" s="251" t="s">
        <v>2461</v>
      </c>
      <c r="F1658" s="735"/>
      <c r="G1658" s="568"/>
      <c r="H1658" s="260"/>
      <c r="I1658" s="251" t="s">
        <v>2461</v>
      </c>
      <c r="J1658" s="568"/>
      <c r="K1658" s="568"/>
      <c r="L1658" s="568"/>
      <c r="M1658" s="568"/>
      <c r="N1658" s="309"/>
      <c r="O1658" s="259"/>
      <c r="P1658" s="309"/>
      <c r="Q1658" s="259"/>
      <c r="R1658" s="309"/>
      <c r="S1658" s="259"/>
      <c r="T1658" s="259"/>
      <c r="U1658" s="259"/>
      <c r="V1658" s="316"/>
      <c r="W1658" s="257"/>
      <c r="X1658" s="316"/>
      <c r="Y1658" s="257"/>
      <c r="Z1658" s="316"/>
      <c r="AA1658" s="257"/>
      <c r="AB1658" s="316"/>
      <c r="AC1658" s="257"/>
    </row>
    <row r="1659" spans="1:29" ht="15.6" hidden="1" customHeight="1">
      <c r="A1659" s="250"/>
      <c r="B1659" s="251"/>
      <c r="C1659" s="540"/>
      <c r="D1659" s="335" t="s">
        <v>1591</v>
      </c>
      <c r="E1659" s="251"/>
      <c r="F1659" s="735"/>
      <c r="G1659" s="568"/>
      <c r="H1659" s="260"/>
      <c r="I1659" s="251"/>
      <c r="J1659" s="568"/>
      <c r="K1659" s="568"/>
      <c r="L1659" s="568"/>
      <c r="M1659" s="568"/>
      <c r="N1659" s="309"/>
      <c r="O1659" s="259">
        <f>INT($G1659*N1659*100+0.5)/100</f>
        <v>0</v>
      </c>
      <c r="P1659" s="309"/>
      <c r="Q1659" s="259">
        <f>INT($G1659*P1659*100+0.5)/100</f>
        <v>0</v>
      </c>
      <c r="R1659" s="309"/>
      <c r="S1659" s="259">
        <f>INT($G1659*R1659*100+0.5)/100</f>
        <v>0</v>
      </c>
      <c r="T1659" s="259"/>
      <c r="U1659" s="259"/>
      <c r="V1659" s="316">
        <v>0</v>
      </c>
      <c r="W1659" s="257">
        <f>INT($G1659*V1659*100+0.5)/100</f>
        <v>0</v>
      </c>
      <c r="X1659" s="316">
        <v>0</v>
      </c>
      <c r="Y1659" s="257">
        <f>INT($G1659*X1659*100+0.5)/100</f>
        <v>0</v>
      </c>
      <c r="Z1659" s="316">
        <v>0</v>
      </c>
      <c r="AA1659" s="257">
        <f>INT($G1659*Z1659*100+0.5)/100</f>
        <v>0</v>
      </c>
      <c r="AB1659" s="316">
        <v>0</v>
      </c>
      <c r="AC1659" s="257">
        <f>INT($G1659*AB1659*100+0.5)/100</f>
        <v>0</v>
      </c>
    </row>
    <row r="1660" spans="1:29" ht="15.6" hidden="1" customHeight="1">
      <c r="A1660" s="250"/>
      <c r="B1660" s="251"/>
      <c r="C1660" s="540"/>
      <c r="D1660" s="558"/>
      <c r="E1660" s="251"/>
      <c r="F1660" s="735"/>
      <c r="G1660" s="568"/>
      <c r="H1660" s="260"/>
      <c r="I1660" s="251"/>
      <c r="J1660" s="568"/>
      <c r="K1660" s="568"/>
      <c r="L1660" s="568"/>
      <c r="M1660" s="568"/>
      <c r="N1660" s="309"/>
      <c r="O1660" s="259"/>
      <c r="P1660" s="309"/>
      <c r="Q1660" s="259"/>
      <c r="R1660" s="309"/>
      <c r="S1660" s="259"/>
      <c r="T1660" s="259"/>
      <c r="U1660" s="259"/>
      <c r="V1660" s="316"/>
      <c r="W1660" s="257"/>
      <c r="X1660" s="316"/>
      <c r="Y1660" s="257"/>
      <c r="Z1660" s="316"/>
      <c r="AA1660" s="257"/>
      <c r="AB1660" s="316"/>
      <c r="AC1660" s="257"/>
    </row>
    <row r="1661" spans="1:29" ht="15.6" hidden="1" customHeight="1">
      <c r="A1661" s="250" t="e">
        <f>A1657+1</f>
        <v>#VALUE!</v>
      </c>
      <c r="B1661" s="251"/>
      <c r="C1661" s="540" t="s">
        <v>2201</v>
      </c>
      <c r="D1661" s="558" t="s">
        <v>2026</v>
      </c>
      <c r="E1661" s="251" t="s">
        <v>1850</v>
      </c>
      <c r="F1661" s="735"/>
      <c r="G1661" s="568"/>
      <c r="H1661" s="260"/>
      <c r="I1661" s="251" t="s">
        <v>1850</v>
      </c>
      <c r="J1661" s="568"/>
      <c r="K1661" s="568"/>
      <c r="L1661" s="568"/>
      <c r="M1661" s="568"/>
      <c r="N1661" s="309"/>
      <c r="O1661" s="257"/>
      <c r="P1661" s="309"/>
      <c r="Q1661" s="257"/>
      <c r="R1661" s="309"/>
      <c r="S1661" s="257"/>
      <c r="T1661" s="257"/>
      <c r="U1661" s="257"/>
      <c r="V1661" s="258"/>
      <c r="W1661" s="257"/>
      <c r="X1661" s="258"/>
      <c r="Y1661" s="257"/>
      <c r="Z1661" s="258"/>
      <c r="AA1661" s="257"/>
      <c r="AB1661" s="258"/>
      <c r="AC1661" s="257"/>
    </row>
    <row r="1662" spans="1:29" ht="15.6" hidden="1" customHeight="1">
      <c r="A1662" s="250"/>
      <c r="B1662" s="251"/>
      <c r="C1662" s="540"/>
      <c r="D1662" s="558" t="s">
        <v>2027</v>
      </c>
      <c r="E1662" s="251" t="s">
        <v>1851</v>
      </c>
      <c r="F1662" s="735"/>
      <c r="G1662" s="568"/>
      <c r="H1662" s="260"/>
      <c r="I1662" s="251" t="s">
        <v>1851</v>
      </c>
      <c r="J1662" s="568"/>
      <c r="K1662" s="568"/>
      <c r="L1662" s="568"/>
      <c r="M1662" s="568"/>
      <c r="N1662" s="309"/>
      <c r="O1662" s="257"/>
      <c r="P1662" s="309"/>
      <c r="Q1662" s="257"/>
      <c r="R1662" s="309"/>
      <c r="S1662" s="257"/>
      <c r="T1662" s="257"/>
      <c r="U1662" s="257"/>
      <c r="V1662" s="258"/>
      <c r="W1662" s="257"/>
      <c r="X1662" s="258"/>
      <c r="Y1662" s="257"/>
      <c r="Z1662" s="258"/>
      <c r="AA1662" s="257"/>
      <c r="AB1662" s="258"/>
      <c r="AC1662" s="257"/>
    </row>
    <row r="1663" spans="1:29" ht="15.6" hidden="1" customHeight="1">
      <c r="A1663" s="250"/>
      <c r="B1663" s="251"/>
      <c r="C1663" s="540"/>
      <c r="D1663" s="335" t="s">
        <v>1019</v>
      </c>
      <c r="E1663" s="251"/>
      <c r="F1663" s="735"/>
      <c r="G1663" s="568"/>
      <c r="H1663" s="260"/>
      <c r="I1663" s="251"/>
      <c r="J1663" s="568"/>
      <c r="K1663" s="568"/>
      <c r="L1663" s="568"/>
      <c r="M1663" s="568"/>
      <c r="N1663" s="309"/>
      <c r="O1663" s="257">
        <f>INT($G1663*N1663*100+0.5)/100</f>
        <v>0</v>
      </c>
      <c r="P1663" s="309"/>
      <c r="Q1663" s="257">
        <f>INT($G1663*P1663*100+0.5)/100</f>
        <v>0</v>
      </c>
      <c r="R1663" s="309"/>
      <c r="S1663" s="257">
        <f>INT($G1663*R1663*100+0.5)/100</f>
        <v>0</v>
      </c>
      <c r="T1663" s="257"/>
      <c r="U1663" s="257"/>
      <c r="V1663" s="258">
        <v>0</v>
      </c>
      <c r="W1663" s="257">
        <f>INT($G1663*V1663*100+0.5)/100</f>
        <v>0</v>
      </c>
      <c r="X1663" s="258">
        <v>0</v>
      </c>
      <c r="Y1663" s="257">
        <f>INT($G1663*X1663*100+0.5)/100</f>
        <v>0</v>
      </c>
      <c r="Z1663" s="258">
        <v>0</v>
      </c>
      <c r="AA1663" s="257">
        <f>INT($G1663*Z1663*100+0.5)/100</f>
        <v>0</v>
      </c>
      <c r="AB1663" s="258">
        <v>0</v>
      </c>
      <c r="AC1663" s="257">
        <f>INT($G1663*AB1663*100+0.5)/100</f>
        <v>0</v>
      </c>
    </row>
    <row r="1664" spans="1:29" ht="15.6" hidden="1" customHeight="1">
      <c r="A1664" s="250"/>
      <c r="B1664" s="251"/>
      <c r="C1664" s="226"/>
      <c r="D1664" s="335"/>
      <c r="E1664" s="251"/>
      <c r="F1664" s="735"/>
      <c r="G1664" s="568"/>
      <c r="H1664" s="260"/>
      <c r="I1664" s="251"/>
      <c r="J1664" s="568"/>
      <c r="K1664" s="568"/>
      <c r="L1664" s="568"/>
      <c r="M1664" s="568"/>
      <c r="N1664" s="309"/>
      <c r="O1664" s="257"/>
      <c r="P1664" s="309"/>
      <c r="Q1664" s="257"/>
      <c r="R1664" s="309"/>
      <c r="S1664" s="257"/>
      <c r="T1664" s="257"/>
      <c r="U1664" s="257"/>
      <c r="V1664" s="258"/>
      <c r="W1664" s="257"/>
      <c r="X1664" s="258"/>
      <c r="Y1664" s="257"/>
      <c r="Z1664" s="258"/>
      <c r="AA1664" s="257"/>
      <c r="AB1664" s="258"/>
      <c r="AC1664" s="257"/>
    </row>
    <row r="1665" spans="1:29" ht="15.6" hidden="1" customHeight="1">
      <c r="A1665" s="250" t="e">
        <f>A1661+1</f>
        <v>#VALUE!</v>
      </c>
      <c r="B1665" s="251"/>
      <c r="C1665" s="540" t="s">
        <v>2202</v>
      </c>
      <c r="D1665" s="527" t="s">
        <v>592</v>
      </c>
      <c r="E1665" s="251" t="s">
        <v>2879</v>
      </c>
      <c r="F1665" s="735"/>
      <c r="G1665" s="568"/>
      <c r="H1665" s="260"/>
      <c r="I1665" s="251" t="s">
        <v>2879</v>
      </c>
      <c r="J1665" s="568"/>
      <c r="K1665" s="568"/>
      <c r="L1665" s="568"/>
      <c r="M1665" s="568"/>
      <c r="N1665" s="309"/>
      <c r="O1665" s="257">
        <f>INT($G1665*N1665*100+0.5)/100</f>
        <v>0</v>
      </c>
      <c r="P1665" s="309"/>
      <c r="Q1665" s="257">
        <f>INT($G1665*P1665*100+0.5)/100</f>
        <v>0</v>
      </c>
      <c r="R1665" s="309"/>
      <c r="S1665" s="257">
        <f>INT($G1665*R1665*100+0.5)/100</f>
        <v>0</v>
      </c>
      <c r="T1665" s="257"/>
      <c r="U1665" s="257"/>
      <c r="V1665" s="258">
        <v>0</v>
      </c>
      <c r="W1665" s="257">
        <f>INT($G1665*V1665*100+0.5)/100</f>
        <v>0</v>
      </c>
      <c r="X1665" s="258">
        <v>0</v>
      </c>
      <c r="Y1665" s="257">
        <f>INT($G1665*X1665*100+0.5)/100</f>
        <v>0</v>
      </c>
      <c r="Z1665" s="258">
        <v>0</v>
      </c>
      <c r="AA1665" s="257">
        <f>INT($G1665*Z1665*100+0.5)/100</f>
        <v>0</v>
      </c>
      <c r="AB1665" s="258">
        <v>0</v>
      </c>
      <c r="AC1665" s="257">
        <f>INT($G1665*AB1665*100+0.5)/100</f>
        <v>0</v>
      </c>
    </row>
    <row r="1666" spans="1:29" ht="15.6" hidden="1" customHeight="1">
      <c r="A1666" s="250"/>
      <c r="B1666" s="251"/>
      <c r="C1666" s="526"/>
      <c r="D1666" s="527" t="s">
        <v>1325</v>
      </c>
      <c r="E1666" s="251" t="s">
        <v>545</v>
      </c>
      <c r="F1666" s="735"/>
      <c r="G1666" s="568"/>
      <c r="H1666" s="260"/>
      <c r="I1666" s="251" t="s">
        <v>545</v>
      </c>
      <c r="J1666" s="568"/>
      <c r="K1666" s="568"/>
      <c r="L1666" s="568"/>
      <c r="M1666" s="568"/>
      <c r="N1666" s="309"/>
      <c r="O1666" s="257"/>
      <c r="P1666" s="309"/>
      <c r="Q1666" s="257"/>
      <c r="R1666" s="309"/>
      <c r="S1666" s="257"/>
      <c r="T1666" s="257"/>
      <c r="U1666" s="257"/>
      <c r="V1666" s="258"/>
      <c r="W1666" s="257"/>
      <c r="X1666" s="258"/>
      <c r="Y1666" s="257"/>
      <c r="Z1666" s="258"/>
      <c r="AA1666" s="257"/>
      <c r="AB1666" s="258"/>
      <c r="AC1666" s="257"/>
    </row>
    <row r="1667" spans="1:29" ht="15.6" hidden="1" customHeight="1">
      <c r="A1667" s="250"/>
      <c r="B1667" s="251"/>
      <c r="C1667" s="526"/>
      <c r="D1667" s="335"/>
      <c r="E1667" s="251"/>
      <c r="F1667" s="735"/>
      <c r="G1667" s="568"/>
      <c r="H1667" s="260"/>
      <c r="I1667" s="251"/>
      <c r="J1667" s="568"/>
      <c r="K1667" s="568"/>
      <c r="L1667" s="568"/>
      <c r="M1667" s="568"/>
      <c r="N1667" s="309"/>
      <c r="O1667" s="257"/>
      <c r="P1667" s="309"/>
      <c r="Q1667" s="257"/>
      <c r="R1667" s="309"/>
      <c r="S1667" s="257"/>
      <c r="T1667" s="257"/>
      <c r="U1667" s="257"/>
      <c r="V1667" s="258"/>
      <c r="W1667" s="257"/>
      <c r="X1667" s="258"/>
      <c r="Y1667" s="257"/>
      <c r="Z1667" s="258"/>
      <c r="AA1667" s="257"/>
      <c r="AB1667" s="258"/>
      <c r="AC1667" s="257"/>
    </row>
    <row r="1668" spans="1:29" ht="15.6" hidden="1" customHeight="1">
      <c r="A1668" s="250" t="e">
        <f>A1665+1</f>
        <v>#VALUE!</v>
      </c>
      <c r="B1668" s="251"/>
      <c r="C1668" s="540" t="s">
        <v>2203</v>
      </c>
      <c r="D1668" s="527" t="s">
        <v>1327</v>
      </c>
      <c r="E1668" s="251" t="s">
        <v>2879</v>
      </c>
      <c r="F1668" s="735"/>
      <c r="G1668" s="568"/>
      <c r="H1668" s="260"/>
      <c r="I1668" s="251" t="s">
        <v>2879</v>
      </c>
      <c r="J1668" s="568"/>
      <c r="K1668" s="568"/>
      <c r="L1668" s="568"/>
      <c r="M1668" s="568"/>
      <c r="N1668" s="309"/>
      <c r="O1668" s="257">
        <f>INT($G1668*N1668*100+0.5)/100</f>
        <v>0</v>
      </c>
      <c r="P1668" s="309"/>
      <c r="Q1668" s="257">
        <f>INT($G1668*P1668*100+0.5)/100</f>
        <v>0</v>
      </c>
      <c r="R1668" s="309"/>
      <c r="S1668" s="257">
        <f>INT($G1668*R1668*100+0.5)/100</f>
        <v>0</v>
      </c>
      <c r="T1668" s="257"/>
      <c r="U1668" s="257"/>
      <c r="V1668" s="258">
        <v>0</v>
      </c>
      <c r="W1668" s="257">
        <f>INT($G1668*V1668*100+0.5)/100</f>
        <v>0</v>
      </c>
      <c r="X1668" s="258">
        <v>0</v>
      </c>
      <c r="Y1668" s="257">
        <f>INT($G1668*X1668*100+0.5)/100</f>
        <v>0</v>
      </c>
      <c r="Z1668" s="258">
        <v>0</v>
      </c>
      <c r="AA1668" s="257">
        <f>INT($G1668*Z1668*100+0.5)/100</f>
        <v>0</v>
      </c>
      <c r="AB1668" s="258">
        <v>0</v>
      </c>
      <c r="AC1668" s="257">
        <f>INT($G1668*AB1668*100+0.5)/100</f>
        <v>0</v>
      </c>
    </row>
    <row r="1669" spans="1:29" ht="15.6" hidden="1" customHeight="1">
      <c r="A1669" s="250"/>
      <c r="B1669" s="251"/>
      <c r="C1669" s="526"/>
      <c r="D1669" s="527" t="s">
        <v>1325</v>
      </c>
      <c r="E1669" s="251" t="s">
        <v>545</v>
      </c>
      <c r="F1669" s="735"/>
      <c r="G1669" s="568"/>
      <c r="H1669" s="260"/>
      <c r="I1669" s="251" t="s">
        <v>545</v>
      </c>
      <c r="J1669" s="568"/>
      <c r="K1669" s="568"/>
      <c r="L1669" s="568"/>
      <c r="M1669" s="568"/>
      <c r="N1669" s="309"/>
      <c r="O1669" s="257"/>
      <c r="P1669" s="309"/>
      <c r="Q1669" s="257"/>
      <c r="R1669" s="309"/>
      <c r="S1669" s="257"/>
      <c r="T1669" s="257"/>
      <c r="U1669" s="257"/>
      <c r="V1669" s="258"/>
      <c r="W1669" s="257"/>
      <c r="X1669" s="258"/>
      <c r="Y1669" s="257"/>
      <c r="Z1669" s="258"/>
      <c r="AA1669" s="257"/>
      <c r="AB1669" s="258"/>
      <c r="AC1669" s="257"/>
    </row>
    <row r="1670" spans="1:29" ht="15.6" hidden="1" customHeight="1">
      <c r="A1670" s="250"/>
      <c r="B1670" s="251"/>
      <c r="C1670" s="526"/>
      <c r="D1670" s="335"/>
      <c r="E1670" s="251"/>
      <c r="F1670" s="735"/>
      <c r="G1670" s="568"/>
      <c r="H1670" s="260"/>
      <c r="I1670" s="251"/>
      <c r="J1670" s="568"/>
      <c r="K1670" s="568"/>
      <c r="L1670" s="568"/>
      <c r="M1670" s="568"/>
      <c r="N1670" s="309"/>
      <c r="O1670" s="257"/>
      <c r="P1670" s="309"/>
      <c r="Q1670" s="257"/>
      <c r="R1670" s="309"/>
      <c r="S1670" s="257"/>
      <c r="T1670" s="257"/>
      <c r="U1670" s="257"/>
      <c r="V1670" s="258"/>
      <c r="W1670" s="257"/>
      <c r="X1670" s="258"/>
      <c r="Y1670" s="257"/>
      <c r="Z1670" s="258"/>
      <c r="AA1670" s="257"/>
      <c r="AB1670" s="258"/>
      <c r="AC1670" s="257"/>
    </row>
    <row r="1671" spans="1:29" ht="15.6" hidden="1" customHeight="1">
      <c r="A1671" s="250" t="e">
        <f>A1668+1</f>
        <v>#VALUE!</v>
      </c>
      <c r="B1671" s="251"/>
      <c r="C1671" s="540" t="s">
        <v>2204</v>
      </c>
      <c r="D1671" s="527" t="s">
        <v>1328</v>
      </c>
      <c r="E1671" s="251" t="s">
        <v>2879</v>
      </c>
      <c r="F1671" s="735"/>
      <c r="G1671" s="568"/>
      <c r="H1671" s="260"/>
      <c r="I1671" s="251" t="s">
        <v>2879</v>
      </c>
      <c r="J1671" s="568"/>
      <c r="K1671" s="568"/>
      <c r="L1671" s="568"/>
      <c r="M1671" s="568"/>
      <c r="N1671" s="309"/>
      <c r="O1671" s="257">
        <f>INT($G1671*N1671*100+0.5)/100</f>
        <v>0</v>
      </c>
      <c r="P1671" s="309"/>
      <c r="Q1671" s="257">
        <f>INT($G1671*P1671*100+0.5)/100</f>
        <v>0</v>
      </c>
      <c r="R1671" s="309"/>
      <c r="S1671" s="257">
        <f>INT($G1671*R1671*100+0.5)/100</f>
        <v>0</v>
      </c>
      <c r="T1671" s="257"/>
      <c r="U1671" s="257"/>
      <c r="V1671" s="258">
        <v>0</v>
      </c>
      <c r="W1671" s="257">
        <f>INT($G1671*V1671*100+0.5)/100</f>
        <v>0</v>
      </c>
      <c r="X1671" s="258">
        <v>0</v>
      </c>
      <c r="Y1671" s="257">
        <f>INT($G1671*X1671*100+0.5)/100</f>
        <v>0</v>
      </c>
      <c r="Z1671" s="258">
        <v>0</v>
      </c>
      <c r="AA1671" s="257">
        <f>INT($G1671*Z1671*100+0.5)/100</f>
        <v>0</v>
      </c>
      <c r="AB1671" s="258">
        <v>0</v>
      </c>
      <c r="AC1671" s="257">
        <f>INT($G1671*AB1671*100+0.5)/100</f>
        <v>0</v>
      </c>
    </row>
    <row r="1672" spans="1:29" ht="26.45" hidden="1" customHeight="1">
      <c r="A1672" s="250"/>
      <c r="B1672" s="251"/>
      <c r="C1672" s="526"/>
      <c r="D1672" s="527" t="s">
        <v>1329</v>
      </c>
      <c r="E1672" s="251" t="s">
        <v>545</v>
      </c>
      <c r="F1672" s="735"/>
      <c r="G1672" s="568"/>
      <c r="H1672" s="260"/>
      <c r="I1672" s="251" t="s">
        <v>545</v>
      </c>
      <c r="J1672" s="568"/>
      <c r="K1672" s="568"/>
      <c r="L1672" s="568"/>
      <c r="M1672" s="568"/>
      <c r="N1672" s="309"/>
      <c r="O1672" s="257"/>
      <c r="P1672" s="309"/>
      <c r="Q1672" s="257"/>
      <c r="R1672" s="309"/>
      <c r="S1672" s="257"/>
      <c r="T1672" s="257"/>
      <c r="U1672" s="257"/>
      <c r="V1672" s="258"/>
      <c r="W1672" s="257"/>
      <c r="X1672" s="258"/>
      <c r="Y1672" s="257"/>
      <c r="Z1672" s="258"/>
      <c r="AA1672" s="257"/>
      <c r="AB1672" s="258"/>
      <c r="AC1672" s="257"/>
    </row>
    <row r="1673" spans="1:29" ht="15.6" hidden="1" customHeight="1">
      <c r="A1673" s="250"/>
      <c r="B1673" s="251"/>
      <c r="C1673" s="326"/>
      <c r="D1673" s="335"/>
      <c r="E1673" s="251"/>
      <c r="F1673" s="735"/>
      <c r="G1673" s="568"/>
      <c r="H1673" s="261"/>
      <c r="I1673" s="251"/>
      <c r="J1673" s="568"/>
      <c r="K1673" s="568"/>
      <c r="L1673" s="568"/>
      <c r="M1673" s="568"/>
      <c r="N1673" s="309"/>
      <c r="O1673" s="260"/>
      <c r="P1673" s="309"/>
      <c r="Q1673" s="257"/>
      <c r="R1673" s="309"/>
      <c r="S1673" s="257"/>
      <c r="T1673" s="257"/>
      <c r="U1673" s="257"/>
      <c r="V1673" s="258"/>
      <c r="W1673" s="257"/>
      <c r="X1673" s="258"/>
      <c r="Y1673" s="257"/>
      <c r="Z1673" s="258"/>
      <c r="AA1673" s="257"/>
      <c r="AB1673" s="258"/>
      <c r="AC1673" s="257"/>
    </row>
    <row r="1674" spans="1:29" ht="15.6" hidden="1" customHeight="1">
      <c r="A1674" s="250" t="e">
        <f>A1671+1</f>
        <v>#VALUE!</v>
      </c>
      <c r="B1674" s="251">
        <v>67</v>
      </c>
      <c r="C1674" s="540" t="s">
        <v>2206</v>
      </c>
      <c r="D1674" s="527" t="s">
        <v>2181</v>
      </c>
      <c r="E1674" s="251" t="s">
        <v>1901</v>
      </c>
      <c r="F1674" s="735"/>
      <c r="G1674" s="568"/>
      <c r="H1674" s="261"/>
      <c r="I1674" s="251" t="s">
        <v>1901</v>
      </c>
      <c r="J1674" s="568"/>
      <c r="K1674" s="568"/>
      <c r="L1674" s="568"/>
      <c r="M1674" s="568"/>
      <c r="N1674" s="309"/>
      <c r="O1674" s="257">
        <f>INT($G1674*N1674*100+0.5)/100</f>
        <v>0</v>
      </c>
      <c r="P1674" s="309"/>
      <c r="Q1674" s="257">
        <f>INT($G1674*P1674*100+0.5)/100</f>
        <v>0</v>
      </c>
      <c r="R1674" s="309"/>
      <c r="S1674" s="257">
        <f>INT($G1674*R1674*100+0.5)/100</f>
        <v>0</v>
      </c>
      <c r="T1674" s="257"/>
      <c r="U1674" s="257"/>
      <c r="V1674" s="258">
        <v>0</v>
      </c>
      <c r="W1674" s="257">
        <f>INT($G1674*V1674*100+0.5)/100</f>
        <v>0</v>
      </c>
      <c r="X1674" s="258">
        <v>0</v>
      </c>
      <c r="Y1674" s="257">
        <f>INT($G1674*X1674*100+0.5)/100</f>
        <v>0</v>
      </c>
      <c r="Z1674" s="258">
        <v>0</v>
      </c>
      <c r="AA1674" s="257">
        <f>INT($G1674*Z1674*100+0.5)/100</f>
        <v>0</v>
      </c>
      <c r="AB1674" s="258">
        <v>0</v>
      </c>
      <c r="AC1674" s="257">
        <f>INT($G1674*AB1674*100+0.5)/100</f>
        <v>0</v>
      </c>
    </row>
    <row r="1675" spans="1:29" ht="15.6" hidden="1" customHeight="1">
      <c r="A1675" s="250"/>
      <c r="B1675" s="251"/>
      <c r="C1675" s="540"/>
      <c r="D1675" s="527" t="s">
        <v>2180</v>
      </c>
      <c r="E1675" s="251" t="s">
        <v>1902</v>
      </c>
      <c r="F1675" s="735"/>
      <c r="G1675" s="568"/>
      <c r="H1675" s="261"/>
      <c r="I1675" s="251" t="s">
        <v>1902</v>
      </c>
      <c r="J1675" s="568"/>
      <c r="K1675" s="568"/>
      <c r="L1675" s="568"/>
      <c r="M1675" s="568"/>
      <c r="N1675" s="309"/>
      <c r="O1675" s="257"/>
      <c r="P1675" s="309"/>
      <c r="Q1675" s="257"/>
      <c r="R1675" s="309"/>
      <c r="S1675" s="257"/>
      <c r="T1675" s="257"/>
      <c r="U1675" s="257"/>
      <c r="V1675" s="258"/>
      <c r="W1675" s="257"/>
      <c r="X1675" s="258"/>
      <c r="Y1675" s="257"/>
      <c r="Z1675" s="258"/>
      <c r="AA1675" s="257"/>
      <c r="AB1675" s="258"/>
      <c r="AC1675" s="257"/>
    </row>
    <row r="1676" spans="1:29" ht="15.6" hidden="1" customHeight="1">
      <c r="A1676" s="250"/>
      <c r="B1676" s="251"/>
      <c r="C1676" s="326"/>
      <c r="D1676" s="335"/>
      <c r="E1676" s="251"/>
      <c r="F1676" s="735"/>
      <c r="G1676" s="568"/>
      <c r="H1676" s="261"/>
      <c r="I1676" s="251"/>
      <c r="J1676" s="568"/>
      <c r="K1676" s="568"/>
      <c r="L1676" s="568"/>
      <c r="M1676" s="568"/>
      <c r="N1676" s="309"/>
      <c r="O1676" s="257"/>
      <c r="P1676" s="309"/>
      <c r="Q1676" s="257"/>
      <c r="R1676" s="309"/>
      <c r="S1676" s="257"/>
      <c r="T1676" s="257"/>
      <c r="U1676" s="257"/>
      <c r="V1676" s="258"/>
      <c r="W1676" s="257"/>
      <c r="X1676" s="258"/>
      <c r="Y1676" s="257"/>
      <c r="Z1676" s="258"/>
      <c r="AA1676" s="257"/>
      <c r="AB1676" s="258"/>
      <c r="AC1676" s="257"/>
    </row>
    <row r="1677" spans="1:29" ht="15.6" hidden="1" customHeight="1">
      <c r="A1677" s="250" t="e">
        <f>A1674+1</f>
        <v>#VALUE!</v>
      </c>
      <c r="B1677" s="251">
        <v>65</v>
      </c>
      <c r="C1677" s="540" t="s">
        <v>1062</v>
      </c>
      <c r="D1677" s="527" t="s">
        <v>2179</v>
      </c>
      <c r="E1677" s="251" t="s">
        <v>1901</v>
      </c>
      <c r="F1677" s="735"/>
      <c r="G1677" s="568"/>
      <c r="H1677" s="261"/>
      <c r="I1677" s="251" t="s">
        <v>1901</v>
      </c>
      <c r="J1677" s="568"/>
      <c r="K1677" s="568"/>
      <c r="L1677" s="568"/>
      <c r="M1677" s="568"/>
      <c r="N1677" s="309"/>
      <c r="O1677" s="257"/>
      <c r="P1677" s="309"/>
      <c r="Q1677" s="257"/>
      <c r="R1677" s="309"/>
      <c r="S1677" s="257"/>
      <c r="T1677" s="259"/>
      <c r="U1677" s="259"/>
      <c r="V1677" s="316"/>
      <c r="W1677" s="257"/>
      <c r="X1677" s="316"/>
      <c r="Y1677" s="257"/>
      <c r="Z1677" s="316"/>
      <c r="AA1677" s="257"/>
      <c r="AB1677" s="316"/>
      <c r="AC1677" s="257"/>
    </row>
    <row r="1678" spans="1:29" ht="15.6" hidden="1" customHeight="1">
      <c r="A1678" s="250"/>
      <c r="B1678" s="251"/>
      <c r="C1678" s="326"/>
      <c r="D1678" s="527" t="s">
        <v>2178</v>
      </c>
      <c r="E1678" s="251" t="s">
        <v>1902</v>
      </c>
      <c r="F1678" s="735"/>
      <c r="G1678" s="568"/>
      <c r="H1678" s="261"/>
      <c r="I1678" s="251" t="s">
        <v>1902</v>
      </c>
      <c r="J1678" s="568"/>
      <c r="K1678" s="568"/>
      <c r="L1678" s="568"/>
      <c r="M1678" s="568"/>
      <c r="N1678" s="309"/>
      <c r="O1678" s="257"/>
      <c r="P1678" s="309"/>
      <c r="Q1678" s="257"/>
      <c r="R1678" s="309"/>
      <c r="S1678" s="257"/>
      <c r="T1678" s="259"/>
      <c r="U1678" s="259"/>
      <c r="V1678" s="316"/>
      <c r="W1678" s="257"/>
      <c r="X1678" s="316"/>
      <c r="Y1678" s="257"/>
      <c r="Z1678" s="316"/>
      <c r="AA1678" s="257"/>
      <c r="AB1678" s="316"/>
      <c r="AC1678" s="257"/>
    </row>
    <row r="1679" spans="1:29" ht="15.6" hidden="1" customHeight="1">
      <c r="A1679" s="250" t="s">
        <v>1903</v>
      </c>
      <c r="B1679" s="251"/>
      <c r="C1679" s="540" t="s">
        <v>1063</v>
      </c>
      <c r="D1679" s="335" t="s">
        <v>908</v>
      </c>
      <c r="E1679" s="251"/>
      <c r="F1679" s="735"/>
      <c r="G1679" s="568"/>
      <c r="H1679" s="261"/>
      <c r="I1679" s="251"/>
      <c r="J1679" s="568"/>
      <c r="K1679" s="568"/>
      <c r="L1679" s="568"/>
      <c r="M1679" s="568"/>
      <c r="N1679" s="309"/>
      <c r="O1679" s="257">
        <f>INT($G1679*N1679*100+0.5)/100</f>
        <v>0</v>
      </c>
      <c r="P1679" s="309"/>
      <c r="Q1679" s="257">
        <f>INT($G1679*P1679*100+0.5)/100</f>
        <v>0</v>
      </c>
      <c r="R1679" s="309"/>
      <c r="S1679" s="257">
        <f>INT($G1679*R1679*100+0.5)/100</f>
        <v>0</v>
      </c>
      <c r="T1679" s="257"/>
      <c r="U1679" s="257"/>
      <c r="V1679" s="258">
        <v>0</v>
      </c>
      <c r="W1679" s="257">
        <f>INT($G1679*V1679*100+0.5)/100</f>
        <v>0</v>
      </c>
      <c r="X1679" s="258">
        <v>0</v>
      </c>
      <c r="Y1679" s="257">
        <f>INT($G1679*X1679*100+0.5)/100</f>
        <v>0</v>
      </c>
      <c r="Z1679" s="258">
        <v>0</v>
      </c>
      <c r="AA1679" s="257">
        <f>INT($G1679*Z1679*100+0.5)/100</f>
        <v>0</v>
      </c>
      <c r="AB1679" s="258">
        <v>0</v>
      </c>
      <c r="AC1679" s="257">
        <f>INT($G1679*AB1679*100+0.5)/100</f>
        <v>0</v>
      </c>
    </row>
    <row r="1680" spans="1:29" ht="15.6" hidden="1" customHeight="1">
      <c r="A1680" s="250" t="s">
        <v>1905</v>
      </c>
      <c r="B1680" s="251"/>
      <c r="C1680" s="540" t="s">
        <v>1064</v>
      </c>
      <c r="D1680" s="335" t="s">
        <v>906</v>
      </c>
      <c r="E1680" s="251"/>
      <c r="F1680" s="735"/>
      <c r="G1680" s="568"/>
      <c r="H1680" s="261"/>
      <c r="I1680" s="251"/>
      <c r="J1680" s="568"/>
      <c r="K1680" s="568"/>
      <c r="L1680" s="568"/>
      <c r="M1680" s="568"/>
      <c r="N1680" s="309"/>
      <c r="O1680" s="257">
        <f>INT($G1680*N1680*100+0.5)/100</f>
        <v>0</v>
      </c>
      <c r="P1680" s="309"/>
      <c r="Q1680" s="257">
        <f>INT($G1680*P1680*100+0.5)/100</f>
        <v>0</v>
      </c>
      <c r="R1680" s="309"/>
      <c r="S1680" s="257">
        <f>INT($G1680*R1680*100+0.5)/100</f>
        <v>0</v>
      </c>
      <c r="T1680" s="257"/>
      <c r="U1680" s="257"/>
      <c r="V1680" s="258">
        <v>0</v>
      </c>
      <c r="W1680" s="257">
        <f>INT($G1680*V1680*100+0.5)/100</f>
        <v>0</v>
      </c>
      <c r="X1680" s="258">
        <v>0</v>
      </c>
      <c r="Y1680" s="257">
        <f>INT($G1680*X1680*100+0.5)/100</f>
        <v>0</v>
      </c>
      <c r="Z1680" s="258">
        <v>0</v>
      </c>
      <c r="AA1680" s="257">
        <f>INT($G1680*Z1680*100+0.5)/100</f>
        <v>0</v>
      </c>
      <c r="AB1680" s="258">
        <v>0</v>
      </c>
      <c r="AC1680" s="257">
        <f>INT($G1680*AB1680*100+0.5)/100</f>
        <v>0</v>
      </c>
    </row>
    <row r="1681" spans="1:29" ht="15.6" hidden="1" customHeight="1">
      <c r="A1681" s="250" t="s">
        <v>1906</v>
      </c>
      <c r="B1681" s="251"/>
      <c r="C1681" s="540" t="s">
        <v>1065</v>
      </c>
      <c r="D1681" s="335" t="s">
        <v>907</v>
      </c>
      <c r="E1681" s="251"/>
      <c r="F1681" s="735"/>
      <c r="G1681" s="568"/>
      <c r="H1681" s="261"/>
      <c r="I1681" s="251"/>
      <c r="J1681" s="568"/>
      <c r="K1681" s="568"/>
      <c r="L1681" s="568"/>
      <c r="M1681" s="568"/>
      <c r="N1681" s="309"/>
      <c r="O1681" s="257">
        <f>INT($G1681*N1681*100+0.5)/100</f>
        <v>0</v>
      </c>
      <c r="P1681" s="309"/>
      <c r="Q1681" s="257">
        <f>INT($G1681*P1681*100+0.5)/100</f>
        <v>0</v>
      </c>
      <c r="R1681" s="309"/>
      <c r="S1681" s="257">
        <f>INT($G1681*R1681*100+0.5)/100</f>
        <v>0</v>
      </c>
      <c r="T1681" s="257"/>
      <c r="U1681" s="257"/>
      <c r="V1681" s="258">
        <v>0</v>
      </c>
      <c r="W1681" s="257">
        <f>INT($G1681*V1681*100+0.5)/100</f>
        <v>0</v>
      </c>
      <c r="X1681" s="258">
        <v>0</v>
      </c>
      <c r="Y1681" s="257">
        <f>INT($G1681*X1681*100+0.5)/100</f>
        <v>0</v>
      </c>
      <c r="Z1681" s="258">
        <v>0</v>
      </c>
      <c r="AA1681" s="257">
        <f>INT($G1681*Z1681*100+0.5)/100</f>
        <v>0</v>
      </c>
      <c r="AB1681" s="258">
        <v>0</v>
      </c>
      <c r="AC1681" s="257">
        <f>INT($G1681*AB1681*100+0.5)/100</f>
        <v>0</v>
      </c>
    </row>
    <row r="1682" spans="1:29" ht="15.6" hidden="1" customHeight="1">
      <c r="A1682" s="250" t="s">
        <v>1907</v>
      </c>
      <c r="B1682" s="251" t="s">
        <v>1907</v>
      </c>
      <c r="C1682" s="540" t="s">
        <v>1066</v>
      </c>
      <c r="D1682" s="335" t="s">
        <v>2472</v>
      </c>
      <c r="E1682" s="251"/>
      <c r="F1682" s="735"/>
      <c r="G1682" s="568"/>
      <c r="H1682" s="261"/>
      <c r="I1682" s="251"/>
      <c r="J1682" s="568"/>
      <c r="K1682" s="568"/>
      <c r="L1682" s="568"/>
      <c r="M1682" s="568"/>
      <c r="N1682" s="309"/>
      <c r="O1682" s="257">
        <f>INT($G1682*N1682*100+0.5)/100</f>
        <v>0</v>
      </c>
      <c r="P1682" s="309"/>
      <c r="Q1682" s="257">
        <f>INT($G1682*P1682*100+0.5)/100</f>
        <v>0</v>
      </c>
      <c r="R1682" s="309"/>
      <c r="S1682" s="257">
        <f>INT($G1682*R1682*100+0.5)/100</f>
        <v>0</v>
      </c>
      <c r="T1682" s="257"/>
      <c r="U1682" s="257"/>
      <c r="V1682" s="258">
        <v>0</v>
      </c>
      <c r="W1682" s="257">
        <f>INT($G1682*V1682*100+0.5)/100</f>
        <v>0</v>
      </c>
      <c r="X1682" s="258">
        <v>0</v>
      </c>
      <c r="Y1682" s="257">
        <f>INT($G1682*X1682*100+0.5)/100</f>
        <v>0</v>
      </c>
      <c r="Z1682" s="258">
        <v>0</v>
      </c>
      <c r="AA1682" s="257">
        <f>INT($G1682*Z1682*100+0.5)/100</f>
        <v>0</v>
      </c>
      <c r="AB1682" s="258">
        <v>0</v>
      </c>
      <c r="AC1682" s="257">
        <f>INT($G1682*AB1682*100+0.5)/100</f>
        <v>0</v>
      </c>
    </row>
    <row r="1683" spans="1:29" ht="15.6" hidden="1" customHeight="1">
      <c r="A1683" s="250" t="s">
        <v>542</v>
      </c>
      <c r="B1683" s="251"/>
      <c r="C1683" s="540" t="s">
        <v>2392</v>
      </c>
      <c r="D1683" s="335" t="s">
        <v>2145</v>
      </c>
      <c r="E1683" s="251"/>
      <c r="F1683" s="735"/>
      <c r="G1683" s="568"/>
      <c r="H1683" s="261"/>
      <c r="I1683" s="251"/>
      <c r="J1683" s="568"/>
      <c r="K1683" s="568"/>
      <c r="L1683" s="568"/>
      <c r="M1683" s="568"/>
      <c r="N1683" s="309"/>
      <c r="O1683" s="257">
        <f>INT($G1683*N1683*100+0.5)/100</f>
        <v>0</v>
      </c>
      <c r="P1683" s="309"/>
      <c r="Q1683" s="257">
        <f>INT($G1683*P1683*100+0.5)/100</f>
        <v>0</v>
      </c>
      <c r="R1683" s="309"/>
      <c r="S1683" s="257">
        <f>INT($G1683*R1683*100+0.5)/100</f>
        <v>0</v>
      </c>
      <c r="T1683" s="257"/>
      <c r="U1683" s="257"/>
      <c r="V1683" s="258">
        <v>0</v>
      </c>
      <c r="W1683" s="257">
        <f>INT($G1683*V1683*100+0.5)/100</f>
        <v>0</v>
      </c>
      <c r="X1683" s="258">
        <v>0</v>
      </c>
      <c r="Y1683" s="257">
        <f>INT($G1683*X1683*100+0.5)/100</f>
        <v>0</v>
      </c>
      <c r="Z1683" s="258">
        <v>0</v>
      </c>
      <c r="AA1683" s="257">
        <f>INT($G1683*Z1683*100+0.5)/100</f>
        <v>0</v>
      </c>
      <c r="AB1683" s="258">
        <v>0</v>
      </c>
      <c r="AC1683" s="257">
        <f>INT($G1683*AB1683*100+0.5)/100</f>
        <v>0</v>
      </c>
    </row>
    <row r="1684" spans="1:29" ht="15.6" hidden="1" customHeight="1">
      <c r="A1684" s="331"/>
      <c r="B1684" s="341"/>
      <c r="C1684" s="540"/>
      <c r="D1684" s="335"/>
      <c r="E1684" s="251"/>
      <c r="F1684" s="735"/>
      <c r="G1684" s="568"/>
      <c r="H1684" s="261"/>
      <c r="I1684" s="251"/>
      <c r="J1684" s="568"/>
      <c r="K1684" s="568"/>
      <c r="L1684" s="568"/>
      <c r="M1684" s="568"/>
      <c r="N1684" s="309"/>
      <c r="O1684" s="257"/>
      <c r="P1684" s="309"/>
      <c r="Q1684" s="257"/>
      <c r="R1684" s="309"/>
      <c r="S1684" s="257"/>
      <c r="T1684" s="257"/>
      <c r="U1684" s="257"/>
      <c r="V1684" s="258"/>
      <c r="W1684" s="257"/>
      <c r="X1684" s="258"/>
      <c r="Y1684" s="257"/>
      <c r="Z1684" s="258"/>
      <c r="AA1684" s="257"/>
      <c r="AB1684" s="258"/>
      <c r="AC1684" s="257"/>
    </row>
    <row r="1685" spans="1:29" ht="15.6" hidden="1" customHeight="1">
      <c r="A1685" s="250" t="e">
        <f>A1677+1</f>
        <v>#VALUE!</v>
      </c>
      <c r="B1685" s="251">
        <v>66</v>
      </c>
      <c r="C1685" s="540" t="s">
        <v>1067</v>
      </c>
      <c r="D1685" s="527" t="s">
        <v>2183</v>
      </c>
      <c r="E1685" s="251" t="s">
        <v>1901</v>
      </c>
      <c r="F1685" s="735"/>
      <c r="G1685" s="568"/>
      <c r="H1685" s="261"/>
      <c r="I1685" s="251" t="s">
        <v>1901</v>
      </c>
      <c r="J1685" s="568"/>
      <c r="K1685" s="568"/>
      <c r="L1685" s="568"/>
      <c r="M1685" s="568"/>
      <c r="N1685" s="309"/>
      <c r="O1685" s="257"/>
      <c r="P1685" s="309"/>
      <c r="Q1685" s="257"/>
      <c r="R1685" s="309"/>
      <c r="S1685" s="257"/>
      <c r="T1685" s="257"/>
      <c r="U1685" s="257"/>
      <c r="V1685" s="258"/>
      <c r="W1685" s="257"/>
      <c r="X1685" s="258"/>
      <c r="Y1685" s="257"/>
      <c r="Z1685" s="258"/>
      <c r="AA1685" s="257"/>
      <c r="AB1685" s="258"/>
      <c r="AC1685" s="257"/>
    </row>
    <row r="1686" spans="1:29" ht="15.6" hidden="1" customHeight="1">
      <c r="A1686" s="250"/>
      <c r="B1686" s="251"/>
      <c r="C1686" s="540"/>
      <c r="D1686" s="527" t="s">
        <v>2182</v>
      </c>
      <c r="E1686" s="251" t="s">
        <v>1902</v>
      </c>
      <c r="F1686" s="735"/>
      <c r="G1686" s="568"/>
      <c r="H1686" s="261"/>
      <c r="I1686" s="251" t="s">
        <v>1902</v>
      </c>
      <c r="J1686" s="568"/>
      <c r="K1686" s="568"/>
      <c r="L1686" s="568"/>
      <c r="M1686" s="568"/>
      <c r="N1686" s="309"/>
      <c r="O1686" s="257"/>
      <c r="P1686" s="309"/>
      <c r="Q1686" s="257"/>
      <c r="R1686" s="309"/>
      <c r="S1686" s="257"/>
      <c r="T1686" s="257"/>
      <c r="U1686" s="257"/>
      <c r="V1686" s="258"/>
      <c r="W1686" s="257"/>
      <c r="X1686" s="258"/>
      <c r="Y1686" s="257"/>
      <c r="Z1686" s="258"/>
      <c r="AA1686" s="257"/>
      <c r="AB1686" s="258"/>
      <c r="AC1686" s="257"/>
    </row>
    <row r="1687" spans="1:29" ht="15.6" hidden="1" customHeight="1">
      <c r="A1687" s="250" t="s">
        <v>1903</v>
      </c>
      <c r="B1687" s="251" t="s">
        <v>1903</v>
      </c>
      <c r="C1687" s="540" t="s">
        <v>1069</v>
      </c>
      <c r="D1687" s="335" t="s">
        <v>2473</v>
      </c>
      <c r="E1687" s="251"/>
      <c r="F1687" s="735"/>
      <c r="G1687" s="568"/>
      <c r="H1687" s="261"/>
      <c r="I1687" s="251"/>
      <c r="J1687" s="568"/>
      <c r="K1687" s="568"/>
      <c r="L1687" s="568"/>
      <c r="M1687" s="568"/>
      <c r="N1687" s="309"/>
      <c r="O1687" s="257">
        <f>INT($G1687*N1687*100+0.5)/100</f>
        <v>0</v>
      </c>
      <c r="P1687" s="309"/>
      <c r="Q1687" s="257">
        <f>INT($G1687*P1687*100+0.5)/100</f>
        <v>0</v>
      </c>
      <c r="R1687" s="309"/>
      <c r="S1687" s="257">
        <f>INT($G1687*R1687*100+0.5)/100</f>
        <v>0</v>
      </c>
      <c r="T1687" s="257"/>
      <c r="U1687" s="257"/>
      <c r="V1687" s="258">
        <v>0</v>
      </c>
      <c r="W1687" s="257">
        <f>INT($G1687*V1687*100+0.5)/100</f>
        <v>0</v>
      </c>
      <c r="X1687" s="258">
        <v>0</v>
      </c>
      <c r="Y1687" s="257">
        <f>INT($G1687*X1687*100+0.5)/100</f>
        <v>0</v>
      </c>
      <c r="Z1687" s="258">
        <v>0</v>
      </c>
      <c r="AA1687" s="257">
        <f>INT($G1687*Z1687*100+0.5)/100</f>
        <v>0</v>
      </c>
      <c r="AB1687" s="258">
        <v>0</v>
      </c>
      <c r="AC1687" s="257">
        <f>INT($G1687*AB1687*100+0.5)/100</f>
        <v>0</v>
      </c>
    </row>
    <row r="1688" spans="1:29" ht="15.6" hidden="1" customHeight="1">
      <c r="A1688" s="250" t="s">
        <v>1905</v>
      </c>
      <c r="B1688" s="251" t="s">
        <v>1905</v>
      </c>
      <c r="C1688" s="540" t="s">
        <v>1070</v>
      </c>
      <c r="D1688" s="335" t="s">
        <v>2210</v>
      </c>
      <c r="E1688" s="251"/>
      <c r="F1688" s="735"/>
      <c r="G1688" s="568"/>
      <c r="H1688" s="261"/>
      <c r="I1688" s="251"/>
      <c r="J1688" s="568"/>
      <c r="K1688" s="568"/>
      <c r="L1688" s="568"/>
      <c r="M1688" s="568"/>
      <c r="N1688" s="309"/>
      <c r="O1688" s="257">
        <f>INT($G1688*N1688*100+0.5)/100</f>
        <v>0</v>
      </c>
      <c r="P1688" s="309"/>
      <c r="Q1688" s="257">
        <f>INT($G1688*P1688*100+0.5)/100</f>
        <v>0</v>
      </c>
      <c r="R1688" s="309"/>
      <c r="S1688" s="257">
        <f>INT($G1688*R1688*100+0.5)/100</f>
        <v>0</v>
      </c>
      <c r="T1688" s="257"/>
      <c r="U1688" s="257"/>
      <c r="V1688" s="258">
        <v>0</v>
      </c>
      <c r="W1688" s="257">
        <f>INT($G1688*V1688*100+0.5)/100</f>
        <v>0</v>
      </c>
      <c r="X1688" s="258">
        <v>0</v>
      </c>
      <c r="Y1688" s="257">
        <f>INT($G1688*X1688*100+0.5)/100</f>
        <v>0</v>
      </c>
      <c r="Z1688" s="258">
        <v>0</v>
      </c>
      <c r="AA1688" s="257">
        <f>INT($G1688*Z1688*100+0.5)/100</f>
        <v>0</v>
      </c>
      <c r="AB1688" s="258">
        <v>0</v>
      </c>
      <c r="AC1688" s="257">
        <f>INT($G1688*AB1688*100+0.5)/100</f>
        <v>0</v>
      </c>
    </row>
    <row r="1689" spans="1:29" ht="15.6" hidden="1" customHeight="1">
      <c r="A1689" s="250" t="s">
        <v>1906</v>
      </c>
      <c r="B1689" s="251"/>
      <c r="C1689" s="540" t="s">
        <v>1071</v>
      </c>
      <c r="D1689" s="335" t="s">
        <v>2184</v>
      </c>
      <c r="E1689" s="251"/>
      <c r="F1689" s="735"/>
      <c r="G1689" s="568"/>
      <c r="H1689" s="261"/>
      <c r="I1689" s="251"/>
      <c r="J1689" s="568"/>
      <c r="K1689" s="568"/>
      <c r="L1689" s="568"/>
      <c r="M1689" s="568"/>
      <c r="N1689" s="309"/>
      <c r="O1689" s="257">
        <f>INT($G1689*N1689*100+0.5)/100</f>
        <v>0</v>
      </c>
      <c r="P1689" s="309"/>
      <c r="Q1689" s="257">
        <f>INT($G1689*P1689*100+0.5)/100</f>
        <v>0</v>
      </c>
      <c r="R1689" s="309"/>
      <c r="S1689" s="257">
        <f>INT($G1689*R1689*100+0.5)/100</f>
        <v>0</v>
      </c>
      <c r="T1689" s="257"/>
      <c r="U1689" s="257"/>
      <c r="V1689" s="258">
        <v>0</v>
      </c>
      <c r="W1689" s="257">
        <f>INT($G1689*V1689*100+0.5)/100</f>
        <v>0</v>
      </c>
      <c r="X1689" s="258">
        <v>0</v>
      </c>
      <c r="Y1689" s="257">
        <f>INT($G1689*X1689*100+0.5)/100</f>
        <v>0</v>
      </c>
      <c r="Z1689" s="258">
        <v>0</v>
      </c>
      <c r="AA1689" s="257">
        <f>INT($G1689*Z1689*100+0.5)/100</f>
        <v>0</v>
      </c>
      <c r="AB1689" s="258">
        <v>0</v>
      </c>
      <c r="AC1689" s="257">
        <f>INT($G1689*AB1689*100+0.5)/100</f>
        <v>0</v>
      </c>
    </row>
    <row r="1690" spans="1:29" ht="15.6" hidden="1" customHeight="1">
      <c r="A1690" s="250" t="s">
        <v>1907</v>
      </c>
      <c r="B1690" s="251"/>
      <c r="C1690" s="540" t="s">
        <v>1072</v>
      </c>
      <c r="D1690" s="276" t="s">
        <v>578</v>
      </c>
      <c r="E1690" s="251"/>
      <c r="F1690" s="735"/>
      <c r="G1690" s="568"/>
      <c r="H1690" s="261"/>
      <c r="I1690" s="251"/>
      <c r="J1690" s="568"/>
      <c r="K1690" s="568"/>
      <c r="L1690" s="568"/>
      <c r="M1690" s="568"/>
      <c r="N1690" s="309"/>
      <c r="O1690" s="257">
        <f>INT($G1690*N1690*100+0.5)/100</f>
        <v>0</v>
      </c>
      <c r="P1690" s="309"/>
      <c r="Q1690" s="257">
        <f>INT($G1690*P1690*100+0.5)/100</f>
        <v>0</v>
      </c>
      <c r="R1690" s="309"/>
      <c r="S1690" s="257">
        <f>INT($G1690*R1690*100+0.5)/100</f>
        <v>0</v>
      </c>
      <c r="T1690" s="257"/>
      <c r="U1690" s="257"/>
      <c r="V1690" s="258">
        <v>0</v>
      </c>
      <c r="W1690" s="257">
        <f>INT($G1690*V1690*100+0.5)/100</f>
        <v>0</v>
      </c>
      <c r="X1690" s="258">
        <v>0</v>
      </c>
      <c r="Y1690" s="257">
        <f>INT($G1690*X1690*100+0.5)/100</f>
        <v>0</v>
      </c>
      <c r="Z1690" s="258">
        <v>0</v>
      </c>
      <c r="AA1690" s="257">
        <f>INT($G1690*Z1690*100+0.5)/100</f>
        <v>0</v>
      </c>
      <c r="AB1690" s="258">
        <v>0</v>
      </c>
      <c r="AC1690" s="257">
        <f>INT($G1690*AB1690*100+0.5)/100</f>
        <v>0</v>
      </c>
    </row>
    <row r="1691" spans="1:29" ht="15.6" hidden="1" customHeight="1">
      <c r="A1691" s="250"/>
      <c r="B1691" s="251"/>
      <c r="C1691" s="326"/>
      <c r="D1691" s="335"/>
      <c r="E1691" s="251"/>
      <c r="F1691" s="735"/>
      <c r="G1691" s="568"/>
      <c r="H1691" s="261"/>
      <c r="I1691" s="251"/>
      <c r="J1691" s="568"/>
      <c r="K1691" s="568"/>
      <c r="L1691" s="568"/>
      <c r="M1691" s="568"/>
      <c r="N1691" s="309"/>
      <c r="O1691" s="257"/>
      <c r="P1691" s="309"/>
      <c r="Q1691" s="257"/>
      <c r="R1691" s="309"/>
      <c r="S1691" s="257"/>
      <c r="T1691" s="257"/>
      <c r="U1691" s="257"/>
      <c r="V1691" s="258"/>
      <c r="W1691" s="257"/>
      <c r="X1691" s="258"/>
      <c r="Y1691" s="257"/>
      <c r="Z1691" s="258"/>
      <c r="AA1691" s="257"/>
      <c r="AB1691" s="258"/>
      <c r="AC1691" s="257"/>
    </row>
    <row r="1692" spans="1:29" ht="15.6" hidden="1" customHeight="1">
      <c r="A1692" s="250" t="e">
        <f>A1685+1</f>
        <v>#VALUE!</v>
      </c>
      <c r="B1692" s="251"/>
      <c r="C1692" s="540" t="s">
        <v>1073</v>
      </c>
      <c r="D1692" s="527" t="s">
        <v>457</v>
      </c>
      <c r="E1692" s="251" t="s">
        <v>1901</v>
      </c>
      <c r="F1692" s="735"/>
      <c r="G1692" s="568"/>
      <c r="H1692" s="261"/>
      <c r="I1692" s="251" t="s">
        <v>1901</v>
      </c>
      <c r="J1692" s="568"/>
      <c r="K1692" s="568"/>
      <c r="L1692" s="568"/>
      <c r="M1692" s="568"/>
      <c r="N1692" s="309"/>
      <c r="O1692" s="257">
        <f>INT($G1692*N1692*100+0.5)/100</f>
        <v>0</v>
      </c>
      <c r="P1692" s="309"/>
      <c r="Q1692" s="257">
        <f>INT($G1692*P1692*100+0.5)/100</f>
        <v>0</v>
      </c>
      <c r="R1692" s="309"/>
      <c r="S1692" s="257">
        <f>INT($G1692*R1692*100+0.5)/100</f>
        <v>0</v>
      </c>
      <c r="T1692" s="257"/>
      <c r="U1692" s="257"/>
      <c r="V1692" s="258">
        <v>0</v>
      </c>
      <c r="W1692" s="257">
        <f>INT($G1692*V1692*100+0.5)/100</f>
        <v>0</v>
      </c>
      <c r="X1692" s="258">
        <v>0</v>
      </c>
      <c r="Y1692" s="257">
        <f>INT($G1692*X1692*100+0.5)/100</f>
        <v>0</v>
      </c>
      <c r="Z1692" s="258">
        <v>0</v>
      </c>
      <c r="AA1692" s="257">
        <f>INT($G1692*Z1692*100+0.5)/100</f>
        <v>0</v>
      </c>
      <c r="AB1692" s="258">
        <v>0</v>
      </c>
      <c r="AC1692" s="257">
        <f>INT($G1692*AB1692*100+0.5)/100</f>
        <v>0</v>
      </c>
    </row>
    <row r="1693" spans="1:29" ht="15.6" hidden="1" customHeight="1">
      <c r="A1693" s="250"/>
      <c r="B1693" s="251"/>
      <c r="C1693" s="540"/>
      <c r="D1693" s="527" t="s">
        <v>458</v>
      </c>
      <c r="E1693" s="251" t="s">
        <v>1902</v>
      </c>
      <c r="F1693" s="735"/>
      <c r="G1693" s="568"/>
      <c r="H1693" s="261"/>
      <c r="I1693" s="251" t="s">
        <v>1902</v>
      </c>
      <c r="J1693" s="568"/>
      <c r="K1693" s="568"/>
      <c r="L1693" s="568"/>
      <c r="M1693" s="568"/>
      <c r="N1693" s="309"/>
      <c r="O1693" s="257"/>
      <c r="P1693" s="309"/>
      <c r="Q1693" s="257"/>
      <c r="R1693" s="309"/>
      <c r="S1693" s="257"/>
      <c r="T1693" s="257"/>
      <c r="U1693" s="257"/>
      <c r="V1693" s="258"/>
      <c r="W1693" s="257"/>
      <c r="X1693" s="258"/>
      <c r="Y1693" s="257"/>
      <c r="Z1693" s="258"/>
      <c r="AA1693" s="257"/>
      <c r="AB1693" s="258"/>
      <c r="AC1693" s="257"/>
    </row>
    <row r="1694" spans="1:29" ht="15.6" hidden="1" customHeight="1">
      <c r="A1694" s="250"/>
      <c r="B1694" s="251"/>
      <c r="C1694" s="540"/>
      <c r="D1694" s="335"/>
      <c r="E1694" s="251"/>
      <c r="F1694" s="735"/>
      <c r="G1694" s="568"/>
      <c r="H1694" s="261"/>
      <c r="I1694" s="251"/>
      <c r="J1694" s="568"/>
      <c r="K1694" s="568"/>
      <c r="L1694" s="568"/>
      <c r="M1694" s="568"/>
      <c r="N1694" s="309"/>
      <c r="O1694" s="257"/>
      <c r="P1694" s="309"/>
      <c r="Q1694" s="257"/>
      <c r="R1694" s="309"/>
      <c r="S1694" s="257"/>
      <c r="T1694" s="257"/>
      <c r="U1694" s="257"/>
      <c r="V1694" s="258"/>
      <c r="W1694" s="257"/>
      <c r="X1694" s="258"/>
      <c r="Y1694" s="257"/>
      <c r="Z1694" s="258"/>
      <c r="AA1694" s="257"/>
      <c r="AB1694" s="258"/>
      <c r="AC1694" s="257"/>
    </row>
    <row r="1695" spans="1:29" ht="26.45" hidden="1" customHeight="1">
      <c r="A1695" s="250" t="e">
        <f>A1692+1</f>
        <v>#VALUE!</v>
      </c>
      <c r="B1695" s="251"/>
      <c r="C1695" s="540" t="s">
        <v>1068</v>
      </c>
      <c r="D1695" s="527" t="s">
        <v>580</v>
      </c>
      <c r="E1695" s="251" t="s">
        <v>2475</v>
      </c>
      <c r="F1695" s="735"/>
      <c r="G1695" s="568"/>
      <c r="H1695" s="261"/>
      <c r="I1695" s="251" t="s">
        <v>2475</v>
      </c>
      <c r="J1695" s="568"/>
      <c r="K1695" s="568"/>
      <c r="L1695" s="568"/>
      <c r="M1695" s="568"/>
      <c r="N1695" s="309"/>
      <c r="O1695" s="257">
        <f>INT($G1695*N1695*100+0.5)/100</f>
        <v>0</v>
      </c>
      <c r="P1695" s="309"/>
      <c r="Q1695" s="257">
        <f>INT($G1695*P1695*100+0.5)/100</f>
        <v>0</v>
      </c>
      <c r="R1695" s="309"/>
      <c r="S1695" s="257">
        <f>INT($G1695*R1695*100+0.5)/100</f>
        <v>0</v>
      </c>
      <c r="T1695" s="257"/>
      <c r="U1695" s="257"/>
      <c r="V1695" s="258">
        <v>0</v>
      </c>
      <c r="W1695" s="257">
        <f>INT($G1695*V1695*100+0.5)/100</f>
        <v>0</v>
      </c>
      <c r="X1695" s="258">
        <v>0</v>
      </c>
      <c r="Y1695" s="257">
        <f>INT($G1695*X1695*100+0.5)/100</f>
        <v>0</v>
      </c>
      <c r="Z1695" s="258">
        <v>0</v>
      </c>
      <c r="AA1695" s="257">
        <f>INT($G1695*Z1695*100+0.5)/100</f>
        <v>0</v>
      </c>
      <c r="AB1695" s="258">
        <v>0</v>
      </c>
      <c r="AC1695" s="257">
        <f>INT($G1695*AB1695*100+0.5)/100</f>
        <v>0</v>
      </c>
    </row>
    <row r="1696" spans="1:29" ht="26.45" hidden="1" customHeight="1">
      <c r="A1696" s="250"/>
      <c r="B1696" s="251"/>
      <c r="C1696" s="540"/>
      <c r="D1696" s="527" t="s">
        <v>579</v>
      </c>
      <c r="E1696" s="251" t="s">
        <v>2475</v>
      </c>
      <c r="F1696" s="735"/>
      <c r="G1696" s="568"/>
      <c r="H1696" s="261"/>
      <c r="I1696" s="251" t="s">
        <v>2475</v>
      </c>
      <c r="J1696" s="568"/>
      <c r="K1696" s="568"/>
      <c r="L1696" s="568"/>
      <c r="M1696" s="568"/>
      <c r="N1696" s="309"/>
      <c r="O1696" s="257"/>
      <c r="P1696" s="309"/>
      <c r="Q1696" s="257"/>
      <c r="R1696" s="309"/>
      <c r="S1696" s="257"/>
      <c r="T1696" s="257"/>
      <c r="U1696" s="257"/>
      <c r="V1696" s="258"/>
      <c r="W1696" s="257"/>
      <c r="X1696" s="258"/>
      <c r="Y1696" s="257"/>
      <c r="Z1696" s="258"/>
      <c r="AA1696" s="257"/>
      <c r="AB1696" s="258"/>
      <c r="AC1696" s="257"/>
    </row>
    <row r="1697" spans="1:29" ht="15.6" hidden="1" customHeight="1">
      <c r="A1697" s="250"/>
      <c r="B1697" s="251"/>
      <c r="C1697" s="540"/>
      <c r="D1697" s="335"/>
      <c r="E1697" s="251"/>
      <c r="F1697" s="735"/>
      <c r="G1697" s="568"/>
      <c r="H1697" s="261"/>
      <c r="I1697" s="251"/>
      <c r="J1697" s="568"/>
      <c r="K1697" s="568"/>
      <c r="L1697" s="568"/>
      <c r="M1697" s="568"/>
      <c r="N1697" s="309"/>
      <c r="O1697" s="257"/>
      <c r="P1697" s="309"/>
      <c r="Q1697" s="257"/>
      <c r="R1697" s="309"/>
      <c r="S1697" s="257"/>
      <c r="T1697" s="257"/>
      <c r="U1697" s="257"/>
      <c r="V1697" s="258"/>
      <c r="W1697" s="257"/>
      <c r="X1697" s="258"/>
      <c r="Y1697" s="257"/>
      <c r="Z1697" s="258"/>
      <c r="AA1697" s="257"/>
      <c r="AB1697" s="258"/>
      <c r="AC1697" s="257"/>
    </row>
    <row r="1698" spans="1:29" ht="26.45" hidden="1" customHeight="1">
      <c r="A1698" s="561"/>
      <c r="B1698" s="251"/>
      <c r="C1698" s="540" t="s">
        <v>1074</v>
      </c>
      <c r="D1698" s="527" t="s">
        <v>1773</v>
      </c>
      <c r="E1698" s="251" t="s">
        <v>2475</v>
      </c>
      <c r="F1698" s="735"/>
      <c r="G1698" s="568"/>
      <c r="H1698" s="261"/>
      <c r="I1698" s="251" t="s">
        <v>2475</v>
      </c>
      <c r="J1698" s="568"/>
      <c r="K1698" s="568"/>
      <c r="L1698" s="568"/>
      <c r="M1698" s="568"/>
      <c r="N1698" s="309"/>
      <c r="O1698" s="257"/>
      <c r="P1698" s="309"/>
      <c r="Q1698" s="257"/>
      <c r="R1698" s="309"/>
      <c r="S1698" s="257"/>
      <c r="T1698" s="257"/>
      <c r="U1698" s="257"/>
      <c r="V1698" s="258"/>
      <c r="W1698" s="257"/>
      <c r="X1698" s="258"/>
      <c r="Y1698" s="257"/>
      <c r="Z1698" s="258"/>
      <c r="AA1698" s="257"/>
      <c r="AB1698" s="258"/>
      <c r="AC1698" s="257"/>
    </row>
    <row r="1699" spans="1:29" ht="26.45" hidden="1" customHeight="1">
      <c r="A1699" s="250"/>
      <c r="B1699" s="251"/>
      <c r="C1699" s="540"/>
      <c r="D1699" s="527" t="s">
        <v>1376</v>
      </c>
      <c r="E1699" s="251" t="s">
        <v>2475</v>
      </c>
      <c r="F1699" s="735"/>
      <c r="G1699" s="568"/>
      <c r="H1699" s="261"/>
      <c r="I1699" s="251" t="s">
        <v>2475</v>
      </c>
      <c r="J1699" s="568"/>
      <c r="K1699" s="568"/>
      <c r="L1699" s="568"/>
      <c r="M1699" s="568"/>
      <c r="N1699" s="309"/>
      <c r="O1699" s="257"/>
      <c r="P1699" s="309"/>
      <c r="Q1699" s="257"/>
      <c r="R1699" s="309"/>
      <c r="S1699" s="257"/>
      <c r="T1699" s="257"/>
      <c r="U1699" s="257"/>
      <c r="V1699" s="258"/>
      <c r="W1699" s="257"/>
      <c r="X1699" s="258"/>
      <c r="Y1699" s="257"/>
      <c r="Z1699" s="258"/>
      <c r="AA1699" s="257"/>
      <c r="AB1699" s="258"/>
      <c r="AC1699" s="257"/>
    </row>
    <row r="1700" spans="1:29" ht="15.6" hidden="1" customHeight="1">
      <c r="A1700" s="250" t="e">
        <f>A1695+1</f>
        <v>#VALUE!</v>
      </c>
      <c r="B1700" s="251"/>
      <c r="C1700" s="540"/>
      <c r="D1700" s="335" t="s">
        <v>2114</v>
      </c>
      <c r="E1700" s="251"/>
      <c r="F1700" s="735"/>
      <c r="G1700" s="568"/>
      <c r="H1700" s="261"/>
      <c r="I1700" s="251"/>
      <c r="J1700" s="568"/>
      <c r="K1700" s="568"/>
      <c r="L1700" s="568"/>
      <c r="M1700" s="568"/>
      <c r="N1700" s="309"/>
      <c r="O1700" s="257">
        <f>INT($G1700*N1700*100+0.5)/100</f>
        <v>0</v>
      </c>
      <c r="P1700" s="309"/>
      <c r="Q1700" s="257">
        <f>INT($G1700*P1700*100+0.5)/100</f>
        <v>0</v>
      </c>
      <c r="R1700" s="309"/>
      <c r="S1700" s="257">
        <f>INT($G1700*R1700*100+0.5)/100</f>
        <v>0</v>
      </c>
      <c r="T1700" s="257"/>
      <c r="U1700" s="257"/>
      <c r="V1700" s="258">
        <v>0</v>
      </c>
      <c r="W1700" s="257">
        <f>INT($G1700*V1700*100+0.5)/100</f>
        <v>0</v>
      </c>
      <c r="X1700" s="258">
        <v>0</v>
      </c>
      <c r="Y1700" s="257">
        <f>INT($G1700*X1700*100+0.5)/100</f>
        <v>0</v>
      </c>
      <c r="Z1700" s="258">
        <v>0</v>
      </c>
      <c r="AA1700" s="257">
        <f>INT($G1700*Z1700*100+0.5)/100</f>
        <v>0</v>
      </c>
      <c r="AB1700" s="258">
        <v>0</v>
      </c>
      <c r="AC1700" s="257">
        <f>INT($G1700*AB1700*100+0.5)/100</f>
        <v>0</v>
      </c>
    </row>
    <row r="1701" spans="1:29" ht="15.6" hidden="1" customHeight="1">
      <c r="A1701" s="250"/>
      <c r="B1701" s="251"/>
      <c r="C1701" s="540"/>
      <c r="D1701" s="335"/>
      <c r="E1701" s="251"/>
      <c r="F1701" s="735"/>
      <c r="G1701" s="568"/>
      <c r="H1701" s="261"/>
      <c r="I1701" s="251"/>
      <c r="J1701" s="568"/>
      <c r="K1701" s="568"/>
      <c r="L1701" s="568"/>
      <c r="M1701" s="568"/>
      <c r="N1701" s="309"/>
      <c r="O1701" s="257"/>
      <c r="P1701" s="309"/>
      <c r="Q1701" s="257"/>
      <c r="R1701" s="309"/>
      <c r="S1701" s="257"/>
      <c r="T1701" s="257"/>
      <c r="U1701" s="257"/>
      <c r="V1701" s="258"/>
      <c r="W1701" s="257"/>
      <c r="X1701" s="258"/>
      <c r="Y1701" s="257"/>
      <c r="Z1701" s="258"/>
      <c r="AA1701" s="257"/>
      <c r="AB1701" s="258"/>
      <c r="AC1701" s="257"/>
    </row>
    <row r="1702" spans="1:29" ht="26.45" hidden="1" customHeight="1">
      <c r="A1702" s="561"/>
      <c r="B1702" s="251"/>
      <c r="C1702" s="540" t="s">
        <v>1075</v>
      </c>
      <c r="D1702" s="527" t="s">
        <v>1772</v>
      </c>
      <c r="E1702" s="251" t="s">
        <v>2475</v>
      </c>
      <c r="F1702" s="735"/>
      <c r="G1702" s="568"/>
      <c r="H1702" s="261"/>
      <c r="I1702" s="251" t="s">
        <v>2475</v>
      </c>
      <c r="J1702" s="568"/>
      <c r="K1702" s="568"/>
      <c r="L1702" s="568"/>
      <c r="M1702" s="568"/>
      <c r="N1702" s="309"/>
      <c r="O1702" s="257"/>
      <c r="P1702" s="309"/>
      <c r="Q1702" s="257"/>
      <c r="R1702" s="309"/>
      <c r="S1702" s="257"/>
      <c r="T1702" s="257"/>
      <c r="U1702" s="257"/>
      <c r="V1702" s="258"/>
      <c r="W1702" s="257"/>
      <c r="X1702" s="258"/>
      <c r="Y1702" s="257"/>
      <c r="Z1702" s="258"/>
      <c r="AA1702" s="257"/>
      <c r="AB1702" s="258"/>
      <c r="AC1702" s="257"/>
    </row>
    <row r="1703" spans="1:29" ht="26.45" hidden="1" customHeight="1">
      <c r="A1703" s="250"/>
      <c r="B1703" s="251"/>
      <c r="C1703" s="540"/>
      <c r="D1703" s="527" t="s">
        <v>1377</v>
      </c>
      <c r="E1703" s="251" t="s">
        <v>2475</v>
      </c>
      <c r="F1703" s="735"/>
      <c r="G1703" s="568"/>
      <c r="H1703" s="261"/>
      <c r="I1703" s="251" t="s">
        <v>2475</v>
      </c>
      <c r="J1703" s="568"/>
      <c r="K1703" s="568"/>
      <c r="L1703" s="568"/>
      <c r="M1703" s="568"/>
      <c r="N1703" s="309"/>
      <c r="O1703" s="257"/>
      <c r="P1703" s="309"/>
      <c r="Q1703" s="257"/>
      <c r="R1703" s="309"/>
      <c r="S1703" s="257"/>
      <c r="T1703" s="257"/>
      <c r="U1703" s="257"/>
      <c r="V1703" s="258"/>
      <c r="W1703" s="257"/>
      <c r="X1703" s="258"/>
      <c r="Y1703" s="257"/>
      <c r="Z1703" s="258"/>
      <c r="AA1703" s="257"/>
      <c r="AB1703" s="258"/>
      <c r="AC1703" s="257"/>
    </row>
    <row r="1704" spans="1:29" ht="15.6" hidden="1" customHeight="1">
      <c r="A1704" s="250" t="e">
        <f>A1700+1</f>
        <v>#VALUE!</v>
      </c>
      <c r="B1704" s="251"/>
      <c r="C1704" s="540" t="s">
        <v>2397</v>
      </c>
      <c r="D1704" s="335" t="s">
        <v>2114</v>
      </c>
      <c r="E1704" s="251"/>
      <c r="F1704" s="735"/>
      <c r="G1704" s="568"/>
      <c r="H1704" s="261"/>
      <c r="I1704" s="251"/>
      <c r="J1704" s="568"/>
      <c r="K1704" s="568"/>
      <c r="L1704" s="568"/>
      <c r="M1704" s="568"/>
      <c r="N1704" s="309"/>
      <c r="O1704" s="257">
        <f>INT($G1704*N1704*100+0.5)/100</f>
        <v>0</v>
      </c>
      <c r="P1704" s="309"/>
      <c r="Q1704" s="257">
        <f>INT($G1704*P1704*100+0.5)/100</f>
        <v>0</v>
      </c>
      <c r="R1704" s="309"/>
      <c r="S1704" s="257">
        <f>INT($G1704*R1704*100+0.5)/100</f>
        <v>0</v>
      </c>
      <c r="T1704" s="257"/>
      <c r="U1704" s="257"/>
      <c r="V1704" s="258">
        <v>0</v>
      </c>
      <c r="W1704" s="257">
        <f>INT($G1704*V1704*100+0.5)/100</f>
        <v>0</v>
      </c>
      <c r="X1704" s="258">
        <v>0</v>
      </c>
      <c r="Y1704" s="257">
        <f>INT($G1704*X1704*100+0.5)/100</f>
        <v>0</v>
      </c>
      <c r="Z1704" s="258">
        <v>0</v>
      </c>
      <c r="AA1704" s="257">
        <f>INT($G1704*Z1704*100+0.5)/100</f>
        <v>0</v>
      </c>
      <c r="AB1704" s="258">
        <v>0</v>
      </c>
      <c r="AC1704" s="257">
        <f>INT($G1704*AB1704*100+0.5)/100</f>
        <v>0</v>
      </c>
    </row>
    <row r="1705" spans="1:29" ht="15.6" hidden="1" customHeight="1">
      <c r="A1705" s="250"/>
      <c r="B1705" s="251"/>
      <c r="C1705" s="540"/>
      <c r="D1705" s="335"/>
      <c r="E1705" s="251"/>
      <c r="F1705" s="735"/>
      <c r="G1705" s="568"/>
      <c r="H1705" s="261"/>
      <c r="I1705" s="251"/>
      <c r="J1705" s="568"/>
      <c r="K1705" s="568"/>
      <c r="L1705" s="568"/>
      <c r="M1705" s="568"/>
      <c r="N1705" s="309"/>
      <c r="O1705" s="257"/>
      <c r="P1705" s="309"/>
      <c r="Q1705" s="257"/>
      <c r="R1705" s="309"/>
      <c r="S1705" s="257"/>
      <c r="T1705" s="257"/>
      <c r="U1705" s="257"/>
      <c r="V1705" s="258"/>
      <c r="W1705" s="257"/>
      <c r="X1705" s="258"/>
      <c r="Y1705" s="257"/>
      <c r="Z1705" s="258"/>
      <c r="AA1705" s="257"/>
      <c r="AB1705" s="258"/>
      <c r="AC1705" s="257"/>
    </row>
    <row r="1706" spans="1:29" ht="15.6" hidden="1" customHeight="1">
      <c r="A1706" s="250" t="e">
        <f>A1704+1</f>
        <v>#VALUE!</v>
      </c>
      <c r="B1706" s="251"/>
      <c r="C1706" s="540" t="s">
        <v>2391</v>
      </c>
      <c r="D1706" s="527" t="s">
        <v>1787</v>
      </c>
      <c r="E1706" s="251" t="s">
        <v>2475</v>
      </c>
      <c r="F1706" s="735"/>
      <c r="G1706" s="568"/>
      <c r="H1706" s="261"/>
      <c r="I1706" s="251" t="s">
        <v>2475</v>
      </c>
      <c r="J1706" s="568"/>
      <c r="K1706" s="568"/>
      <c r="L1706" s="568"/>
      <c r="M1706" s="568"/>
      <c r="N1706" s="309"/>
      <c r="O1706" s="257"/>
      <c r="P1706" s="309"/>
      <c r="Q1706" s="257"/>
      <c r="R1706" s="309"/>
      <c r="S1706" s="257"/>
      <c r="T1706" s="257"/>
      <c r="U1706" s="257"/>
      <c r="V1706" s="258"/>
      <c r="W1706" s="257"/>
      <c r="X1706" s="258"/>
      <c r="Y1706" s="257"/>
      <c r="Z1706" s="258"/>
      <c r="AA1706" s="257"/>
      <c r="AB1706" s="258"/>
      <c r="AC1706" s="257"/>
    </row>
    <row r="1707" spans="1:29" ht="15.6" hidden="1" customHeight="1">
      <c r="A1707" s="250"/>
      <c r="B1707" s="251"/>
      <c r="C1707" s="540"/>
      <c r="D1707" s="527" t="s">
        <v>1786</v>
      </c>
      <c r="E1707" s="251" t="s">
        <v>2475</v>
      </c>
      <c r="F1707" s="735"/>
      <c r="G1707" s="568"/>
      <c r="H1707" s="261"/>
      <c r="I1707" s="251" t="s">
        <v>2475</v>
      </c>
      <c r="J1707" s="568"/>
      <c r="K1707" s="568"/>
      <c r="L1707" s="568"/>
      <c r="M1707" s="568"/>
      <c r="N1707" s="309"/>
      <c r="O1707" s="257"/>
      <c r="P1707" s="309"/>
      <c r="Q1707" s="257"/>
      <c r="R1707" s="309"/>
      <c r="S1707" s="257"/>
      <c r="T1707" s="257"/>
      <c r="U1707" s="257"/>
      <c r="V1707" s="258"/>
      <c r="W1707" s="257"/>
      <c r="X1707" s="258"/>
      <c r="Y1707" s="257"/>
      <c r="Z1707" s="258"/>
      <c r="AA1707" s="257"/>
      <c r="AB1707" s="258"/>
      <c r="AC1707" s="257"/>
    </row>
    <row r="1708" spans="1:29" ht="15.6" hidden="1" customHeight="1">
      <c r="A1708" s="250" t="s">
        <v>1903</v>
      </c>
      <c r="B1708" s="251"/>
      <c r="C1708" s="540" t="s">
        <v>2393</v>
      </c>
      <c r="D1708" s="335" t="s">
        <v>1382</v>
      </c>
      <c r="E1708" s="251"/>
      <c r="F1708" s="735"/>
      <c r="G1708" s="568"/>
      <c r="H1708" s="261"/>
      <c r="I1708" s="251"/>
      <c r="J1708" s="568"/>
      <c r="K1708" s="568"/>
      <c r="L1708" s="568"/>
      <c r="M1708" s="568"/>
      <c r="N1708" s="309"/>
      <c r="O1708" s="257">
        <f>INT($G1708*N1708*100+0.5)/100</f>
        <v>0</v>
      </c>
      <c r="P1708" s="309"/>
      <c r="Q1708" s="257">
        <f>INT($G1708*P1708*100+0.5)/100</f>
        <v>0</v>
      </c>
      <c r="R1708" s="309"/>
      <c r="S1708" s="257">
        <f>INT($G1708*R1708*100+0.5)/100</f>
        <v>0</v>
      </c>
      <c r="T1708" s="257"/>
      <c r="U1708" s="257"/>
      <c r="V1708" s="258">
        <v>0</v>
      </c>
      <c r="W1708" s="257">
        <f>INT($G1708*V1708*100+0.5)/100</f>
        <v>0</v>
      </c>
      <c r="X1708" s="258">
        <v>0</v>
      </c>
      <c r="Y1708" s="257">
        <f>INT($G1708*X1708*100+0.5)/100</f>
        <v>0</v>
      </c>
      <c r="Z1708" s="258">
        <v>0</v>
      </c>
      <c r="AA1708" s="257">
        <f>INT($G1708*Z1708*100+0.5)/100</f>
        <v>0</v>
      </c>
      <c r="AB1708" s="258">
        <v>0</v>
      </c>
      <c r="AC1708" s="257">
        <f>INT($G1708*AB1708*100+0.5)/100</f>
        <v>0</v>
      </c>
    </row>
    <row r="1709" spans="1:29" ht="15.6" hidden="1" customHeight="1">
      <c r="A1709" s="250" t="s">
        <v>1905</v>
      </c>
      <c r="B1709" s="251"/>
      <c r="C1709" s="540" t="s">
        <v>2394</v>
      </c>
      <c r="D1709" s="335" t="s">
        <v>1384</v>
      </c>
      <c r="E1709" s="251"/>
      <c r="F1709" s="735"/>
      <c r="G1709" s="568"/>
      <c r="H1709" s="260"/>
      <c r="I1709" s="251"/>
      <c r="J1709" s="568"/>
      <c r="K1709" s="568"/>
      <c r="L1709" s="568"/>
      <c r="M1709" s="568"/>
      <c r="N1709" s="309"/>
      <c r="O1709" s="257">
        <f>INT($G1709*N1709*100+0.5)/100</f>
        <v>0</v>
      </c>
      <c r="P1709" s="309"/>
      <c r="Q1709" s="257">
        <f>INT($G1709*P1709*100+0.5)/100</f>
        <v>0</v>
      </c>
      <c r="R1709" s="309"/>
      <c r="S1709" s="257">
        <f>INT($G1709*R1709*100+0.5)/100</f>
        <v>0</v>
      </c>
      <c r="T1709" s="257"/>
      <c r="U1709" s="257"/>
      <c r="V1709" s="258">
        <v>0</v>
      </c>
      <c r="W1709" s="257">
        <f>INT($G1709*V1709*100+0.5)/100</f>
        <v>0</v>
      </c>
      <c r="X1709" s="258">
        <v>0</v>
      </c>
      <c r="Y1709" s="257">
        <f>INT($G1709*X1709*100+0.5)/100</f>
        <v>0</v>
      </c>
      <c r="Z1709" s="258">
        <v>0</v>
      </c>
      <c r="AA1709" s="257">
        <f>INT($G1709*Z1709*100+0.5)/100</f>
        <v>0</v>
      </c>
      <c r="AB1709" s="258">
        <v>0</v>
      </c>
      <c r="AC1709" s="257">
        <f>INT($G1709*AB1709*100+0.5)/100</f>
        <v>0</v>
      </c>
    </row>
    <row r="1710" spans="1:29" ht="15.6" hidden="1" customHeight="1">
      <c r="A1710" s="250" t="s">
        <v>1906</v>
      </c>
      <c r="B1710" s="251"/>
      <c r="C1710" s="540" t="s">
        <v>2395</v>
      </c>
      <c r="D1710" s="335" t="s">
        <v>510</v>
      </c>
      <c r="E1710" s="251"/>
      <c r="F1710" s="735"/>
      <c r="G1710" s="568"/>
      <c r="H1710" s="260"/>
      <c r="I1710" s="251"/>
      <c r="J1710" s="568"/>
      <c r="K1710" s="568"/>
      <c r="L1710" s="568"/>
      <c r="M1710" s="568"/>
      <c r="N1710" s="309"/>
      <c r="O1710" s="257">
        <f>INT($G1710*N1710*100+0.5)/100</f>
        <v>0</v>
      </c>
      <c r="P1710" s="309"/>
      <c r="Q1710" s="257">
        <f>INT($G1710*P1710*100+0.5)/100</f>
        <v>0</v>
      </c>
      <c r="R1710" s="309"/>
      <c r="S1710" s="257">
        <f>INT($G1710*R1710*100+0.5)/100</f>
        <v>0</v>
      </c>
      <c r="T1710" s="257"/>
      <c r="U1710" s="257"/>
      <c r="V1710" s="258">
        <v>0</v>
      </c>
      <c r="W1710" s="257">
        <f>INT($G1710*V1710*100+0.5)/100</f>
        <v>0</v>
      </c>
      <c r="X1710" s="258">
        <v>0</v>
      </c>
      <c r="Y1710" s="257">
        <f>INT($G1710*X1710*100+0.5)/100</f>
        <v>0</v>
      </c>
      <c r="Z1710" s="258">
        <v>0</v>
      </c>
      <c r="AA1710" s="257">
        <f>INT($G1710*Z1710*100+0.5)/100</f>
        <v>0</v>
      </c>
      <c r="AB1710" s="258">
        <v>0</v>
      </c>
      <c r="AC1710" s="257">
        <f>INT($G1710*AB1710*100+0.5)/100</f>
        <v>0</v>
      </c>
    </row>
    <row r="1711" spans="1:29" ht="15.6" hidden="1" customHeight="1">
      <c r="A1711" s="250" t="s">
        <v>1907</v>
      </c>
      <c r="B1711" s="251"/>
      <c r="C1711" s="540" t="s">
        <v>509</v>
      </c>
      <c r="D1711" s="335" t="s">
        <v>1383</v>
      </c>
      <c r="E1711" s="251"/>
      <c r="F1711" s="735"/>
      <c r="G1711" s="568"/>
      <c r="H1711" s="261"/>
      <c r="I1711" s="251"/>
      <c r="J1711" s="568"/>
      <c r="K1711" s="568"/>
      <c r="L1711" s="568"/>
      <c r="M1711" s="568"/>
      <c r="N1711" s="309"/>
      <c r="O1711" s="257">
        <f>INT($G1711*N1711*100+0.5)/100</f>
        <v>0</v>
      </c>
      <c r="P1711" s="309"/>
      <c r="Q1711" s="257">
        <f>INT($G1711*P1711*100+0.5)/100</f>
        <v>0</v>
      </c>
      <c r="R1711" s="309"/>
      <c r="S1711" s="257">
        <f>INT($G1711*R1711*100+0.5)/100</f>
        <v>0</v>
      </c>
      <c r="T1711" s="257"/>
      <c r="U1711" s="257"/>
      <c r="V1711" s="258">
        <v>0</v>
      </c>
      <c r="W1711" s="257">
        <f>INT($G1711*V1711*100+0.5)/100</f>
        <v>0</v>
      </c>
      <c r="X1711" s="258">
        <v>0</v>
      </c>
      <c r="Y1711" s="257">
        <f>INT($G1711*X1711*100+0.5)/100</f>
        <v>0</v>
      </c>
      <c r="Z1711" s="258">
        <v>0</v>
      </c>
      <c r="AA1711" s="257">
        <f>INT($G1711*Z1711*100+0.5)/100</f>
        <v>0</v>
      </c>
      <c r="AB1711" s="258">
        <v>0</v>
      </c>
      <c r="AC1711" s="257">
        <f>INT($G1711*AB1711*100+0.5)/100</f>
        <v>0</v>
      </c>
    </row>
    <row r="1712" spans="1:29" ht="15.6" hidden="1" customHeight="1">
      <c r="A1712" s="250"/>
      <c r="B1712" s="251"/>
      <c r="C1712" s="540"/>
      <c r="D1712" s="335"/>
      <c r="E1712" s="251"/>
      <c r="F1712" s="735"/>
      <c r="G1712" s="568"/>
      <c r="H1712" s="261"/>
      <c r="I1712" s="251"/>
      <c r="J1712" s="568"/>
      <c r="K1712" s="568"/>
      <c r="L1712" s="568"/>
      <c r="M1712" s="568"/>
      <c r="N1712" s="309"/>
      <c r="O1712" s="257"/>
      <c r="P1712" s="309"/>
      <c r="Q1712" s="257"/>
      <c r="R1712" s="309"/>
      <c r="S1712" s="257"/>
      <c r="T1712" s="257"/>
      <c r="U1712" s="257"/>
      <c r="V1712" s="258"/>
      <c r="W1712" s="257"/>
      <c r="X1712" s="258"/>
      <c r="Y1712" s="257"/>
      <c r="Z1712" s="258"/>
      <c r="AA1712" s="257"/>
      <c r="AB1712" s="258"/>
      <c r="AC1712" s="257"/>
    </row>
    <row r="1713" spans="1:29" ht="26.45" hidden="1" customHeight="1">
      <c r="A1713" s="250" t="e">
        <f>A1706+1</f>
        <v>#VALUE!</v>
      </c>
      <c r="B1713" s="251">
        <v>69</v>
      </c>
      <c r="C1713" s="540" t="s">
        <v>2396</v>
      </c>
      <c r="D1713" s="527" t="s">
        <v>2186</v>
      </c>
      <c r="E1713" s="251" t="s">
        <v>1901</v>
      </c>
      <c r="F1713" s="735"/>
      <c r="G1713" s="568"/>
      <c r="H1713" s="261"/>
      <c r="I1713" s="251" t="s">
        <v>1901</v>
      </c>
      <c r="J1713" s="568"/>
      <c r="K1713" s="568"/>
      <c r="L1713" s="568"/>
      <c r="M1713" s="568"/>
      <c r="N1713" s="309"/>
      <c r="O1713" s="257"/>
      <c r="P1713" s="309"/>
      <c r="Q1713" s="257"/>
      <c r="R1713" s="309"/>
      <c r="S1713" s="257"/>
      <c r="T1713" s="257"/>
      <c r="U1713" s="257"/>
      <c r="V1713" s="258"/>
      <c r="W1713" s="257"/>
      <c r="X1713" s="258"/>
      <c r="Y1713" s="257"/>
      <c r="Z1713" s="258"/>
      <c r="AA1713" s="257"/>
      <c r="AB1713" s="258"/>
      <c r="AC1713" s="257"/>
    </row>
    <row r="1714" spans="1:29" ht="26.45" hidden="1" customHeight="1">
      <c r="A1714" s="250"/>
      <c r="B1714" s="251"/>
      <c r="C1714" s="540"/>
      <c r="D1714" s="527" t="s">
        <v>2185</v>
      </c>
      <c r="E1714" s="251" t="s">
        <v>1902</v>
      </c>
      <c r="F1714" s="735"/>
      <c r="G1714" s="568"/>
      <c r="H1714" s="261"/>
      <c r="I1714" s="251" t="s">
        <v>1902</v>
      </c>
      <c r="J1714" s="568"/>
      <c r="K1714" s="568"/>
      <c r="L1714" s="568"/>
      <c r="M1714" s="568"/>
      <c r="N1714" s="309"/>
      <c r="O1714" s="257"/>
      <c r="P1714" s="309"/>
      <c r="Q1714" s="257"/>
      <c r="R1714" s="309"/>
      <c r="S1714" s="257"/>
      <c r="T1714" s="257"/>
      <c r="U1714" s="257"/>
      <c r="V1714" s="258"/>
      <c r="W1714" s="257"/>
      <c r="X1714" s="258"/>
      <c r="Y1714" s="257"/>
      <c r="Z1714" s="258"/>
      <c r="AA1714" s="257"/>
      <c r="AB1714" s="258"/>
      <c r="AC1714" s="257"/>
    </row>
    <row r="1715" spans="1:29" ht="15.6" hidden="1" customHeight="1">
      <c r="A1715" s="331" t="s">
        <v>1903</v>
      </c>
      <c r="B1715" s="251" t="s">
        <v>1903</v>
      </c>
      <c r="C1715" s="540" t="s">
        <v>2398</v>
      </c>
      <c r="D1715" s="335" t="s">
        <v>2187</v>
      </c>
      <c r="E1715" s="251"/>
      <c r="F1715" s="735"/>
      <c r="G1715" s="568"/>
      <c r="H1715" s="261"/>
      <c r="I1715" s="251"/>
      <c r="J1715" s="568"/>
      <c r="K1715" s="568"/>
      <c r="L1715" s="568"/>
      <c r="M1715" s="568"/>
      <c r="N1715" s="309"/>
      <c r="O1715" s="257">
        <f>INT($G1715*N1715*100+0.5)/100</f>
        <v>0</v>
      </c>
      <c r="P1715" s="309"/>
      <c r="Q1715" s="257">
        <f>INT($G1715*P1715*100+0.5)/100</f>
        <v>0</v>
      </c>
      <c r="R1715" s="309"/>
      <c r="S1715" s="257">
        <f>INT($G1715*R1715*100+0.5)/100</f>
        <v>0</v>
      </c>
      <c r="T1715" s="257"/>
      <c r="U1715" s="257"/>
      <c r="V1715" s="258">
        <v>0</v>
      </c>
      <c r="W1715" s="257">
        <f>INT($G1715*V1715*100+0.5)/100</f>
        <v>0</v>
      </c>
      <c r="X1715" s="258">
        <v>0</v>
      </c>
      <c r="Y1715" s="257">
        <f>INT($G1715*X1715*100+0.5)/100</f>
        <v>0</v>
      </c>
      <c r="Z1715" s="258">
        <v>0</v>
      </c>
      <c r="AA1715" s="257">
        <f>INT($G1715*Z1715*100+0.5)/100</f>
        <v>0</v>
      </c>
      <c r="AB1715" s="258">
        <v>0</v>
      </c>
      <c r="AC1715" s="257">
        <f>INT($G1715*AB1715*100+0.5)/100</f>
        <v>0</v>
      </c>
    </row>
    <row r="1716" spans="1:29" ht="15.6" hidden="1" customHeight="1">
      <c r="A1716" s="331" t="s">
        <v>1905</v>
      </c>
      <c r="B1716" s="251" t="s">
        <v>1905</v>
      </c>
      <c r="C1716" s="540" t="s">
        <v>2399</v>
      </c>
      <c r="D1716" s="335" t="s">
        <v>2188</v>
      </c>
      <c r="E1716" s="251"/>
      <c r="F1716" s="735"/>
      <c r="G1716" s="568"/>
      <c r="H1716" s="261"/>
      <c r="I1716" s="251"/>
      <c r="J1716" s="568"/>
      <c r="K1716" s="568"/>
      <c r="L1716" s="568"/>
      <c r="M1716" s="568"/>
      <c r="N1716" s="309"/>
      <c r="O1716" s="257">
        <f>INT($G1716*N1716*100+0.5)/100</f>
        <v>0</v>
      </c>
      <c r="P1716" s="309"/>
      <c r="Q1716" s="257">
        <f>INT($G1716*P1716*100+0.5)/100</f>
        <v>0</v>
      </c>
      <c r="R1716" s="309"/>
      <c r="S1716" s="257">
        <f>INT($G1716*R1716*100+0.5)/100</f>
        <v>0</v>
      </c>
      <c r="T1716" s="257"/>
      <c r="U1716" s="257"/>
      <c r="V1716" s="258">
        <v>0</v>
      </c>
      <c r="W1716" s="257">
        <f>INT($G1716*V1716*100+0.5)/100</f>
        <v>0</v>
      </c>
      <c r="X1716" s="258">
        <v>0</v>
      </c>
      <c r="Y1716" s="257">
        <f>INT($G1716*X1716*100+0.5)/100</f>
        <v>0</v>
      </c>
      <c r="Z1716" s="258">
        <v>0</v>
      </c>
      <c r="AA1716" s="257">
        <f>INT($G1716*Z1716*100+0.5)/100</f>
        <v>0</v>
      </c>
      <c r="AB1716" s="258">
        <v>0</v>
      </c>
      <c r="AC1716" s="257">
        <f>INT($G1716*AB1716*100+0.5)/100</f>
        <v>0</v>
      </c>
    </row>
    <row r="1717" spans="1:29" ht="15.6" hidden="1" customHeight="1">
      <c r="A1717" s="331" t="s">
        <v>1906</v>
      </c>
      <c r="B1717" s="251"/>
      <c r="C1717" s="540" t="s">
        <v>2400</v>
      </c>
      <c r="D1717" s="335" t="s">
        <v>2189</v>
      </c>
      <c r="E1717" s="251"/>
      <c r="F1717" s="735"/>
      <c r="G1717" s="568"/>
      <c r="H1717" s="261"/>
      <c r="I1717" s="251"/>
      <c r="J1717" s="568"/>
      <c r="K1717" s="568"/>
      <c r="L1717" s="568"/>
      <c r="M1717" s="568"/>
      <c r="N1717" s="309"/>
      <c r="O1717" s="257">
        <f>INT($G1717*N1717*100+0.5)/100</f>
        <v>0</v>
      </c>
      <c r="P1717" s="309"/>
      <c r="Q1717" s="257">
        <f>INT($G1717*P1717*100+0.5)/100</f>
        <v>0</v>
      </c>
      <c r="R1717" s="309"/>
      <c r="S1717" s="257">
        <f>INT($G1717*R1717*100+0.5)/100</f>
        <v>0</v>
      </c>
      <c r="T1717" s="257"/>
      <c r="U1717" s="257"/>
      <c r="V1717" s="258">
        <v>0</v>
      </c>
      <c r="W1717" s="257">
        <f>INT($G1717*V1717*100+0.5)/100</f>
        <v>0</v>
      </c>
      <c r="X1717" s="258">
        <v>0</v>
      </c>
      <c r="Y1717" s="257">
        <f>INT($G1717*X1717*100+0.5)/100</f>
        <v>0</v>
      </c>
      <c r="Z1717" s="258">
        <v>0</v>
      </c>
      <c r="AA1717" s="257">
        <f>INT($G1717*Z1717*100+0.5)/100</f>
        <v>0</v>
      </c>
      <c r="AB1717" s="258">
        <v>0</v>
      </c>
      <c r="AC1717" s="257">
        <f>INT($G1717*AB1717*100+0.5)/100</f>
        <v>0</v>
      </c>
    </row>
    <row r="1718" spans="1:29" ht="15.6" hidden="1" customHeight="1">
      <c r="A1718" s="250"/>
      <c r="B1718" s="251"/>
      <c r="C1718" s="540"/>
      <c r="D1718" s="335"/>
      <c r="E1718" s="251"/>
      <c r="F1718" s="735"/>
      <c r="G1718" s="568"/>
      <c r="H1718" s="261"/>
      <c r="I1718" s="251"/>
      <c r="J1718" s="568"/>
      <c r="K1718" s="568"/>
      <c r="L1718" s="568"/>
      <c r="M1718" s="568"/>
      <c r="N1718" s="309"/>
      <c r="O1718" s="257"/>
      <c r="P1718" s="309"/>
      <c r="Q1718" s="257"/>
      <c r="R1718" s="309"/>
      <c r="S1718" s="257"/>
      <c r="T1718" s="257"/>
      <c r="U1718" s="257"/>
      <c r="V1718" s="258"/>
      <c r="W1718" s="257"/>
      <c r="X1718" s="258"/>
      <c r="Y1718" s="257"/>
      <c r="Z1718" s="258"/>
      <c r="AA1718" s="257"/>
      <c r="AB1718" s="258"/>
      <c r="AC1718" s="257"/>
    </row>
    <row r="1719" spans="1:29" ht="15.6" hidden="1" customHeight="1">
      <c r="A1719" s="250" t="e">
        <f>A1713+1</f>
        <v>#VALUE!</v>
      </c>
      <c r="B1719" s="251"/>
      <c r="C1719" s="540" t="s">
        <v>2401</v>
      </c>
      <c r="D1719" s="527" t="s">
        <v>1807</v>
      </c>
      <c r="E1719" s="251" t="s">
        <v>1901</v>
      </c>
      <c r="F1719" s="735"/>
      <c r="G1719" s="568"/>
      <c r="H1719" s="261"/>
      <c r="I1719" s="251" t="s">
        <v>1901</v>
      </c>
      <c r="J1719" s="568"/>
      <c r="K1719" s="568"/>
      <c r="L1719" s="568"/>
      <c r="M1719" s="568"/>
      <c r="N1719" s="309"/>
      <c r="O1719" s="257">
        <f>INT($G1719*N1719*100+0.5)/100</f>
        <v>0</v>
      </c>
      <c r="P1719" s="309"/>
      <c r="Q1719" s="257">
        <f>INT($G1719*P1719*100+0.5)/100</f>
        <v>0</v>
      </c>
      <c r="R1719" s="309"/>
      <c r="S1719" s="257">
        <f>INT($G1719*R1719*100+0.5)/100</f>
        <v>0</v>
      </c>
      <c r="T1719" s="257"/>
      <c r="U1719" s="257"/>
      <c r="V1719" s="258">
        <v>0</v>
      </c>
      <c r="W1719" s="257">
        <f>INT($G1719*V1719*100+0.5)/100</f>
        <v>0</v>
      </c>
      <c r="X1719" s="258">
        <v>0</v>
      </c>
      <c r="Y1719" s="257">
        <f>INT($G1719*X1719*100+0.5)/100</f>
        <v>0</v>
      </c>
      <c r="Z1719" s="258">
        <v>0</v>
      </c>
      <c r="AA1719" s="257">
        <f>INT($G1719*Z1719*100+0.5)/100</f>
        <v>0</v>
      </c>
      <c r="AB1719" s="258">
        <v>0</v>
      </c>
      <c r="AC1719" s="257">
        <f>INT($G1719*AB1719*100+0.5)/100</f>
        <v>0</v>
      </c>
    </row>
    <row r="1720" spans="1:29" ht="15.6" hidden="1" customHeight="1">
      <c r="A1720" s="250"/>
      <c r="B1720" s="251"/>
      <c r="C1720" s="540"/>
      <c r="D1720" s="527" t="s">
        <v>2190</v>
      </c>
      <c r="E1720" s="251" t="s">
        <v>1902</v>
      </c>
      <c r="F1720" s="735"/>
      <c r="G1720" s="568"/>
      <c r="H1720" s="261"/>
      <c r="I1720" s="251" t="s">
        <v>1902</v>
      </c>
      <c r="J1720" s="568"/>
      <c r="K1720" s="568"/>
      <c r="L1720" s="568"/>
      <c r="M1720" s="568"/>
      <c r="N1720" s="309"/>
      <c r="O1720" s="257"/>
      <c r="P1720" s="309"/>
      <c r="Q1720" s="257"/>
      <c r="R1720" s="309"/>
      <c r="S1720" s="257"/>
      <c r="T1720" s="257"/>
      <c r="U1720" s="257"/>
      <c r="V1720" s="258"/>
      <c r="W1720" s="257"/>
      <c r="X1720" s="258"/>
      <c r="Y1720" s="257"/>
      <c r="Z1720" s="258"/>
      <c r="AA1720" s="257"/>
      <c r="AB1720" s="258"/>
      <c r="AC1720" s="257"/>
    </row>
    <row r="1721" spans="1:29" ht="15.6" hidden="1" customHeight="1">
      <c r="A1721" s="250"/>
      <c r="B1721" s="251"/>
      <c r="C1721" s="540"/>
      <c r="D1721" s="335"/>
      <c r="E1721" s="251"/>
      <c r="F1721" s="735"/>
      <c r="G1721" s="568"/>
      <c r="H1721" s="261"/>
      <c r="I1721" s="251"/>
      <c r="J1721" s="568"/>
      <c r="K1721" s="568"/>
      <c r="L1721" s="568"/>
      <c r="M1721" s="568"/>
      <c r="N1721" s="309"/>
      <c r="O1721" s="257"/>
      <c r="P1721" s="309"/>
      <c r="Q1721" s="257"/>
      <c r="R1721" s="309"/>
      <c r="S1721" s="257"/>
      <c r="T1721" s="257"/>
      <c r="U1721" s="257"/>
      <c r="V1721" s="258"/>
      <c r="W1721" s="257"/>
      <c r="X1721" s="258"/>
      <c r="Y1721" s="257"/>
      <c r="Z1721" s="258"/>
      <c r="AA1721" s="257"/>
      <c r="AB1721" s="258"/>
      <c r="AC1721" s="257"/>
    </row>
    <row r="1722" spans="1:29" ht="15.6" hidden="1" customHeight="1">
      <c r="A1722" s="264"/>
      <c r="B1722" s="265"/>
      <c r="C1722" s="342"/>
      <c r="D1722" s="343" t="s">
        <v>313</v>
      </c>
      <c r="E1722" s="265"/>
      <c r="F1722" s="736"/>
      <c r="G1722" s="568"/>
      <c r="H1722" s="742"/>
      <c r="I1722" s="265"/>
      <c r="J1722" s="568"/>
      <c r="K1722" s="568"/>
      <c r="L1722" s="568"/>
      <c r="M1722" s="568"/>
      <c r="N1722" s="309"/>
      <c r="O1722" s="345"/>
      <c r="P1722" s="309"/>
      <c r="Q1722" s="345"/>
      <c r="R1722" s="309"/>
      <c r="S1722" s="345"/>
      <c r="T1722" s="345"/>
      <c r="U1722" s="345"/>
      <c r="V1722" s="273"/>
      <c r="W1722" s="345"/>
      <c r="X1722" s="273"/>
      <c r="Y1722" s="345"/>
      <c r="Z1722" s="273"/>
      <c r="AA1722" s="345"/>
      <c r="AB1722" s="273"/>
      <c r="AC1722" s="345"/>
    </row>
    <row r="1723" spans="1:29" ht="15.6" hidden="1" customHeight="1">
      <c r="A1723" s="250" t="e">
        <f>A1719+1</f>
        <v>#VALUE!</v>
      </c>
      <c r="B1723" s="251"/>
      <c r="C1723" s="526" t="s">
        <v>2413</v>
      </c>
      <c r="D1723" s="527" t="s">
        <v>308</v>
      </c>
      <c r="E1723" s="251"/>
      <c r="F1723" s="735"/>
      <c r="G1723" s="568"/>
      <c r="H1723" s="260"/>
      <c r="I1723" s="251"/>
      <c r="J1723" s="568"/>
      <c r="K1723" s="568"/>
      <c r="L1723" s="568"/>
      <c r="M1723" s="568"/>
      <c r="N1723" s="309"/>
      <c r="O1723" s="257"/>
      <c r="P1723" s="309"/>
      <c r="Q1723" s="257"/>
      <c r="R1723" s="309"/>
      <c r="S1723" s="257"/>
      <c r="T1723" s="259"/>
      <c r="U1723" s="259"/>
      <c r="V1723" s="316"/>
      <c r="W1723" s="257"/>
      <c r="X1723" s="316"/>
      <c r="Y1723" s="257"/>
      <c r="Z1723" s="316"/>
      <c r="AA1723" s="257"/>
      <c r="AB1723" s="316"/>
      <c r="AC1723" s="257"/>
    </row>
    <row r="1724" spans="1:29" ht="15.6" hidden="1" customHeight="1">
      <c r="A1724" s="250"/>
      <c r="B1724" s="251"/>
      <c r="C1724" s="326"/>
      <c r="D1724" s="527" t="s">
        <v>307</v>
      </c>
      <c r="E1724" s="251"/>
      <c r="F1724" s="735"/>
      <c r="G1724" s="568"/>
      <c r="H1724" s="260"/>
      <c r="I1724" s="251"/>
      <c r="J1724" s="568"/>
      <c r="K1724" s="568"/>
      <c r="L1724" s="568"/>
      <c r="M1724" s="568"/>
      <c r="N1724" s="309"/>
      <c r="O1724" s="257"/>
      <c r="P1724" s="309"/>
      <c r="Q1724" s="257"/>
      <c r="R1724" s="309"/>
      <c r="S1724" s="257"/>
      <c r="T1724" s="259"/>
      <c r="U1724" s="259"/>
      <c r="V1724" s="316"/>
      <c r="W1724" s="257"/>
      <c r="X1724" s="316"/>
      <c r="Y1724" s="257"/>
      <c r="Z1724" s="316"/>
      <c r="AA1724" s="257"/>
      <c r="AB1724" s="316"/>
      <c r="AC1724" s="257"/>
    </row>
    <row r="1725" spans="1:29" ht="15.6" hidden="1" customHeight="1">
      <c r="A1725" s="250" t="s">
        <v>1903</v>
      </c>
      <c r="B1725" s="251"/>
      <c r="C1725" s="540" t="s">
        <v>2414</v>
      </c>
      <c r="D1725" s="335" t="s">
        <v>309</v>
      </c>
      <c r="E1725" s="251" t="s">
        <v>2475</v>
      </c>
      <c r="F1725" s="735"/>
      <c r="G1725" s="568"/>
      <c r="H1725" s="260"/>
      <c r="I1725" s="251" t="s">
        <v>2475</v>
      </c>
      <c r="J1725" s="568"/>
      <c r="K1725" s="568"/>
      <c r="L1725" s="568"/>
      <c r="M1725" s="568"/>
      <c r="N1725" s="309"/>
      <c r="O1725" s="257">
        <f>INT($G1725*N1725*100+0.5)/100</f>
        <v>0</v>
      </c>
      <c r="P1725" s="309"/>
      <c r="Q1725" s="257">
        <f>INT($G1725*P1725*100+0.5)/100</f>
        <v>0</v>
      </c>
      <c r="R1725" s="309"/>
      <c r="S1725" s="257">
        <f>INT($G1725*R1725*100+0.5)/100</f>
        <v>0</v>
      </c>
      <c r="T1725" s="257"/>
      <c r="U1725" s="257"/>
      <c r="V1725" s="258">
        <v>0</v>
      </c>
      <c r="W1725" s="257">
        <f>INT($G1725*V1725*100+0.5)/100</f>
        <v>0</v>
      </c>
      <c r="X1725" s="258">
        <v>0</v>
      </c>
      <c r="Y1725" s="257">
        <f>INT($G1725*X1725*100+0.5)/100</f>
        <v>0</v>
      </c>
      <c r="Z1725" s="258">
        <v>0</v>
      </c>
      <c r="AA1725" s="257">
        <f>INT($G1725*Z1725*100+0.5)/100</f>
        <v>0</v>
      </c>
      <c r="AB1725" s="258">
        <v>0</v>
      </c>
      <c r="AC1725" s="257">
        <f>INT($G1725*AB1725*100+0.5)/100</f>
        <v>0</v>
      </c>
    </row>
    <row r="1726" spans="1:29" ht="15.6" hidden="1" customHeight="1">
      <c r="A1726" s="250" t="s">
        <v>1905</v>
      </c>
      <c r="B1726" s="251"/>
      <c r="C1726" s="540" t="s">
        <v>2415</v>
      </c>
      <c r="D1726" s="335" t="s">
        <v>310</v>
      </c>
      <c r="E1726" s="251" t="s">
        <v>2475</v>
      </c>
      <c r="F1726" s="735"/>
      <c r="G1726" s="568"/>
      <c r="H1726" s="260"/>
      <c r="I1726" s="251" t="s">
        <v>2475</v>
      </c>
      <c r="J1726" s="568"/>
      <c r="K1726" s="568"/>
      <c r="L1726" s="568"/>
      <c r="M1726" s="568"/>
      <c r="N1726" s="309"/>
      <c r="O1726" s="257">
        <f>INT($G1726*N1726*100+0.5)/100</f>
        <v>0</v>
      </c>
      <c r="P1726" s="309"/>
      <c r="Q1726" s="257">
        <f>INT($G1726*P1726*100+0.5)/100</f>
        <v>0</v>
      </c>
      <c r="R1726" s="309"/>
      <c r="S1726" s="257">
        <f>INT($G1726*R1726*100+0.5)/100</f>
        <v>0</v>
      </c>
      <c r="T1726" s="257"/>
      <c r="U1726" s="257"/>
      <c r="V1726" s="258">
        <v>0</v>
      </c>
      <c r="W1726" s="257">
        <f>INT($G1726*V1726*100+0.5)/100</f>
        <v>0</v>
      </c>
      <c r="X1726" s="258">
        <v>0</v>
      </c>
      <c r="Y1726" s="257">
        <f>INT($G1726*X1726*100+0.5)/100</f>
        <v>0</v>
      </c>
      <c r="Z1726" s="258">
        <v>0</v>
      </c>
      <c r="AA1726" s="257">
        <f>INT($G1726*Z1726*100+0.5)/100</f>
        <v>0</v>
      </c>
      <c r="AB1726" s="258">
        <v>0</v>
      </c>
      <c r="AC1726" s="257">
        <f>INT($G1726*AB1726*100+0.5)/100</f>
        <v>0</v>
      </c>
    </row>
    <row r="1727" spans="1:29" ht="15.6" hidden="1" customHeight="1">
      <c r="A1727" s="250" t="s">
        <v>1906</v>
      </c>
      <c r="B1727" s="251"/>
      <c r="C1727" s="540" t="s">
        <v>2416</v>
      </c>
      <c r="D1727" s="335" t="s">
        <v>311</v>
      </c>
      <c r="E1727" s="251" t="s">
        <v>2475</v>
      </c>
      <c r="F1727" s="735"/>
      <c r="G1727" s="568"/>
      <c r="H1727" s="260"/>
      <c r="I1727" s="251" t="s">
        <v>2475</v>
      </c>
      <c r="J1727" s="568"/>
      <c r="K1727" s="568"/>
      <c r="L1727" s="568"/>
      <c r="M1727" s="568"/>
      <c r="N1727" s="309"/>
      <c r="O1727" s="257">
        <f>INT($G1727*N1727*100+0.5)/100</f>
        <v>0</v>
      </c>
      <c r="P1727" s="309"/>
      <c r="Q1727" s="257">
        <f>INT($G1727*P1727*100+0.5)/100</f>
        <v>0</v>
      </c>
      <c r="R1727" s="309"/>
      <c r="S1727" s="257">
        <f>INT($G1727*R1727*100+0.5)/100</f>
        <v>0</v>
      </c>
      <c r="T1727" s="257"/>
      <c r="U1727" s="257"/>
      <c r="V1727" s="258">
        <v>0</v>
      </c>
      <c r="W1727" s="257">
        <f>INT($G1727*V1727*100+0.5)/100</f>
        <v>0</v>
      </c>
      <c r="X1727" s="258">
        <v>0</v>
      </c>
      <c r="Y1727" s="257">
        <f>INT($G1727*X1727*100+0.5)/100</f>
        <v>0</v>
      </c>
      <c r="Z1727" s="258">
        <v>0</v>
      </c>
      <c r="AA1727" s="257">
        <f>INT($G1727*Z1727*100+0.5)/100</f>
        <v>0</v>
      </c>
      <c r="AB1727" s="258">
        <v>0</v>
      </c>
      <c r="AC1727" s="257">
        <f>INT($G1727*AB1727*100+0.5)/100</f>
        <v>0</v>
      </c>
    </row>
    <row r="1728" spans="1:29" ht="15.6" hidden="1" customHeight="1">
      <c r="A1728" s="250" t="s">
        <v>1907</v>
      </c>
      <c r="B1728" s="251"/>
      <c r="C1728" s="540" t="s">
        <v>2417</v>
      </c>
      <c r="D1728" s="335" t="s">
        <v>312</v>
      </c>
      <c r="E1728" s="251" t="s">
        <v>2475</v>
      </c>
      <c r="F1728" s="735"/>
      <c r="G1728" s="568"/>
      <c r="H1728" s="260"/>
      <c r="I1728" s="251" t="s">
        <v>2475</v>
      </c>
      <c r="J1728" s="568"/>
      <c r="K1728" s="568"/>
      <c r="L1728" s="568"/>
      <c r="M1728" s="568"/>
      <c r="N1728" s="309"/>
      <c r="O1728" s="257">
        <f>INT($G1728*N1728*100+0.5)/100</f>
        <v>0</v>
      </c>
      <c r="P1728" s="309"/>
      <c r="Q1728" s="257">
        <f>INT($G1728*P1728*100+0.5)/100</f>
        <v>0</v>
      </c>
      <c r="R1728" s="309"/>
      <c r="S1728" s="257">
        <f>INT($G1728*R1728*100+0.5)/100</f>
        <v>0</v>
      </c>
      <c r="T1728" s="257"/>
      <c r="U1728" s="257"/>
      <c r="V1728" s="258">
        <v>0</v>
      </c>
      <c r="W1728" s="257">
        <f>INT($G1728*V1728*100+0.5)/100</f>
        <v>0</v>
      </c>
      <c r="X1728" s="258">
        <v>0</v>
      </c>
      <c r="Y1728" s="257">
        <f>INT($G1728*X1728*100+0.5)/100</f>
        <v>0</v>
      </c>
      <c r="Z1728" s="258">
        <v>0</v>
      </c>
      <c r="AA1728" s="257">
        <f>INT($G1728*Z1728*100+0.5)/100</f>
        <v>0</v>
      </c>
      <c r="AB1728" s="258">
        <v>0</v>
      </c>
      <c r="AC1728" s="257">
        <f>INT($G1728*AB1728*100+0.5)/100</f>
        <v>0</v>
      </c>
    </row>
    <row r="1729" spans="1:29" ht="15.6" hidden="1" customHeight="1">
      <c r="A1729" s="250"/>
      <c r="B1729" s="251"/>
      <c r="C1729" s="540"/>
      <c r="D1729" s="335"/>
      <c r="E1729" s="251"/>
      <c r="F1729" s="735"/>
      <c r="G1729" s="568"/>
      <c r="H1729" s="260"/>
      <c r="I1729" s="251"/>
      <c r="J1729" s="568"/>
      <c r="K1729" s="568"/>
      <c r="L1729" s="568"/>
      <c r="M1729" s="568"/>
      <c r="N1729" s="309"/>
      <c r="O1729" s="257"/>
      <c r="P1729" s="309"/>
      <c r="Q1729" s="257"/>
      <c r="R1729" s="309"/>
      <c r="S1729" s="257"/>
      <c r="T1729" s="259"/>
      <c r="U1729" s="259"/>
      <c r="V1729" s="316"/>
      <c r="W1729" s="257"/>
      <c r="X1729" s="316"/>
      <c r="Y1729" s="257"/>
      <c r="Z1729" s="316"/>
      <c r="AA1729" s="257"/>
      <c r="AB1729" s="316"/>
      <c r="AC1729" s="257"/>
    </row>
    <row r="1730" spans="1:29" ht="15.6" hidden="1" customHeight="1">
      <c r="A1730" s="250" t="e">
        <f>A1723+1</f>
        <v>#VALUE!</v>
      </c>
      <c r="B1730" s="251">
        <v>64</v>
      </c>
      <c r="C1730" s="540" t="s">
        <v>1349</v>
      </c>
      <c r="D1730" s="527" t="s">
        <v>315</v>
      </c>
      <c r="E1730" s="251" t="s">
        <v>1901</v>
      </c>
      <c r="F1730" s="735"/>
      <c r="G1730" s="568"/>
      <c r="H1730" s="260"/>
      <c r="I1730" s="251" t="s">
        <v>1901</v>
      </c>
      <c r="J1730" s="568"/>
      <c r="K1730" s="568"/>
      <c r="L1730" s="568"/>
      <c r="M1730" s="568"/>
      <c r="N1730" s="309"/>
      <c r="O1730" s="257"/>
      <c r="P1730" s="309"/>
      <c r="Q1730" s="257"/>
      <c r="R1730" s="309"/>
      <c r="S1730" s="257"/>
      <c r="T1730" s="257"/>
      <c r="U1730" s="257"/>
      <c r="V1730" s="258"/>
      <c r="W1730" s="257"/>
      <c r="X1730" s="258"/>
      <c r="Y1730" s="257"/>
      <c r="Z1730" s="258"/>
      <c r="AA1730" s="257"/>
      <c r="AB1730" s="258"/>
      <c r="AC1730" s="257"/>
    </row>
    <row r="1731" spans="1:29" ht="15.6" hidden="1" customHeight="1">
      <c r="A1731" s="250"/>
      <c r="B1731" s="251"/>
      <c r="C1731" s="540"/>
      <c r="D1731" s="527" t="s">
        <v>314</v>
      </c>
      <c r="E1731" s="251" t="s">
        <v>1902</v>
      </c>
      <c r="F1731" s="735"/>
      <c r="G1731" s="568"/>
      <c r="H1731" s="260"/>
      <c r="I1731" s="251" t="s">
        <v>1902</v>
      </c>
      <c r="J1731" s="568"/>
      <c r="K1731" s="568"/>
      <c r="L1731" s="568"/>
      <c r="M1731" s="568"/>
      <c r="N1731" s="309"/>
      <c r="O1731" s="257"/>
      <c r="P1731" s="309"/>
      <c r="Q1731" s="257"/>
      <c r="R1731" s="309"/>
      <c r="S1731" s="257"/>
      <c r="T1731" s="257"/>
      <c r="U1731" s="257"/>
      <c r="V1731" s="258"/>
      <c r="W1731" s="257"/>
      <c r="X1731" s="258"/>
      <c r="Y1731" s="257"/>
      <c r="Z1731" s="258"/>
      <c r="AA1731" s="257"/>
      <c r="AB1731" s="258"/>
      <c r="AC1731" s="257"/>
    </row>
    <row r="1732" spans="1:29" ht="15.6" hidden="1" customHeight="1">
      <c r="A1732" s="250" t="s">
        <v>1903</v>
      </c>
      <c r="B1732" s="251"/>
      <c r="C1732" s="540" t="s">
        <v>1351</v>
      </c>
      <c r="D1732" s="335" t="s">
        <v>2151</v>
      </c>
      <c r="E1732" s="251"/>
      <c r="F1732" s="735"/>
      <c r="G1732" s="568"/>
      <c r="H1732" s="260"/>
      <c r="I1732" s="251"/>
      <c r="J1732" s="568"/>
      <c r="K1732" s="568"/>
      <c r="L1732" s="568"/>
      <c r="M1732" s="568"/>
      <c r="N1732" s="309"/>
      <c r="O1732" s="257">
        <f t="shared" ref="O1732:O1738" si="49">INT($G1732*N1732*100+0.5)/100</f>
        <v>0</v>
      </c>
      <c r="P1732" s="309"/>
      <c r="Q1732" s="257">
        <f t="shared" ref="Q1732:Q1738" si="50">INT($G1732*P1732*100+0.5)/100</f>
        <v>0</v>
      </c>
      <c r="R1732" s="309"/>
      <c r="S1732" s="257">
        <f t="shared" ref="S1732:S1738" si="51">INT($G1732*R1732*100+0.5)/100</f>
        <v>0</v>
      </c>
      <c r="T1732" s="260"/>
      <c r="U1732" s="260"/>
      <c r="V1732" s="256">
        <v>0</v>
      </c>
      <c r="W1732" s="257">
        <f t="shared" ref="W1732:W1738" si="52">INT($G1732*V1732*100+0.5)/100</f>
        <v>0</v>
      </c>
      <c r="X1732" s="256">
        <v>0</v>
      </c>
      <c r="Y1732" s="257">
        <f t="shared" ref="Y1732:Y1738" si="53">INT($G1732*X1732*100+0.5)/100</f>
        <v>0</v>
      </c>
      <c r="Z1732" s="256">
        <v>0</v>
      </c>
      <c r="AA1732" s="257">
        <f t="shared" ref="AA1732:AA1738" si="54">INT($G1732*Z1732*100+0.5)/100</f>
        <v>0</v>
      </c>
      <c r="AB1732" s="256">
        <v>0</v>
      </c>
      <c r="AC1732" s="257">
        <f t="shared" ref="AC1732:AC1738" si="55">INT($G1732*AB1732*100+0.5)/100</f>
        <v>0</v>
      </c>
    </row>
    <row r="1733" spans="1:29" ht="15.6" hidden="1" customHeight="1">
      <c r="A1733" s="250" t="s">
        <v>316</v>
      </c>
      <c r="B1733" s="251"/>
      <c r="C1733" s="540" t="s">
        <v>1352</v>
      </c>
      <c r="D1733" s="335" t="s">
        <v>317</v>
      </c>
      <c r="E1733" s="251"/>
      <c r="F1733" s="735"/>
      <c r="G1733" s="568"/>
      <c r="H1733" s="260"/>
      <c r="I1733" s="251"/>
      <c r="J1733" s="568"/>
      <c r="K1733" s="568"/>
      <c r="L1733" s="568"/>
      <c r="M1733" s="568"/>
      <c r="N1733" s="309"/>
      <c r="O1733" s="257">
        <f t="shared" si="49"/>
        <v>0</v>
      </c>
      <c r="P1733" s="309"/>
      <c r="Q1733" s="257">
        <f t="shared" si="50"/>
        <v>0</v>
      </c>
      <c r="R1733" s="309"/>
      <c r="S1733" s="257">
        <f t="shared" si="51"/>
        <v>0</v>
      </c>
      <c r="T1733" s="260"/>
      <c r="U1733" s="260"/>
      <c r="V1733" s="256">
        <v>0</v>
      </c>
      <c r="W1733" s="257">
        <f t="shared" si="52"/>
        <v>0</v>
      </c>
      <c r="X1733" s="256">
        <v>0</v>
      </c>
      <c r="Y1733" s="257">
        <f t="shared" si="53"/>
        <v>0</v>
      </c>
      <c r="Z1733" s="256">
        <v>0</v>
      </c>
      <c r="AA1733" s="257">
        <f t="shared" si="54"/>
        <v>0</v>
      </c>
      <c r="AB1733" s="256">
        <v>0</v>
      </c>
      <c r="AC1733" s="257">
        <f t="shared" si="55"/>
        <v>0</v>
      </c>
    </row>
    <row r="1734" spans="1:29" ht="15.6" hidden="1" customHeight="1">
      <c r="A1734" s="250" t="s">
        <v>1905</v>
      </c>
      <c r="B1734" s="251" t="s">
        <v>1905</v>
      </c>
      <c r="C1734" s="540" t="s">
        <v>1353</v>
      </c>
      <c r="D1734" s="335" t="s">
        <v>293</v>
      </c>
      <c r="E1734" s="251"/>
      <c r="F1734" s="735"/>
      <c r="G1734" s="568"/>
      <c r="H1734" s="260"/>
      <c r="I1734" s="251"/>
      <c r="J1734" s="568"/>
      <c r="K1734" s="568"/>
      <c r="L1734" s="568"/>
      <c r="M1734" s="568"/>
      <c r="N1734" s="309"/>
      <c r="O1734" s="257">
        <f t="shared" si="49"/>
        <v>0</v>
      </c>
      <c r="P1734" s="309"/>
      <c r="Q1734" s="257">
        <f t="shared" si="50"/>
        <v>0</v>
      </c>
      <c r="R1734" s="309"/>
      <c r="S1734" s="257">
        <f t="shared" si="51"/>
        <v>0</v>
      </c>
      <c r="T1734" s="260"/>
      <c r="U1734" s="260"/>
      <c r="V1734" s="256">
        <v>0</v>
      </c>
      <c r="W1734" s="257">
        <f t="shared" si="52"/>
        <v>0</v>
      </c>
      <c r="X1734" s="256">
        <v>0</v>
      </c>
      <c r="Y1734" s="257">
        <f t="shared" si="53"/>
        <v>0</v>
      </c>
      <c r="Z1734" s="256">
        <v>0</v>
      </c>
      <c r="AA1734" s="257">
        <f t="shared" si="54"/>
        <v>0</v>
      </c>
      <c r="AB1734" s="256">
        <v>0</v>
      </c>
      <c r="AC1734" s="257">
        <f t="shared" si="55"/>
        <v>0</v>
      </c>
    </row>
    <row r="1735" spans="1:29" ht="15.6" hidden="1" customHeight="1">
      <c r="A1735" s="250" t="s">
        <v>1906</v>
      </c>
      <c r="B1735" s="251" t="s">
        <v>1906</v>
      </c>
      <c r="C1735" s="540" t="s">
        <v>1354</v>
      </c>
      <c r="D1735" s="335" t="s">
        <v>294</v>
      </c>
      <c r="E1735" s="251"/>
      <c r="F1735" s="735"/>
      <c r="G1735" s="568"/>
      <c r="H1735" s="260"/>
      <c r="I1735" s="251"/>
      <c r="J1735" s="568"/>
      <c r="K1735" s="568"/>
      <c r="L1735" s="568"/>
      <c r="M1735" s="568"/>
      <c r="N1735" s="309"/>
      <c r="O1735" s="257">
        <f t="shared" si="49"/>
        <v>0</v>
      </c>
      <c r="P1735" s="309"/>
      <c r="Q1735" s="257">
        <f t="shared" si="50"/>
        <v>0</v>
      </c>
      <c r="R1735" s="309"/>
      <c r="S1735" s="257">
        <f t="shared" si="51"/>
        <v>0</v>
      </c>
      <c r="T1735" s="260"/>
      <c r="U1735" s="260"/>
      <c r="V1735" s="256">
        <v>0</v>
      </c>
      <c r="W1735" s="257">
        <f t="shared" si="52"/>
        <v>0</v>
      </c>
      <c r="X1735" s="256">
        <v>0</v>
      </c>
      <c r="Y1735" s="257">
        <f t="shared" si="53"/>
        <v>0</v>
      </c>
      <c r="Z1735" s="256">
        <v>0</v>
      </c>
      <c r="AA1735" s="257">
        <f t="shared" si="54"/>
        <v>0</v>
      </c>
      <c r="AB1735" s="256">
        <v>0</v>
      </c>
      <c r="AC1735" s="257">
        <f t="shared" si="55"/>
        <v>0</v>
      </c>
    </row>
    <row r="1736" spans="1:29" ht="15.6" hidden="1" customHeight="1">
      <c r="A1736" s="250" t="s">
        <v>1907</v>
      </c>
      <c r="B1736" s="251" t="s">
        <v>1907</v>
      </c>
      <c r="C1736" s="540" t="s">
        <v>1355</v>
      </c>
      <c r="D1736" s="335" t="s">
        <v>305</v>
      </c>
      <c r="E1736" s="251"/>
      <c r="F1736" s="735"/>
      <c r="G1736" s="568"/>
      <c r="H1736" s="260"/>
      <c r="I1736" s="251"/>
      <c r="J1736" s="568"/>
      <c r="K1736" s="568"/>
      <c r="L1736" s="568"/>
      <c r="M1736" s="568"/>
      <c r="N1736" s="309"/>
      <c r="O1736" s="257">
        <f t="shared" si="49"/>
        <v>0</v>
      </c>
      <c r="P1736" s="309"/>
      <c r="Q1736" s="257">
        <f t="shared" si="50"/>
        <v>0</v>
      </c>
      <c r="R1736" s="309"/>
      <c r="S1736" s="257">
        <f t="shared" si="51"/>
        <v>0</v>
      </c>
      <c r="T1736" s="260"/>
      <c r="U1736" s="260"/>
      <c r="V1736" s="256">
        <v>0</v>
      </c>
      <c r="W1736" s="257">
        <f t="shared" si="52"/>
        <v>0</v>
      </c>
      <c r="X1736" s="256">
        <v>0</v>
      </c>
      <c r="Y1736" s="257">
        <f t="shared" si="53"/>
        <v>0</v>
      </c>
      <c r="Z1736" s="256">
        <v>0</v>
      </c>
      <c r="AA1736" s="257">
        <f t="shared" si="54"/>
        <v>0</v>
      </c>
      <c r="AB1736" s="256">
        <v>0</v>
      </c>
      <c r="AC1736" s="257">
        <f t="shared" si="55"/>
        <v>0</v>
      </c>
    </row>
    <row r="1737" spans="1:29" ht="15.6" hidden="1" customHeight="1">
      <c r="A1737" s="250" t="s">
        <v>542</v>
      </c>
      <c r="B1737" s="251"/>
      <c r="C1737" s="540" t="s">
        <v>1356</v>
      </c>
      <c r="D1737" s="335" t="s">
        <v>306</v>
      </c>
      <c r="E1737" s="251"/>
      <c r="F1737" s="735"/>
      <c r="G1737" s="568"/>
      <c r="H1737" s="260"/>
      <c r="I1737" s="251"/>
      <c r="J1737" s="568"/>
      <c r="K1737" s="568"/>
      <c r="L1737" s="568"/>
      <c r="M1737" s="568"/>
      <c r="N1737" s="309"/>
      <c r="O1737" s="257">
        <f t="shared" si="49"/>
        <v>0</v>
      </c>
      <c r="P1737" s="309"/>
      <c r="Q1737" s="257">
        <f t="shared" si="50"/>
        <v>0</v>
      </c>
      <c r="R1737" s="309"/>
      <c r="S1737" s="257">
        <f t="shared" si="51"/>
        <v>0</v>
      </c>
      <c r="T1737" s="260"/>
      <c r="U1737" s="260"/>
      <c r="V1737" s="256">
        <v>0</v>
      </c>
      <c r="W1737" s="257">
        <f t="shared" si="52"/>
        <v>0</v>
      </c>
      <c r="X1737" s="256">
        <v>0</v>
      </c>
      <c r="Y1737" s="257">
        <f t="shared" si="53"/>
        <v>0</v>
      </c>
      <c r="Z1737" s="256">
        <v>0</v>
      </c>
      <c r="AA1737" s="257">
        <f t="shared" si="54"/>
        <v>0</v>
      </c>
      <c r="AB1737" s="256">
        <v>0</v>
      </c>
      <c r="AC1737" s="257">
        <f t="shared" si="55"/>
        <v>0</v>
      </c>
    </row>
    <row r="1738" spans="1:29" ht="15.6" hidden="1" customHeight="1">
      <c r="A1738" s="250" t="s">
        <v>543</v>
      </c>
      <c r="B1738" s="251"/>
      <c r="C1738" s="540" t="s">
        <v>1357</v>
      </c>
      <c r="D1738" s="335" t="s">
        <v>1393</v>
      </c>
      <c r="E1738" s="251"/>
      <c r="F1738" s="735"/>
      <c r="G1738" s="568"/>
      <c r="H1738" s="260"/>
      <c r="I1738" s="251"/>
      <c r="J1738" s="568"/>
      <c r="K1738" s="568"/>
      <c r="L1738" s="568"/>
      <c r="M1738" s="568"/>
      <c r="N1738" s="309"/>
      <c r="O1738" s="257">
        <f t="shared" si="49"/>
        <v>0</v>
      </c>
      <c r="P1738" s="309"/>
      <c r="Q1738" s="257">
        <f t="shared" si="50"/>
        <v>0</v>
      </c>
      <c r="R1738" s="309"/>
      <c r="S1738" s="257">
        <f t="shared" si="51"/>
        <v>0</v>
      </c>
      <c r="T1738" s="260"/>
      <c r="U1738" s="260"/>
      <c r="V1738" s="256">
        <v>0</v>
      </c>
      <c r="W1738" s="257">
        <f t="shared" si="52"/>
        <v>0</v>
      </c>
      <c r="X1738" s="256">
        <v>0</v>
      </c>
      <c r="Y1738" s="257">
        <f t="shared" si="53"/>
        <v>0</v>
      </c>
      <c r="Z1738" s="256">
        <v>0</v>
      </c>
      <c r="AA1738" s="257">
        <f t="shared" si="54"/>
        <v>0</v>
      </c>
      <c r="AB1738" s="256">
        <v>0</v>
      </c>
      <c r="AC1738" s="257">
        <f t="shared" si="55"/>
        <v>0</v>
      </c>
    </row>
    <row r="1739" spans="1:29" ht="15.6" hidden="1" customHeight="1">
      <c r="A1739" s="250"/>
      <c r="B1739" s="251"/>
      <c r="C1739" s="540"/>
      <c r="D1739" s="335"/>
      <c r="E1739" s="251"/>
      <c r="F1739" s="735"/>
      <c r="G1739" s="568"/>
      <c r="H1739" s="260"/>
      <c r="I1739" s="251"/>
      <c r="J1739" s="568"/>
      <c r="K1739" s="568"/>
      <c r="L1739" s="568"/>
      <c r="M1739" s="568"/>
      <c r="N1739" s="309"/>
      <c r="O1739" s="257"/>
      <c r="P1739" s="309"/>
      <c r="Q1739" s="257"/>
      <c r="R1739" s="309"/>
      <c r="S1739" s="257"/>
      <c r="T1739" s="257"/>
      <c r="U1739" s="257"/>
      <c r="V1739" s="258"/>
      <c r="W1739" s="257"/>
      <c r="X1739" s="258"/>
      <c r="Y1739" s="257"/>
      <c r="Z1739" s="258"/>
      <c r="AA1739" s="257"/>
      <c r="AB1739" s="258"/>
      <c r="AC1739" s="257"/>
    </row>
    <row r="1740" spans="1:29" ht="15.6" hidden="1" customHeight="1">
      <c r="A1740" s="250" t="e">
        <f>A1730+1</f>
        <v>#VALUE!</v>
      </c>
      <c r="B1740" s="251">
        <v>81</v>
      </c>
      <c r="C1740" s="526" t="s">
        <v>1350</v>
      </c>
      <c r="D1740" s="527" t="s">
        <v>449</v>
      </c>
      <c r="E1740" s="251" t="s">
        <v>1439</v>
      </c>
      <c r="F1740" s="735"/>
      <c r="G1740" s="568"/>
      <c r="H1740" s="261"/>
      <c r="I1740" s="251" t="s">
        <v>1439</v>
      </c>
      <c r="J1740" s="568"/>
      <c r="K1740" s="568"/>
      <c r="L1740" s="568"/>
      <c r="M1740" s="568"/>
      <c r="N1740" s="309"/>
      <c r="O1740" s="257">
        <f>INT($G1740*N1740*100+0.5)/100</f>
        <v>0</v>
      </c>
      <c r="P1740" s="309"/>
      <c r="Q1740" s="257">
        <f>INT($G1740*P1740*100+0.5)/100</f>
        <v>0</v>
      </c>
      <c r="R1740" s="309"/>
      <c r="S1740" s="257">
        <f>INT($G1740*R1740*100+0.5)/100</f>
        <v>0</v>
      </c>
      <c r="T1740" s="257"/>
      <c r="U1740" s="257"/>
      <c r="V1740" s="258">
        <v>0</v>
      </c>
      <c r="W1740" s="257">
        <f>INT($G1740*V1740*100+0.5)/100</f>
        <v>0</v>
      </c>
      <c r="X1740" s="258">
        <v>0</v>
      </c>
      <c r="Y1740" s="257">
        <f>INT($G1740*X1740*100+0.5)/100</f>
        <v>0</v>
      </c>
      <c r="Z1740" s="258">
        <v>0</v>
      </c>
      <c r="AA1740" s="257">
        <f>INT($G1740*Z1740*100+0.5)/100</f>
        <v>0</v>
      </c>
      <c r="AB1740" s="258">
        <v>0</v>
      </c>
      <c r="AC1740" s="257">
        <f>INT($G1740*AB1740*100+0.5)/100</f>
        <v>0</v>
      </c>
    </row>
    <row r="1741" spans="1:29" ht="15.6" hidden="1" customHeight="1">
      <c r="A1741" s="250"/>
      <c r="B1741" s="251"/>
      <c r="C1741" s="540"/>
      <c r="D1741" s="527" t="s">
        <v>448</v>
      </c>
      <c r="E1741" s="251" t="s">
        <v>1439</v>
      </c>
      <c r="F1741" s="735"/>
      <c r="G1741" s="568"/>
      <c r="H1741" s="261"/>
      <c r="I1741" s="251" t="s">
        <v>1439</v>
      </c>
      <c r="J1741" s="568"/>
      <c r="K1741" s="568"/>
      <c r="L1741" s="568"/>
      <c r="M1741" s="568"/>
      <c r="N1741" s="309"/>
      <c r="O1741" s="257"/>
      <c r="P1741" s="309"/>
      <c r="Q1741" s="257"/>
      <c r="R1741" s="309"/>
      <c r="S1741" s="257"/>
      <c r="T1741" s="257"/>
      <c r="U1741" s="257"/>
      <c r="V1741" s="258"/>
      <c r="W1741" s="257"/>
      <c r="X1741" s="258"/>
      <c r="Y1741" s="257"/>
      <c r="Z1741" s="258"/>
      <c r="AA1741" s="257"/>
      <c r="AB1741" s="258"/>
      <c r="AC1741" s="257"/>
    </row>
    <row r="1742" spans="1:29" ht="15.6" hidden="1" customHeight="1">
      <c r="A1742" s="250"/>
      <c r="B1742" s="251"/>
      <c r="C1742" s="540"/>
      <c r="D1742" s="335"/>
      <c r="E1742" s="251"/>
      <c r="F1742" s="735"/>
      <c r="G1742" s="568"/>
      <c r="H1742" s="261"/>
      <c r="I1742" s="251"/>
      <c r="J1742" s="568"/>
      <c r="K1742" s="568"/>
      <c r="L1742" s="568"/>
      <c r="M1742" s="568"/>
      <c r="N1742" s="309"/>
      <c r="O1742" s="257"/>
      <c r="P1742" s="309"/>
      <c r="Q1742" s="257"/>
      <c r="R1742" s="309"/>
      <c r="S1742" s="257"/>
      <c r="T1742" s="257"/>
      <c r="U1742" s="257"/>
      <c r="V1742" s="258"/>
      <c r="W1742" s="257"/>
      <c r="X1742" s="258"/>
      <c r="Y1742" s="257"/>
      <c r="Z1742" s="258"/>
      <c r="AA1742" s="257"/>
      <c r="AB1742" s="258"/>
      <c r="AC1742" s="257"/>
    </row>
    <row r="1743" spans="1:29" ht="15.6" hidden="1" customHeight="1">
      <c r="A1743" s="250" t="e">
        <f>A1740+1</f>
        <v>#VALUE!</v>
      </c>
      <c r="B1743" s="251">
        <v>83</v>
      </c>
      <c r="C1743" s="526" t="s">
        <v>1358</v>
      </c>
      <c r="D1743" s="527" t="s">
        <v>1326</v>
      </c>
      <c r="E1743" s="251" t="s">
        <v>2879</v>
      </c>
      <c r="F1743" s="735"/>
      <c r="G1743" s="568"/>
      <c r="H1743" s="261"/>
      <c r="I1743" s="251" t="s">
        <v>2879</v>
      </c>
      <c r="J1743" s="568"/>
      <c r="K1743" s="568"/>
      <c r="L1743" s="568"/>
      <c r="M1743" s="568"/>
      <c r="N1743" s="309"/>
      <c r="O1743" s="257">
        <f>INT($G1743*N1743*100+0.5)/100</f>
        <v>0</v>
      </c>
      <c r="P1743" s="309"/>
      <c r="Q1743" s="257">
        <f>INT($G1743*P1743*100+0.5)/100</f>
        <v>0</v>
      </c>
      <c r="R1743" s="309"/>
      <c r="S1743" s="257">
        <f>INT($G1743*R1743*100+0.5)/100</f>
        <v>0</v>
      </c>
      <c r="T1743" s="257"/>
      <c r="U1743" s="257"/>
      <c r="V1743" s="258">
        <v>0</v>
      </c>
      <c r="W1743" s="257">
        <f>INT($G1743*V1743*100+0.5)/100</f>
        <v>0</v>
      </c>
      <c r="X1743" s="258">
        <v>0</v>
      </c>
      <c r="Y1743" s="257">
        <f>INT($G1743*X1743*100+0.5)/100</f>
        <v>0</v>
      </c>
      <c r="Z1743" s="258">
        <v>0</v>
      </c>
      <c r="AA1743" s="257">
        <f>INT($G1743*Z1743*100+0.5)/100</f>
        <v>0</v>
      </c>
      <c r="AB1743" s="258">
        <v>0</v>
      </c>
      <c r="AC1743" s="257">
        <f>INT($G1743*AB1743*100+0.5)/100</f>
        <v>0</v>
      </c>
    </row>
    <row r="1744" spans="1:29" ht="26.45" hidden="1" customHeight="1">
      <c r="A1744" s="250"/>
      <c r="B1744" s="251"/>
      <c r="C1744" s="540"/>
      <c r="D1744" s="558" t="s">
        <v>1782</v>
      </c>
      <c r="E1744" s="251" t="s">
        <v>545</v>
      </c>
      <c r="F1744" s="735"/>
      <c r="G1744" s="568"/>
      <c r="H1744" s="261"/>
      <c r="I1744" s="251" t="s">
        <v>545</v>
      </c>
      <c r="J1744" s="568"/>
      <c r="K1744" s="568"/>
      <c r="L1744" s="568"/>
      <c r="M1744" s="568"/>
      <c r="N1744" s="309"/>
      <c r="O1744" s="257"/>
      <c r="P1744" s="309"/>
      <c r="Q1744" s="257"/>
      <c r="R1744" s="309"/>
      <c r="S1744" s="257"/>
      <c r="T1744" s="259"/>
      <c r="U1744" s="259"/>
      <c r="V1744" s="316"/>
      <c r="W1744" s="257"/>
      <c r="X1744" s="316"/>
      <c r="Y1744" s="257"/>
      <c r="Z1744" s="316"/>
      <c r="AA1744" s="257"/>
      <c r="AB1744" s="316"/>
      <c r="AC1744" s="257"/>
    </row>
    <row r="1745" spans="1:29" ht="15.6" hidden="1" customHeight="1">
      <c r="A1745" s="250"/>
      <c r="B1745" s="251"/>
      <c r="C1745" s="540"/>
      <c r="D1745" s="335"/>
      <c r="E1745" s="251"/>
      <c r="F1745" s="735"/>
      <c r="G1745" s="568"/>
      <c r="H1745" s="261"/>
      <c r="I1745" s="251"/>
      <c r="J1745" s="568"/>
      <c r="K1745" s="568"/>
      <c r="L1745" s="568"/>
      <c r="M1745" s="568"/>
      <c r="N1745" s="309"/>
      <c r="O1745" s="257"/>
      <c r="P1745" s="309"/>
      <c r="Q1745" s="257"/>
      <c r="R1745" s="309"/>
      <c r="S1745" s="257"/>
      <c r="T1745" s="259"/>
      <c r="U1745" s="259"/>
      <c r="V1745" s="316"/>
      <c r="W1745" s="257"/>
      <c r="X1745" s="316"/>
      <c r="Y1745" s="257"/>
      <c r="Z1745" s="316"/>
      <c r="AA1745" s="257"/>
      <c r="AB1745" s="316"/>
      <c r="AC1745" s="257"/>
    </row>
    <row r="1746" spans="1:29" ht="15.6" hidden="1" customHeight="1">
      <c r="A1746" s="250" t="e">
        <f>A1743+1</f>
        <v>#VALUE!</v>
      </c>
      <c r="B1746" s="251">
        <v>83</v>
      </c>
      <c r="C1746" s="526" t="s">
        <v>1359</v>
      </c>
      <c r="D1746" s="276" t="s">
        <v>1887</v>
      </c>
      <c r="E1746" s="251" t="s">
        <v>2879</v>
      </c>
      <c r="F1746" s="735"/>
      <c r="G1746" s="568"/>
      <c r="H1746" s="260"/>
      <c r="I1746" s="251" t="s">
        <v>2879</v>
      </c>
      <c r="J1746" s="568"/>
      <c r="K1746" s="568"/>
      <c r="L1746" s="568"/>
      <c r="M1746" s="568"/>
      <c r="N1746" s="309"/>
      <c r="O1746" s="257">
        <f>INT($G1746*N1746*100+0.5)/100</f>
        <v>0</v>
      </c>
      <c r="P1746" s="309"/>
      <c r="Q1746" s="257">
        <f>INT($G1746*P1746*100+0.5)/100</f>
        <v>0</v>
      </c>
      <c r="R1746" s="309"/>
      <c r="S1746" s="257">
        <f>INT($G1746*R1746*100+0.5)/100</f>
        <v>0</v>
      </c>
      <c r="T1746" s="259"/>
      <c r="U1746" s="259"/>
      <c r="V1746" s="316">
        <v>0</v>
      </c>
      <c r="W1746" s="257">
        <f>INT($G1746*V1746*100+0.5)/100</f>
        <v>0</v>
      </c>
      <c r="X1746" s="316">
        <v>0</v>
      </c>
      <c r="Y1746" s="257">
        <f>INT($G1746*X1746*100+0.5)/100</f>
        <v>0</v>
      </c>
      <c r="Z1746" s="316">
        <v>0</v>
      </c>
      <c r="AA1746" s="257">
        <f>INT($G1746*Z1746*100+0.5)/100</f>
        <v>0</v>
      </c>
      <c r="AB1746" s="316">
        <v>0</v>
      </c>
      <c r="AC1746" s="257">
        <f>INT($G1746*AB1746*100+0.5)/100</f>
        <v>0</v>
      </c>
    </row>
    <row r="1747" spans="1:29" ht="15.6" hidden="1" customHeight="1">
      <c r="A1747" s="250"/>
      <c r="B1747" s="251"/>
      <c r="C1747" s="540"/>
      <c r="D1747" s="558" t="s">
        <v>1780</v>
      </c>
      <c r="E1747" s="251" t="s">
        <v>545</v>
      </c>
      <c r="F1747" s="735"/>
      <c r="G1747" s="568"/>
      <c r="H1747" s="260"/>
      <c r="I1747" s="251" t="s">
        <v>545</v>
      </c>
      <c r="J1747" s="568"/>
      <c r="K1747" s="568"/>
      <c r="L1747" s="568"/>
      <c r="M1747" s="568"/>
      <c r="N1747" s="309"/>
      <c r="O1747" s="257"/>
      <c r="P1747" s="309"/>
      <c r="Q1747" s="257"/>
      <c r="R1747" s="309"/>
      <c r="S1747" s="257"/>
      <c r="T1747" s="259"/>
      <c r="U1747" s="259"/>
      <c r="V1747" s="316"/>
      <c r="W1747" s="257"/>
      <c r="X1747" s="316"/>
      <c r="Y1747" s="257"/>
      <c r="Z1747" s="316"/>
      <c r="AA1747" s="257"/>
      <c r="AB1747" s="316"/>
      <c r="AC1747" s="257"/>
    </row>
    <row r="1748" spans="1:29" ht="15.6" hidden="1" customHeight="1">
      <c r="A1748" s="250"/>
      <c r="B1748" s="251"/>
      <c r="C1748" s="540"/>
      <c r="D1748" s="558"/>
      <c r="E1748" s="251"/>
      <c r="F1748" s="735"/>
      <c r="G1748" s="568"/>
      <c r="H1748" s="260"/>
      <c r="I1748" s="251"/>
      <c r="J1748" s="568"/>
      <c r="K1748" s="568"/>
      <c r="L1748" s="568"/>
      <c r="M1748" s="568"/>
      <c r="N1748" s="309"/>
      <c r="O1748" s="257"/>
      <c r="P1748" s="309"/>
      <c r="Q1748" s="257"/>
      <c r="R1748" s="309"/>
      <c r="S1748" s="257"/>
      <c r="T1748" s="259"/>
      <c r="U1748" s="259"/>
      <c r="V1748" s="316"/>
      <c r="W1748" s="257"/>
      <c r="X1748" s="316"/>
      <c r="Y1748" s="257"/>
      <c r="Z1748" s="316"/>
      <c r="AA1748" s="257"/>
      <c r="AB1748" s="316"/>
      <c r="AC1748" s="257"/>
    </row>
    <row r="1749" spans="1:29" ht="15.6" hidden="1" customHeight="1">
      <c r="A1749" s="250" t="e">
        <f>A1746+1</f>
        <v>#VALUE!</v>
      </c>
      <c r="B1749" s="251">
        <v>83</v>
      </c>
      <c r="C1749" s="526" t="s">
        <v>1360</v>
      </c>
      <c r="D1749" s="276" t="s">
        <v>1888</v>
      </c>
      <c r="E1749" s="251" t="s">
        <v>2879</v>
      </c>
      <c r="F1749" s="735"/>
      <c r="G1749" s="568"/>
      <c r="H1749" s="260"/>
      <c r="I1749" s="251" t="s">
        <v>2879</v>
      </c>
      <c r="J1749" s="568"/>
      <c r="K1749" s="568"/>
      <c r="L1749" s="568"/>
      <c r="M1749" s="568"/>
      <c r="N1749" s="309"/>
      <c r="O1749" s="257">
        <f>INT($G1749*N1749*100+0.5)/100</f>
        <v>0</v>
      </c>
      <c r="P1749" s="309"/>
      <c r="Q1749" s="257">
        <f>INT($G1749*P1749*100+0.5)/100</f>
        <v>0</v>
      </c>
      <c r="R1749" s="309"/>
      <c r="S1749" s="257">
        <f>INT($G1749*R1749*100+0.5)/100</f>
        <v>0</v>
      </c>
      <c r="T1749" s="259"/>
      <c r="U1749" s="259"/>
      <c r="V1749" s="316">
        <v>0</v>
      </c>
      <c r="W1749" s="257">
        <f>INT($G1749*V1749*100+0.5)/100</f>
        <v>0</v>
      </c>
      <c r="X1749" s="316">
        <v>0</v>
      </c>
      <c r="Y1749" s="257">
        <f>INT($G1749*X1749*100+0.5)/100</f>
        <v>0</v>
      </c>
      <c r="Z1749" s="316">
        <v>0</v>
      </c>
      <c r="AA1749" s="257">
        <f>INT($G1749*Z1749*100+0.5)/100</f>
        <v>0</v>
      </c>
      <c r="AB1749" s="316">
        <v>0</v>
      </c>
      <c r="AC1749" s="257">
        <f>INT($G1749*AB1749*100+0.5)/100</f>
        <v>0</v>
      </c>
    </row>
    <row r="1750" spans="1:29" ht="15.6" hidden="1" customHeight="1">
      <c r="A1750" s="250"/>
      <c r="B1750" s="251"/>
      <c r="C1750" s="540"/>
      <c r="D1750" s="558" t="s">
        <v>1781</v>
      </c>
      <c r="E1750" s="251" t="s">
        <v>545</v>
      </c>
      <c r="F1750" s="735"/>
      <c r="G1750" s="568"/>
      <c r="H1750" s="260"/>
      <c r="I1750" s="251" t="s">
        <v>545</v>
      </c>
      <c r="J1750" s="568"/>
      <c r="K1750" s="568"/>
      <c r="L1750" s="568"/>
      <c r="M1750" s="568"/>
      <c r="N1750" s="309"/>
      <c r="O1750" s="257"/>
      <c r="P1750" s="309"/>
      <c r="Q1750" s="257"/>
      <c r="R1750" s="309"/>
      <c r="S1750" s="257"/>
      <c r="T1750" s="259"/>
      <c r="U1750" s="259"/>
      <c r="V1750" s="316"/>
      <c r="W1750" s="257"/>
      <c r="X1750" s="316"/>
      <c r="Y1750" s="257"/>
      <c r="Z1750" s="316"/>
      <c r="AA1750" s="257"/>
      <c r="AB1750" s="316"/>
      <c r="AC1750" s="257"/>
    </row>
    <row r="1751" spans="1:29" ht="15.6" hidden="1" customHeight="1">
      <c r="A1751" s="250"/>
      <c r="B1751" s="251"/>
      <c r="C1751" s="540"/>
      <c r="D1751" s="335"/>
      <c r="E1751" s="251"/>
      <c r="F1751" s="735"/>
      <c r="G1751" s="568"/>
      <c r="H1751" s="260"/>
      <c r="I1751" s="251"/>
      <c r="J1751" s="568"/>
      <c r="K1751" s="568"/>
      <c r="L1751" s="568"/>
      <c r="M1751" s="568"/>
      <c r="N1751" s="309"/>
      <c r="O1751" s="257"/>
      <c r="P1751" s="309"/>
      <c r="Q1751" s="257"/>
      <c r="R1751" s="309"/>
      <c r="S1751" s="257"/>
      <c r="T1751" s="259"/>
      <c r="U1751" s="259"/>
      <c r="V1751" s="316"/>
      <c r="W1751" s="257"/>
      <c r="X1751" s="316"/>
      <c r="Y1751" s="257"/>
      <c r="Z1751" s="316"/>
      <c r="AA1751" s="257"/>
      <c r="AB1751" s="316"/>
      <c r="AC1751" s="257"/>
    </row>
    <row r="1752" spans="1:29" ht="26.45" hidden="1" customHeight="1">
      <c r="A1752" s="250" t="e">
        <f>A1749+1</f>
        <v>#VALUE!</v>
      </c>
      <c r="B1752" s="251">
        <v>83</v>
      </c>
      <c r="C1752" s="526" t="s">
        <v>1361</v>
      </c>
      <c r="D1752" s="527" t="s">
        <v>1982</v>
      </c>
      <c r="E1752" s="251" t="s">
        <v>1901</v>
      </c>
      <c r="F1752" s="735"/>
      <c r="G1752" s="568"/>
      <c r="H1752" s="260"/>
      <c r="I1752" s="251" t="s">
        <v>1901</v>
      </c>
      <c r="J1752" s="568"/>
      <c r="K1752" s="568"/>
      <c r="L1752" s="568"/>
      <c r="M1752" s="568"/>
      <c r="N1752" s="309"/>
      <c r="O1752" s="257">
        <f>INT($G1752*N1752*100+0.5)/100</f>
        <v>0</v>
      </c>
      <c r="P1752" s="309"/>
      <c r="Q1752" s="257">
        <f>INT($G1752*P1752*100+0.5)/100</f>
        <v>0</v>
      </c>
      <c r="R1752" s="309"/>
      <c r="S1752" s="257">
        <f>INT($G1752*R1752*100+0.5)/100</f>
        <v>0</v>
      </c>
      <c r="T1752" s="259"/>
      <c r="U1752" s="259"/>
      <c r="V1752" s="316">
        <v>0</v>
      </c>
      <c r="W1752" s="257">
        <f>INT($G1752*V1752*100+0.5)/100</f>
        <v>0</v>
      </c>
      <c r="X1752" s="316">
        <v>0</v>
      </c>
      <c r="Y1752" s="257">
        <f>INT($G1752*X1752*100+0.5)/100</f>
        <v>0</v>
      </c>
      <c r="Z1752" s="316">
        <v>0</v>
      </c>
      <c r="AA1752" s="257">
        <f>INT($G1752*Z1752*100+0.5)/100</f>
        <v>0</v>
      </c>
      <c r="AB1752" s="316">
        <v>0</v>
      </c>
      <c r="AC1752" s="257">
        <f>INT($G1752*AB1752*100+0.5)/100</f>
        <v>0</v>
      </c>
    </row>
    <row r="1753" spans="1:29" ht="26.45" hidden="1" customHeight="1">
      <c r="A1753" s="250"/>
      <c r="B1753" s="251"/>
      <c r="C1753" s="540"/>
      <c r="D1753" s="558" t="s">
        <v>1983</v>
      </c>
      <c r="E1753" s="251" t="s">
        <v>1902</v>
      </c>
      <c r="F1753" s="735"/>
      <c r="G1753" s="568"/>
      <c r="H1753" s="260"/>
      <c r="I1753" s="251" t="s">
        <v>1902</v>
      </c>
      <c r="J1753" s="568"/>
      <c r="K1753" s="568"/>
      <c r="L1753" s="568"/>
      <c r="M1753" s="568"/>
      <c r="N1753" s="309"/>
      <c r="O1753" s="257"/>
      <c r="P1753" s="309"/>
      <c r="Q1753" s="257"/>
      <c r="R1753" s="309"/>
      <c r="S1753" s="257"/>
      <c r="T1753" s="259"/>
      <c r="U1753" s="259"/>
      <c r="V1753" s="316"/>
      <c r="W1753" s="257"/>
      <c r="X1753" s="316"/>
      <c r="Y1753" s="257"/>
      <c r="Z1753" s="316"/>
      <c r="AA1753" s="257"/>
      <c r="AB1753" s="316"/>
      <c r="AC1753" s="257"/>
    </row>
    <row r="1754" spans="1:29" ht="15.6" hidden="1" customHeight="1">
      <c r="A1754" s="250"/>
      <c r="B1754" s="251"/>
      <c r="C1754" s="540"/>
      <c r="D1754" s="335"/>
      <c r="E1754" s="251"/>
      <c r="F1754" s="735"/>
      <c r="G1754" s="568"/>
      <c r="H1754" s="260"/>
      <c r="I1754" s="251"/>
      <c r="J1754" s="568"/>
      <c r="K1754" s="568"/>
      <c r="L1754" s="568"/>
      <c r="M1754" s="568"/>
      <c r="N1754" s="309"/>
      <c r="O1754" s="257"/>
      <c r="P1754" s="309"/>
      <c r="Q1754" s="257"/>
      <c r="R1754" s="309"/>
      <c r="S1754" s="257"/>
      <c r="T1754" s="259"/>
      <c r="U1754" s="259"/>
      <c r="V1754" s="316"/>
      <c r="W1754" s="257"/>
      <c r="X1754" s="316"/>
      <c r="Y1754" s="257"/>
      <c r="Z1754" s="316"/>
      <c r="AA1754" s="257"/>
      <c r="AB1754" s="316"/>
      <c r="AC1754" s="257"/>
    </row>
    <row r="1755" spans="1:29" ht="26.45" hidden="1" customHeight="1">
      <c r="A1755" s="250" t="e">
        <f>A1752+1</f>
        <v>#VALUE!</v>
      </c>
      <c r="B1755" s="251">
        <v>83</v>
      </c>
      <c r="C1755" s="526" t="s">
        <v>1362</v>
      </c>
      <c r="D1755" s="276" t="s">
        <v>1980</v>
      </c>
      <c r="E1755" s="251" t="s">
        <v>1901</v>
      </c>
      <c r="F1755" s="735"/>
      <c r="G1755" s="568"/>
      <c r="H1755" s="260"/>
      <c r="I1755" s="251" t="s">
        <v>1901</v>
      </c>
      <c r="J1755" s="568"/>
      <c r="K1755" s="568"/>
      <c r="L1755" s="568"/>
      <c r="M1755" s="568"/>
      <c r="N1755" s="309"/>
      <c r="O1755" s="257">
        <f>INT($G1755*N1755*100+0.5)/100</f>
        <v>0</v>
      </c>
      <c r="P1755" s="309"/>
      <c r="Q1755" s="257">
        <f>INT($G1755*P1755*100+0.5)/100</f>
        <v>0</v>
      </c>
      <c r="R1755" s="309"/>
      <c r="S1755" s="257">
        <f>INT($G1755*R1755*100+0.5)/100</f>
        <v>0</v>
      </c>
      <c r="T1755" s="259"/>
      <c r="U1755" s="259"/>
      <c r="V1755" s="316">
        <v>0</v>
      </c>
      <c r="W1755" s="257">
        <f>INT($G1755*V1755*100+0.5)/100</f>
        <v>0</v>
      </c>
      <c r="X1755" s="316">
        <v>0</v>
      </c>
      <c r="Y1755" s="257">
        <f>INT($G1755*X1755*100+0.5)/100</f>
        <v>0</v>
      </c>
      <c r="Z1755" s="316">
        <v>0</v>
      </c>
      <c r="AA1755" s="257">
        <f>INT($G1755*Z1755*100+0.5)/100</f>
        <v>0</v>
      </c>
      <c r="AB1755" s="316">
        <v>0</v>
      </c>
      <c r="AC1755" s="257">
        <f>INT($G1755*AB1755*100+0.5)/100</f>
        <v>0</v>
      </c>
    </row>
    <row r="1756" spans="1:29" ht="26.45" hidden="1" customHeight="1">
      <c r="A1756" s="250"/>
      <c r="B1756" s="251"/>
      <c r="C1756" s="540"/>
      <c r="D1756" s="276" t="s">
        <v>1886</v>
      </c>
      <c r="E1756" s="251" t="s">
        <v>1902</v>
      </c>
      <c r="F1756" s="735"/>
      <c r="G1756" s="568"/>
      <c r="H1756" s="260"/>
      <c r="I1756" s="251" t="s">
        <v>1902</v>
      </c>
      <c r="J1756" s="568"/>
      <c r="K1756" s="568"/>
      <c r="L1756" s="568"/>
      <c r="M1756" s="568"/>
      <c r="N1756" s="309"/>
      <c r="O1756" s="257"/>
      <c r="P1756" s="309"/>
      <c r="Q1756" s="257"/>
      <c r="R1756" s="309"/>
      <c r="S1756" s="257"/>
      <c r="T1756" s="259"/>
      <c r="U1756" s="259"/>
      <c r="V1756" s="316"/>
      <c r="W1756" s="257"/>
      <c r="X1756" s="316"/>
      <c r="Y1756" s="257"/>
      <c r="Z1756" s="316"/>
      <c r="AA1756" s="257"/>
      <c r="AB1756" s="316"/>
      <c r="AC1756" s="257"/>
    </row>
    <row r="1757" spans="1:29" ht="15.6" hidden="1" customHeight="1">
      <c r="A1757" s="250"/>
      <c r="B1757" s="251"/>
      <c r="C1757" s="540"/>
      <c r="D1757" s="335"/>
      <c r="E1757" s="251"/>
      <c r="F1757" s="735"/>
      <c r="G1757" s="568"/>
      <c r="H1757" s="260"/>
      <c r="I1757" s="251"/>
      <c r="J1757" s="568"/>
      <c r="K1757" s="568"/>
      <c r="L1757" s="568"/>
      <c r="M1757" s="568"/>
      <c r="N1757" s="309"/>
      <c r="O1757" s="257"/>
      <c r="P1757" s="309"/>
      <c r="Q1757" s="257"/>
      <c r="R1757" s="309"/>
      <c r="S1757" s="257"/>
      <c r="T1757" s="259"/>
      <c r="U1757" s="259"/>
      <c r="V1757" s="316"/>
      <c r="W1757" s="257"/>
      <c r="X1757" s="316"/>
      <c r="Y1757" s="257"/>
      <c r="Z1757" s="316"/>
      <c r="AA1757" s="257"/>
      <c r="AB1757" s="316"/>
      <c r="AC1757" s="257"/>
    </row>
    <row r="1758" spans="1:29" ht="15.6" hidden="1" customHeight="1">
      <c r="A1758" s="250" t="e">
        <f>A1755+1</f>
        <v>#VALUE!</v>
      </c>
      <c r="B1758" s="251"/>
      <c r="C1758" s="526" t="s">
        <v>1363</v>
      </c>
      <c r="D1758" s="558" t="s">
        <v>536</v>
      </c>
      <c r="E1758" s="251" t="s">
        <v>1901</v>
      </c>
      <c r="F1758" s="735"/>
      <c r="G1758" s="568"/>
      <c r="H1758" s="261"/>
      <c r="I1758" s="251" t="s">
        <v>1901</v>
      </c>
      <c r="J1758" s="568"/>
      <c r="K1758" s="568"/>
      <c r="L1758" s="568"/>
      <c r="M1758" s="568"/>
      <c r="N1758" s="309"/>
      <c r="O1758" s="257"/>
      <c r="P1758" s="309"/>
      <c r="Q1758" s="257"/>
      <c r="R1758" s="309"/>
      <c r="S1758" s="257"/>
      <c r="T1758" s="257"/>
      <c r="U1758" s="257"/>
      <c r="V1758" s="258"/>
      <c r="W1758" s="257"/>
      <c r="X1758" s="258"/>
      <c r="Y1758" s="257"/>
      <c r="Z1758" s="258"/>
      <c r="AA1758" s="257"/>
      <c r="AB1758" s="258"/>
      <c r="AC1758" s="257"/>
    </row>
    <row r="1759" spans="1:29" ht="15.6" hidden="1" customHeight="1">
      <c r="A1759" s="250"/>
      <c r="B1759" s="251"/>
      <c r="C1759" s="326"/>
      <c r="D1759" s="558" t="s">
        <v>537</v>
      </c>
      <c r="E1759" s="251" t="s">
        <v>1902</v>
      </c>
      <c r="F1759" s="735"/>
      <c r="G1759" s="568"/>
      <c r="H1759" s="261"/>
      <c r="I1759" s="251" t="s">
        <v>1902</v>
      </c>
      <c r="J1759" s="568"/>
      <c r="K1759" s="568"/>
      <c r="L1759" s="568"/>
      <c r="M1759" s="568"/>
      <c r="N1759" s="309"/>
      <c r="O1759" s="257"/>
      <c r="P1759" s="309"/>
      <c r="Q1759" s="257"/>
      <c r="R1759" s="309"/>
      <c r="S1759" s="257"/>
      <c r="T1759" s="257"/>
      <c r="U1759" s="257"/>
      <c r="V1759" s="258"/>
      <c r="W1759" s="257"/>
      <c r="X1759" s="258"/>
      <c r="Y1759" s="257"/>
      <c r="Z1759" s="258"/>
      <c r="AA1759" s="257"/>
      <c r="AB1759" s="258"/>
      <c r="AC1759" s="257"/>
    </row>
    <row r="1760" spans="1:29" ht="15.6" hidden="1" customHeight="1">
      <c r="A1760" s="250" t="s">
        <v>1903</v>
      </c>
      <c r="B1760" s="251"/>
      <c r="C1760" s="532" t="s">
        <v>1364</v>
      </c>
      <c r="D1760" s="558" t="s">
        <v>282</v>
      </c>
      <c r="E1760" s="251"/>
      <c r="F1760" s="735"/>
      <c r="G1760" s="568"/>
      <c r="H1760" s="261"/>
      <c r="I1760" s="251"/>
      <c r="J1760" s="568"/>
      <c r="K1760" s="568"/>
      <c r="L1760" s="568"/>
      <c r="M1760" s="568"/>
      <c r="N1760" s="309"/>
      <c r="O1760" s="257">
        <f>INT($G1760*N1760*100+0.5)/100</f>
        <v>0</v>
      </c>
      <c r="P1760" s="309"/>
      <c r="Q1760" s="257">
        <f>INT($G1760*P1760*100+0.5)/100</f>
        <v>0</v>
      </c>
      <c r="R1760" s="309"/>
      <c r="S1760" s="257">
        <f>INT($G1760*R1760*100+0.5)/100</f>
        <v>0</v>
      </c>
      <c r="T1760" s="257"/>
      <c r="U1760" s="257"/>
      <c r="V1760" s="258">
        <v>0</v>
      </c>
      <c r="W1760" s="257">
        <f>INT($G1760*V1760*100+0.5)/100</f>
        <v>0</v>
      </c>
      <c r="X1760" s="258">
        <v>0</v>
      </c>
      <c r="Y1760" s="257">
        <f>INT($G1760*X1760*100+0.5)/100</f>
        <v>0</v>
      </c>
      <c r="Z1760" s="258">
        <v>0</v>
      </c>
      <c r="AA1760" s="257">
        <f>INT($G1760*Z1760*100+0.5)/100</f>
        <v>0</v>
      </c>
      <c r="AB1760" s="258">
        <v>0</v>
      </c>
      <c r="AC1760" s="257">
        <f>INT($G1760*AB1760*100+0.5)/100</f>
        <v>0</v>
      </c>
    </row>
    <row r="1761" spans="1:29" ht="15.6" hidden="1" customHeight="1">
      <c r="A1761" s="250" t="s">
        <v>1905</v>
      </c>
      <c r="B1761" s="251"/>
      <c r="C1761" s="532" t="s">
        <v>1365</v>
      </c>
      <c r="D1761" s="558" t="s">
        <v>283</v>
      </c>
      <c r="E1761" s="251"/>
      <c r="F1761" s="735"/>
      <c r="G1761" s="568"/>
      <c r="H1761" s="261"/>
      <c r="I1761" s="251"/>
      <c r="J1761" s="568"/>
      <c r="K1761" s="568"/>
      <c r="L1761" s="568"/>
      <c r="M1761" s="568"/>
      <c r="N1761" s="309"/>
      <c r="O1761" s="257">
        <f>INT($G1761*N1761*100+0.5)/100</f>
        <v>0</v>
      </c>
      <c r="P1761" s="309"/>
      <c r="Q1761" s="257">
        <f>INT($G1761*P1761*100+0.5)/100</f>
        <v>0</v>
      </c>
      <c r="R1761" s="309"/>
      <c r="S1761" s="257">
        <f>INT($G1761*R1761*100+0.5)/100</f>
        <v>0</v>
      </c>
      <c r="T1761" s="257"/>
      <c r="U1761" s="257"/>
      <c r="V1761" s="258">
        <v>0</v>
      </c>
      <c r="W1761" s="257">
        <f>INT($G1761*V1761*100+0.5)/100</f>
        <v>0</v>
      </c>
      <c r="X1761" s="258">
        <v>0</v>
      </c>
      <c r="Y1761" s="257">
        <f>INT($G1761*X1761*100+0.5)/100</f>
        <v>0</v>
      </c>
      <c r="Z1761" s="258">
        <v>0</v>
      </c>
      <c r="AA1761" s="257">
        <f>INT($G1761*Z1761*100+0.5)/100</f>
        <v>0</v>
      </c>
      <c r="AB1761" s="258">
        <v>0</v>
      </c>
      <c r="AC1761" s="257">
        <f>INT($G1761*AB1761*100+0.5)/100</f>
        <v>0</v>
      </c>
    </row>
    <row r="1762" spans="1:29" ht="15.6" hidden="1" customHeight="1">
      <c r="A1762" s="250" t="s">
        <v>1906</v>
      </c>
      <c r="B1762" s="251"/>
      <c r="C1762" s="532" t="s">
        <v>1366</v>
      </c>
      <c r="D1762" s="558" t="s">
        <v>284</v>
      </c>
      <c r="E1762" s="251"/>
      <c r="F1762" s="735"/>
      <c r="G1762" s="568"/>
      <c r="H1762" s="261"/>
      <c r="I1762" s="251"/>
      <c r="J1762" s="568"/>
      <c r="K1762" s="568"/>
      <c r="L1762" s="568"/>
      <c r="M1762" s="568"/>
      <c r="N1762" s="309"/>
      <c r="O1762" s="257">
        <f>INT($G1762*N1762*100+0.5)/100</f>
        <v>0</v>
      </c>
      <c r="P1762" s="309"/>
      <c r="Q1762" s="257">
        <f>INT($G1762*P1762*100+0.5)/100</f>
        <v>0</v>
      </c>
      <c r="R1762" s="309"/>
      <c r="S1762" s="257">
        <f>INT($G1762*R1762*100+0.5)/100</f>
        <v>0</v>
      </c>
      <c r="T1762" s="257"/>
      <c r="U1762" s="257"/>
      <c r="V1762" s="258">
        <v>0</v>
      </c>
      <c r="W1762" s="257">
        <f>INT($G1762*V1762*100+0.5)/100</f>
        <v>0</v>
      </c>
      <c r="X1762" s="258">
        <v>0</v>
      </c>
      <c r="Y1762" s="257">
        <f>INT($G1762*X1762*100+0.5)/100</f>
        <v>0</v>
      </c>
      <c r="Z1762" s="258">
        <v>0</v>
      </c>
      <c r="AA1762" s="257">
        <f>INT($G1762*Z1762*100+0.5)/100</f>
        <v>0</v>
      </c>
      <c r="AB1762" s="258">
        <v>0</v>
      </c>
      <c r="AC1762" s="257">
        <f>INT($G1762*AB1762*100+0.5)/100</f>
        <v>0</v>
      </c>
    </row>
    <row r="1763" spans="1:29" ht="15.6" hidden="1" customHeight="1">
      <c r="A1763" s="250" t="s">
        <v>1907</v>
      </c>
      <c r="B1763" s="251"/>
      <c r="C1763" s="532" t="s">
        <v>1367</v>
      </c>
      <c r="D1763" s="558" t="s">
        <v>285</v>
      </c>
      <c r="E1763" s="251"/>
      <c r="F1763" s="735"/>
      <c r="G1763" s="568"/>
      <c r="H1763" s="261"/>
      <c r="I1763" s="251"/>
      <c r="J1763" s="568"/>
      <c r="K1763" s="568"/>
      <c r="L1763" s="568"/>
      <c r="M1763" s="568"/>
      <c r="N1763" s="309"/>
      <c r="O1763" s="257">
        <f>INT($G1763*N1763*100+0.5)/100</f>
        <v>0</v>
      </c>
      <c r="P1763" s="309"/>
      <c r="Q1763" s="257">
        <f>INT($G1763*P1763*100+0.5)/100</f>
        <v>0</v>
      </c>
      <c r="R1763" s="309"/>
      <c r="S1763" s="257">
        <f>INT($G1763*R1763*100+0.5)/100</f>
        <v>0</v>
      </c>
      <c r="T1763" s="257"/>
      <c r="U1763" s="257"/>
      <c r="V1763" s="258">
        <v>0</v>
      </c>
      <c r="W1763" s="257">
        <f>INT($G1763*V1763*100+0.5)/100</f>
        <v>0</v>
      </c>
      <c r="X1763" s="258">
        <v>0</v>
      </c>
      <c r="Y1763" s="257">
        <f>INT($G1763*X1763*100+0.5)/100</f>
        <v>0</v>
      </c>
      <c r="Z1763" s="258">
        <v>0</v>
      </c>
      <c r="AA1763" s="257">
        <f>INT($G1763*Z1763*100+0.5)/100</f>
        <v>0</v>
      </c>
      <c r="AB1763" s="258">
        <v>0</v>
      </c>
      <c r="AC1763" s="257">
        <f>INT($G1763*AB1763*100+0.5)/100</f>
        <v>0</v>
      </c>
    </row>
    <row r="1764" spans="1:29" ht="15.6" hidden="1" customHeight="1">
      <c r="A1764" s="250"/>
      <c r="B1764" s="251"/>
      <c r="C1764" s="326"/>
      <c r="D1764" s="335"/>
      <c r="E1764" s="251"/>
      <c r="F1764" s="735"/>
      <c r="G1764" s="568"/>
      <c r="H1764" s="261"/>
      <c r="I1764" s="251"/>
      <c r="J1764" s="568"/>
      <c r="K1764" s="568"/>
      <c r="L1764" s="568"/>
      <c r="M1764" s="568"/>
      <c r="N1764" s="309"/>
      <c r="O1764" s="257"/>
      <c r="P1764" s="309"/>
      <c r="Q1764" s="257"/>
      <c r="R1764" s="309"/>
      <c r="S1764" s="257"/>
      <c r="T1764" s="257"/>
      <c r="U1764" s="257"/>
      <c r="V1764" s="258"/>
      <c r="W1764" s="257"/>
      <c r="X1764" s="258"/>
      <c r="Y1764" s="257"/>
      <c r="Z1764" s="258"/>
      <c r="AA1764" s="257"/>
      <c r="AB1764" s="258"/>
      <c r="AC1764" s="257"/>
    </row>
    <row r="1765" spans="1:29" ht="26.45" hidden="1" customHeight="1">
      <c r="A1765" s="250" t="e">
        <f>A1758+1</f>
        <v>#VALUE!</v>
      </c>
      <c r="B1765" s="251">
        <v>83</v>
      </c>
      <c r="C1765" s="526" t="s">
        <v>1978</v>
      </c>
      <c r="D1765" s="527" t="s">
        <v>1979</v>
      </c>
      <c r="E1765" s="251" t="s">
        <v>1901</v>
      </c>
      <c r="F1765" s="735"/>
      <c r="G1765" s="568"/>
      <c r="H1765" s="260"/>
      <c r="I1765" s="251" t="s">
        <v>1901</v>
      </c>
      <c r="J1765" s="568"/>
      <c r="K1765" s="568"/>
      <c r="L1765" s="568"/>
      <c r="M1765" s="568"/>
      <c r="N1765" s="309"/>
      <c r="O1765" s="257">
        <f>INT($G1765*N1765*100+0.5)/100</f>
        <v>0</v>
      </c>
      <c r="P1765" s="309"/>
      <c r="Q1765" s="257">
        <f>INT($G1765*P1765*100+0.5)/100</f>
        <v>0</v>
      </c>
      <c r="R1765" s="309"/>
      <c r="S1765" s="257">
        <f>INT($G1765*R1765*100+0.5)/100</f>
        <v>0</v>
      </c>
      <c r="T1765" s="259"/>
      <c r="U1765" s="259"/>
      <c r="V1765" s="316">
        <v>0</v>
      </c>
      <c r="W1765" s="257">
        <f>INT($G1765*V1765*100+0.5)/100</f>
        <v>0</v>
      </c>
      <c r="X1765" s="316">
        <v>0</v>
      </c>
      <c r="Y1765" s="257">
        <f>INT($G1765*X1765*100+0.5)/100</f>
        <v>0</v>
      </c>
      <c r="Z1765" s="316">
        <v>0</v>
      </c>
      <c r="AA1765" s="257">
        <f>INT($G1765*Z1765*100+0.5)/100</f>
        <v>0</v>
      </c>
      <c r="AB1765" s="316">
        <v>0</v>
      </c>
      <c r="AC1765" s="257">
        <f>INT($G1765*AB1765*100+0.5)/100</f>
        <v>0</v>
      </c>
    </row>
    <row r="1766" spans="1:29" ht="26.45" hidden="1" customHeight="1">
      <c r="A1766" s="250"/>
      <c r="B1766" s="251"/>
      <c r="C1766" s="540"/>
      <c r="D1766" s="558" t="s">
        <v>1981</v>
      </c>
      <c r="E1766" s="251" t="s">
        <v>1902</v>
      </c>
      <c r="F1766" s="735"/>
      <c r="G1766" s="568"/>
      <c r="H1766" s="260"/>
      <c r="I1766" s="251" t="s">
        <v>1902</v>
      </c>
      <c r="J1766" s="568"/>
      <c r="K1766" s="568"/>
      <c r="L1766" s="568"/>
      <c r="M1766" s="568"/>
      <c r="N1766" s="309"/>
      <c r="O1766" s="257"/>
      <c r="P1766" s="309"/>
      <c r="Q1766" s="257"/>
      <c r="R1766" s="309"/>
      <c r="S1766" s="257"/>
      <c r="T1766" s="259"/>
      <c r="U1766" s="259"/>
      <c r="V1766" s="316"/>
      <c r="W1766" s="257"/>
      <c r="X1766" s="316"/>
      <c r="Y1766" s="257"/>
      <c r="Z1766" s="316"/>
      <c r="AA1766" s="257"/>
      <c r="AB1766" s="316"/>
      <c r="AC1766" s="257"/>
    </row>
    <row r="1767" spans="1:29" ht="15.6" hidden="1" customHeight="1">
      <c r="A1767" s="250"/>
      <c r="B1767" s="251"/>
      <c r="C1767" s="540"/>
      <c r="D1767" s="335"/>
      <c r="E1767" s="251"/>
      <c r="F1767" s="735"/>
      <c r="G1767" s="568"/>
      <c r="H1767" s="260"/>
      <c r="I1767" s="251"/>
      <c r="J1767" s="568"/>
      <c r="K1767" s="568"/>
      <c r="L1767" s="568"/>
      <c r="M1767" s="568"/>
      <c r="N1767" s="309"/>
      <c r="O1767" s="257"/>
      <c r="P1767" s="309"/>
      <c r="Q1767" s="257"/>
      <c r="R1767" s="309"/>
      <c r="S1767" s="257"/>
      <c r="T1767" s="259"/>
      <c r="U1767" s="259"/>
      <c r="V1767" s="316"/>
      <c r="W1767" s="257"/>
      <c r="X1767" s="316"/>
      <c r="Y1767" s="257"/>
      <c r="Z1767" s="316"/>
      <c r="AA1767" s="257"/>
      <c r="AB1767" s="316"/>
      <c r="AC1767" s="257"/>
    </row>
    <row r="1768" spans="1:29" ht="15.6" hidden="1" customHeight="1">
      <c r="A1768" s="250" t="e">
        <f>A1765+1</f>
        <v>#VALUE!</v>
      </c>
      <c r="B1768" s="251">
        <v>77</v>
      </c>
      <c r="C1768" s="540" t="s">
        <v>215</v>
      </c>
      <c r="D1768" s="527" t="s">
        <v>452</v>
      </c>
      <c r="E1768" s="251" t="s">
        <v>1901</v>
      </c>
      <c r="F1768" s="735"/>
      <c r="G1768" s="568"/>
      <c r="H1768" s="261"/>
      <c r="I1768" s="251" t="s">
        <v>1901</v>
      </c>
      <c r="J1768" s="568"/>
      <c r="K1768" s="568"/>
      <c r="L1768" s="568"/>
      <c r="M1768" s="568"/>
      <c r="N1768" s="309"/>
      <c r="O1768" s="257"/>
      <c r="P1768" s="309"/>
      <c r="Q1768" s="257"/>
      <c r="R1768" s="309"/>
      <c r="S1768" s="257"/>
      <c r="T1768" s="257"/>
      <c r="U1768" s="257"/>
      <c r="V1768" s="258"/>
      <c r="W1768" s="257"/>
      <c r="X1768" s="258"/>
      <c r="Y1768" s="257"/>
      <c r="Z1768" s="258"/>
      <c r="AA1768" s="257"/>
      <c r="AB1768" s="258"/>
      <c r="AC1768" s="257"/>
    </row>
    <row r="1769" spans="1:29" ht="15.6" hidden="1" customHeight="1">
      <c r="A1769" s="250"/>
      <c r="B1769" s="251"/>
      <c r="C1769" s="540"/>
      <c r="D1769" s="527" t="s">
        <v>453</v>
      </c>
      <c r="E1769" s="251" t="s">
        <v>1902</v>
      </c>
      <c r="F1769" s="735"/>
      <c r="G1769" s="568"/>
      <c r="H1769" s="261"/>
      <c r="I1769" s="251" t="s">
        <v>1902</v>
      </c>
      <c r="J1769" s="568"/>
      <c r="K1769" s="568"/>
      <c r="L1769" s="568"/>
      <c r="M1769" s="568"/>
      <c r="N1769" s="309"/>
      <c r="O1769" s="257"/>
      <c r="P1769" s="309"/>
      <c r="Q1769" s="257"/>
      <c r="R1769" s="309"/>
      <c r="S1769" s="257"/>
      <c r="T1769" s="257"/>
      <c r="U1769" s="257"/>
      <c r="V1769" s="258"/>
      <c r="W1769" s="257"/>
      <c r="X1769" s="258"/>
      <c r="Y1769" s="257"/>
      <c r="Z1769" s="258"/>
      <c r="AA1769" s="257"/>
      <c r="AB1769" s="258"/>
      <c r="AC1769" s="257"/>
    </row>
    <row r="1770" spans="1:29" ht="15.6" hidden="1" customHeight="1">
      <c r="A1770" s="250" t="s">
        <v>1903</v>
      </c>
      <c r="B1770" s="251"/>
      <c r="C1770" s="540" t="s">
        <v>210</v>
      </c>
      <c r="D1770" s="335" t="s">
        <v>1775</v>
      </c>
      <c r="E1770" s="251"/>
      <c r="F1770" s="735"/>
      <c r="G1770" s="568"/>
      <c r="H1770" s="261"/>
      <c r="I1770" s="251"/>
      <c r="J1770" s="568"/>
      <c r="K1770" s="568"/>
      <c r="L1770" s="568"/>
      <c r="M1770" s="568"/>
      <c r="N1770" s="309"/>
      <c r="O1770" s="257">
        <f>INT($G1770*N1770*100+0.5)/100</f>
        <v>0</v>
      </c>
      <c r="P1770" s="309"/>
      <c r="Q1770" s="257">
        <f>INT($G1770*P1770*100+0.5)/100</f>
        <v>0</v>
      </c>
      <c r="R1770" s="309"/>
      <c r="S1770" s="257">
        <f>INT($G1770*R1770*100+0.5)/100</f>
        <v>0</v>
      </c>
      <c r="T1770" s="257"/>
      <c r="U1770" s="257"/>
      <c r="V1770" s="258">
        <v>0</v>
      </c>
      <c r="W1770" s="257">
        <f>INT($G1770*V1770*100+0.5)/100</f>
        <v>0</v>
      </c>
      <c r="X1770" s="258">
        <v>0</v>
      </c>
      <c r="Y1770" s="257">
        <f>INT($G1770*X1770*100+0.5)/100</f>
        <v>0</v>
      </c>
      <c r="Z1770" s="258">
        <v>0</v>
      </c>
      <c r="AA1770" s="257">
        <f>INT($G1770*Z1770*100+0.5)/100</f>
        <v>0</v>
      </c>
      <c r="AB1770" s="258">
        <v>0</v>
      </c>
      <c r="AC1770" s="257">
        <f>INT($G1770*AB1770*100+0.5)/100</f>
        <v>0</v>
      </c>
    </row>
    <row r="1771" spans="1:29" ht="15.6" hidden="1" customHeight="1">
      <c r="A1771" s="250" t="s">
        <v>1905</v>
      </c>
      <c r="B1771" s="251"/>
      <c r="C1771" s="540" t="s">
        <v>211</v>
      </c>
      <c r="D1771" s="335" t="s">
        <v>1776</v>
      </c>
      <c r="E1771" s="251"/>
      <c r="F1771" s="735"/>
      <c r="G1771" s="568"/>
      <c r="H1771" s="261"/>
      <c r="I1771" s="251"/>
      <c r="J1771" s="568"/>
      <c r="K1771" s="568"/>
      <c r="L1771" s="568"/>
      <c r="M1771" s="568"/>
      <c r="N1771" s="309"/>
      <c r="O1771" s="257">
        <f>INT($G1771*N1771*100+0.5)/100</f>
        <v>0</v>
      </c>
      <c r="P1771" s="309"/>
      <c r="Q1771" s="257">
        <f>INT($G1771*P1771*100+0.5)/100</f>
        <v>0</v>
      </c>
      <c r="R1771" s="309"/>
      <c r="S1771" s="257">
        <f>INT($G1771*R1771*100+0.5)/100</f>
        <v>0</v>
      </c>
      <c r="T1771" s="257"/>
      <c r="U1771" s="257"/>
      <c r="V1771" s="258">
        <v>0</v>
      </c>
      <c r="W1771" s="257">
        <f>INT($G1771*V1771*100+0.5)/100</f>
        <v>0</v>
      </c>
      <c r="X1771" s="258">
        <v>0</v>
      </c>
      <c r="Y1771" s="257">
        <f>INT($G1771*X1771*100+0.5)/100</f>
        <v>0</v>
      </c>
      <c r="Z1771" s="258">
        <v>0</v>
      </c>
      <c r="AA1771" s="257">
        <f>INT($G1771*Z1771*100+0.5)/100</f>
        <v>0</v>
      </c>
      <c r="AB1771" s="258">
        <v>0</v>
      </c>
      <c r="AC1771" s="257">
        <f>INT($G1771*AB1771*100+0.5)/100</f>
        <v>0</v>
      </c>
    </row>
    <row r="1772" spans="1:29" ht="15.6" hidden="1" customHeight="1">
      <c r="A1772" s="250" t="s">
        <v>1906</v>
      </c>
      <c r="B1772" s="251" t="s">
        <v>1906</v>
      </c>
      <c r="C1772" s="540" t="s">
        <v>212</v>
      </c>
      <c r="D1772" s="335" t="s">
        <v>1777</v>
      </c>
      <c r="E1772" s="251"/>
      <c r="F1772" s="735"/>
      <c r="G1772" s="568"/>
      <c r="H1772" s="261"/>
      <c r="I1772" s="251"/>
      <c r="J1772" s="568"/>
      <c r="K1772" s="568"/>
      <c r="L1772" s="568"/>
      <c r="M1772" s="568"/>
      <c r="N1772" s="309"/>
      <c r="O1772" s="257">
        <f>INT($G1772*N1772*100+0.5)/100</f>
        <v>0</v>
      </c>
      <c r="P1772" s="309"/>
      <c r="Q1772" s="257">
        <f>INT($G1772*P1772*100+0.5)/100</f>
        <v>0</v>
      </c>
      <c r="R1772" s="309"/>
      <c r="S1772" s="257">
        <f>INT($G1772*R1772*100+0.5)/100</f>
        <v>0</v>
      </c>
      <c r="T1772" s="257"/>
      <c r="U1772" s="257"/>
      <c r="V1772" s="258">
        <v>0</v>
      </c>
      <c r="W1772" s="257">
        <f>INT($G1772*V1772*100+0.5)/100</f>
        <v>0</v>
      </c>
      <c r="X1772" s="258">
        <v>0</v>
      </c>
      <c r="Y1772" s="257">
        <f>INT($G1772*X1772*100+0.5)/100</f>
        <v>0</v>
      </c>
      <c r="Z1772" s="258">
        <v>0</v>
      </c>
      <c r="AA1772" s="257">
        <f>INT($G1772*Z1772*100+0.5)/100</f>
        <v>0</v>
      </c>
      <c r="AB1772" s="258">
        <v>0</v>
      </c>
      <c r="AC1772" s="257">
        <f>INT($G1772*AB1772*100+0.5)/100</f>
        <v>0</v>
      </c>
    </row>
    <row r="1773" spans="1:29" ht="15.6" hidden="1" customHeight="1">
      <c r="A1773" s="250" t="s">
        <v>1907</v>
      </c>
      <c r="B1773" s="251"/>
      <c r="C1773" s="540" t="s">
        <v>213</v>
      </c>
      <c r="D1773" s="335" t="s">
        <v>1778</v>
      </c>
      <c r="E1773" s="251"/>
      <c r="F1773" s="735"/>
      <c r="G1773" s="568"/>
      <c r="H1773" s="261"/>
      <c r="I1773" s="251"/>
      <c r="J1773" s="568"/>
      <c r="K1773" s="568"/>
      <c r="L1773" s="568"/>
      <c r="M1773" s="568"/>
      <c r="N1773" s="309"/>
      <c r="O1773" s="257">
        <f>INT($G1773*N1773*100+0.5)/100</f>
        <v>0</v>
      </c>
      <c r="P1773" s="309"/>
      <c r="Q1773" s="257">
        <f>INT($G1773*P1773*100+0.5)/100</f>
        <v>0</v>
      </c>
      <c r="R1773" s="309"/>
      <c r="S1773" s="257">
        <f>INT($G1773*R1773*100+0.5)/100</f>
        <v>0</v>
      </c>
      <c r="T1773" s="257"/>
      <c r="U1773" s="257"/>
      <c r="V1773" s="258">
        <v>0</v>
      </c>
      <c r="W1773" s="257">
        <f>INT($G1773*V1773*100+0.5)/100</f>
        <v>0</v>
      </c>
      <c r="X1773" s="258">
        <v>0</v>
      </c>
      <c r="Y1773" s="257">
        <f>INT($G1773*X1773*100+0.5)/100</f>
        <v>0</v>
      </c>
      <c r="Z1773" s="258">
        <v>0</v>
      </c>
      <c r="AA1773" s="257">
        <f>INT($G1773*Z1773*100+0.5)/100</f>
        <v>0</v>
      </c>
      <c r="AB1773" s="258">
        <v>0</v>
      </c>
      <c r="AC1773" s="257">
        <f>INT($G1773*AB1773*100+0.5)/100</f>
        <v>0</v>
      </c>
    </row>
    <row r="1774" spans="1:29" ht="15.6" hidden="1" customHeight="1">
      <c r="A1774" s="250" t="s">
        <v>542</v>
      </c>
      <c r="B1774" s="251"/>
      <c r="C1774" s="540" t="s">
        <v>214</v>
      </c>
      <c r="D1774" s="335" t="s">
        <v>1323</v>
      </c>
      <c r="E1774" s="251"/>
      <c r="F1774" s="735"/>
      <c r="G1774" s="568"/>
      <c r="H1774" s="261"/>
      <c r="I1774" s="251"/>
      <c r="J1774" s="568"/>
      <c r="K1774" s="568"/>
      <c r="L1774" s="568"/>
      <c r="M1774" s="568"/>
      <c r="N1774" s="309"/>
      <c r="O1774" s="257">
        <f>INT($G1774*N1774*100+0.5)/100</f>
        <v>0</v>
      </c>
      <c r="P1774" s="309"/>
      <c r="Q1774" s="257">
        <f>INT($G1774*P1774*100+0.5)/100</f>
        <v>0</v>
      </c>
      <c r="R1774" s="309"/>
      <c r="S1774" s="257">
        <f>INT($G1774*R1774*100+0.5)/100</f>
        <v>0</v>
      </c>
      <c r="T1774" s="257"/>
      <c r="U1774" s="257"/>
      <c r="V1774" s="258">
        <v>0</v>
      </c>
      <c r="W1774" s="257">
        <f>INT($G1774*V1774*100+0.5)/100</f>
        <v>0</v>
      </c>
      <c r="X1774" s="258">
        <v>0</v>
      </c>
      <c r="Y1774" s="257">
        <f>INT($G1774*X1774*100+0.5)/100</f>
        <v>0</v>
      </c>
      <c r="Z1774" s="258">
        <v>0</v>
      </c>
      <c r="AA1774" s="257">
        <f>INT($G1774*Z1774*100+0.5)/100</f>
        <v>0</v>
      </c>
      <c r="AB1774" s="258">
        <v>0</v>
      </c>
      <c r="AC1774" s="257">
        <f>INT($G1774*AB1774*100+0.5)/100</f>
        <v>0</v>
      </c>
    </row>
    <row r="1775" spans="1:29" ht="15.6" hidden="1" customHeight="1">
      <c r="A1775" s="250"/>
      <c r="B1775" s="251"/>
      <c r="C1775" s="540"/>
      <c r="D1775" s="335"/>
      <c r="E1775" s="251"/>
      <c r="F1775" s="735"/>
      <c r="G1775" s="568"/>
      <c r="H1775" s="261"/>
      <c r="I1775" s="251"/>
      <c r="J1775" s="568"/>
      <c r="K1775" s="568"/>
      <c r="L1775" s="568"/>
      <c r="M1775" s="568"/>
      <c r="N1775" s="309"/>
      <c r="O1775" s="257"/>
      <c r="P1775" s="309"/>
      <c r="Q1775" s="257"/>
      <c r="R1775" s="309"/>
      <c r="S1775" s="257"/>
      <c r="T1775" s="257"/>
      <c r="U1775" s="257"/>
      <c r="V1775" s="258"/>
      <c r="W1775" s="257"/>
      <c r="X1775" s="258"/>
      <c r="Y1775" s="257"/>
      <c r="Z1775" s="258"/>
      <c r="AA1775" s="257"/>
      <c r="AB1775" s="258"/>
      <c r="AC1775" s="257"/>
    </row>
    <row r="1776" spans="1:29" ht="15.6" hidden="1" customHeight="1">
      <c r="A1776" s="284"/>
      <c r="B1776" s="237"/>
      <c r="C1776" s="285"/>
      <c r="D1776" s="335" t="s">
        <v>1028</v>
      </c>
      <c r="E1776" s="251"/>
      <c r="F1776" s="733"/>
      <c r="G1776" s="568"/>
      <c r="H1776" s="260"/>
      <c r="I1776" s="251"/>
      <c r="J1776" s="568"/>
      <c r="K1776" s="568"/>
      <c r="L1776" s="568"/>
      <c r="M1776" s="568"/>
      <c r="N1776" s="309"/>
      <c r="O1776" s="257"/>
      <c r="P1776" s="309"/>
      <c r="Q1776" s="257"/>
      <c r="R1776" s="309"/>
      <c r="S1776" s="257"/>
      <c r="T1776" s="260"/>
      <c r="U1776" s="260"/>
      <c r="V1776" s="260"/>
      <c r="W1776" s="257"/>
      <c r="X1776" s="260"/>
      <c r="Y1776" s="257"/>
      <c r="Z1776" s="260"/>
      <c r="AA1776" s="257"/>
      <c r="AB1776" s="260"/>
      <c r="AC1776" s="257"/>
    </row>
    <row r="1777" spans="1:29" ht="15.6" hidden="1" customHeight="1">
      <c r="A1777" s="284"/>
      <c r="B1777" s="237"/>
      <c r="C1777" s="285"/>
      <c r="D1777" s="335" t="s">
        <v>327</v>
      </c>
      <c r="E1777" s="251"/>
      <c r="F1777" s="733"/>
      <c r="G1777" s="568"/>
      <c r="H1777" s="260"/>
      <c r="I1777" s="251"/>
      <c r="J1777" s="568"/>
      <c r="K1777" s="568"/>
      <c r="L1777" s="568"/>
      <c r="M1777" s="568"/>
      <c r="N1777" s="309"/>
      <c r="O1777" s="257"/>
      <c r="P1777" s="309"/>
      <c r="Q1777" s="257"/>
      <c r="R1777" s="309"/>
      <c r="S1777" s="257"/>
      <c r="T1777" s="260"/>
      <c r="U1777" s="260"/>
      <c r="V1777" s="260"/>
      <c r="W1777" s="257"/>
      <c r="X1777" s="260"/>
      <c r="Y1777" s="257"/>
      <c r="Z1777" s="260"/>
      <c r="AA1777" s="257"/>
      <c r="AB1777" s="260"/>
      <c r="AC1777" s="257"/>
    </row>
    <row r="1778" spans="1:29" ht="15.6" hidden="1" customHeight="1">
      <c r="A1778" s="284" t="e">
        <f>A1768+1</f>
        <v>#VALUE!</v>
      </c>
      <c r="B1778" s="237"/>
      <c r="C1778" s="285"/>
      <c r="D1778" s="422" t="s">
        <v>2037</v>
      </c>
      <c r="E1778" s="251"/>
      <c r="F1778" s="733"/>
      <c r="G1778" s="568"/>
      <c r="H1778" s="260"/>
      <c r="I1778" s="251"/>
      <c r="J1778" s="568"/>
      <c r="K1778" s="568"/>
      <c r="L1778" s="568"/>
      <c r="M1778" s="568"/>
      <c r="N1778" s="309"/>
      <c r="O1778" s="257">
        <f>INT($G1778*N1778*100+0.5)/100</f>
        <v>0</v>
      </c>
      <c r="P1778" s="309"/>
      <c r="Q1778" s="257">
        <f>INT($G1778*P1778*100+0.5)/100</f>
        <v>0</v>
      </c>
      <c r="R1778" s="309"/>
      <c r="S1778" s="257">
        <f>INT($G1778*R1778*100+0.5)/100</f>
        <v>0</v>
      </c>
      <c r="T1778" s="257"/>
      <c r="U1778" s="257"/>
      <c r="V1778" s="258">
        <v>0</v>
      </c>
      <c r="W1778" s="257">
        <f>INT($G1778*V1778*100+0.5)/100</f>
        <v>0</v>
      </c>
      <c r="X1778" s="258">
        <v>0</v>
      </c>
      <c r="Y1778" s="257">
        <f>INT($G1778*X1778*100+0.5)/100</f>
        <v>0</v>
      </c>
      <c r="Z1778" s="258">
        <v>0</v>
      </c>
      <c r="AA1778" s="257">
        <f>INT($G1778*Z1778*100+0.5)/100</f>
        <v>0</v>
      </c>
      <c r="AB1778" s="258">
        <v>0</v>
      </c>
      <c r="AC1778" s="257">
        <f>INT($G1778*AB1778*100+0.5)/100</f>
        <v>0</v>
      </c>
    </row>
    <row r="1779" spans="1:29" ht="15.6" hidden="1" customHeight="1">
      <c r="A1779" s="284"/>
      <c r="B1779" s="237"/>
      <c r="C1779" s="285"/>
      <c r="D1779" s="422" t="s">
        <v>682</v>
      </c>
      <c r="E1779" s="251"/>
      <c r="F1779" s="733"/>
      <c r="G1779" s="568"/>
      <c r="H1779" s="260"/>
      <c r="I1779" s="251"/>
      <c r="J1779" s="568"/>
      <c r="K1779" s="568"/>
      <c r="L1779" s="568"/>
      <c r="M1779" s="568"/>
      <c r="N1779" s="309"/>
      <c r="O1779" s="257"/>
      <c r="P1779" s="309"/>
      <c r="Q1779" s="257"/>
      <c r="R1779" s="309"/>
      <c r="S1779" s="257"/>
      <c r="T1779" s="260"/>
      <c r="U1779" s="260"/>
      <c r="V1779" s="260"/>
      <c r="W1779" s="257"/>
      <c r="X1779" s="260"/>
      <c r="Y1779" s="257"/>
      <c r="Z1779" s="260"/>
      <c r="AA1779" s="257"/>
      <c r="AB1779" s="260"/>
      <c r="AC1779" s="257"/>
    </row>
    <row r="1780" spans="1:29" ht="15.6" hidden="1" customHeight="1">
      <c r="A1780" s="284"/>
      <c r="B1780" s="237"/>
      <c r="C1780" s="285"/>
      <c r="D1780" s="422"/>
      <c r="E1780" s="251"/>
      <c r="F1780" s="733"/>
      <c r="G1780" s="568"/>
      <c r="H1780" s="260"/>
      <c r="I1780" s="251"/>
      <c r="J1780" s="568"/>
      <c r="K1780" s="568"/>
      <c r="L1780" s="568"/>
      <c r="M1780" s="568"/>
      <c r="N1780" s="309"/>
      <c r="O1780" s="257"/>
      <c r="P1780" s="309"/>
      <c r="Q1780" s="257"/>
      <c r="R1780" s="309"/>
      <c r="S1780" s="257"/>
      <c r="T1780" s="260"/>
      <c r="U1780" s="260"/>
      <c r="V1780" s="260"/>
      <c r="W1780" s="257"/>
      <c r="X1780" s="260"/>
      <c r="Y1780" s="257"/>
      <c r="Z1780" s="260"/>
      <c r="AA1780" s="257"/>
      <c r="AB1780" s="260"/>
      <c r="AC1780" s="257"/>
    </row>
    <row r="1781" spans="1:29" ht="15.6" hidden="1" customHeight="1">
      <c r="A1781" s="284" t="e">
        <f>A1778+1</f>
        <v>#VALUE!</v>
      </c>
      <c r="B1781" s="237"/>
      <c r="C1781" s="285"/>
      <c r="D1781" s="422" t="s">
        <v>2038</v>
      </c>
      <c r="E1781" s="251"/>
      <c r="F1781" s="733"/>
      <c r="G1781" s="568"/>
      <c r="H1781" s="260"/>
      <c r="I1781" s="251"/>
      <c r="J1781" s="568"/>
      <c r="K1781" s="568"/>
      <c r="L1781" s="568"/>
      <c r="M1781" s="568"/>
      <c r="N1781" s="309"/>
      <c r="O1781" s="257">
        <f>INT($G1781*N1781*100+0.5)/100</f>
        <v>0</v>
      </c>
      <c r="P1781" s="309"/>
      <c r="Q1781" s="257">
        <f>INT($G1781*P1781*100+0.5)/100</f>
        <v>0</v>
      </c>
      <c r="R1781" s="309"/>
      <c r="S1781" s="257">
        <f>INT($G1781*R1781*100+0.5)/100</f>
        <v>0</v>
      </c>
      <c r="T1781" s="257"/>
      <c r="U1781" s="257"/>
      <c r="V1781" s="258">
        <v>0</v>
      </c>
      <c r="W1781" s="257">
        <f>INT($G1781*V1781*100+0.5)/100</f>
        <v>0</v>
      </c>
      <c r="X1781" s="258">
        <v>0</v>
      </c>
      <c r="Y1781" s="257">
        <f>INT($G1781*X1781*100+0.5)/100</f>
        <v>0</v>
      </c>
      <c r="Z1781" s="258">
        <v>0</v>
      </c>
      <c r="AA1781" s="257">
        <f>INT($G1781*Z1781*100+0.5)/100</f>
        <v>0</v>
      </c>
      <c r="AB1781" s="258">
        <v>0</v>
      </c>
      <c r="AC1781" s="257">
        <f>INT($G1781*AB1781*100+0.5)/100</f>
        <v>0</v>
      </c>
    </row>
    <row r="1782" spans="1:29" ht="15.6" hidden="1" customHeight="1">
      <c r="A1782" s="284"/>
      <c r="B1782" s="237"/>
      <c r="C1782" s="285"/>
      <c r="D1782" s="422" t="s">
        <v>1033</v>
      </c>
      <c r="E1782" s="251"/>
      <c r="F1782" s="733"/>
      <c r="G1782" s="568"/>
      <c r="H1782" s="260"/>
      <c r="I1782" s="251"/>
      <c r="J1782" s="568"/>
      <c r="K1782" s="568"/>
      <c r="L1782" s="568"/>
      <c r="M1782" s="568"/>
      <c r="N1782" s="309"/>
      <c r="O1782" s="257"/>
      <c r="P1782" s="309"/>
      <c r="Q1782" s="257"/>
      <c r="R1782" s="309"/>
      <c r="S1782" s="257"/>
      <c r="T1782" s="260"/>
      <c r="U1782" s="260"/>
      <c r="V1782" s="260"/>
      <c r="W1782" s="257"/>
      <c r="X1782" s="260"/>
      <c r="Y1782" s="257"/>
      <c r="Z1782" s="260"/>
      <c r="AA1782" s="257"/>
      <c r="AB1782" s="260"/>
      <c r="AC1782" s="257"/>
    </row>
    <row r="1783" spans="1:29" ht="15.6" hidden="1" customHeight="1">
      <c r="A1783" s="284"/>
      <c r="B1783" s="237"/>
      <c r="C1783" s="285"/>
      <c r="D1783" s="422"/>
      <c r="E1783" s="251"/>
      <c r="F1783" s="733"/>
      <c r="G1783" s="568"/>
      <c r="H1783" s="260"/>
      <c r="I1783" s="251"/>
      <c r="J1783" s="568"/>
      <c r="K1783" s="568"/>
      <c r="L1783" s="568"/>
      <c r="M1783" s="568"/>
      <c r="N1783" s="309"/>
      <c r="O1783" s="257"/>
      <c r="P1783" s="309"/>
      <c r="Q1783" s="257"/>
      <c r="R1783" s="309"/>
      <c r="S1783" s="257"/>
      <c r="T1783" s="260"/>
      <c r="U1783" s="260"/>
      <c r="V1783" s="260"/>
      <c r="W1783" s="257"/>
      <c r="X1783" s="260"/>
      <c r="Y1783" s="257"/>
      <c r="Z1783" s="260"/>
      <c r="AA1783" s="257"/>
      <c r="AB1783" s="260"/>
      <c r="AC1783" s="257"/>
    </row>
    <row r="1784" spans="1:29" ht="15.6" hidden="1" customHeight="1">
      <c r="A1784" s="284" t="e">
        <f>A1781+1</f>
        <v>#VALUE!</v>
      </c>
      <c r="B1784" s="237"/>
      <c r="C1784" s="285"/>
      <c r="D1784" s="422" t="s">
        <v>2039</v>
      </c>
      <c r="E1784" s="251"/>
      <c r="F1784" s="733"/>
      <c r="G1784" s="568"/>
      <c r="H1784" s="260"/>
      <c r="I1784" s="251"/>
      <c r="J1784" s="568"/>
      <c r="K1784" s="568"/>
      <c r="L1784" s="568"/>
      <c r="M1784" s="568"/>
      <c r="N1784" s="309"/>
      <c r="O1784" s="257">
        <f>INT($G1784*N1784*100+0.5)/100</f>
        <v>0</v>
      </c>
      <c r="P1784" s="309"/>
      <c r="Q1784" s="257">
        <f>INT($G1784*P1784*100+0.5)/100</f>
        <v>0</v>
      </c>
      <c r="R1784" s="309"/>
      <c r="S1784" s="257">
        <f>INT($G1784*R1784*100+0.5)/100</f>
        <v>0</v>
      </c>
      <c r="T1784" s="257"/>
      <c r="U1784" s="257"/>
      <c r="V1784" s="258">
        <v>0</v>
      </c>
      <c r="W1784" s="257">
        <f>INT($G1784*V1784*100+0.5)/100</f>
        <v>0</v>
      </c>
      <c r="X1784" s="258">
        <v>0</v>
      </c>
      <c r="Y1784" s="257">
        <f>INT($G1784*X1784*100+0.5)/100</f>
        <v>0</v>
      </c>
      <c r="Z1784" s="258">
        <v>0</v>
      </c>
      <c r="AA1784" s="257">
        <f>INT($G1784*Z1784*100+0.5)/100</f>
        <v>0</v>
      </c>
      <c r="AB1784" s="258">
        <v>0</v>
      </c>
      <c r="AC1784" s="257">
        <f>INT($G1784*AB1784*100+0.5)/100</f>
        <v>0</v>
      </c>
    </row>
    <row r="1785" spans="1:29" ht="15.6" hidden="1" customHeight="1">
      <c r="A1785" s="284"/>
      <c r="B1785" s="237"/>
      <c r="C1785" s="285"/>
      <c r="D1785" s="422" t="s">
        <v>1034</v>
      </c>
      <c r="E1785" s="251"/>
      <c r="F1785" s="733"/>
      <c r="G1785" s="568"/>
      <c r="H1785" s="260"/>
      <c r="I1785" s="251"/>
      <c r="J1785" s="568"/>
      <c r="K1785" s="568"/>
      <c r="L1785" s="568"/>
      <c r="M1785" s="568"/>
      <c r="N1785" s="309"/>
      <c r="O1785" s="257"/>
      <c r="P1785" s="309"/>
      <c r="Q1785" s="257"/>
      <c r="R1785" s="309"/>
      <c r="S1785" s="257"/>
      <c r="T1785" s="260"/>
      <c r="U1785" s="260"/>
      <c r="V1785" s="260"/>
      <c r="W1785" s="257"/>
      <c r="X1785" s="260"/>
      <c r="Y1785" s="257"/>
      <c r="Z1785" s="260"/>
      <c r="AA1785" s="257"/>
      <c r="AB1785" s="260"/>
      <c r="AC1785" s="257"/>
    </row>
    <row r="1786" spans="1:29" ht="15.6" hidden="1" customHeight="1">
      <c r="A1786" s="284"/>
      <c r="B1786" s="237"/>
      <c r="C1786" s="285"/>
      <c r="D1786" s="422"/>
      <c r="E1786" s="251"/>
      <c r="F1786" s="733"/>
      <c r="G1786" s="568"/>
      <c r="H1786" s="260"/>
      <c r="I1786" s="251"/>
      <c r="J1786" s="568"/>
      <c r="K1786" s="568"/>
      <c r="L1786" s="568"/>
      <c r="M1786" s="568"/>
      <c r="N1786" s="309"/>
      <c r="O1786" s="257"/>
      <c r="P1786" s="309"/>
      <c r="Q1786" s="257"/>
      <c r="R1786" s="309"/>
      <c r="S1786" s="257"/>
      <c r="T1786" s="260"/>
      <c r="U1786" s="260"/>
      <c r="V1786" s="260"/>
      <c r="W1786" s="257"/>
      <c r="X1786" s="260"/>
      <c r="Y1786" s="257"/>
      <c r="Z1786" s="260"/>
      <c r="AA1786" s="257"/>
      <c r="AB1786" s="260"/>
      <c r="AC1786" s="257"/>
    </row>
    <row r="1787" spans="1:29" ht="15.6" hidden="1" customHeight="1">
      <c r="A1787" s="284" t="e">
        <f>A1784+1</f>
        <v>#VALUE!</v>
      </c>
      <c r="B1787" s="237"/>
      <c r="C1787" s="285"/>
      <c r="D1787" s="422" t="s">
        <v>2297</v>
      </c>
      <c r="E1787" s="251"/>
      <c r="F1787" s="733"/>
      <c r="G1787" s="568"/>
      <c r="H1787" s="260"/>
      <c r="I1787" s="251"/>
      <c r="J1787" s="568"/>
      <c r="K1787" s="568"/>
      <c r="L1787" s="568"/>
      <c r="M1787" s="568"/>
      <c r="N1787" s="309"/>
      <c r="O1787" s="257">
        <f>INT($G1787*N1787*100+0.5)/100</f>
        <v>0</v>
      </c>
      <c r="P1787" s="309"/>
      <c r="Q1787" s="257">
        <f>INT($G1787*P1787*100+0.5)/100</f>
        <v>0</v>
      </c>
      <c r="R1787" s="309"/>
      <c r="S1787" s="257">
        <f>INT($G1787*R1787*100+0.5)/100</f>
        <v>0</v>
      </c>
      <c r="T1787" s="257"/>
      <c r="U1787" s="257"/>
      <c r="V1787" s="258">
        <v>0</v>
      </c>
      <c r="W1787" s="257">
        <f>INT($G1787*V1787*100+0.5)/100</f>
        <v>0</v>
      </c>
      <c r="X1787" s="258">
        <v>0</v>
      </c>
      <c r="Y1787" s="257">
        <f>INT($G1787*X1787*100+0.5)/100</f>
        <v>0</v>
      </c>
      <c r="Z1787" s="258">
        <v>0</v>
      </c>
      <c r="AA1787" s="257">
        <f>INT($G1787*Z1787*100+0.5)/100</f>
        <v>0</v>
      </c>
      <c r="AB1787" s="258">
        <v>0</v>
      </c>
      <c r="AC1787" s="257">
        <f>INT($G1787*AB1787*100+0.5)/100</f>
        <v>0</v>
      </c>
    </row>
    <row r="1788" spans="1:29" ht="15.6" hidden="1" customHeight="1">
      <c r="A1788" s="284"/>
      <c r="B1788" s="237"/>
      <c r="C1788" s="285"/>
      <c r="D1788" s="422" t="s">
        <v>2298</v>
      </c>
      <c r="E1788" s="251"/>
      <c r="F1788" s="733"/>
      <c r="G1788" s="568"/>
      <c r="H1788" s="260"/>
      <c r="I1788" s="251"/>
      <c r="J1788" s="568"/>
      <c r="K1788" s="568"/>
      <c r="L1788" s="568"/>
      <c r="M1788" s="568"/>
      <c r="N1788" s="309"/>
      <c r="O1788" s="257"/>
      <c r="P1788" s="309"/>
      <c r="Q1788" s="257"/>
      <c r="R1788" s="309"/>
      <c r="S1788" s="257"/>
      <c r="T1788" s="260"/>
      <c r="U1788" s="260"/>
      <c r="V1788" s="260"/>
      <c r="W1788" s="257"/>
      <c r="X1788" s="260"/>
      <c r="Y1788" s="257"/>
      <c r="Z1788" s="260"/>
      <c r="AA1788" s="257"/>
      <c r="AB1788" s="260"/>
      <c r="AC1788" s="257"/>
    </row>
    <row r="1789" spans="1:29" ht="15.6" hidden="1" customHeight="1">
      <c r="A1789" s="284"/>
      <c r="B1789" s="237"/>
      <c r="C1789" s="285"/>
      <c r="D1789" s="422"/>
      <c r="E1789" s="251"/>
      <c r="F1789" s="733"/>
      <c r="G1789" s="568"/>
      <c r="H1789" s="260"/>
      <c r="I1789" s="251"/>
      <c r="J1789" s="568"/>
      <c r="K1789" s="568"/>
      <c r="L1789" s="568"/>
      <c r="M1789" s="568"/>
      <c r="N1789" s="309"/>
      <c r="O1789" s="257"/>
      <c r="P1789" s="309"/>
      <c r="Q1789" s="257"/>
      <c r="R1789" s="309"/>
      <c r="S1789" s="257"/>
      <c r="T1789" s="260"/>
      <c r="U1789" s="260"/>
      <c r="V1789" s="260"/>
      <c r="W1789" s="257"/>
      <c r="X1789" s="260"/>
      <c r="Y1789" s="257"/>
      <c r="Z1789" s="260"/>
      <c r="AA1789" s="257"/>
      <c r="AB1789" s="260"/>
      <c r="AC1789" s="257"/>
    </row>
    <row r="1790" spans="1:29" ht="15.6" hidden="1" customHeight="1">
      <c r="A1790" s="284" t="e">
        <f>A1787+1</f>
        <v>#VALUE!</v>
      </c>
      <c r="B1790" s="237"/>
      <c r="C1790" s="285"/>
      <c r="D1790" s="422" t="s">
        <v>2299</v>
      </c>
      <c r="E1790" s="251"/>
      <c r="F1790" s="733"/>
      <c r="G1790" s="568"/>
      <c r="H1790" s="260"/>
      <c r="I1790" s="251"/>
      <c r="J1790" s="568"/>
      <c r="K1790" s="568"/>
      <c r="L1790" s="568"/>
      <c r="M1790" s="568"/>
      <c r="N1790" s="309"/>
      <c r="O1790" s="257">
        <f>INT($G1790*N1790*100+0.5)/100</f>
        <v>0</v>
      </c>
      <c r="P1790" s="309"/>
      <c r="Q1790" s="257">
        <f>INT($G1790*P1790*100+0.5)/100</f>
        <v>0</v>
      </c>
      <c r="R1790" s="309"/>
      <c r="S1790" s="257">
        <f>INT($G1790*R1790*100+0.5)/100</f>
        <v>0</v>
      </c>
      <c r="T1790" s="257"/>
      <c r="U1790" s="257"/>
      <c r="V1790" s="258">
        <v>0</v>
      </c>
      <c r="W1790" s="257">
        <f>INT($G1790*V1790*100+0.5)/100</f>
        <v>0</v>
      </c>
      <c r="X1790" s="258">
        <v>0</v>
      </c>
      <c r="Y1790" s="257">
        <f>INT($G1790*X1790*100+0.5)/100</f>
        <v>0</v>
      </c>
      <c r="Z1790" s="258">
        <v>0</v>
      </c>
      <c r="AA1790" s="257">
        <f>INT($G1790*Z1790*100+0.5)/100</f>
        <v>0</v>
      </c>
      <c r="AB1790" s="258">
        <v>0</v>
      </c>
      <c r="AC1790" s="257">
        <f>INT($G1790*AB1790*100+0.5)/100</f>
        <v>0</v>
      </c>
    </row>
    <row r="1791" spans="1:29" ht="15.6" hidden="1" customHeight="1">
      <c r="A1791" s="284"/>
      <c r="B1791" s="237"/>
      <c r="C1791" s="285"/>
      <c r="D1791" s="422" t="s">
        <v>2300</v>
      </c>
      <c r="E1791" s="251"/>
      <c r="F1791" s="733"/>
      <c r="G1791" s="568"/>
      <c r="H1791" s="260"/>
      <c r="I1791" s="251"/>
      <c r="J1791" s="568"/>
      <c r="K1791" s="568"/>
      <c r="L1791" s="568"/>
      <c r="M1791" s="568"/>
      <c r="N1791" s="309"/>
      <c r="O1791" s="257"/>
      <c r="P1791" s="309"/>
      <c r="Q1791" s="257"/>
      <c r="R1791" s="309"/>
      <c r="S1791" s="257"/>
      <c r="T1791" s="260"/>
      <c r="U1791" s="260"/>
      <c r="V1791" s="260"/>
      <c r="W1791" s="257"/>
      <c r="X1791" s="260"/>
      <c r="Y1791" s="257"/>
      <c r="Z1791" s="260"/>
      <c r="AA1791" s="257"/>
      <c r="AB1791" s="260"/>
      <c r="AC1791" s="257"/>
    </row>
    <row r="1792" spans="1:29" ht="15.6" hidden="1" customHeight="1">
      <c r="A1792" s="284"/>
      <c r="B1792" s="237"/>
      <c r="C1792" s="285"/>
      <c r="D1792" s="422"/>
      <c r="E1792" s="251"/>
      <c r="F1792" s="733"/>
      <c r="G1792" s="568"/>
      <c r="H1792" s="260"/>
      <c r="I1792" s="251"/>
      <c r="J1792" s="568"/>
      <c r="K1792" s="568"/>
      <c r="L1792" s="568"/>
      <c r="M1792" s="568"/>
      <c r="N1792" s="309"/>
      <c r="O1792" s="257"/>
      <c r="P1792" s="309"/>
      <c r="Q1792" s="257"/>
      <c r="R1792" s="309"/>
      <c r="S1792" s="257"/>
      <c r="T1792" s="260"/>
      <c r="U1792" s="260"/>
      <c r="V1792" s="260"/>
      <c r="W1792" s="257"/>
      <c r="X1792" s="260"/>
      <c r="Y1792" s="257"/>
      <c r="Z1792" s="260"/>
      <c r="AA1792" s="257"/>
      <c r="AB1792" s="260"/>
      <c r="AC1792" s="257"/>
    </row>
    <row r="1793" spans="1:29" ht="15.6" hidden="1" customHeight="1">
      <c r="A1793" s="284" t="e">
        <f>A1790+1</f>
        <v>#VALUE!</v>
      </c>
      <c r="B1793" s="237"/>
      <c r="C1793" s="285"/>
      <c r="D1793" s="422" t="s">
        <v>2301</v>
      </c>
      <c r="E1793" s="251"/>
      <c r="F1793" s="733"/>
      <c r="G1793" s="568"/>
      <c r="H1793" s="260"/>
      <c r="I1793" s="251"/>
      <c r="J1793" s="568"/>
      <c r="K1793" s="568"/>
      <c r="L1793" s="568"/>
      <c r="M1793" s="568"/>
      <c r="N1793" s="309"/>
      <c r="O1793" s="257">
        <f>INT($G1793*N1793*100+0.5)/100</f>
        <v>0</v>
      </c>
      <c r="P1793" s="309"/>
      <c r="Q1793" s="257">
        <f>INT($G1793*P1793*100+0.5)/100</f>
        <v>0</v>
      </c>
      <c r="R1793" s="309"/>
      <c r="S1793" s="257">
        <f>INT($G1793*R1793*100+0.5)/100</f>
        <v>0</v>
      </c>
      <c r="T1793" s="257"/>
      <c r="U1793" s="257"/>
      <c r="V1793" s="258">
        <v>0</v>
      </c>
      <c r="W1793" s="257">
        <f>INT($G1793*V1793*100+0.5)/100</f>
        <v>0</v>
      </c>
      <c r="X1793" s="258">
        <v>0</v>
      </c>
      <c r="Y1793" s="257">
        <f>INT($G1793*X1793*100+0.5)/100</f>
        <v>0</v>
      </c>
      <c r="Z1793" s="258">
        <v>0</v>
      </c>
      <c r="AA1793" s="257">
        <f>INT($G1793*Z1793*100+0.5)/100</f>
        <v>0</v>
      </c>
      <c r="AB1793" s="258">
        <v>0</v>
      </c>
      <c r="AC1793" s="257">
        <f>INT($G1793*AB1793*100+0.5)/100</f>
        <v>0</v>
      </c>
    </row>
    <row r="1794" spans="1:29" ht="15.6" hidden="1" customHeight="1">
      <c r="A1794" s="284"/>
      <c r="B1794" s="237"/>
      <c r="C1794" s="285"/>
      <c r="D1794" s="422" t="s">
        <v>2302</v>
      </c>
      <c r="E1794" s="251"/>
      <c r="F1794" s="733"/>
      <c r="G1794" s="568"/>
      <c r="H1794" s="260"/>
      <c r="I1794" s="251"/>
      <c r="J1794" s="568"/>
      <c r="K1794" s="568"/>
      <c r="L1794" s="568"/>
      <c r="M1794" s="568"/>
      <c r="N1794" s="309"/>
      <c r="O1794" s="257"/>
      <c r="P1794" s="309"/>
      <c r="Q1794" s="257"/>
      <c r="R1794" s="309"/>
      <c r="S1794" s="257"/>
      <c r="T1794" s="260"/>
      <c r="U1794" s="260"/>
      <c r="V1794" s="260"/>
      <c r="W1794" s="257"/>
      <c r="X1794" s="260"/>
      <c r="Y1794" s="257"/>
      <c r="Z1794" s="260"/>
      <c r="AA1794" s="257"/>
      <c r="AB1794" s="260"/>
      <c r="AC1794" s="257"/>
    </row>
    <row r="1795" spans="1:29" ht="15.6" hidden="1" customHeight="1">
      <c r="A1795" s="284"/>
      <c r="B1795" s="237"/>
      <c r="C1795" s="285"/>
      <c r="D1795" s="422"/>
      <c r="E1795" s="251"/>
      <c r="F1795" s="733"/>
      <c r="G1795" s="568"/>
      <c r="H1795" s="260"/>
      <c r="I1795" s="251"/>
      <c r="J1795" s="568"/>
      <c r="K1795" s="568"/>
      <c r="L1795" s="568"/>
      <c r="M1795" s="568"/>
      <c r="N1795" s="309"/>
      <c r="O1795" s="257"/>
      <c r="P1795" s="309"/>
      <c r="Q1795" s="257"/>
      <c r="R1795" s="309"/>
      <c r="S1795" s="257"/>
      <c r="T1795" s="260"/>
      <c r="U1795" s="260"/>
      <c r="V1795" s="260"/>
      <c r="W1795" s="257"/>
      <c r="X1795" s="260"/>
      <c r="Y1795" s="257"/>
      <c r="Z1795" s="260"/>
      <c r="AA1795" s="257"/>
      <c r="AB1795" s="260"/>
      <c r="AC1795" s="257"/>
    </row>
    <row r="1796" spans="1:29" ht="15.6" hidden="1" customHeight="1">
      <c r="A1796" s="284" t="e">
        <f>A1793+1</f>
        <v>#VALUE!</v>
      </c>
      <c r="B1796" s="237"/>
      <c r="C1796" s="285"/>
      <c r="D1796" s="422" t="s">
        <v>2303</v>
      </c>
      <c r="E1796" s="251"/>
      <c r="F1796" s="733"/>
      <c r="G1796" s="568"/>
      <c r="H1796" s="260"/>
      <c r="I1796" s="251"/>
      <c r="J1796" s="568"/>
      <c r="K1796" s="568"/>
      <c r="L1796" s="568"/>
      <c r="M1796" s="568"/>
      <c r="N1796" s="309"/>
      <c r="O1796" s="257">
        <f>INT($G1796*N1796*100+0.5)/100</f>
        <v>0</v>
      </c>
      <c r="P1796" s="309"/>
      <c r="Q1796" s="257">
        <f>INT($G1796*P1796*100+0.5)/100</f>
        <v>0</v>
      </c>
      <c r="R1796" s="309"/>
      <c r="S1796" s="257">
        <f>INT($G1796*R1796*100+0.5)/100</f>
        <v>0</v>
      </c>
      <c r="T1796" s="257"/>
      <c r="U1796" s="257"/>
      <c r="V1796" s="258">
        <v>0</v>
      </c>
      <c r="W1796" s="257">
        <f>INT($G1796*V1796*100+0.5)/100</f>
        <v>0</v>
      </c>
      <c r="X1796" s="258">
        <v>0</v>
      </c>
      <c r="Y1796" s="257">
        <f>INT($G1796*X1796*100+0.5)/100</f>
        <v>0</v>
      </c>
      <c r="Z1796" s="258">
        <v>0</v>
      </c>
      <c r="AA1796" s="257">
        <f>INT($G1796*Z1796*100+0.5)/100</f>
        <v>0</v>
      </c>
      <c r="AB1796" s="258">
        <v>0</v>
      </c>
      <c r="AC1796" s="257">
        <f>INT($G1796*AB1796*100+0.5)/100</f>
        <v>0</v>
      </c>
    </row>
    <row r="1797" spans="1:29" ht="15.6" hidden="1" customHeight="1">
      <c r="A1797" s="284"/>
      <c r="B1797" s="237"/>
      <c r="C1797" s="285"/>
      <c r="D1797" s="422" t="s">
        <v>2304</v>
      </c>
      <c r="E1797" s="251"/>
      <c r="F1797" s="733"/>
      <c r="G1797" s="568"/>
      <c r="H1797" s="260"/>
      <c r="I1797" s="251"/>
      <c r="J1797" s="568"/>
      <c r="K1797" s="568"/>
      <c r="L1797" s="568"/>
      <c r="M1797" s="568"/>
      <c r="N1797" s="309"/>
      <c r="O1797" s="257"/>
      <c r="P1797" s="309"/>
      <c r="Q1797" s="257"/>
      <c r="R1797" s="309"/>
      <c r="S1797" s="257"/>
      <c r="T1797" s="260"/>
      <c r="U1797" s="260"/>
      <c r="V1797" s="260"/>
      <c r="W1797" s="257"/>
      <c r="X1797" s="260"/>
      <c r="Y1797" s="257"/>
      <c r="Z1797" s="260"/>
      <c r="AA1797" s="257"/>
      <c r="AB1797" s="260"/>
      <c r="AC1797" s="257"/>
    </row>
    <row r="1798" spans="1:29" ht="15.6" hidden="1" customHeight="1">
      <c r="A1798" s="284"/>
      <c r="B1798" s="237"/>
      <c r="C1798" s="285"/>
      <c r="D1798" s="422"/>
      <c r="E1798" s="251"/>
      <c r="F1798" s="733"/>
      <c r="G1798" s="568"/>
      <c r="H1798" s="260"/>
      <c r="I1798" s="251"/>
      <c r="J1798" s="568"/>
      <c r="K1798" s="568"/>
      <c r="L1798" s="568"/>
      <c r="M1798" s="568"/>
      <c r="N1798" s="309"/>
      <c r="O1798" s="257"/>
      <c r="P1798" s="309"/>
      <c r="Q1798" s="257"/>
      <c r="R1798" s="309"/>
      <c r="S1798" s="257"/>
      <c r="T1798" s="260"/>
      <c r="U1798" s="260"/>
      <c r="V1798" s="260"/>
      <c r="W1798" s="257"/>
      <c r="X1798" s="260"/>
      <c r="Y1798" s="257"/>
      <c r="Z1798" s="260"/>
      <c r="AA1798" s="257"/>
      <c r="AB1798" s="260"/>
      <c r="AC1798" s="257"/>
    </row>
    <row r="1799" spans="1:29" ht="15.6" hidden="1" customHeight="1">
      <c r="A1799" s="284" t="e">
        <f>A1796+1</f>
        <v>#VALUE!</v>
      </c>
      <c r="B1799" s="237"/>
      <c r="C1799" s="285"/>
      <c r="D1799" s="422" t="s">
        <v>2305</v>
      </c>
      <c r="E1799" s="251"/>
      <c r="F1799" s="733"/>
      <c r="G1799" s="568"/>
      <c r="H1799" s="260"/>
      <c r="I1799" s="251"/>
      <c r="J1799" s="568"/>
      <c r="K1799" s="568"/>
      <c r="L1799" s="568"/>
      <c r="M1799" s="568"/>
      <c r="N1799" s="309"/>
      <c r="O1799" s="257">
        <f>INT($G1799*N1799*100+0.5)/100</f>
        <v>0</v>
      </c>
      <c r="P1799" s="309"/>
      <c r="Q1799" s="257">
        <f>INT($G1799*P1799*100+0.5)/100</f>
        <v>0</v>
      </c>
      <c r="R1799" s="309"/>
      <c r="S1799" s="257">
        <f>INT($G1799*R1799*100+0.5)/100</f>
        <v>0</v>
      </c>
      <c r="T1799" s="257"/>
      <c r="U1799" s="257"/>
      <c r="V1799" s="258">
        <v>0</v>
      </c>
      <c r="W1799" s="257">
        <f>INT($G1799*V1799*100+0.5)/100</f>
        <v>0</v>
      </c>
      <c r="X1799" s="258">
        <v>0</v>
      </c>
      <c r="Y1799" s="257">
        <f>INT($G1799*X1799*100+0.5)/100</f>
        <v>0</v>
      </c>
      <c r="Z1799" s="258">
        <v>0</v>
      </c>
      <c r="AA1799" s="257">
        <f>INT($G1799*Z1799*100+0.5)/100</f>
        <v>0</v>
      </c>
      <c r="AB1799" s="258">
        <v>0</v>
      </c>
      <c r="AC1799" s="257">
        <f>INT($G1799*AB1799*100+0.5)/100</f>
        <v>0</v>
      </c>
    </row>
    <row r="1800" spans="1:29" ht="15.6" hidden="1" customHeight="1">
      <c r="A1800" s="284"/>
      <c r="B1800" s="237"/>
      <c r="C1800" s="285"/>
      <c r="D1800" s="422" t="s">
        <v>2306</v>
      </c>
      <c r="E1800" s="251"/>
      <c r="F1800" s="733"/>
      <c r="G1800" s="568"/>
      <c r="H1800" s="260"/>
      <c r="I1800" s="251"/>
      <c r="J1800" s="568"/>
      <c r="K1800" s="568"/>
      <c r="L1800" s="568"/>
      <c r="M1800" s="568"/>
      <c r="N1800" s="309"/>
      <c r="O1800" s="257"/>
      <c r="P1800" s="309"/>
      <c r="Q1800" s="257"/>
      <c r="R1800" s="309"/>
      <c r="S1800" s="257"/>
      <c r="T1800" s="260"/>
      <c r="U1800" s="260"/>
      <c r="V1800" s="260"/>
      <c r="W1800" s="257"/>
      <c r="X1800" s="260"/>
      <c r="Y1800" s="257"/>
      <c r="Z1800" s="260"/>
      <c r="AA1800" s="257"/>
      <c r="AB1800" s="260"/>
      <c r="AC1800" s="257"/>
    </row>
    <row r="1801" spans="1:29" ht="15.6" hidden="1" customHeight="1">
      <c r="A1801" s="284"/>
      <c r="B1801" s="237"/>
      <c r="C1801" s="285"/>
      <c r="D1801" s="422"/>
      <c r="E1801" s="251"/>
      <c r="F1801" s="733"/>
      <c r="G1801" s="568"/>
      <c r="H1801" s="260"/>
      <c r="I1801" s="251"/>
      <c r="J1801" s="568"/>
      <c r="K1801" s="568"/>
      <c r="L1801" s="568"/>
      <c r="M1801" s="568"/>
      <c r="N1801" s="309"/>
      <c r="O1801" s="257"/>
      <c r="P1801" s="309"/>
      <c r="Q1801" s="257"/>
      <c r="R1801" s="309"/>
      <c r="S1801" s="257"/>
      <c r="T1801" s="260"/>
      <c r="U1801" s="260"/>
      <c r="V1801" s="260"/>
      <c r="W1801" s="257"/>
      <c r="X1801" s="260"/>
      <c r="Y1801" s="257"/>
      <c r="Z1801" s="260"/>
      <c r="AA1801" s="257"/>
      <c r="AB1801" s="260"/>
      <c r="AC1801" s="257"/>
    </row>
    <row r="1802" spans="1:29" ht="15.6" hidden="1" customHeight="1">
      <c r="A1802" s="284" t="e">
        <f>A1799+1</f>
        <v>#VALUE!</v>
      </c>
      <c r="B1802" s="237"/>
      <c r="C1802" s="285"/>
      <c r="D1802" s="422" t="s">
        <v>2040</v>
      </c>
      <c r="E1802" s="251"/>
      <c r="F1802" s="733"/>
      <c r="G1802" s="568"/>
      <c r="H1802" s="260"/>
      <c r="I1802" s="251"/>
      <c r="J1802" s="568"/>
      <c r="K1802" s="568"/>
      <c r="L1802" s="568"/>
      <c r="M1802" s="568"/>
      <c r="N1802" s="309"/>
      <c r="O1802" s="257">
        <f>INT($G1802*N1802*100+0.5)/100</f>
        <v>0</v>
      </c>
      <c r="P1802" s="309"/>
      <c r="Q1802" s="257">
        <f>INT($G1802*P1802*100+0.5)/100</f>
        <v>0</v>
      </c>
      <c r="R1802" s="309"/>
      <c r="S1802" s="257">
        <f>INT($G1802*R1802*100+0.5)/100</f>
        <v>0</v>
      </c>
      <c r="T1802" s="257"/>
      <c r="U1802" s="257"/>
      <c r="V1802" s="258">
        <v>0</v>
      </c>
      <c r="W1802" s="257">
        <f>INT($G1802*V1802*100+0.5)/100</f>
        <v>0</v>
      </c>
      <c r="X1802" s="258">
        <v>0</v>
      </c>
      <c r="Y1802" s="257">
        <f>INT($G1802*X1802*100+0.5)/100</f>
        <v>0</v>
      </c>
      <c r="Z1802" s="258">
        <v>0</v>
      </c>
      <c r="AA1802" s="257">
        <f>INT($G1802*Z1802*100+0.5)/100</f>
        <v>0</v>
      </c>
      <c r="AB1802" s="258">
        <v>0</v>
      </c>
      <c r="AC1802" s="257">
        <f>INT($G1802*AB1802*100+0.5)/100</f>
        <v>0</v>
      </c>
    </row>
    <row r="1803" spans="1:29" ht="15.6" hidden="1" customHeight="1">
      <c r="A1803" s="284"/>
      <c r="B1803" s="237"/>
      <c r="C1803" s="285"/>
      <c r="D1803" s="422" t="s">
        <v>2307</v>
      </c>
      <c r="E1803" s="251"/>
      <c r="F1803" s="733"/>
      <c r="G1803" s="568"/>
      <c r="H1803" s="260"/>
      <c r="I1803" s="251"/>
      <c r="J1803" s="568"/>
      <c r="K1803" s="568"/>
      <c r="L1803" s="568"/>
      <c r="M1803" s="568"/>
      <c r="N1803" s="309"/>
      <c r="O1803" s="257"/>
      <c r="P1803" s="309"/>
      <c r="Q1803" s="257"/>
      <c r="R1803" s="309"/>
      <c r="S1803" s="257"/>
      <c r="T1803" s="260"/>
      <c r="U1803" s="260"/>
      <c r="V1803" s="260"/>
      <c r="W1803" s="257"/>
      <c r="X1803" s="260"/>
      <c r="Y1803" s="257"/>
      <c r="Z1803" s="260"/>
      <c r="AA1803" s="257"/>
      <c r="AB1803" s="260"/>
      <c r="AC1803" s="257"/>
    </row>
    <row r="1804" spans="1:29" ht="15.6" hidden="1" customHeight="1">
      <c r="A1804" s="284"/>
      <c r="B1804" s="237"/>
      <c r="C1804" s="285"/>
      <c r="D1804" s="422"/>
      <c r="E1804" s="251"/>
      <c r="F1804" s="733"/>
      <c r="G1804" s="568"/>
      <c r="H1804" s="260"/>
      <c r="I1804" s="251"/>
      <c r="J1804" s="568"/>
      <c r="K1804" s="568"/>
      <c r="L1804" s="568"/>
      <c r="M1804" s="568"/>
      <c r="N1804" s="309"/>
      <c r="O1804" s="257"/>
      <c r="P1804" s="309"/>
      <c r="Q1804" s="257"/>
      <c r="R1804" s="309"/>
      <c r="S1804" s="257"/>
      <c r="T1804" s="260"/>
      <c r="U1804" s="260"/>
      <c r="V1804" s="260"/>
      <c r="W1804" s="257"/>
      <c r="X1804" s="260"/>
      <c r="Y1804" s="257"/>
      <c r="Z1804" s="260"/>
      <c r="AA1804" s="257"/>
      <c r="AB1804" s="260"/>
      <c r="AC1804" s="257"/>
    </row>
    <row r="1805" spans="1:29" ht="15.6" hidden="1" customHeight="1">
      <c r="A1805" s="284" t="e">
        <f>A1802+1</f>
        <v>#VALUE!</v>
      </c>
      <c r="B1805" s="237"/>
      <c r="C1805" s="285"/>
      <c r="D1805" s="422" t="s">
        <v>2308</v>
      </c>
      <c r="E1805" s="251"/>
      <c r="F1805" s="733"/>
      <c r="G1805" s="568"/>
      <c r="H1805" s="260"/>
      <c r="I1805" s="251"/>
      <c r="J1805" s="568"/>
      <c r="K1805" s="568"/>
      <c r="L1805" s="568"/>
      <c r="M1805" s="568"/>
      <c r="N1805" s="309"/>
      <c r="O1805" s="257">
        <f>INT($G1805*N1805*100+0.5)/100</f>
        <v>0</v>
      </c>
      <c r="P1805" s="309"/>
      <c r="Q1805" s="257">
        <f>INT($G1805*P1805*100+0.5)/100</f>
        <v>0</v>
      </c>
      <c r="R1805" s="309"/>
      <c r="S1805" s="257">
        <f>INT($G1805*R1805*100+0.5)/100</f>
        <v>0</v>
      </c>
      <c r="T1805" s="257"/>
      <c r="U1805" s="257"/>
      <c r="V1805" s="258">
        <v>0</v>
      </c>
      <c r="W1805" s="257">
        <f>INT($G1805*V1805*100+0.5)/100</f>
        <v>0</v>
      </c>
      <c r="X1805" s="258">
        <v>0</v>
      </c>
      <c r="Y1805" s="257">
        <f>INT($G1805*X1805*100+0.5)/100</f>
        <v>0</v>
      </c>
      <c r="Z1805" s="258">
        <v>0</v>
      </c>
      <c r="AA1805" s="257">
        <f>INT($G1805*Z1805*100+0.5)/100</f>
        <v>0</v>
      </c>
      <c r="AB1805" s="258">
        <v>0</v>
      </c>
      <c r="AC1805" s="257">
        <f>INT($G1805*AB1805*100+0.5)/100</f>
        <v>0</v>
      </c>
    </row>
    <row r="1806" spans="1:29" ht="15.6" hidden="1" customHeight="1">
      <c r="A1806" s="284"/>
      <c r="B1806" s="237"/>
      <c r="C1806" s="285"/>
      <c r="D1806" s="422" t="s">
        <v>2309</v>
      </c>
      <c r="E1806" s="251"/>
      <c r="F1806" s="733"/>
      <c r="G1806" s="568"/>
      <c r="H1806" s="260"/>
      <c r="I1806" s="251"/>
      <c r="J1806" s="568"/>
      <c r="K1806" s="568"/>
      <c r="L1806" s="568"/>
      <c r="M1806" s="568"/>
      <c r="N1806" s="309"/>
      <c r="O1806" s="257"/>
      <c r="P1806" s="309"/>
      <c r="Q1806" s="257"/>
      <c r="R1806" s="309"/>
      <c r="S1806" s="257"/>
      <c r="T1806" s="260"/>
      <c r="U1806" s="260"/>
      <c r="V1806" s="260"/>
      <c r="W1806" s="257"/>
      <c r="X1806" s="260"/>
      <c r="Y1806" s="257"/>
      <c r="Z1806" s="260"/>
      <c r="AA1806" s="257"/>
      <c r="AB1806" s="260"/>
      <c r="AC1806" s="257"/>
    </row>
    <row r="1807" spans="1:29" ht="15.6" hidden="1" customHeight="1">
      <c r="A1807" s="284"/>
      <c r="B1807" s="237"/>
      <c r="C1807" s="285"/>
      <c r="D1807" s="422"/>
      <c r="E1807" s="251"/>
      <c r="F1807" s="733"/>
      <c r="G1807" s="568"/>
      <c r="H1807" s="260"/>
      <c r="I1807" s="251"/>
      <c r="J1807" s="568"/>
      <c r="K1807" s="568"/>
      <c r="L1807" s="568"/>
      <c r="M1807" s="568"/>
      <c r="N1807" s="309"/>
      <c r="O1807" s="257"/>
      <c r="P1807" s="309"/>
      <c r="Q1807" s="257"/>
      <c r="R1807" s="309"/>
      <c r="S1807" s="257"/>
      <c r="T1807" s="260"/>
      <c r="U1807" s="260"/>
      <c r="V1807" s="260"/>
      <c r="W1807" s="257"/>
      <c r="X1807" s="260"/>
      <c r="Y1807" s="257"/>
      <c r="Z1807" s="260"/>
      <c r="AA1807" s="257"/>
      <c r="AB1807" s="260"/>
      <c r="AC1807" s="257"/>
    </row>
    <row r="1808" spans="1:29" ht="15.6" hidden="1" customHeight="1">
      <c r="A1808" s="284" t="e">
        <f>A1805+1</f>
        <v>#VALUE!</v>
      </c>
      <c r="B1808" s="237"/>
      <c r="C1808" s="285"/>
      <c r="D1808" s="422" t="s">
        <v>2310</v>
      </c>
      <c r="E1808" s="251"/>
      <c r="F1808" s="733"/>
      <c r="G1808" s="568"/>
      <c r="H1808" s="260"/>
      <c r="I1808" s="251"/>
      <c r="J1808" s="568"/>
      <c r="K1808" s="568"/>
      <c r="L1808" s="568"/>
      <c r="M1808" s="568"/>
      <c r="N1808" s="309"/>
      <c r="O1808" s="257">
        <f>INT($G1808*N1808*100+0.5)/100</f>
        <v>0</v>
      </c>
      <c r="P1808" s="309"/>
      <c r="Q1808" s="257">
        <f>INT($G1808*P1808*100+0.5)/100</f>
        <v>0</v>
      </c>
      <c r="R1808" s="309"/>
      <c r="S1808" s="257">
        <f>INT($G1808*R1808*100+0.5)/100</f>
        <v>0</v>
      </c>
      <c r="T1808" s="257"/>
      <c r="U1808" s="257"/>
      <c r="V1808" s="258">
        <v>0</v>
      </c>
      <c r="W1808" s="257">
        <f>INT($G1808*V1808*100+0.5)/100</f>
        <v>0</v>
      </c>
      <c r="X1808" s="258">
        <v>0</v>
      </c>
      <c r="Y1808" s="257">
        <f>INT($G1808*X1808*100+0.5)/100</f>
        <v>0</v>
      </c>
      <c r="Z1808" s="258">
        <v>0</v>
      </c>
      <c r="AA1808" s="257">
        <f>INT($G1808*Z1808*100+0.5)/100</f>
        <v>0</v>
      </c>
      <c r="AB1808" s="258">
        <v>0</v>
      </c>
      <c r="AC1808" s="257">
        <f>INT($G1808*AB1808*100+0.5)/100</f>
        <v>0</v>
      </c>
    </row>
    <row r="1809" spans="1:29" ht="15.6" hidden="1" customHeight="1">
      <c r="A1809" s="284"/>
      <c r="B1809" s="237"/>
      <c r="C1809" s="285"/>
      <c r="D1809" s="422" t="s">
        <v>2311</v>
      </c>
      <c r="E1809" s="251"/>
      <c r="F1809" s="733"/>
      <c r="G1809" s="568"/>
      <c r="H1809" s="260"/>
      <c r="I1809" s="251"/>
      <c r="J1809" s="568"/>
      <c r="K1809" s="568"/>
      <c r="L1809" s="568"/>
      <c r="M1809" s="568"/>
      <c r="N1809" s="309"/>
      <c r="O1809" s="257"/>
      <c r="P1809" s="309"/>
      <c r="Q1809" s="257"/>
      <c r="R1809" s="309"/>
      <c r="S1809" s="257"/>
      <c r="T1809" s="260"/>
      <c r="U1809" s="260"/>
      <c r="V1809" s="260"/>
      <c r="W1809" s="257"/>
      <c r="X1809" s="260"/>
      <c r="Y1809" s="257"/>
      <c r="Z1809" s="260"/>
      <c r="AA1809" s="257"/>
      <c r="AB1809" s="260"/>
      <c r="AC1809" s="257"/>
    </row>
    <row r="1810" spans="1:29" ht="15.6" hidden="1" customHeight="1">
      <c r="A1810" s="284"/>
      <c r="B1810" s="237"/>
      <c r="C1810" s="285"/>
      <c r="D1810" s="422"/>
      <c r="E1810" s="251"/>
      <c r="F1810" s="733"/>
      <c r="G1810" s="568"/>
      <c r="H1810" s="260"/>
      <c r="I1810" s="251"/>
      <c r="J1810" s="568"/>
      <c r="K1810" s="568"/>
      <c r="L1810" s="568"/>
      <c r="M1810" s="568"/>
      <c r="N1810" s="309"/>
      <c r="O1810" s="257"/>
      <c r="P1810" s="309"/>
      <c r="Q1810" s="257"/>
      <c r="R1810" s="309"/>
      <c r="S1810" s="257"/>
      <c r="T1810" s="260"/>
      <c r="U1810" s="260"/>
      <c r="V1810" s="260"/>
      <c r="W1810" s="257"/>
      <c r="X1810" s="260"/>
      <c r="Y1810" s="257"/>
      <c r="Z1810" s="260"/>
      <c r="AA1810" s="257"/>
      <c r="AB1810" s="260"/>
      <c r="AC1810" s="257"/>
    </row>
    <row r="1811" spans="1:29" ht="15.6" hidden="1" customHeight="1">
      <c r="A1811" s="284" t="e">
        <f>A1808+1</f>
        <v>#VALUE!</v>
      </c>
      <c r="B1811" s="237"/>
      <c r="C1811" s="285"/>
      <c r="D1811" s="422" t="s">
        <v>2312</v>
      </c>
      <c r="E1811" s="251"/>
      <c r="F1811" s="733"/>
      <c r="G1811" s="568"/>
      <c r="H1811" s="260"/>
      <c r="I1811" s="251"/>
      <c r="J1811" s="568"/>
      <c r="K1811" s="568"/>
      <c r="L1811" s="568"/>
      <c r="M1811" s="568"/>
      <c r="N1811" s="309"/>
      <c r="O1811" s="257">
        <f>INT($G1811*N1811*100+0.5)/100</f>
        <v>0</v>
      </c>
      <c r="P1811" s="309"/>
      <c r="Q1811" s="257">
        <f>INT($G1811*P1811*100+0.5)/100</f>
        <v>0</v>
      </c>
      <c r="R1811" s="309"/>
      <c r="S1811" s="257">
        <f>INT($G1811*R1811*100+0.5)/100</f>
        <v>0</v>
      </c>
      <c r="T1811" s="257"/>
      <c r="U1811" s="257"/>
      <c r="V1811" s="258">
        <v>0</v>
      </c>
      <c r="W1811" s="257">
        <f>INT($G1811*V1811*100+0.5)/100</f>
        <v>0</v>
      </c>
      <c r="X1811" s="258">
        <v>0</v>
      </c>
      <c r="Y1811" s="257">
        <f>INT($G1811*X1811*100+0.5)/100</f>
        <v>0</v>
      </c>
      <c r="Z1811" s="258">
        <v>0</v>
      </c>
      <c r="AA1811" s="257">
        <f>INT($G1811*Z1811*100+0.5)/100</f>
        <v>0</v>
      </c>
      <c r="AB1811" s="258">
        <v>0</v>
      </c>
      <c r="AC1811" s="257">
        <f>INT($G1811*AB1811*100+0.5)/100</f>
        <v>0</v>
      </c>
    </row>
    <row r="1812" spans="1:29" ht="15.6" hidden="1" customHeight="1">
      <c r="A1812" s="284"/>
      <c r="B1812" s="237"/>
      <c r="C1812" s="285"/>
      <c r="D1812" s="422" t="s">
        <v>2313</v>
      </c>
      <c r="E1812" s="251"/>
      <c r="F1812" s="733"/>
      <c r="G1812" s="568"/>
      <c r="H1812" s="260"/>
      <c r="I1812" s="251"/>
      <c r="J1812" s="568"/>
      <c r="K1812" s="568"/>
      <c r="L1812" s="568"/>
      <c r="M1812" s="568"/>
      <c r="N1812" s="309"/>
      <c r="O1812" s="257"/>
      <c r="P1812" s="309"/>
      <c r="Q1812" s="257"/>
      <c r="R1812" s="309"/>
      <c r="S1812" s="257"/>
      <c r="T1812" s="260"/>
      <c r="U1812" s="260"/>
      <c r="V1812" s="260"/>
      <c r="W1812" s="257"/>
      <c r="X1812" s="260"/>
      <c r="Y1812" s="257"/>
      <c r="Z1812" s="260"/>
      <c r="AA1812" s="257"/>
      <c r="AB1812" s="260"/>
      <c r="AC1812" s="257"/>
    </row>
    <row r="1813" spans="1:29" ht="15.6" hidden="1" customHeight="1">
      <c r="A1813" s="284"/>
      <c r="B1813" s="237"/>
      <c r="C1813" s="285"/>
      <c r="D1813" s="422"/>
      <c r="E1813" s="251"/>
      <c r="F1813" s="733"/>
      <c r="G1813" s="568"/>
      <c r="H1813" s="260"/>
      <c r="I1813" s="251"/>
      <c r="J1813" s="568"/>
      <c r="K1813" s="568"/>
      <c r="L1813" s="568"/>
      <c r="M1813" s="568"/>
      <c r="N1813" s="309"/>
      <c r="O1813" s="257"/>
      <c r="P1813" s="309"/>
      <c r="Q1813" s="257"/>
      <c r="R1813" s="309"/>
      <c r="S1813" s="257"/>
      <c r="T1813" s="260"/>
      <c r="U1813" s="260"/>
      <c r="V1813" s="260"/>
      <c r="W1813" s="257"/>
      <c r="X1813" s="260"/>
      <c r="Y1813" s="257"/>
      <c r="Z1813" s="260"/>
      <c r="AA1813" s="257"/>
      <c r="AB1813" s="260"/>
      <c r="AC1813" s="257"/>
    </row>
    <row r="1814" spans="1:29" ht="15.6" hidden="1" customHeight="1">
      <c r="A1814" s="284"/>
      <c r="B1814" s="237"/>
      <c r="C1814" s="285"/>
      <c r="D1814" s="335" t="s">
        <v>217</v>
      </c>
      <c r="E1814" s="251"/>
      <c r="F1814" s="733"/>
      <c r="G1814" s="568"/>
      <c r="H1814" s="260"/>
      <c r="I1814" s="251"/>
      <c r="J1814" s="568"/>
      <c r="K1814" s="568"/>
      <c r="L1814" s="568"/>
      <c r="M1814" s="568"/>
      <c r="N1814" s="309"/>
      <c r="O1814" s="257"/>
      <c r="P1814" s="309"/>
      <c r="Q1814" s="257"/>
      <c r="R1814" s="309"/>
      <c r="S1814" s="257"/>
      <c r="T1814" s="260"/>
      <c r="U1814" s="260"/>
      <c r="V1814" s="260"/>
      <c r="W1814" s="257"/>
      <c r="X1814" s="260"/>
      <c r="Y1814" s="257"/>
      <c r="Z1814" s="260"/>
      <c r="AA1814" s="257"/>
      <c r="AB1814" s="260"/>
      <c r="AC1814" s="257"/>
    </row>
    <row r="1815" spans="1:29" ht="15.6" hidden="1" customHeight="1">
      <c r="A1815" s="284"/>
      <c r="B1815" s="237"/>
      <c r="C1815" s="285"/>
      <c r="D1815" s="335" t="s">
        <v>1765</v>
      </c>
      <c r="E1815" s="251"/>
      <c r="F1815" s="733"/>
      <c r="G1815" s="568"/>
      <c r="H1815" s="260"/>
      <c r="I1815" s="251"/>
      <c r="J1815" s="568"/>
      <c r="K1815" s="568"/>
      <c r="L1815" s="568"/>
      <c r="M1815" s="568"/>
      <c r="N1815" s="309"/>
      <c r="O1815" s="257"/>
      <c r="P1815" s="309"/>
      <c r="Q1815" s="257"/>
      <c r="R1815" s="309"/>
      <c r="S1815" s="257"/>
      <c r="T1815" s="260"/>
      <c r="U1815" s="260"/>
      <c r="V1815" s="260"/>
      <c r="W1815" s="257"/>
      <c r="X1815" s="260"/>
      <c r="Y1815" s="257"/>
      <c r="Z1815" s="260"/>
      <c r="AA1815" s="257"/>
      <c r="AB1815" s="260"/>
      <c r="AC1815" s="257"/>
    </row>
    <row r="1816" spans="1:29" ht="26.45" hidden="1" customHeight="1">
      <c r="A1816" s="284" t="e">
        <f>A1811+1</f>
        <v>#VALUE!</v>
      </c>
      <c r="B1816" s="237"/>
      <c r="C1816" s="285"/>
      <c r="D1816" s="422" t="s">
        <v>2041</v>
      </c>
      <c r="E1816" s="251"/>
      <c r="F1816" s="733"/>
      <c r="G1816" s="568"/>
      <c r="H1816" s="260"/>
      <c r="I1816" s="251"/>
      <c r="J1816" s="568"/>
      <c r="K1816" s="568"/>
      <c r="L1816" s="568"/>
      <c r="M1816" s="568"/>
      <c r="N1816" s="309"/>
      <c r="O1816" s="257">
        <f>INT($G1816*N1816*100+0.5)/100</f>
        <v>0</v>
      </c>
      <c r="P1816" s="309"/>
      <c r="Q1816" s="257">
        <f>INT($G1816*P1816*100+0.5)/100</f>
        <v>0</v>
      </c>
      <c r="R1816" s="309"/>
      <c r="S1816" s="257">
        <f>INT($G1816*R1816*100+0.5)/100</f>
        <v>0</v>
      </c>
      <c r="T1816" s="257"/>
      <c r="U1816" s="257"/>
      <c r="V1816" s="258">
        <v>0</v>
      </c>
      <c r="W1816" s="257">
        <f>INT($G1816*V1816*100+0.5)/100</f>
        <v>0</v>
      </c>
      <c r="X1816" s="258">
        <v>0</v>
      </c>
      <c r="Y1816" s="257">
        <f>INT($G1816*X1816*100+0.5)/100</f>
        <v>0</v>
      </c>
      <c r="Z1816" s="258">
        <v>0</v>
      </c>
      <c r="AA1816" s="257">
        <f>INT($G1816*Z1816*100+0.5)/100</f>
        <v>0</v>
      </c>
      <c r="AB1816" s="258">
        <v>0</v>
      </c>
      <c r="AC1816" s="257">
        <f>INT($G1816*AB1816*100+0.5)/100</f>
        <v>0</v>
      </c>
    </row>
    <row r="1817" spans="1:29" ht="26.45" hidden="1" customHeight="1">
      <c r="A1817" s="284"/>
      <c r="B1817" s="237"/>
      <c r="C1817" s="285"/>
      <c r="D1817" s="422" t="s">
        <v>357</v>
      </c>
      <c r="E1817" s="251"/>
      <c r="F1817" s="733"/>
      <c r="G1817" s="568"/>
      <c r="H1817" s="260"/>
      <c r="I1817" s="251"/>
      <c r="J1817" s="568"/>
      <c r="K1817" s="568"/>
      <c r="L1817" s="568"/>
      <c r="M1817" s="568"/>
      <c r="N1817" s="309"/>
      <c r="O1817" s="257"/>
      <c r="P1817" s="309"/>
      <c r="Q1817" s="257"/>
      <c r="R1817" s="309"/>
      <c r="S1817" s="257"/>
      <c r="T1817" s="260"/>
      <c r="U1817" s="260"/>
      <c r="V1817" s="260"/>
      <c r="W1817" s="257"/>
      <c r="X1817" s="260"/>
      <c r="Y1817" s="257"/>
      <c r="Z1817" s="260"/>
      <c r="AA1817" s="257"/>
      <c r="AB1817" s="260"/>
      <c r="AC1817" s="257"/>
    </row>
    <row r="1818" spans="1:29" ht="15.6" hidden="1" customHeight="1">
      <c r="A1818" s="284"/>
      <c r="B1818" s="237"/>
      <c r="C1818" s="285"/>
      <c r="D1818" s="422"/>
      <c r="E1818" s="251"/>
      <c r="F1818" s="733"/>
      <c r="G1818" s="568"/>
      <c r="H1818" s="260"/>
      <c r="I1818" s="251"/>
      <c r="J1818" s="568"/>
      <c r="K1818" s="568"/>
      <c r="L1818" s="568"/>
      <c r="M1818" s="568"/>
      <c r="N1818" s="309"/>
      <c r="O1818" s="257"/>
      <c r="P1818" s="309"/>
      <c r="Q1818" s="257"/>
      <c r="R1818" s="309"/>
      <c r="S1818" s="257"/>
      <c r="T1818" s="260"/>
      <c r="U1818" s="260"/>
      <c r="V1818" s="260"/>
      <c r="W1818" s="257"/>
      <c r="X1818" s="260"/>
      <c r="Y1818" s="257"/>
      <c r="Z1818" s="260"/>
      <c r="AA1818" s="257"/>
      <c r="AB1818" s="260"/>
      <c r="AC1818" s="257"/>
    </row>
    <row r="1819" spans="1:29" ht="26.45" hidden="1" customHeight="1">
      <c r="A1819" s="284" t="e">
        <f>A1816+1</f>
        <v>#VALUE!</v>
      </c>
      <c r="B1819" s="237"/>
      <c r="C1819" s="285"/>
      <c r="D1819" s="422" t="s">
        <v>2042</v>
      </c>
      <c r="E1819" s="251"/>
      <c r="F1819" s="733"/>
      <c r="G1819" s="568"/>
      <c r="H1819" s="260"/>
      <c r="I1819" s="251"/>
      <c r="J1819" s="568"/>
      <c r="K1819" s="568"/>
      <c r="L1819" s="568"/>
      <c r="M1819" s="568"/>
      <c r="N1819" s="309"/>
      <c r="O1819" s="257">
        <f>INT($G1819*N1819*100+0.5)/100</f>
        <v>0</v>
      </c>
      <c r="P1819" s="309"/>
      <c r="Q1819" s="257">
        <f>INT($G1819*P1819*100+0.5)/100</f>
        <v>0</v>
      </c>
      <c r="R1819" s="309"/>
      <c r="S1819" s="257">
        <f>INT($G1819*R1819*100+0.5)/100</f>
        <v>0</v>
      </c>
      <c r="T1819" s="257"/>
      <c r="U1819" s="257"/>
      <c r="V1819" s="258">
        <v>0</v>
      </c>
      <c r="W1819" s="257">
        <f>INT($G1819*V1819*100+0.5)/100</f>
        <v>0</v>
      </c>
      <c r="X1819" s="258">
        <v>0</v>
      </c>
      <c r="Y1819" s="257">
        <f>INT($G1819*X1819*100+0.5)/100</f>
        <v>0</v>
      </c>
      <c r="Z1819" s="258">
        <v>0</v>
      </c>
      <c r="AA1819" s="257">
        <f>INT($G1819*Z1819*100+0.5)/100</f>
        <v>0</v>
      </c>
      <c r="AB1819" s="258">
        <v>0</v>
      </c>
      <c r="AC1819" s="257">
        <f>INT($G1819*AB1819*100+0.5)/100</f>
        <v>0</v>
      </c>
    </row>
    <row r="1820" spans="1:29" ht="26.45" hidden="1" customHeight="1">
      <c r="A1820" s="284"/>
      <c r="B1820" s="237"/>
      <c r="C1820" s="285"/>
      <c r="D1820" s="422" t="s">
        <v>358</v>
      </c>
      <c r="E1820" s="251"/>
      <c r="F1820" s="733"/>
      <c r="G1820" s="568"/>
      <c r="H1820" s="260"/>
      <c r="I1820" s="251"/>
      <c r="J1820" s="568"/>
      <c r="K1820" s="568"/>
      <c r="L1820" s="568"/>
      <c r="M1820" s="568"/>
      <c r="N1820" s="309"/>
      <c r="O1820" s="257"/>
      <c r="P1820" s="309"/>
      <c r="Q1820" s="257"/>
      <c r="R1820" s="309"/>
      <c r="S1820" s="257"/>
      <c r="T1820" s="260"/>
      <c r="U1820" s="260"/>
      <c r="V1820" s="260"/>
      <c r="W1820" s="257"/>
      <c r="X1820" s="260"/>
      <c r="Y1820" s="257"/>
      <c r="Z1820" s="260"/>
      <c r="AA1820" s="257"/>
      <c r="AB1820" s="260"/>
      <c r="AC1820" s="257"/>
    </row>
    <row r="1821" spans="1:29" ht="15.6" hidden="1" customHeight="1">
      <c r="A1821" s="284"/>
      <c r="B1821" s="237"/>
      <c r="C1821" s="285"/>
      <c r="D1821" s="422"/>
      <c r="E1821" s="251"/>
      <c r="F1821" s="733"/>
      <c r="G1821" s="568"/>
      <c r="H1821" s="260"/>
      <c r="I1821" s="251"/>
      <c r="J1821" s="568"/>
      <c r="K1821" s="568"/>
      <c r="L1821" s="568"/>
      <c r="M1821" s="568"/>
      <c r="N1821" s="309"/>
      <c r="O1821" s="257"/>
      <c r="P1821" s="309"/>
      <c r="Q1821" s="257"/>
      <c r="R1821" s="309"/>
      <c r="S1821" s="257"/>
      <c r="T1821" s="260"/>
      <c r="U1821" s="260"/>
      <c r="V1821" s="260"/>
      <c r="W1821" s="257"/>
      <c r="X1821" s="260"/>
      <c r="Y1821" s="257"/>
      <c r="Z1821" s="260"/>
      <c r="AA1821" s="257"/>
      <c r="AB1821" s="260"/>
      <c r="AC1821" s="257"/>
    </row>
    <row r="1822" spans="1:29" ht="15.6" hidden="1" customHeight="1">
      <c r="A1822" s="284" t="e">
        <f>A1819+1</f>
        <v>#VALUE!</v>
      </c>
      <c r="B1822" s="237"/>
      <c r="C1822" s="285"/>
      <c r="D1822" s="422" t="s">
        <v>2043</v>
      </c>
      <c r="E1822" s="251"/>
      <c r="F1822" s="733"/>
      <c r="G1822" s="568"/>
      <c r="H1822" s="260"/>
      <c r="I1822" s="251"/>
      <c r="J1822" s="568"/>
      <c r="K1822" s="568"/>
      <c r="L1822" s="568"/>
      <c r="M1822" s="568"/>
      <c r="N1822" s="309"/>
      <c r="O1822" s="257">
        <f>INT($G1822*N1822*100+0.5)/100</f>
        <v>0</v>
      </c>
      <c r="P1822" s="309"/>
      <c r="Q1822" s="257">
        <f>INT($G1822*P1822*100+0.5)/100</f>
        <v>0</v>
      </c>
      <c r="R1822" s="309"/>
      <c r="S1822" s="257">
        <f>INT($G1822*R1822*100+0.5)/100</f>
        <v>0</v>
      </c>
      <c r="T1822" s="257"/>
      <c r="U1822" s="257"/>
      <c r="V1822" s="258">
        <v>0</v>
      </c>
      <c r="W1822" s="257">
        <f>INT($G1822*V1822*100+0.5)/100</f>
        <v>0</v>
      </c>
      <c r="X1822" s="258">
        <v>0</v>
      </c>
      <c r="Y1822" s="257">
        <f>INT($G1822*X1822*100+0.5)/100</f>
        <v>0</v>
      </c>
      <c r="Z1822" s="258">
        <v>0</v>
      </c>
      <c r="AA1822" s="257">
        <f>INT($G1822*Z1822*100+0.5)/100</f>
        <v>0</v>
      </c>
      <c r="AB1822" s="258">
        <v>0</v>
      </c>
      <c r="AC1822" s="257">
        <f>INT($G1822*AB1822*100+0.5)/100</f>
        <v>0</v>
      </c>
    </row>
    <row r="1823" spans="1:29" ht="15.6" hidden="1" customHeight="1">
      <c r="A1823" s="284"/>
      <c r="B1823" s="237"/>
      <c r="C1823" s="285"/>
      <c r="D1823" s="422" t="s">
        <v>359</v>
      </c>
      <c r="E1823" s="251"/>
      <c r="F1823" s="733"/>
      <c r="G1823" s="568"/>
      <c r="H1823" s="260"/>
      <c r="I1823" s="251"/>
      <c r="J1823" s="568"/>
      <c r="K1823" s="568"/>
      <c r="L1823" s="568"/>
      <c r="M1823" s="568"/>
      <c r="N1823" s="309"/>
      <c r="O1823" s="257"/>
      <c r="P1823" s="309"/>
      <c r="Q1823" s="257"/>
      <c r="R1823" s="309"/>
      <c r="S1823" s="257"/>
      <c r="T1823" s="260"/>
      <c r="U1823" s="260"/>
      <c r="V1823" s="260"/>
      <c r="W1823" s="257"/>
      <c r="X1823" s="260"/>
      <c r="Y1823" s="257"/>
      <c r="Z1823" s="260"/>
      <c r="AA1823" s="257"/>
      <c r="AB1823" s="260"/>
      <c r="AC1823" s="257"/>
    </row>
    <row r="1824" spans="1:29" ht="15.6" hidden="1" customHeight="1">
      <c r="A1824" s="284"/>
      <c r="B1824" s="237"/>
      <c r="C1824" s="285"/>
      <c r="D1824" s="422"/>
      <c r="E1824" s="251"/>
      <c r="F1824" s="733"/>
      <c r="G1824" s="568"/>
      <c r="H1824" s="260"/>
      <c r="I1824" s="251"/>
      <c r="J1824" s="568"/>
      <c r="K1824" s="568"/>
      <c r="L1824" s="568"/>
      <c r="M1824" s="568"/>
      <c r="N1824" s="309"/>
      <c r="O1824" s="257"/>
      <c r="P1824" s="309"/>
      <c r="Q1824" s="257"/>
      <c r="R1824" s="309"/>
      <c r="S1824" s="257"/>
      <c r="T1824" s="260"/>
      <c r="U1824" s="260"/>
      <c r="V1824" s="260"/>
      <c r="W1824" s="257"/>
      <c r="X1824" s="260"/>
      <c r="Y1824" s="257"/>
      <c r="Z1824" s="260"/>
      <c r="AA1824" s="257"/>
      <c r="AB1824" s="260"/>
      <c r="AC1824" s="257"/>
    </row>
    <row r="1825" spans="1:29" ht="15.6" hidden="1" customHeight="1">
      <c r="A1825" s="284" t="e">
        <f>A1822+1</f>
        <v>#VALUE!</v>
      </c>
      <c r="B1825" s="237"/>
      <c r="C1825" s="285"/>
      <c r="D1825" s="422" t="s">
        <v>2044</v>
      </c>
      <c r="E1825" s="251"/>
      <c r="F1825" s="733"/>
      <c r="G1825" s="568"/>
      <c r="H1825" s="260"/>
      <c r="I1825" s="251"/>
      <c r="J1825" s="568"/>
      <c r="K1825" s="568"/>
      <c r="L1825" s="568"/>
      <c r="M1825" s="568"/>
      <c r="N1825" s="309"/>
      <c r="O1825" s="257">
        <f>INT($G1825*N1825*100+0.5)/100</f>
        <v>0</v>
      </c>
      <c r="P1825" s="309"/>
      <c r="Q1825" s="257">
        <f>INT($G1825*P1825*100+0.5)/100</f>
        <v>0</v>
      </c>
      <c r="R1825" s="309"/>
      <c r="S1825" s="257">
        <f>INT($G1825*R1825*100+0.5)/100</f>
        <v>0</v>
      </c>
      <c r="T1825" s="257"/>
      <c r="U1825" s="257"/>
      <c r="V1825" s="258">
        <v>0</v>
      </c>
      <c r="W1825" s="257">
        <f>INT($G1825*V1825*100+0.5)/100</f>
        <v>0</v>
      </c>
      <c r="X1825" s="258">
        <v>0</v>
      </c>
      <c r="Y1825" s="257">
        <f>INT($G1825*X1825*100+0.5)/100</f>
        <v>0</v>
      </c>
      <c r="Z1825" s="258">
        <v>0</v>
      </c>
      <c r="AA1825" s="257">
        <f>INT($G1825*Z1825*100+0.5)/100</f>
        <v>0</v>
      </c>
      <c r="AB1825" s="258">
        <v>0</v>
      </c>
      <c r="AC1825" s="257">
        <f>INT($G1825*AB1825*100+0.5)/100</f>
        <v>0</v>
      </c>
    </row>
    <row r="1826" spans="1:29" ht="15.6" hidden="1" customHeight="1">
      <c r="A1826" s="284"/>
      <c r="B1826" s="237"/>
      <c r="C1826" s="285"/>
      <c r="D1826" s="422" t="s">
        <v>360</v>
      </c>
      <c r="E1826" s="251"/>
      <c r="F1826" s="733"/>
      <c r="G1826" s="568"/>
      <c r="H1826" s="260"/>
      <c r="I1826" s="251"/>
      <c r="J1826" s="568"/>
      <c r="K1826" s="568"/>
      <c r="L1826" s="568"/>
      <c r="M1826" s="568"/>
      <c r="N1826" s="309"/>
      <c r="O1826" s="257"/>
      <c r="P1826" s="309"/>
      <c r="Q1826" s="257"/>
      <c r="R1826" s="309"/>
      <c r="S1826" s="257"/>
      <c r="T1826" s="260"/>
      <c r="U1826" s="260"/>
      <c r="V1826" s="260"/>
      <c r="W1826" s="257"/>
      <c r="X1826" s="260"/>
      <c r="Y1826" s="257"/>
      <c r="Z1826" s="260"/>
      <c r="AA1826" s="257"/>
      <c r="AB1826" s="260"/>
      <c r="AC1826" s="257"/>
    </row>
    <row r="1827" spans="1:29" ht="15.6" hidden="1" customHeight="1">
      <c r="A1827" s="284"/>
      <c r="B1827" s="237"/>
      <c r="C1827" s="285"/>
      <c r="D1827" s="422"/>
      <c r="E1827" s="251"/>
      <c r="F1827" s="733"/>
      <c r="G1827" s="568"/>
      <c r="H1827" s="260"/>
      <c r="I1827" s="251"/>
      <c r="J1827" s="568"/>
      <c r="K1827" s="568"/>
      <c r="L1827" s="568"/>
      <c r="M1827" s="568"/>
      <c r="N1827" s="309"/>
      <c r="O1827" s="257"/>
      <c r="P1827" s="309"/>
      <c r="Q1827" s="257"/>
      <c r="R1827" s="309"/>
      <c r="S1827" s="257"/>
      <c r="T1827" s="260"/>
      <c r="U1827" s="260"/>
      <c r="V1827" s="260"/>
      <c r="W1827" s="257"/>
      <c r="X1827" s="260"/>
      <c r="Y1827" s="257"/>
      <c r="Z1827" s="260"/>
      <c r="AA1827" s="257"/>
      <c r="AB1827" s="260"/>
      <c r="AC1827" s="257"/>
    </row>
    <row r="1828" spans="1:29" ht="15.6" hidden="1" customHeight="1">
      <c r="A1828" s="284" t="e">
        <f>A1825+1</f>
        <v>#VALUE!</v>
      </c>
      <c r="B1828" s="237"/>
      <c r="C1828" s="285"/>
      <c r="D1828" s="422" t="s">
        <v>2045</v>
      </c>
      <c r="E1828" s="251"/>
      <c r="F1828" s="733"/>
      <c r="G1828" s="568"/>
      <c r="H1828" s="260"/>
      <c r="I1828" s="251"/>
      <c r="J1828" s="568"/>
      <c r="K1828" s="568"/>
      <c r="L1828" s="568"/>
      <c r="M1828" s="568"/>
      <c r="N1828" s="309"/>
      <c r="O1828" s="257">
        <f>INT($G1828*N1828*100+0.5)/100</f>
        <v>0</v>
      </c>
      <c r="P1828" s="309"/>
      <c r="Q1828" s="257">
        <f>INT($G1828*P1828*100+0.5)/100</f>
        <v>0</v>
      </c>
      <c r="R1828" s="309"/>
      <c r="S1828" s="257">
        <f>INT($G1828*R1828*100+0.5)/100</f>
        <v>0</v>
      </c>
      <c r="T1828" s="257"/>
      <c r="U1828" s="257"/>
      <c r="V1828" s="258">
        <v>0</v>
      </c>
      <c r="W1828" s="257">
        <f>INT($G1828*V1828*100+0.5)/100</f>
        <v>0</v>
      </c>
      <c r="X1828" s="258">
        <v>0</v>
      </c>
      <c r="Y1828" s="257">
        <f>INT($G1828*X1828*100+0.5)/100</f>
        <v>0</v>
      </c>
      <c r="Z1828" s="258">
        <v>0</v>
      </c>
      <c r="AA1828" s="257">
        <f>INT($G1828*Z1828*100+0.5)/100</f>
        <v>0</v>
      </c>
      <c r="AB1828" s="258">
        <v>0</v>
      </c>
      <c r="AC1828" s="257">
        <f>INT($G1828*AB1828*100+0.5)/100</f>
        <v>0</v>
      </c>
    </row>
    <row r="1829" spans="1:29" ht="15.6" hidden="1" customHeight="1">
      <c r="A1829" s="284"/>
      <c r="B1829" s="237"/>
      <c r="C1829" s="285"/>
      <c r="D1829" s="422" t="s">
        <v>361</v>
      </c>
      <c r="E1829" s="251"/>
      <c r="F1829" s="733"/>
      <c r="G1829" s="568"/>
      <c r="H1829" s="260"/>
      <c r="I1829" s="251"/>
      <c r="J1829" s="568"/>
      <c r="K1829" s="568"/>
      <c r="L1829" s="568"/>
      <c r="M1829" s="568"/>
      <c r="N1829" s="309"/>
      <c r="O1829" s="257"/>
      <c r="P1829" s="309"/>
      <c r="Q1829" s="257"/>
      <c r="R1829" s="309"/>
      <c r="S1829" s="257"/>
      <c r="T1829" s="260"/>
      <c r="U1829" s="260"/>
      <c r="V1829" s="260"/>
      <c r="W1829" s="257"/>
      <c r="X1829" s="260"/>
      <c r="Y1829" s="257"/>
      <c r="Z1829" s="260"/>
      <c r="AA1829" s="257"/>
      <c r="AB1829" s="260"/>
      <c r="AC1829" s="257"/>
    </row>
    <row r="1830" spans="1:29" ht="15.6" hidden="1" customHeight="1">
      <c r="A1830" s="284"/>
      <c r="B1830" s="237"/>
      <c r="C1830" s="285"/>
      <c r="D1830" s="422"/>
      <c r="E1830" s="251"/>
      <c r="F1830" s="733"/>
      <c r="G1830" s="568"/>
      <c r="H1830" s="260"/>
      <c r="I1830" s="251"/>
      <c r="J1830" s="568"/>
      <c r="K1830" s="568"/>
      <c r="L1830" s="568"/>
      <c r="M1830" s="568"/>
      <c r="N1830" s="309"/>
      <c r="O1830" s="257"/>
      <c r="P1830" s="309"/>
      <c r="Q1830" s="257"/>
      <c r="R1830" s="309"/>
      <c r="S1830" s="257"/>
      <c r="T1830" s="260"/>
      <c r="U1830" s="260"/>
      <c r="V1830" s="260"/>
      <c r="W1830" s="257"/>
      <c r="X1830" s="260"/>
      <c r="Y1830" s="257"/>
      <c r="Z1830" s="260"/>
      <c r="AA1830" s="257"/>
      <c r="AB1830" s="260"/>
      <c r="AC1830" s="257"/>
    </row>
    <row r="1831" spans="1:29" ht="26.45" hidden="1" customHeight="1">
      <c r="A1831" s="284" t="e">
        <f>A1828+1</f>
        <v>#VALUE!</v>
      </c>
      <c r="B1831" s="237"/>
      <c r="C1831" s="285"/>
      <c r="D1831" s="422" t="s">
        <v>2046</v>
      </c>
      <c r="E1831" s="251"/>
      <c r="F1831" s="733"/>
      <c r="G1831" s="568"/>
      <c r="H1831" s="260"/>
      <c r="I1831" s="251"/>
      <c r="J1831" s="568"/>
      <c r="K1831" s="568"/>
      <c r="L1831" s="568"/>
      <c r="M1831" s="568"/>
      <c r="N1831" s="309"/>
      <c r="O1831" s="257">
        <f>INT($G1831*N1831*100+0.5)/100</f>
        <v>0</v>
      </c>
      <c r="P1831" s="309"/>
      <c r="Q1831" s="257">
        <f>INT($G1831*P1831*100+0.5)/100</f>
        <v>0</v>
      </c>
      <c r="R1831" s="309"/>
      <c r="S1831" s="257">
        <f>INT($G1831*R1831*100+0.5)/100</f>
        <v>0</v>
      </c>
      <c r="T1831" s="257"/>
      <c r="U1831" s="257"/>
      <c r="V1831" s="258">
        <v>0</v>
      </c>
      <c r="W1831" s="257">
        <f>INT($G1831*V1831*100+0.5)/100</f>
        <v>0</v>
      </c>
      <c r="X1831" s="258">
        <v>0</v>
      </c>
      <c r="Y1831" s="257">
        <f>INT($G1831*X1831*100+0.5)/100</f>
        <v>0</v>
      </c>
      <c r="Z1831" s="258">
        <v>0</v>
      </c>
      <c r="AA1831" s="257">
        <f>INT($G1831*Z1831*100+0.5)/100</f>
        <v>0</v>
      </c>
      <c r="AB1831" s="258">
        <v>0</v>
      </c>
      <c r="AC1831" s="257">
        <f>INT($G1831*AB1831*100+0.5)/100</f>
        <v>0</v>
      </c>
    </row>
    <row r="1832" spans="1:29" ht="15.6" hidden="1" customHeight="1">
      <c r="A1832" s="284"/>
      <c r="B1832" s="237"/>
      <c r="C1832" s="285"/>
      <c r="D1832" s="422" t="s">
        <v>362</v>
      </c>
      <c r="E1832" s="251"/>
      <c r="F1832" s="733"/>
      <c r="G1832" s="568"/>
      <c r="H1832" s="260"/>
      <c r="I1832" s="251"/>
      <c r="J1832" s="568"/>
      <c r="K1832" s="568"/>
      <c r="L1832" s="568"/>
      <c r="M1832" s="568"/>
      <c r="N1832" s="309"/>
      <c r="O1832" s="257"/>
      <c r="P1832" s="309"/>
      <c r="Q1832" s="257"/>
      <c r="R1832" s="309"/>
      <c r="S1832" s="257"/>
      <c r="T1832" s="260"/>
      <c r="U1832" s="260"/>
      <c r="V1832" s="260"/>
      <c r="W1832" s="257"/>
      <c r="X1832" s="260"/>
      <c r="Y1832" s="257"/>
      <c r="Z1832" s="260"/>
      <c r="AA1832" s="257"/>
      <c r="AB1832" s="260"/>
      <c r="AC1832" s="257"/>
    </row>
    <row r="1833" spans="1:29" ht="15.6" hidden="1" customHeight="1">
      <c r="A1833" s="284"/>
      <c r="B1833" s="237"/>
      <c r="C1833" s="285"/>
      <c r="D1833" s="422"/>
      <c r="E1833" s="251"/>
      <c r="F1833" s="733"/>
      <c r="G1833" s="568"/>
      <c r="H1833" s="260"/>
      <c r="I1833" s="251"/>
      <c r="J1833" s="568"/>
      <c r="K1833" s="568"/>
      <c r="L1833" s="568"/>
      <c r="M1833" s="568"/>
      <c r="N1833" s="309"/>
      <c r="O1833" s="257"/>
      <c r="P1833" s="309"/>
      <c r="Q1833" s="257"/>
      <c r="R1833" s="309"/>
      <c r="S1833" s="257"/>
      <c r="T1833" s="260"/>
      <c r="U1833" s="260"/>
      <c r="V1833" s="260"/>
      <c r="W1833" s="257"/>
      <c r="X1833" s="260"/>
      <c r="Y1833" s="257"/>
      <c r="Z1833" s="260"/>
      <c r="AA1833" s="257"/>
      <c r="AB1833" s="260"/>
      <c r="AC1833" s="257"/>
    </row>
    <row r="1834" spans="1:29" ht="15.6" hidden="1" customHeight="1">
      <c r="A1834" s="284" t="e">
        <f>A1831+1</f>
        <v>#VALUE!</v>
      </c>
      <c r="B1834" s="237"/>
      <c r="C1834" s="285"/>
      <c r="D1834" s="422" t="s">
        <v>2047</v>
      </c>
      <c r="E1834" s="251"/>
      <c r="F1834" s="733"/>
      <c r="G1834" s="568"/>
      <c r="H1834" s="260"/>
      <c r="I1834" s="251"/>
      <c r="J1834" s="568"/>
      <c r="K1834" s="568"/>
      <c r="L1834" s="568"/>
      <c r="M1834" s="568"/>
      <c r="N1834" s="309"/>
      <c r="O1834" s="257">
        <f>INT($G1834*N1834*100+0.5)/100</f>
        <v>0</v>
      </c>
      <c r="P1834" s="309"/>
      <c r="Q1834" s="257">
        <f>INT($G1834*P1834*100+0.5)/100</f>
        <v>0</v>
      </c>
      <c r="R1834" s="309"/>
      <c r="S1834" s="257">
        <f>INT($G1834*R1834*100+0.5)/100</f>
        <v>0</v>
      </c>
      <c r="T1834" s="257"/>
      <c r="U1834" s="257"/>
      <c r="V1834" s="258">
        <v>0</v>
      </c>
      <c r="W1834" s="257">
        <f>INT($G1834*V1834*100+0.5)/100</f>
        <v>0</v>
      </c>
      <c r="X1834" s="258">
        <v>0</v>
      </c>
      <c r="Y1834" s="257">
        <f>INT($G1834*X1834*100+0.5)/100</f>
        <v>0</v>
      </c>
      <c r="Z1834" s="258">
        <v>0</v>
      </c>
      <c r="AA1834" s="257">
        <f>INT($G1834*Z1834*100+0.5)/100</f>
        <v>0</v>
      </c>
      <c r="AB1834" s="258">
        <v>0</v>
      </c>
      <c r="AC1834" s="257">
        <f>INT($G1834*AB1834*100+0.5)/100</f>
        <v>0</v>
      </c>
    </row>
    <row r="1835" spans="1:29" ht="15.6" hidden="1" customHeight="1">
      <c r="A1835" s="284"/>
      <c r="B1835" s="237"/>
      <c r="C1835" s="285"/>
      <c r="D1835" s="422" t="s">
        <v>363</v>
      </c>
      <c r="E1835" s="251"/>
      <c r="F1835" s="733"/>
      <c r="G1835" s="568"/>
      <c r="H1835" s="260"/>
      <c r="I1835" s="251"/>
      <c r="J1835" s="568"/>
      <c r="K1835" s="568"/>
      <c r="L1835" s="568"/>
      <c r="M1835" s="568"/>
      <c r="N1835" s="309"/>
      <c r="O1835" s="257"/>
      <c r="P1835" s="309"/>
      <c r="Q1835" s="257"/>
      <c r="R1835" s="309"/>
      <c r="S1835" s="257"/>
      <c r="T1835" s="260"/>
      <c r="U1835" s="260"/>
      <c r="V1835" s="260"/>
      <c r="W1835" s="257"/>
      <c r="X1835" s="260"/>
      <c r="Y1835" s="257"/>
      <c r="Z1835" s="260"/>
      <c r="AA1835" s="257"/>
      <c r="AB1835" s="260"/>
      <c r="AC1835" s="257"/>
    </row>
    <row r="1836" spans="1:29" ht="15.6" hidden="1" customHeight="1">
      <c r="A1836" s="284"/>
      <c r="B1836" s="237"/>
      <c r="C1836" s="285"/>
      <c r="D1836" s="422"/>
      <c r="E1836" s="251"/>
      <c r="F1836" s="733"/>
      <c r="G1836" s="568"/>
      <c r="H1836" s="260"/>
      <c r="I1836" s="251"/>
      <c r="J1836" s="568"/>
      <c r="K1836" s="568"/>
      <c r="L1836" s="568"/>
      <c r="M1836" s="568"/>
      <c r="N1836" s="309"/>
      <c r="O1836" s="257"/>
      <c r="P1836" s="309"/>
      <c r="Q1836" s="257"/>
      <c r="R1836" s="309"/>
      <c r="S1836" s="257"/>
      <c r="T1836" s="260"/>
      <c r="U1836" s="260"/>
      <c r="V1836" s="260"/>
      <c r="W1836" s="257"/>
      <c r="X1836" s="260"/>
      <c r="Y1836" s="257"/>
      <c r="Z1836" s="260"/>
      <c r="AA1836" s="257"/>
      <c r="AB1836" s="260"/>
      <c r="AC1836" s="257"/>
    </row>
    <row r="1837" spans="1:29" ht="26.45" hidden="1" customHeight="1">
      <c r="A1837" s="284"/>
      <c r="B1837" s="237"/>
      <c r="C1837" s="285"/>
      <c r="D1837" s="335" t="s">
        <v>383</v>
      </c>
      <c r="E1837" s="251"/>
      <c r="F1837" s="733"/>
      <c r="G1837" s="568"/>
      <c r="H1837" s="260"/>
      <c r="I1837" s="251"/>
      <c r="J1837" s="568"/>
      <c r="K1837" s="568"/>
      <c r="L1837" s="568"/>
      <c r="M1837" s="568"/>
      <c r="N1837" s="309"/>
      <c r="O1837" s="257"/>
      <c r="P1837" s="309"/>
      <c r="Q1837" s="257"/>
      <c r="R1837" s="309"/>
      <c r="S1837" s="257"/>
      <c r="T1837" s="260"/>
      <c r="U1837" s="260"/>
      <c r="V1837" s="260"/>
      <c r="W1837" s="257"/>
      <c r="X1837" s="260"/>
      <c r="Y1837" s="257"/>
      <c r="Z1837" s="260"/>
      <c r="AA1837" s="257"/>
      <c r="AB1837" s="260"/>
      <c r="AC1837" s="257"/>
    </row>
    <row r="1838" spans="1:29" ht="39.6" hidden="1" customHeight="1">
      <c r="A1838" s="284"/>
      <c r="B1838" s="237"/>
      <c r="C1838" s="285"/>
      <c r="D1838" s="335" t="s">
        <v>384</v>
      </c>
      <c r="E1838" s="251"/>
      <c r="F1838" s="733"/>
      <c r="G1838" s="568"/>
      <c r="H1838" s="260"/>
      <c r="I1838" s="251"/>
      <c r="J1838" s="568"/>
      <c r="K1838" s="568"/>
      <c r="L1838" s="568"/>
      <c r="M1838" s="568"/>
      <c r="N1838" s="309"/>
      <c r="O1838" s="257"/>
      <c r="P1838" s="309"/>
      <c r="Q1838" s="257"/>
      <c r="R1838" s="309"/>
      <c r="S1838" s="257"/>
      <c r="T1838" s="260"/>
      <c r="U1838" s="260"/>
      <c r="V1838" s="260"/>
      <c r="W1838" s="257"/>
      <c r="X1838" s="260"/>
      <c r="Y1838" s="257"/>
      <c r="Z1838" s="260"/>
      <c r="AA1838" s="257"/>
      <c r="AB1838" s="260"/>
      <c r="AC1838" s="257"/>
    </row>
    <row r="1839" spans="1:29" ht="15.6" hidden="1" customHeight="1">
      <c r="A1839" s="284" t="e">
        <f>A1834+1</f>
        <v>#VALUE!</v>
      </c>
      <c r="B1839" s="237"/>
      <c r="C1839" s="285"/>
      <c r="D1839" s="422" t="s">
        <v>2048</v>
      </c>
      <c r="E1839" s="251"/>
      <c r="F1839" s="733"/>
      <c r="G1839" s="568"/>
      <c r="H1839" s="260"/>
      <c r="I1839" s="251"/>
      <c r="J1839" s="568"/>
      <c r="K1839" s="568"/>
      <c r="L1839" s="568"/>
      <c r="M1839" s="568"/>
      <c r="N1839" s="309"/>
      <c r="O1839" s="257">
        <f>INT($G1839*N1839*100+0.5)/100</f>
        <v>0</v>
      </c>
      <c r="P1839" s="309"/>
      <c r="Q1839" s="257">
        <f>INT($G1839*P1839*100+0.5)/100</f>
        <v>0</v>
      </c>
      <c r="R1839" s="309"/>
      <c r="S1839" s="257">
        <f>INT($G1839*R1839*100+0.5)/100</f>
        <v>0</v>
      </c>
      <c r="T1839" s="257"/>
      <c r="U1839" s="257"/>
      <c r="V1839" s="258">
        <v>0</v>
      </c>
      <c r="W1839" s="257">
        <f>INT($G1839*V1839*100+0.5)/100</f>
        <v>0</v>
      </c>
      <c r="X1839" s="258">
        <v>0</v>
      </c>
      <c r="Y1839" s="257">
        <f>INT($G1839*X1839*100+0.5)/100</f>
        <v>0</v>
      </c>
      <c r="Z1839" s="258">
        <v>0</v>
      </c>
      <c r="AA1839" s="257">
        <f>INT($G1839*Z1839*100+0.5)/100</f>
        <v>0</v>
      </c>
      <c r="AB1839" s="258">
        <v>0</v>
      </c>
      <c r="AC1839" s="257">
        <f>INT($G1839*AB1839*100+0.5)/100</f>
        <v>0</v>
      </c>
    </row>
    <row r="1840" spans="1:29" ht="15.6" hidden="1" customHeight="1">
      <c r="A1840" s="284"/>
      <c r="B1840" s="237"/>
      <c r="C1840" s="285"/>
      <c r="D1840" s="422" t="s">
        <v>364</v>
      </c>
      <c r="E1840" s="251"/>
      <c r="F1840" s="733"/>
      <c r="G1840" s="568"/>
      <c r="H1840" s="260"/>
      <c r="I1840" s="251"/>
      <c r="J1840" s="568"/>
      <c r="K1840" s="568"/>
      <c r="L1840" s="568"/>
      <c r="M1840" s="568"/>
      <c r="N1840" s="309"/>
      <c r="O1840" s="257"/>
      <c r="P1840" s="309"/>
      <c r="Q1840" s="257"/>
      <c r="R1840" s="309"/>
      <c r="S1840" s="257"/>
      <c r="T1840" s="260"/>
      <c r="U1840" s="260"/>
      <c r="V1840" s="260"/>
      <c r="W1840" s="257"/>
      <c r="X1840" s="260"/>
      <c r="Y1840" s="257"/>
      <c r="Z1840" s="260"/>
      <c r="AA1840" s="257"/>
      <c r="AB1840" s="260"/>
      <c r="AC1840" s="257"/>
    </row>
    <row r="1841" spans="1:29" ht="15.6" hidden="1" customHeight="1">
      <c r="A1841" s="284"/>
      <c r="B1841" s="237"/>
      <c r="C1841" s="285"/>
      <c r="D1841" s="422"/>
      <c r="E1841" s="251"/>
      <c r="F1841" s="733"/>
      <c r="G1841" s="568"/>
      <c r="H1841" s="260"/>
      <c r="I1841" s="251"/>
      <c r="J1841" s="568"/>
      <c r="K1841" s="568"/>
      <c r="L1841" s="568"/>
      <c r="M1841" s="568"/>
      <c r="N1841" s="309"/>
      <c r="O1841" s="257"/>
      <c r="P1841" s="309"/>
      <c r="Q1841" s="257"/>
      <c r="R1841" s="309"/>
      <c r="S1841" s="257"/>
      <c r="T1841" s="260"/>
      <c r="U1841" s="260"/>
      <c r="V1841" s="260"/>
      <c r="W1841" s="257"/>
      <c r="X1841" s="260"/>
      <c r="Y1841" s="257"/>
      <c r="Z1841" s="260"/>
      <c r="AA1841" s="257"/>
      <c r="AB1841" s="260"/>
      <c r="AC1841" s="257"/>
    </row>
    <row r="1842" spans="1:29" ht="15.6" hidden="1" customHeight="1">
      <c r="A1842" s="284" t="e">
        <f>A1839+1</f>
        <v>#VALUE!</v>
      </c>
      <c r="B1842" s="237"/>
      <c r="C1842" s="285"/>
      <c r="D1842" s="422" t="s">
        <v>2049</v>
      </c>
      <c r="E1842" s="251"/>
      <c r="F1842" s="733"/>
      <c r="G1842" s="568"/>
      <c r="H1842" s="260"/>
      <c r="I1842" s="251"/>
      <c r="J1842" s="568"/>
      <c r="K1842" s="568"/>
      <c r="L1842" s="568"/>
      <c r="M1842" s="568"/>
      <c r="N1842" s="309"/>
      <c r="O1842" s="257">
        <f>INT($G1842*N1842*100+0.5)/100</f>
        <v>0</v>
      </c>
      <c r="P1842" s="309"/>
      <c r="Q1842" s="257">
        <f>INT($G1842*P1842*100+0.5)/100</f>
        <v>0</v>
      </c>
      <c r="R1842" s="309"/>
      <c r="S1842" s="257">
        <f>INT($G1842*R1842*100+0.5)/100</f>
        <v>0</v>
      </c>
      <c r="T1842" s="257"/>
      <c r="U1842" s="257"/>
      <c r="V1842" s="258">
        <v>0</v>
      </c>
      <c r="W1842" s="257">
        <f>INT($G1842*V1842*100+0.5)/100</f>
        <v>0</v>
      </c>
      <c r="X1842" s="258">
        <v>0</v>
      </c>
      <c r="Y1842" s="257">
        <f>INT($G1842*X1842*100+0.5)/100</f>
        <v>0</v>
      </c>
      <c r="Z1842" s="258">
        <v>0</v>
      </c>
      <c r="AA1842" s="257">
        <f>INT($G1842*Z1842*100+0.5)/100</f>
        <v>0</v>
      </c>
      <c r="AB1842" s="258">
        <v>0</v>
      </c>
      <c r="AC1842" s="257">
        <f>INT($G1842*AB1842*100+0.5)/100</f>
        <v>0</v>
      </c>
    </row>
    <row r="1843" spans="1:29" ht="15.6" hidden="1" customHeight="1">
      <c r="A1843" s="284"/>
      <c r="B1843" s="237"/>
      <c r="C1843" s="285"/>
      <c r="D1843" s="422" t="s">
        <v>365</v>
      </c>
      <c r="E1843" s="251"/>
      <c r="F1843" s="733"/>
      <c r="G1843" s="568"/>
      <c r="H1843" s="260"/>
      <c r="I1843" s="251"/>
      <c r="J1843" s="568"/>
      <c r="K1843" s="568"/>
      <c r="L1843" s="568"/>
      <c r="M1843" s="568"/>
      <c r="N1843" s="309"/>
      <c r="O1843" s="257"/>
      <c r="P1843" s="309"/>
      <c r="Q1843" s="257"/>
      <c r="R1843" s="309"/>
      <c r="S1843" s="257"/>
      <c r="T1843" s="260"/>
      <c r="U1843" s="260"/>
      <c r="V1843" s="260"/>
      <c r="W1843" s="257"/>
      <c r="X1843" s="260"/>
      <c r="Y1843" s="257"/>
      <c r="Z1843" s="260"/>
      <c r="AA1843" s="257"/>
      <c r="AB1843" s="260"/>
      <c r="AC1843" s="257"/>
    </row>
    <row r="1844" spans="1:29" ht="15.6" hidden="1" customHeight="1">
      <c r="A1844" s="284"/>
      <c r="B1844" s="237"/>
      <c r="C1844" s="285"/>
      <c r="D1844" s="422"/>
      <c r="E1844" s="251"/>
      <c r="F1844" s="733"/>
      <c r="G1844" s="568"/>
      <c r="H1844" s="260"/>
      <c r="I1844" s="251"/>
      <c r="J1844" s="568"/>
      <c r="K1844" s="568"/>
      <c r="L1844" s="568"/>
      <c r="M1844" s="568"/>
      <c r="N1844" s="309"/>
      <c r="O1844" s="257"/>
      <c r="P1844" s="309"/>
      <c r="Q1844" s="257"/>
      <c r="R1844" s="309"/>
      <c r="S1844" s="257"/>
      <c r="T1844" s="260"/>
      <c r="U1844" s="260"/>
      <c r="V1844" s="260"/>
      <c r="W1844" s="257"/>
      <c r="X1844" s="260"/>
      <c r="Y1844" s="257"/>
      <c r="Z1844" s="260"/>
      <c r="AA1844" s="257"/>
      <c r="AB1844" s="260"/>
      <c r="AC1844" s="257"/>
    </row>
    <row r="1845" spans="1:29" ht="15.6" hidden="1" customHeight="1">
      <c r="A1845" s="284" t="e">
        <f>A1842+1</f>
        <v>#VALUE!</v>
      </c>
      <c r="B1845" s="237"/>
      <c r="C1845" s="285"/>
      <c r="D1845" s="422" t="s">
        <v>2050</v>
      </c>
      <c r="E1845" s="251"/>
      <c r="F1845" s="733"/>
      <c r="G1845" s="568"/>
      <c r="H1845" s="260"/>
      <c r="I1845" s="251"/>
      <c r="J1845" s="568"/>
      <c r="K1845" s="568"/>
      <c r="L1845" s="568"/>
      <c r="M1845" s="568"/>
      <c r="N1845" s="309"/>
      <c r="O1845" s="257">
        <f>INT($G1845*N1845*100+0.5)/100</f>
        <v>0</v>
      </c>
      <c r="P1845" s="309"/>
      <c r="Q1845" s="257">
        <f>INT($G1845*P1845*100+0.5)/100</f>
        <v>0</v>
      </c>
      <c r="R1845" s="309"/>
      <c r="S1845" s="257">
        <f>INT($G1845*R1845*100+0.5)/100</f>
        <v>0</v>
      </c>
      <c r="T1845" s="257"/>
      <c r="U1845" s="257"/>
      <c r="V1845" s="258">
        <v>0</v>
      </c>
      <c r="W1845" s="257">
        <f>INT($G1845*V1845*100+0.5)/100</f>
        <v>0</v>
      </c>
      <c r="X1845" s="258">
        <v>0</v>
      </c>
      <c r="Y1845" s="257">
        <f>INT($G1845*X1845*100+0.5)/100</f>
        <v>0</v>
      </c>
      <c r="Z1845" s="258">
        <v>0</v>
      </c>
      <c r="AA1845" s="257">
        <f>INT($G1845*Z1845*100+0.5)/100</f>
        <v>0</v>
      </c>
      <c r="AB1845" s="258">
        <v>0</v>
      </c>
      <c r="AC1845" s="257">
        <f>INT($G1845*AB1845*100+0.5)/100</f>
        <v>0</v>
      </c>
    </row>
    <row r="1846" spans="1:29" ht="15.6" hidden="1" customHeight="1">
      <c r="A1846" s="284"/>
      <c r="B1846" s="237"/>
      <c r="C1846" s="285"/>
      <c r="D1846" s="422" t="s">
        <v>366</v>
      </c>
      <c r="E1846" s="251"/>
      <c r="F1846" s="733"/>
      <c r="G1846" s="568"/>
      <c r="H1846" s="260"/>
      <c r="I1846" s="251"/>
      <c r="J1846" s="568"/>
      <c r="K1846" s="568"/>
      <c r="L1846" s="568"/>
      <c r="M1846" s="568"/>
      <c r="N1846" s="309"/>
      <c r="O1846" s="257"/>
      <c r="P1846" s="309"/>
      <c r="Q1846" s="257"/>
      <c r="R1846" s="309"/>
      <c r="S1846" s="257"/>
      <c r="T1846" s="260"/>
      <c r="U1846" s="260"/>
      <c r="V1846" s="260"/>
      <c r="W1846" s="257"/>
      <c r="X1846" s="260"/>
      <c r="Y1846" s="257"/>
      <c r="Z1846" s="260"/>
      <c r="AA1846" s="257"/>
      <c r="AB1846" s="260"/>
      <c r="AC1846" s="257"/>
    </row>
    <row r="1847" spans="1:29" ht="15.6" hidden="1" customHeight="1">
      <c r="A1847" s="284"/>
      <c r="B1847" s="237"/>
      <c r="C1847" s="285"/>
      <c r="D1847" s="422"/>
      <c r="E1847" s="251"/>
      <c r="F1847" s="733"/>
      <c r="G1847" s="568"/>
      <c r="H1847" s="260"/>
      <c r="I1847" s="251"/>
      <c r="J1847" s="568"/>
      <c r="K1847" s="568"/>
      <c r="L1847" s="568"/>
      <c r="M1847" s="568"/>
      <c r="N1847" s="309"/>
      <c r="O1847" s="257"/>
      <c r="P1847" s="309"/>
      <c r="Q1847" s="257"/>
      <c r="R1847" s="309"/>
      <c r="S1847" s="257"/>
      <c r="T1847" s="260"/>
      <c r="U1847" s="260"/>
      <c r="V1847" s="260"/>
      <c r="W1847" s="257"/>
      <c r="X1847" s="260"/>
      <c r="Y1847" s="257"/>
      <c r="Z1847" s="260"/>
      <c r="AA1847" s="257"/>
      <c r="AB1847" s="260"/>
      <c r="AC1847" s="257"/>
    </row>
    <row r="1848" spans="1:29" ht="15.6" hidden="1" customHeight="1">
      <c r="A1848" s="284" t="e">
        <f>A1845+1</f>
        <v>#VALUE!</v>
      </c>
      <c r="B1848" s="237"/>
      <c r="C1848" s="285"/>
      <c r="D1848" s="422" t="s">
        <v>2051</v>
      </c>
      <c r="E1848" s="251"/>
      <c r="F1848" s="733"/>
      <c r="G1848" s="568"/>
      <c r="H1848" s="260"/>
      <c r="I1848" s="251"/>
      <c r="J1848" s="568"/>
      <c r="K1848" s="568"/>
      <c r="L1848" s="568"/>
      <c r="M1848" s="568"/>
      <c r="N1848" s="309"/>
      <c r="O1848" s="257">
        <f>INT($G1848*N1848*100+0.5)/100</f>
        <v>0</v>
      </c>
      <c r="P1848" s="309"/>
      <c r="Q1848" s="257">
        <f>INT($G1848*P1848*100+0.5)/100</f>
        <v>0</v>
      </c>
      <c r="R1848" s="309"/>
      <c r="S1848" s="257">
        <f>INT($G1848*R1848*100+0.5)/100</f>
        <v>0</v>
      </c>
      <c r="T1848" s="257"/>
      <c r="U1848" s="257"/>
      <c r="V1848" s="258">
        <v>0</v>
      </c>
      <c r="W1848" s="257">
        <f>INT($G1848*V1848*100+0.5)/100</f>
        <v>0</v>
      </c>
      <c r="X1848" s="258">
        <v>0</v>
      </c>
      <c r="Y1848" s="257">
        <f>INT($G1848*X1848*100+0.5)/100</f>
        <v>0</v>
      </c>
      <c r="Z1848" s="258">
        <v>0</v>
      </c>
      <c r="AA1848" s="257">
        <f>INT($G1848*Z1848*100+0.5)/100</f>
        <v>0</v>
      </c>
      <c r="AB1848" s="258">
        <v>0</v>
      </c>
      <c r="AC1848" s="257">
        <f>INT($G1848*AB1848*100+0.5)/100</f>
        <v>0</v>
      </c>
    </row>
    <row r="1849" spans="1:29" ht="15.6" hidden="1" customHeight="1">
      <c r="A1849" s="284"/>
      <c r="B1849" s="237"/>
      <c r="C1849" s="285"/>
      <c r="D1849" s="422" t="s">
        <v>367</v>
      </c>
      <c r="E1849" s="251"/>
      <c r="F1849" s="733"/>
      <c r="G1849" s="568"/>
      <c r="H1849" s="260"/>
      <c r="I1849" s="251"/>
      <c r="J1849" s="568"/>
      <c r="K1849" s="568"/>
      <c r="L1849" s="568"/>
      <c r="M1849" s="568"/>
      <c r="N1849" s="309"/>
      <c r="O1849" s="257"/>
      <c r="P1849" s="309"/>
      <c r="Q1849" s="257"/>
      <c r="R1849" s="309"/>
      <c r="S1849" s="257"/>
      <c r="T1849" s="260"/>
      <c r="U1849" s="260"/>
      <c r="V1849" s="260"/>
      <c r="W1849" s="257"/>
      <c r="X1849" s="260"/>
      <c r="Y1849" s="257"/>
      <c r="Z1849" s="260"/>
      <c r="AA1849" s="257"/>
      <c r="AB1849" s="260"/>
      <c r="AC1849" s="257"/>
    </row>
    <row r="1850" spans="1:29" ht="15.6" hidden="1" customHeight="1">
      <c r="A1850" s="284"/>
      <c r="B1850" s="237"/>
      <c r="C1850" s="285"/>
      <c r="D1850" s="422"/>
      <c r="E1850" s="251"/>
      <c r="F1850" s="733"/>
      <c r="G1850" s="568"/>
      <c r="H1850" s="260"/>
      <c r="I1850" s="251"/>
      <c r="J1850" s="568"/>
      <c r="K1850" s="568"/>
      <c r="L1850" s="568"/>
      <c r="M1850" s="568"/>
      <c r="N1850" s="309"/>
      <c r="O1850" s="257"/>
      <c r="P1850" s="309"/>
      <c r="Q1850" s="257"/>
      <c r="R1850" s="309"/>
      <c r="S1850" s="257"/>
      <c r="T1850" s="260"/>
      <c r="U1850" s="260"/>
      <c r="V1850" s="260"/>
      <c r="W1850" s="257"/>
      <c r="X1850" s="260"/>
      <c r="Y1850" s="257"/>
      <c r="Z1850" s="260"/>
      <c r="AA1850" s="257"/>
      <c r="AB1850" s="260"/>
      <c r="AC1850" s="257"/>
    </row>
    <row r="1851" spans="1:29" ht="15.6" hidden="1" customHeight="1">
      <c r="A1851" s="284" t="e">
        <f>A1848+1</f>
        <v>#VALUE!</v>
      </c>
      <c r="B1851" s="237"/>
      <c r="C1851" s="285"/>
      <c r="D1851" s="422" t="s">
        <v>2052</v>
      </c>
      <c r="E1851" s="251"/>
      <c r="F1851" s="733"/>
      <c r="G1851" s="568"/>
      <c r="H1851" s="260"/>
      <c r="I1851" s="251"/>
      <c r="J1851" s="568"/>
      <c r="K1851" s="568"/>
      <c r="L1851" s="568"/>
      <c r="M1851" s="568"/>
      <c r="N1851" s="309"/>
      <c r="O1851" s="257">
        <f>INT($G1851*N1851*100+0.5)/100</f>
        <v>0</v>
      </c>
      <c r="P1851" s="309"/>
      <c r="Q1851" s="257">
        <f>INT($G1851*P1851*100+0.5)/100</f>
        <v>0</v>
      </c>
      <c r="R1851" s="309"/>
      <c r="S1851" s="257">
        <f>INT($G1851*R1851*100+0.5)/100</f>
        <v>0</v>
      </c>
      <c r="T1851" s="257"/>
      <c r="U1851" s="257"/>
      <c r="V1851" s="258">
        <v>0</v>
      </c>
      <c r="W1851" s="257">
        <f>INT($G1851*V1851*100+0.5)/100</f>
        <v>0</v>
      </c>
      <c r="X1851" s="258">
        <v>0</v>
      </c>
      <c r="Y1851" s="257">
        <f>INT($G1851*X1851*100+0.5)/100</f>
        <v>0</v>
      </c>
      <c r="Z1851" s="258">
        <v>0</v>
      </c>
      <c r="AA1851" s="257">
        <f>INT($G1851*Z1851*100+0.5)/100</f>
        <v>0</v>
      </c>
      <c r="AB1851" s="258">
        <v>0</v>
      </c>
      <c r="AC1851" s="257">
        <f>INT($G1851*AB1851*100+0.5)/100</f>
        <v>0</v>
      </c>
    </row>
    <row r="1852" spans="1:29" ht="15.6" hidden="1" customHeight="1">
      <c r="A1852" s="284"/>
      <c r="B1852" s="237"/>
      <c r="C1852" s="285"/>
      <c r="D1852" s="422" t="s">
        <v>368</v>
      </c>
      <c r="E1852" s="251"/>
      <c r="F1852" s="733"/>
      <c r="G1852" s="568"/>
      <c r="H1852" s="260"/>
      <c r="I1852" s="251"/>
      <c r="J1852" s="568"/>
      <c r="K1852" s="568"/>
      <c r="L1852" s="568"/>
      <c r="M1852" s="568"/>
      <c r="N1852" s="309"/>
      <c r="O1852" s="257"/>
      <c r="P1852" s="309"/>
      <c r="Q1852" s="257"/>
      <c r="R1852" s="309"/>
      <c r="S1852" s="257"/>
      <c r="T1852" s="260"/>
      <c r="U1852" s="260"/>
      <c r="V1852" s="260"/>
      <c r="W1852" s="257"/>
      <c r="X1852" s="260"/>
      <c r="Y1852" s="257"/>
      <c r="Z1852" s="260"/>
      <c r="AA1852" s="257"/>
      <c r="AB1852" s="260"/>
      <c r="AC1852" s="257"/>
    </row>
    <row r="1853" spans="1:29" ht="15.6" hidden="1" customHeight="1">
      <c r="A1853" s="284"/>
      <c r="B1853" s="237"/>
      <c r="C1853" s="285"/>
      <c r="D1853" s="422"/>
      <c r="E1853" s="251"/>
      <c r="F1853" s="733"/>
      <c r="G1853" s="568"/>
      <c r="H1853" s="260"/>
      <c r="I1853" s="251"/>
      <c r="J1853" s="568"/>
      <c r="K1853" s="568"/>
      <c r="L1853" s="568"/>
      <c r="M1853" s="568"/>
      <c r="N1853" s="309"/>
      <c r="O1853" s="257"/>
      <c r="P1853" s="309"/>
      <c r="Q1853" s="257"/>
      <c r="R1853" s="309"/>
      <c r="S1853" s="257"/>
      <c r="T1853" s="260"/>
      <c r="U1853" s="260"/>
      <c r="V1853" s="260"/>
      <c r="W1853" s="257"/>
      <c r="X1853" s="260"/>
      <c r="Y1853" s="257"/>
      <c r="Z1853" s="260"/>
      <c r="AA1853" s="257"/>
      <c r="AB1853" s="260"/>
      <c r="AC1853" s="257"/>
    </row>
    <row r="1854" spans="1:29" ht="26.45" hidden="1" customHeight="1">
      <c r="A1854" s="284" t="e">
        <f>A1851+1</f>
        <v>#VALUE!</v>
      </c>
      <c r="B1854" s="237"/>
      <c r="C1854" s="285"/>
      <c r="D1854" s="422" t="s">
        <v>380</v>
      </c>
      <c r="E1854" s="251"/>
      <c r="F1854" s="733"/>
      <c r="G1854" s="568"/>
      <c r="H1854" s="260"/>
      <c r="I1854" s="251"/>
      <c r="J1854" s="568"/>
      <c r="K1854" s="568"/>
      <c r="L1854" s="568"/>
      <c r="M1854" s="568"/>
      <c r="N1854" s="309"/>
      <c r="O1854" s="257">
        <f>INT($G1854*N1854*100+0.5)/100</f>
        <v>0</v>
      </c>
      <c r="P1854" s="309"/>
      <c r="Q1854" s="257">
        <f>INT($G1854*P1854*100+0.5)/100</f>
        <v>0</v>
      </c>
      <c r="R1854" s="309"/>
      <c r="S1854" s="257">
        <f>INT($G1854*R1854*100+0.5)/100</f>
        <v>0</v>
      </c>
      <c r="T1854" s="257"/>
      <c r="U1854" s="257"/>
      <c r="V1854" s="258">
        <v>0</v>
      </c>
      <c r="W1854" s="257">
        <f>INT($G1854*V1854*100+0.5)/100</f>
        <v>0</v>
      </c>
      <c r="X1854" s="258">
        <v>0</v>
      </c>
      <c r="Y1854" s="257">
        <f>INT($G1854*X1854*100+0.5)/100</f>
        <v>0</v>
      </c>
      <c r="Z1854" s="258">
        <v>0</v>
      </c>
      <c r="AA1854" s="257">
        <f>INT($G1854*Z1854*100+0.5)/100</f>
        <v>0</v>
      </c>
      <c r="AB1854" s="258">
        <v>0</v>
      </c>
      <c r="AC1854" s="257">
        <f>INT($G1854*AB1854*100+0.5)/100</f>
        <v>0</v>
      </c>
    </row>
    <row r="1855" spans="1:29" ht="26.45" hidden="1" customHeight="1">
      <c r="A1855" s="284"/>
      <c r="B1855" s="237"/>
      <c r="C1855" s="285"/>
      <c r="D1855" s="422" t="s">
        <v>369</v>
      </c>
      <c r="E1855" s="251"/>
      <c r="F1855" s="733"/>
      <c r="G1855" s="568"/>
      <c r="H1855" s="260"/>
      <c r="I1855" s="251"/>
      <c r="J1855" s="568"/>
      <c r="K1855" s="568"/>
      <c r="L1855" s="568"/>
      <c r="M1855" s="568"/>
      <c r="N1855" s="309"/>
      <c r="O1855" s="257"/>
      <c r="P1855" s="309"/>
      <c r="Q1855" s="257"/>
      <c r="R1855" s="309"/>
      <c r="S1855" s="257"/>
      <c r="T1855" s="260"/>
      <c r="U1855" s="260"/>
      <c r="V1855" s="260"/>
      <c r="W1855" s="257"/>
      <c r="X1855" s="260"/>
      <c r="Y1855" s="257"/>
      <c r="Z1855" s="260"/>
      <c r="AA1855" s="257"/>
      <c r="AB1855" s="260"/>
      <c r="AC1855" s="257"/>
    </row>
    <row r="1856" spans="1:29" ht="15.6" hidden="1" customHeight="1">
      <c r="A1856" s="284"/>
      <c r="B1856" s="237"/>
      <c r="C1856" s="285"/>
      <c r="D1856" s="422"/>
      <c r="E1856" s="251"/>
      <c r="F1856" s="733"/>
      <c r="G1856" s="568"/>
      <c r="H1856" s="260"/>
      <c r="I1856" s="251"/>
      <c r="J1856" s="568"/>
      <c r="K1856" s="568"/>
      <c r="L1856" s="568"/>
      <c r="M1856" s="568"/>
      <c r="N1856" s="309"/>
      <c r="O1856" s="257"/>
      <c r="P1856" s="309"/>
      <c r="Q1856" s="257"/>
      <c r="R1856" s="309"/>
      <c r="S1856" s="257"/>
      <c r="T1856" s="260"/>
      <c r="U1856" s="260"/>
      <c r="V1856" s="260"/>
      <c r="W1856" s="257"/>
      <c r="X1856" s="260"/>
      <c r="Y1856" s="257"/>
      <c r="Z1856" s="260"/>
      <c r="AA1856" s="257"/>
      <c r="AB1856" s="260"/>
      <c r="AC1856" s="257"/>
    </row>
    <row r="1857" spans="1:29" ht="15.6" hidden="1" customHeight="1">
      <c r="A1857" s="284" t="e">
        <f>A1854+1</f>
        <v>#VALUE!</v>
      </c>
      <c r="B1857" s="237"/>
      <c r="C1857" s="285"/>
      <c r="D1857" s="422" t="s">
        <v>2053</v>
      </c>
      <c r="E1857" s="251"/>
      <c r="F1857" s="733"/>
      <c r="G1857" s="568"/>
      <c r="H1857" s="260"/>
      <c r="I1857" s="251"/>
      <c r="J1857" s="568"/>
      <c r="K1857" s="568"/>
      <c r="L1857" s="568"/>
      <c r="M1857" s="568"/>
      <c r="N1857" s="309"/>
      <c r="O1857" s="257">
        <f>INT($G1857*N1857*100+0.5)/100</f>
        <v>0</v>
      </c>
      <c r="P1857" s="309"/>
      <c r="Q1857" s="257">
        <f>INT($G1857*P1857*100+0.5)/100</f>
        <v>0</v>
      </c>
      <c r="R1857" s="309"/>
      <c r="S1857" s="257">
        <f>INT($G1857*R1857*100+0.5)/100</f>
        <v>0</v>
      </c>
      <c r="T1857" s="257"/>
      <c r="U1857" s="257"/>
      <c r="V1857" s="258">
        <v>0</v>
      </c>
      <c r="W1857" s="257">
        <f>INT($G1857*V1857*100+0.5)/100</f>
        <v>0</v>
      </c>
      <c r="X1857" s="258">
        <v>0</v>
      </c>
      <c r="Y1857" s="257">
        <f>INT($G1857*X1857*100+0.5)/100</f>
        <v>0</v>
      </c>
      <c r="Z1857" s="258">
        <v>0</v>
      </c>
      <c r="AA1857" s="257">
        <f>INT($G1857*Z1857*100+0.5)/100</f>
        <v>0</v>
      </c>
      <c r="AB1857" s="258">
        <v>0</v>
      </c>
      <c r="AC1857" s="257">
        <f>INT($G1857*AB1857*100+0.5)/100</f>
        <v>0</v>
      </c>
    </row>
    <row r="1858" spans="1:29" ht="15.6" hidden="1" customHeight="1">
      <c r="A1858" s="284"/>
      <c r="B1858" s="237"/>
      <c r="C1858" s="285"/>
      <c r="D1858" s="422" t="s">
        <v>2033</v>
      </c>
      <c r="E1858" s="251"/>
      <c r="F1858" s="733"/>
      <c r="G1858" s="568"/>
      <c r="H1858" s="260"/>
      <c r="I1858" s="251"/>
      <c r="J1858" s="568"/>
      <c r="K1858" s="568"/>
      <c r="L1858" s="568"/>
      <c r="M1858" s="568"/>
      <c r="N1858" s="309"/>
      <c r="O1858" s="257"/>
      <c r="P1858" s="309"/>
      <c r="Q1858" s="257"/>
      <c r="R1858" s="309"/>
      <c r="S1858" s="257"/>
      <c r="T1858" s="260"/>
      <c r="U1858" s="260"/>
      <c r="V1858" s="260"/>
      <c r="W1858" s="257"/>
      <c r="X1858" s="260"/>
      <c r="Y1858" s="257"/>
      <c r="Z1858" s="260"/>
      <c r="AA1858" s="257"/>
      <c r="AB1858" s="260"/>
      <c r="AC1858" s="257"/>
    </row>
    <row r="1859" spans="1:29" ht="15.6" hidden="1" customHeight="1">
      <c r="A1859" s="284"/>
      <c r="B1859" s="237"/>
      <c r="C1859" s="285"/>
      <c r="D1859" s="422"/>
      <c r="E1859" s="251"/>
      <c r="F1859" s="733"/>
      <c r="G1859" s="568"/>
      <c r="H1859" s="260"/>
      <c r="I1859" s="251"/>
      <c r="J1859" s="568"/>
      <c r="K1859" s="568"/>
      <c r="L1859" s="568"/>
      <c r="M1859" s="568"/>
      <c r="N1859" s="309"/>
      <c r="O1859" s="257"/>
      <c r="P1859" s="309"/>
      <c r="Q1859" s="257"/>
      <c r="R1859" s="309"/>
      <c r="S1859" s="257"/>
      <c r="T1859" s="260"/>
      <c r="U1859" s="260"/>
      <c r="V1859" s="260"/>
      <c r="W1859" s="257"/>
      <c r="X1859" s="260"/>
      <c r="Y1859" s="257"/>
      <c r="Z1859" s="260"/>
      <c r="AA1859" s="257"/>
      <c r="AB1859" s="260"/>
      <c r="AC1859" s="257"/>
    </row>
    <row r="1860" spans="1:29" ht="15.6" hidden="1" customHeight="1">
      <c r="A1860" s="284" t="e">
        <f>A1857+1</f>
        <v>#VALUE!</v>
      </c>
      <c r="B1860" s="237"/>
      <c r="C1860" s="285"/>
      <c r="D1860" s="422" t="s">
        <v>2054</v>
      </c>
      <c r="E1860" s="251"/>
      <c r="F1860" s="733"/>
      <c r="G1860" s="568"/>
      <c r="H1860" s="260"/>
      <c r="I1860" s="251"/>
      <c r="J1860" s="568"/>
      <c r="K1860" s="568"/>
      <c r="L1860" s="568"/>
      <c r="M1860" s="568"/>
      <c r="N1860" s="309"/>
      <c r="O1860" s="257">
        <f>INT($G1860*N1860*100+0.5)/100</f>
        <v>0</v>
      </c>
      <c r="P1860" s="309"/>
      <c r="Q1860" s="257">
        <f>INT($G1860*P1860*100+0.5)/100</f>
        <v>0</v>
      </c>
      <c r="R1860" s="309"/>
      <c r="S1860" s="257">
        <f>INT($G1860*R1860*100+0.5)/100</f>
        <v>0</v>
      </c>
      <c r="T1860" s="257"/>
      <c r="U1860" s="257"/>
      <c r="V1860" s="258">
        <v>0</v>
      </c>
      <c r="W1860" s="257">
        <f>INT($G1860*V1860*100+0.5)/100</f>
        <v>0</v>
      </c>
      <c r="X1860" s="258">
        <v>0</v>
      </c>
      <c r="Y1860" s="257">
        <f>INT($G1860*X1860*100+0.5)/100</f>
        <v>0</v>
      </c>
      <c r="Z1860" s="258">
        <v>0</v>
      </c>
      <c r="AA1860" s="257">
        <f>INT($G1860*Z1860*100+0.5)/100</f>
        <v>0</v>
      </c>
      <c r="AB1860" s="258">
        <v>0</v>
      </c>
      <c r="AC1860" s="257">
        <f>INT($G1860*AB1860*100+0.5)/100</f>
        <v>0</v>
      </c>
    </row>
    <row r="1861" spans="1:29" ht="15.6" hidden="1" customHeight="1">
      <c r="A1861" s="284"/>
      <c r="B1861" s="237"/>
      <c r="C1861" s="285"/>
      <c r="D1861" s="422" t="s">
        <v>2034</v>
      </c>
      <c r="E1861" s="251"/>
      <c r="F1861" s="733"/>
      <c r="G1861" s="568"/>
      <c r="H1861" s="260"/>
      <c r="I1861" s="251"/>
      <c r="J1861" s="568"/>
      <c r="K1861" s="568"/>
      <c r="L1861" s="568"/>
      <c r="M1861" s="568"/>
      <c r="N1861" s="309"/>
      <c r="O1861" s="257"/>
      <c r="P1861" s="309"/>
      <c r="Q1861" s="257"/>
      <c r="R1861" s="309"/>
      <c r="S1861" s="257"/>
      <c r="T1861" s="260"/>
      <c r="U1861" s="260"/>
      <c r="V1861" s="260"/>
      <c r="W1861" s="257"/>
      <c r="X1861" s="260"/>
      <c r="Y1861" s="257"/>
      <c r="Z1861" s="260"/>
      <c r="AA1861" s="257"/>
      <c r="AB1861" s="260"/>
      <c r="AC1861" s="257"/>
    </row>
    <row r="1862" spans="1:29" ht="15.6" hidden="1" customHeight="1">
      <c r="A1862" s="284"/>
      <c r="B1862" s="237"/>
      <c r="C1862" s="285"/>
      <c r="D1862" s="422"/>
      <c r="E1862" s="251"/>
      <c r="F1862" s="733"/>
      <c r="G1862" s="568"/>
      <c r="H1862" s="260"/>
      <c r="I1862" s="251"/>
      <c r="J1862" s="568"/>
      <c r="K1862" s="568"/>
      <c r="L1862" s="568"/>
      <c r="M1862" s="568"/>
      <c r="N1862" s="309"/>
      <c r="O1862" s="257"/>
      <c r="P1862" s="309"/>
      <c r="Q1862" s="257"/>
      <c r="R1862" s="309"/>
      <c r="S1862" s="257"/>
      <c r="T1862" s="260"/>
      <c r="U1862" s="260"/>
      <c r="V1862" s="260"/>
      <c r="W1862" s="257"/>
      <c r="X1862" s="260"/>
      <c r="Y1862" s="257"/>
      <c r="Z1862" s="260"/>
      <c r="AA1862" s="257"/>
      <c r="AB1862" s="260"/>
      <c r="AC1862" s="257"/>
    </row>
    <row r="1863" spans="1:29" ht="15.6" hidden="1" customHeight="1">
      <c r="A1863" s="284" t="e">
        <f>A1860+1</f>
        <v>#VALUE!</v>
      </c>
      <c r="B1863" s="237"/>
      <c r="C1863" s="285"/>
      <c r="D1863" s="422" t="s">
        <v>466</v>
      </c>
      <c r="E1863" s="251"/>
      <c r="F1863" s="733"/>
      <c r="G1863" s="568"/>
      <c r="H1863" s="260"/>
      <c r="I1863" s="251"/>
      <c r="J1863" s="568"/>
      <c r="K1863" s="568"/>
      <c r="L1863" s="568"/>
      <c r="M1863" s="568"/>
      <c r="N1863" s="309"/>
      <c r="O1863" s="257">
        <f>INT($G1863*N1863*100+0.5)/100</f>
        <v>0</v>
      </c>
      <c r="P1863" s="309"/>
      <c r="Q1863" s="257">
        <f>INT($G1863*P1863*100+0.5)/100</f>
        <v>0</v>
      </c>
      <c r="R1863" s="309"/>
      <c r="S1863" s="257">
        <f>INT($G1863*R1863*100+0.5)/100</f>
        <v>0</v>
      </c>
      <c r="T1863" s="257"/>
      <c r="U1863" s="257"/>
      <c r="V1863" s="258">
        <v>0</v>
      </c>
      <c r="W1863" s="257">
        <f>INT($G1863*V1863*100+0.5)/100</f>
        <v>0</v>
      </c>
      <c r="X1863" s="258">
        <v>0</v>
      </c>
      <c r="Y1863" s="257">
        <f>INT($G1863*X1863*100+0.5)/100</f>
        <v>0</v>
      </c>
      <c r="Z1863" s="258">
        <v>0</v>
      </c>
      <c r="AA1863" s="257">
        <f>INT($G1863*Z1863*100+0.5)/100</f>
        <v>0</v>
      </c>
      <c r="AB1863" s="258">
        <v>0</v>
      </c>
      <c r="AC1863" s="257">
        <f>INT($G1863*AB1863*100+0.5)/100</f>
        <v>0</v>
      </c>
    </row>
    <row r="1864" spans="1:29" ht="15.6" hidden="1" customHeight="1">
      <c r="A1864" s="284"/>
      <c r="B1864" s="237"/>
      <c r="C1864" s="285"/>
      <c r="D1864" s="422" t="s">
        <v>521</v>
      </c>
      <c r="E1864" s="251"/>
      <c r="F1864" s="733"/>
      <c r="G1864" s="568"/>
      <c r="H1864" s="260"/>
      <c r="I1864" s="251"/>
      <c r="J1864" s="568"/>
      <c r="K1864" s="568"/>
      <c r="L1864" s="568"/>
      <c r="M1864" s="568"/>
      <c r="N1864" s="309"/>
      <c r="O1864" s="257"/>
      <c r="P1864" s="309"/>
      <c r="Q1864" s="257"/>
      <c r="R1864" s="309"/>
      <c r="S1864" s="257"/>
      <c r="T1864" s="260"/>
      <c r="U1864" s="260"/>
      <c r="V1864" s="260"/>
      <c r="W1864" s="257"/>
      <c r="X1864" s="260"/>
      <c r="Y1864" s="257"/>
      <c r="Z1864" s="260"/>
      <c r="AA1864" s="257"/>
      <c r="AB1864" s="260"/>
      <c r="AC1864" s="257"/>
    </row>
    <row r="1865" spans="1:29" ht="15.6" hidden="1" customHeight="1">
      <c r="A1865" s="284"/>
      <c r="B1865" s="237"/>
      <c r="C1865" s="285"/>
      <c r="D1865" s="422"/>
      <c r="E1865" s="251"/>
      <c r="F1865" s="733"/>
      <c r="G1865" s="568"/>
      <c r="H1865" s="260"/>
      <c r="I1865" s="251"/>
      <c r="J1865" s="568"/>
      <c r="K1865" s="568"/>
      <c r="L1865" s="568"/>
      <c r="M1865" s="568"/>
      <c r="N1865" s="309"/>
      <c r="O1865" s="257"/>
      <c r="P1865" s="309"/>
      <c r="Q1865" s="257"/>
      <c r="R1865" s="309"/>
      <c r="S1865" s="257"/>
      <c r="T1865" s="260"/>
      <c r="U1865" s="260"/>
      <c r="V1865" s="260"/>
      <c r="W1865" s="257"/>
      <c r="X1865" s="260"/>
      <c r="Y1865" s="257"/>
      <c r="Z1865" s="260"/>
      <c r="AA1865" s="257"/>
      <c r="AB1865" s="260"/>
      <c r="AC1865" s="257"/>
    </row>
    <row r="1866" spans="1:29" ht="26.45" hidden="1" customHeight="1">
      <c r="A1866" s="284" t="e">
        <f>A1863+1</f>
        <v>#VALUE!</v>
      </c>
      <c r="B1866" s="237"/>
      <c r="C1866" s="285"/>
      <c r="D1866" s="422" t="s">
        <v>2055</v>
      </c>
      <c r="E1866" s="251"/>
      <c r="F1866" s="733"/>
      <c r="G1866" s="568"/>
      <c r="H1866" s="260"/>
      <c r="I1866" s="251"/>
      <c r="J1866" s="568"/>
      <c r="K1866" s="568"/>
      <c r="L1866" s="568"/>
      <c r="M1866" s="568"/>
      <c r="N1866" s="309"/>
      <c r="O1866" s="257">
        <f>INT($G1866*N1866*100+0.5)/100</f>
        <v>0</v>
      </c>
      <c r="P1866" s="309"/>
      <c r="Q1866" s="257">
        <f>INT($G1866*P1866*100+0.5)/100</f>
        <v>0</v>
      </c>
      <c r="R1866" s="309"/>
      <c r="S1866" s="257">
        <f>INT($G1866*R1866*100+0.5)/100</f>
        <v>0</v>
      </c>
      <c r="T1866" s="257"/>
      <c r="U1866" s="257"/>
      <c r="V1866" s="258">
        <v>0</v>
      </c>
      <c r="W1866" s="257">
        <f>INT($G1866*V1866*100+0.5)/100</f>
        <v>0</v>
      </c>
      <c r="X1866" s="258">
        <v>0</v>
      </c>
      <c r="Y1866" s="257">
        <f>INT($G1866*X1866*100+0.5)/100</f>
        <v>0</v>
      </c>
      <c r="Z1866" s="258">
        <v>0</v>
      </c>
      <c r="AA1866" s="257">
        <f>INT($G1866*Z1866*100+0.5)/100</f>
        <v>0</v>
      </c>
      <c r="AB1866" s="258">
        <v>0</v>
      </c>
      <c r="AC1866" s="257">
        <f>INT($G1866*AB1866*100+0.5)/100</f>
        <v>0</v>
      </c>
    </row>
    <row r="1867" spans="1:29" ht="26.45" hidden="1" customHeight="1">
      <c r="A1867" s="284"/>
      <c r="B1867" s="237"/>
      <c r="C1867" s="285"/>
      <c r="D1867" s="422" t="s">
        <v>2035</v>
      </c>
      <c r="E1867" s="251"/>
      <c r="F1867" s="733"/>
      <c r="G1867" s="568"/>
      <c r="H1867" s="260"/>
      <c r="I1867" s="251"/>
      <c r="J1867" s="568"/>
      <c r="K1867" s="568"/>
      <c r="L1867" s="568"/>
      <c r="M1867" s="568"/>
      <c r="N1867" s="309"/>
      <c r="O1867" s="257"/>
      <c r="P1867" s="309"/>
      <c r="Q1867" s="257"/>
      <c r="R1867" s="309"/>
      <c r="S1867" s="257"/>
      <c r="T1867" s="260"/>
      <c r="U1867" s="260"/>
      <c r="V1867" s="260"/>
      <c r="W1867" s="257"/>
      <c r="X1867" s="260"/>
      <c r="Y1867" s="257"/>
      <c r="Z1867" s="260"/>
      <c r="AA1867" s="257"/>
      <c r="AB1867" s="260"/>
      <c r="AC1867" s="257"/>
    </row>
    <row r="1868" spans="1:29" ht="15.6" hidden="1" customHeight="1">
      <c r="A1868" s="284"/>
      <c r="B1868" s="237"/>
      <c r="C1868" s="285"/>
      <c r="D1868" s="422"/>
      <c r="E1868" s="251"/>
      <c r="F1868" s="733"/>
      <c r="G1868" s="568"/>
      <c r="H1868" s="260"/>
      <c r="I1868" s="251"/>
      <c r="J1868" s="568"/>
      <c r="K1868" s="568"/>
      <c r="L1868" s="568"/>
      <c r="M1868" s="568"/>
      <c r="N1868" s="309"/>
      <c r="O1868" s="257"/>
      <c r="P1868" s="309"/>
      <c r="Q1868" s="257"/>
      <c r="R1868" s="309"/>
      <c r="S1868" s="257"/>
      <c r="T1868" s="260"/>
      <c r="U1868" s="260"/>
      <c r="V1868" s="260"/>
      <c r="W1868" s="257"/>
      <c r="X1868" s="260"/>
      <c r="Y1868" s="257"/>
      <c r="Z1868" s="260"/>
      <c r="AA1868" s="257"/>
      <c r="AB1868" s="260"/>
      <c r="AC1868" s="257"/>
    </row>
    <row r="1869" spans="1:29" ht="15.6" hidden="1" customHeight="1">
      <c r="A1869" s="284" t="e">
        <f>A1866+1</f>
        <v>#VALUE!</v>
      </c>
      <c r="B1869" s="237"/>
      <c r="C1869" s="285"/>
      <c r="D1869" s="422" t="s">
        <v>2056</v>
      </c>
      <c r="E1869" s="251"/>
      <c r="F1869" s="733"/>
      <c r="G1869" s="568"/>
      <c r="H1869" s="260"/>
      <c r="I1869" s="251"/>
      <c r="J1869" s="568"/>
      <c r="K1869" s="568"/>
      <c r="L1869" s="568"/>
      <c r="M1869" s="568"/>
      <c r="N1869" s="309"/>
      <c r="O1869" s="257">
        <f>INT($G1869*N1869*100+0.5)/100</f>
        <v>0</v>
      </c>
      <c r="P1869" s="309"/>
      <c r="Q1869" s="257">
        <f>INT($G1869*P1869*100+0.5)/100</f>
        <v>0</v>
      </c>
      <c r="R1869" s="309"/>
      <c r="S1869" s="257">
        <f>INT($G1869*R1869*100+0.5)/100</f>
        <v>0</v>
      </c>
      <c r="T1869" s="257"/>
      <c r="U1869" s="257"/>
      <c r="V1869" s="258">
        <v>0</v>
      </c>
      <c r="W1869" s="257">
        <f>INT($G1869*V1869*100+0.5)/100</f>
        <v>0</v>
      </c>
      <c r="X1869" s="258">
        <v>0</v>
      </c>
      <c r="Y1869" s="257">
        <f>INT($G1869*X1869*100+0.5)/100</f>
        <v>0</v>
      </c>
      <c r="Z1869" s="258">
        <v>0</v>
      </c>
      <c r="AA1869" s="257">
        <f>INT($G1869*Z1869*100+0.5)/100</f>
        <v>0</v>
      </c>
      <c r="AB1869" s="258">
        <v>0</v>
      </c>
      <c r="AC1869" s="257">
        <f>INT($G1869*AB1869*100+0.5)/100</f>
        <v>0</v>
      </c>
    </row>
    <row r="1870" spans="1:29" ht="15.6" hidden="1" customHeight="1">
      <c r="A1870" s="284"/>
      <c r="B1870" s="237"/>
      <c r="C1870" s="285"/>
      <c r="D1870" s="422" t="s">
        <v>2036</v>
      </c>
      <c r="E1870" s="251"/>
      <c r="F1870" s="733"/>
      <c r="G1870" s="568"/>
      <c r="H1870" s="260"/>
      <c r="I1870" s="251"/>
      <c r="J1870" s="568"/>
      <c r="K1870" s="568"/>
      <c r="L1870" s="568"/>
      <c r="M1870" s="568"/>
      <c r="N1870" s="309"/>
      <c r="O1870" s="257"/>
      <c r="P1870" s="309"/>
      <c r="Q1870" s="257"/>
      <c r="R1870" s="309"/>
      <c r="S1870" s="257"/>
      <c r="T1870" s="260"/>
      <c r="U1870" s="260"/>
      <c r="V1870" s="260"/>
      <c r="W1870" s="257"/>
      <c r="X1870" s="260"/>
      <c r="Y1870" s="257"/>
      <c r="Z1870" s="260"/>
      <c r="AA1870" s="257"/>
      <c r="AB1870" s="260"/>
      <c r="AC1870" s="257"/>
    </row>
    <row r="1871" spans="1:29" ht="15.6" hidden="1" customHeight="1">
      <c r="A1871" s="284"/>
      <c r="B1871" s="237"/>
      <c r="C1871" s="285"/>
      <c r="D1871" s="335"/>
      <c r="E1871" s="251"/>
      <c r="F1871" s="733"/>
      <c r="G1871" s="568"/>
      <c r="H1871" s="260"/>
      <c r="I1871" s="251"/>
      <c r="J1871" s="568"/>
      <c r="K1871" s="568"/>
      <c r="L1871" s="568"/>
      <c r="M1871" s="568"/>
      <c r="N1871" s="309"/>
      <c r="O1871" s="257"/>
      <c r="P1871" s="309"/>
      <c r="Q1871" s="257"/>
      <c r="R1871" s="309"/>
      <c r="S1871" s="257"/>
      <c r="T1871" s="260"/>
      <c r="U1871" s="260"/>
      <c r="V1871" s="260"/>
      <c r="W1871" s="257"/>
      <c r="X1871" s="260"/>
      <c r="Y1871" s="257"/>
      <c r="Z1871" s="260"/>
      <c r="AA1871" s="257"/>
      <c r="AB1871" s="260"/>
      <c r="AC1871" s="257"/>
    </row>
    <row r="1872" spans="1:29" s="247" customFormat="1" ht="15.6" hidden="1" customHeight="1">
      <c r="A1872" s="284" t="e">
        <f>A1869+1</f>
        <v>#VALUE!</v>
      </c>
      <c r="B1872" s="251"/>
      <c r="C1872" s="563" t="s">
        <v>1804</v>
      </c>
      <c r="D1872" s="276" t="s">
        <v>381</v>
      </c>
      <c r="E1872" s="251" t="s">
        <v>2879</v>
      </c>
      <c r="F1872" s="735"/>
      <c r="G1872" s="568"/>
      <c r="H1872" s="740"/>
      <c r="I1872" s="251" t="s">
        <v>2879</v>
      </c>
      <c r="J1872" s="568"/>
      <c r="K1872" s="568"/>
      <c r="L1872" s="568"/>
      <c r="M1872" s="568"/>
      <c r="N1872" s="309"/>
      <c r="O1872" s="257">
        <f>INT($G1872*N1872*100+0.5)/100</f>
        <v>0</v>
      </c>
      <c r="P1872" s="309"/>
      <c r="Q1872" s="257">
        <f>INT($G1872*P1872*100+0.5)/100</f>
        <v>0</v>
      </c>
      <c r="R1872" s="309"/>
      <c r="S1872" s="257">
        <f>INT($G1872*R1872*100+0.5)/100</f>
        <v>0</v>
      </c>
      <c r="T1872" s="260"/>
      <c r="U1872" s="260"/>
      <c r="V1872" s="288">
        <v>0</v>
      </c>
      <c r="W1872" s="257">
        <f>INT($G1872*V1872*100+0.5)/100</f>
        <v>0</v>
      </c>
      <c r="X1872" s="288">
        <v>0</v>
      </c>
      <c r="Y1872" s="257">
        <f>INT($G1872*X1872*100+0.5)/100</f>
        <v>0</v>
      </c>
      <c r="Z1872" s="288">
        <v>0</v>
      </c>
      <c r="AA1872" s="257">
        <f>INT($G1872*Z1872*100+0.5)/100</f>
        <v>0</v>
      </c>
      <c r="AB1872" s="288">
        <v>0</v>
      </c>
      <c r="AC1872" s="257">
        <f>INT($G1872*AB1872*100+0.5)/100</f>
        <v>0</v>
      </c>
    </row>
    <row r="1873" spans="1:31" s="247" customFormat="1" ht="15.6" hidden="1" customHeight="1">
      <c r="A1873" s="250"/>
      <c r="B1873" s="251"/>
      <c r="C1873" s="326"/>
      <c r="D1873" s="335" t="s">
        <v>382</v>
      </c>
      <c r="E1873" s="251" t="s">
        <v>545</v>
      </c>
      <c r="F1873" s="735"/>
      <c r="G1873" s="568"/>
      <c r="H1873" s="740"/>
      <c r="I1873" s="251" t="s">
        <v>545</v>
      </c>
      <c r="J1873" s="568"/>
      <c r="K1873" s="568"/>
      <c r="L1873" s="568"/>
      <c r="M1873" s="568"/>
      <c r="N1873" s="309"/>
      <c r="O1873" s="257"/>
      <c r="P1873" s="309"/>
      <c r="Q1873" s="257"/>
      <c r="R1873" s="309"/>
      <c r="S1873" s="257"/>
      <c r="T1873" s="260"/>
      <c r="U1873" s="260"/>
      <c r="V1873" s="288"/>
      <c r="W1873" s="257"/>
      <c r="X1873" s="288"/>
      <c r="Y1873" s="257"/>
      <c r="Z1873" s="288"/>
      <c r="AA1873" s="257"/>
      <c r="AB1873" s="288"/>
      <c r="AC1873" s="257"/>
    </row>
    <row r="1874" spans="1:31" s="325" customFormat="1" ht="15.6" hidden="1" customHeight="1">
      <c r="A1874" s="318"/>
      <c r="B1874" s="319"/>
      <c r="C1874" s="267" t="s">
        <v>1585</v>
      </c>
      <c r="D1874" s="333" t="s">
        <v>1586</v>
      </c>
      <c r="E1874" s="319"/>
      <c r="F1874" s="898"/>
      <c r="G1874" s="568"/>
      <c r="H1874" s="324">
        <f>O1874+S1874+Q1874+Y1874+AA1874+AC1874</f>
        <v>0</v>
      </c>
      <c r="I1874" s="319"/>
      <c r="J1874" s="568"/>
      <c r="K1874" s="568"/>
      <c r="L1874" s="568"/>
      <c r="M1874" s="568"/>
      <c r="N1874" s="309"/>
      <c r="O1874" s="322">
        <f>SUM(O1646:O1873)</f>
        <v>0</v>
      </c>
      <c r="P1874" s="309"/>
      <c r="Q1874" s="322">
        <f>SUM(Q1646:Q1873)</f>
        <v>0</v>
      </c>
      <c r="R1874" s="309"/>
      <c r="S1874" s="322">
        <f>SUM(S1646:S1873)</f>
        <v>0</v>
      </c>
      <c r="T1874" s="322"/>
      <c r="U1874" s="322"/>
      <c r="V1874" s="322"/>
      <c r="W1874" s="322">
        <f>SUM(W1646:W1873)</f>
        <v>0</v>
      </c>
      <c r="X1874" s="322"/>
      <c r="Y1874" s="322">
        <f>SUM(Y1646:Y1873)</f>
        <v>0</v>
      </c>
      <c r="Z1874" s="322"/>
      <c r="AA1874" s="322">
        <f>SUM(AA1646:AA1873)</f>
        <v>0</v>
      </c>
      <c r="AB1874" s="322"/>
      <c r="AC1874" s="324">
        <f>SUM(AC1646:AC1873)</f>
        <v>0</v>
      </c>
    </row>
    <row r="1875" spans="1:31" s="325" customFormat="1" ht="15">
      <c r="A1875" s="765"/>
      <c r="B1875" s="766"/>
      <c r="C1875" s="767"/>
      <c r="D1875" s="768"/>
      <c r="E1875" s="766"/>
      <c r="F1875" s="309"/>
      <c r="G1875" s="568"/>
      <c r="H1875" s="288"/>
      <c r="I1875" s="766"/>
      <c r="J1875" s="568"/>
      <c r="K1875" s="568"/>
      <c r="L1875" s="568"/>
      <c r="M1875" s="568"/>
      <c r="N1875" s="309"/>
      <c r="O1875" s="309"/>
      <c r="P1875" s="309"/>
      <c r="Q1875" s="309"/>
      <c r="R1875" s="309"/>
      <c r="S1875" s="309"/>
      <c r="T1875" s="309"/>
      <c r="V1875" s="309"/>
      <c r="W1875" s="309"/>
      <c r="X1875" s="309"/>
      <c r="Y1875" s="309"/>
      <c r="Z1875" s="309"/>
      <c r="AA1875" s="309"/>
      <c r="AB1875" s="309"/>
      <c r="AC1875" s="288"/>
    </row>
    <row r="1876" spans="1:31" s="325" customFormat="1" ht="15">
      <c r="A1876" s="765"/>
      <c r="B1876" s="766"/>
      <c r="C1876" s="767"/>
      <c r="D1876" s="768" t="s">
        <v>3371</v>
      </c>
      <c r="E1876" s="766"/>
      <c r="F1876" s="309"/>
      <c r="G1876" s="568"/>
      <c r="H1876" s="288"/>
      <c r="I1876" s="766"/>
      <c r="J1876" s="568"/>
      <c r="K1876" s="568"/>
      <c r="L1876" s="568"/>
      <c r="M1876" s="568"/>
      <c r="N1876" s="309"/>
      <c r="O1876" s="309">
        <f>$U$1876*150/(150+2*200+600)</f>
        <v>3312.6260869565212</v>
      </c>
      <c r="P1876" s="309"/>
      <c r="Q1876" s="309">
        <f>$U$1876*(600)/(150+2*200+600)</f>
        <v>13250.504347826085</v>
      </c>
      <c r="R1876" s="309"/>
      <c r="S1876" s="309">
        <f>$U$1876*(2*200)/(150+2*200+600)</f>
        <v>8833.6695652173894</v>
      </c>
      <c r="T1876" s="309"/>
      <c r="U1876" s="309">
        <f>U164+U176+U272+U547+U563+U581+U627+U657+U671+U847+U880+U907+U970+U995+U1144+U1151+U1237+U1584+U1643+U1874</f>
        <v>25396.799999999996</v>
      </c>
      <c r="V1876" s="309"/>
      <c r="W1876" s="309"/>
      <c r="X1876" s="309"/>
      <c r="Y1876" s="309"/>
      <c r="Z1876" s="309"/>
      <c r="AA1876" s="309"/>
      <c r="AB1876" s="309"/>
      <c r="AC1876" s="288"/>
    </row>
    <row r="1877" spans="1:31" s="247" customFormat="1" ht="15">
      <c r="A1877" s="284"/>
      <c r="B1877" s="237"/>
      <c r="C1877" s="453"/>
      <c r="D1877" s="330"/>
      <c r="E1877" s="237"/>
      <c r="F1877" s="240"/>
      <c r="G1877" s="465" t="s">
        <v>2022</v>
      </c>
      <c r="H1877" s="288">
        <f>H164+H176+H272+H547+H563+H581+H627+H657+H671+H847+H880+H907+H970+H995+H1144+H1151+H1237+H1584+H1643+H1874</f>
        <v>1446502.5599999998</v>
      </c>
      <c r="I1877" s="237"/>
      <c r="J1877" s="568"/>
      <c r="K1877" s="568"/>
      <c r="L1877" s="568"/>
      <c r="M1877" s="568"/>
      <c r="N1877" s="309"/>
      <c r="O1877" s="350"/>
      <c r="P1877" s="309"/>
      <c r="Q1877" s="350"/>
      <c r="R1877" s="309"/>
      <c r="S1877" s="350"/>
      <c r="T1877" s="182"/>
      <c r="U1877" s="182" t="s">
        <v>2985</v>
      </c>
      <c r="V1877" s="309"/>
      <c r="W1877" s="350"/>
      <c r="X1877" s="309"/>
      <c r="Y1877" s="350"/>
      <c r="Z1877" s="309"/>
      <c r="AA1877" s="350"/>
      <c r="AB1877" s="309"/>
      <c r="AC1877" s="242"/>
    </row>
    <row r="1878" spans="1:31" s="351" customFormat="1" ht="31.5">
      <c r="A1878" s="492" t="s">
        <v>553</v>
      </c>
      <c r="B1878" s="400"/>
      <c r="C1878" s="401"/>
      <c r="D1878" s="402" t="s">
        <v>1457</v>
      </c>
      <c r="E1878" s="400"/>
      <c r="F1878" s="407"/>
      <c r="G1878" s="407"/>
      <c r="H1878" s="743">
        <f>O1878+S1878+Q1878+U1878+W1878+Y1878+AA1878+AC1878</f>
        <v>1446502.56</v>
      </c>
      <c r="I1878" s="400"/>
      <c r="J1878" s="407"/>
      <c r="K1878" s="407"/>
      <c r="L1878" s="407"/>
      <c r="M1878" s="407"/>
      <c r="N1878" s="407"/>
      <c r="O1878" s="408">
        <f>O164+O176+O272+O547+O563+O581+O627+O657+O671+O847+O880+O907+O970+O995+O1144+O1151+O1584+O1643+O1874+O1876</f>
        <v>169936.69608695648</v>
      </c>
      <c r="P1878" s="407"/>
      <c r="Q1878" s="408">
        <f>Q164+Q176+Q272+Q547+Q563+Q581+Q627+Q657+Q671+Q847+Q880+Q907+Q970+Q995+Q1144+Q1151+Q1584+Q1643+Q1874+Q1876</f>
        <v>275619.83434782602</v>
      </c>
      <c r="R1878" s="407"/>
      <c r="S1878" s="408">
        <f>S164+S176+S272+S547+S563+S581+S627+S657+S671+S847+S880+S907+S970+S995+S1144+S1151+S1584+S1643+S1874+S1876</f>
        <v>499845.55956521735</v>
      </c>
      <c r="T1878" s="408"/>
      <c r="U1878" s="408">
        <v>0</v>
      </c>
      <c r="V1878" s="407"/>
      <c r="W1878" s="408">
        <f>W164+W176+W272+W547+W563+W581+W627+W657+W671+W847+W880+W907+W970+W995+W1144+W1151+W1584+W1643+W1874+W1876</f>
        <v>139102.26999999999</v>
      </c>
      <c r="X1878" s="407"/>
      <c r="Y1878" s="408">
        <f>Y164+Y176+Y272+Y547+Y563+Y581+Y627+Y657+Y671+Y847+Y880+Y907+Y970+Y995+Y1144+Y1151+Y1584+Y1643+Y1874+Y1876</f>
        <v>203588.23</v>
      </c>
      <c r="Z1878" s="407"/>
      <c r="AA1878" s="408">
        <f>AA164+AA176+AA272+AA547+AA563+AA581+AA627+AA657+AA671+AA847+AA880+AA907+AA970+AA995+AA1144+AA1151+AA1584+AA1643+AA1874+AA1876</f>
        <v>28902.12</v>
      </c>
      <c r="AB1878" s="407"/>
      <c r="AC1878" s="566">
        <f>AC164+AC176+AC272+AC547+AC563+AC581+AC627+AC657+AC671+AC847+AC880+AC907+AC970+AC995+AC1144+AC1151+AC1584+AC1643+AC1874+AC1876</f>
        <v>129507.85</v>
      </c>
      <c r="AE1878" s="387"/>
    </row>
    <row r="1879" spans="1:31" ht="15">
      <c r="A1879" s="250"/>
      <c r="B1879" s="251"/>
      <c r="C1879" s="326"/>
      <c r="D1879" s="292"/>
      <c r="E1879" s="307"/>
      <c r="F1879" s="307"/>
      <c r="G1879" s="253"/>
      <c r="H1879" s="755">
        <f>O1879+Q1879+S1879+U1879+W1879+Y1879+AA1879+AC1879</f>
        <v>0.99999999999999978</v>
      </c>
      <c r="I1879" s="307"/>
      <c r="J1879" s="253"/>
      <c r="K1879" s="253"/>
      <c r="L1879" s="253"/>
      <c r="M1879" s="253"/>
      <c r="N1879" s="568"/>
      <c r="O1879" s="495">
        <f>O1878/$H$1878</f>
        <v>0.11748108906696748</v>
      </c>
      <c r="P1879" s="568"/>
      <c r="Q1879" s="495">
        <f>Q1878/$H$1878</f>
        <v>0.19054223751102523</v>
      </c>
      <c r="R1879" s="568"/>
      <c r="S1879" s="495">
        <f>S1878/$H$1878</f>
        <v>0.34555456269999091</v>
      </c>
      <c r="T1879" s="916"/>
      <c r="U1879" s="495">
        <f>U1878/$H$1878</f>
        <v>0</v>
      </c>
      <c r="V1879" s="309"/>
      <c r="W1879" s="495">
        <f>W1878/$H$1878</f>
        <v>9.6164551551156593E-2</v>
      </c>
      <c r="X1879" s="568"/>
      <c r="Y1879" s="495">
        <f>Y1878/$H$1878</f>
        <v>0.14074515706353122</v>
      </c>
      <c r="Z1879" s="309"/>
      <c r="AA1879" s="495">
        <f>AA1878/$H$1878</f>
        <v>1.998069052847027E-2</v>
      </c>
      <c r="AB1879" s="309"/>
      <c r="AC1879" s="755">
        <f>AC1878/$H$1878</f>
        <v>8.9531711578858184E-2</v>
      </c>
    </row>
    <row r="1880" spans="1:31" ht="28.5">
      <c r="A1880" s="356" t="s">
        <v>1369</v>
      </c>
      <c r="B1880" s="357"/>
      <c r="C1880" s="358"/>
      <c r="D1880" s="359" t="s">
        <v>2099</v>
      </c>
      <c r="E1880" s="361"/>
      <c r="F1880" s="364"/>
      <c r="G1880" s="363"/>
      <c r="H1880" s="376">
        <f>O1880+S1880+Q1880+U1880+W1880+Y1880+AA1880+AC1880+0.01</f>
        <v>18261.829999999998</v>
      </c>
      <c r="I1880" s="361"/>
      <c r="J1880" s="363"/>
      <c r="K1880" s="363"/>
      <c r="L1880" s="363"/>
      <c r="M1880" s="363"/>
      <c r="N1880" s="851" t="s">
        <v>2508</v>
      </c>
      <c r="O1880" s="364">
        <f>INT($N$1881*O1879*100+0.5)/100</f>
        <v>2145.42</v>
      </c>
      <c r="P1880" s="363"/>
      <c r="Q1880" s="364">
        <f>INT($N$1881*Q1879*100+0.5)/100</f>
        <v>3479.65</v>
      </c>
      <c r="R1880" s="363"/>
      <c r="S1880" s="364">
        <f>INT($N$1881*S1879*100+0.5)/100</f>
        <v>6310.46</v>
      </c>
      <c r="T1880" s="364"/>
      <c r="U1880" s="364"/>
      <c r="V1880" s="363"/>
      <c r="W1880" s="364">
        <f>INT($N$1881*W1879*100+0.5)/100</f>
        <v>1756.14</v>
      </c>
      <c r="X1880" s="363"/>
      <c r="Y1880" s="364">
        <f>INT($N$1881*Y1879*100+0.5)/100</f>
        <v>2570.2600000000002</v>
      </c>
      <c r="Z1880" s="363"/>
      <c r="AA1880" s="364">
        <f>INT($N$1881*AA1879*100+0.5)/100</f>
        <v>364.88</v>
      </c>
      <c r="AB1880" s="363"/>
      <c r="AC1880" s="365">
        <f>INT($N$1881*AC1879*100+0.5)/100</f>
        <v>1635.01</v>
      </c>
    </row>
    <row r="1881" spans="1:31" ht="13.9" hidden="1" customHeight="1">
      <c r="A1881" s="250"/>
      <c r="B1881" s="251"/>
      <c r="C1881" s="326"/>
      <c r="D1881" s="292"/>
      <c r="E1881" s="307"/>
      <c r="F1881" s="225"/>
      <c r="G1881" s="568">
        <v>18261.830000000002</v>
      </c>
      <c r="H1881" s="694"/>
      <c r="I1881" s="307"/>
      <c r="J1881" s="568"/>
      <c r="K1881" s="568"/>
      <c r="L1881" s="568"/>
      <c r="M1881" s="568"/>
      <c r="N1881" s="852">
        <f>G1881</f>
        <v>18261.830000000002</v>
      </c>
      <c r="O1881" s="495">
        <f>$O$1880/O1878</f>
        <v>1.262481882607739E-2</v>
      </c>
      <c r="P1881" s="568"/>
      <c r="Q1881" s="495">
        <f>Q1880/Q1878</f>
        <v>1.2624817108077788E-2</v>
      </c>
      <c r="R1881" s="221"/>
      <c r="S1881" s="495">
        <f>S1880/S1878</f>
        <v>1.2624819565245419E-2</v>
      </c>
      <c r="T1881" s="495"/>
      <c r="U1881" s="495"/>
      <c r="V1881" s="309"/>
      <c r="W1881" s="495">
        <f>W1880/W1878</f>
        <v>1.2624811945915766E-2</v>
      </c>
      <c r="X1881" s="568"/>
      <c r="Y1881" s="495">
        <f>Y1880/Y1878</f>
        <v>1.2624796629942705E-2</v>
      </c>
      <c r="Z1881" s="309"/>
      <c r="AA1881" s="495">
        <f>AA1880/AA1878</f>
        <v>1.262467943528018E-2</v>
      </c>
      <c r="AB1881" s="309"/>
      <c r="AC1881" s="570">
        <f>AC1880/AC1878</f>
        <v>1.2624794558785433E-2</v>
      </c>
    </row>
    <row r="1882" spans="1:31" ht="14.25">
      <c r="A1882" s="250"/>
      <c r="B1882" s="251"/>
      <c r="C1882" s="326"/>
      <c r="D1882" s="292"/>
      <c r="E1882" s="307"/>
      <c r="F1882" s="225"/>
      <c r="G1882" s="568"/>
      <c r="H1882" s="694"/>
      <c r="I1882" s="307"/>
      <c r="J1882" s="568"/>
      <c r="K1882" s="568"/>
      <c r="L1882" s="568"/>
      <c r="M1882" s="568"/>
      <c r="N1882" s="568"/>
      <c r="O1882" s="495"/>
      <c r="P1882" s="568"/>
      <c r="Q1882" s="495"/>
      <c r="R1882" s="221"/>
      <c r="S1882" s="495"/>
      <c r="T1882" s="495"/>
      <c r="U1882" s="495"/>
      <c r="V1882" s="309"/>
      <c r="W1882" s="495"/>
      <c r="X1882" s="568"/>
      <c r="Y1882" s="495"/>
      <c r="Z1882" s="309"/>
      <c r="AA1882" s="495"/>
      <c r="AB1882" s="309"/>
      <c r="AC1882" s="570"/>
    </row>
    <row r="1883" spans="1:31" s="383" customFormat="1" ht="31.5">
      <c r="A1883" s="819" t="s">
        <v>3193</v>
      </c>
      <c r="B1883" s="820"/>
      <c r="C1883" s="821"/>
      <c r="D1883" s="822" t="s">
        <v>342</v>
      </c>
      <c r="E1883" s="823"/>
      <c r="F1883" s="824"/>
      <c r="G1883" s="824"/>
      <c r="H1883" s="825">
        <f>H1878+H1880</f>
        <v>1464764.3900000001</v>
      </c>
      <c r="I1883" s="823"/>
      <c r="J1883" s="824"/>
      <c r="K1883" s="824"/>
      <c r="L1883" s="824"/>
      <c r="M1883" s="824"/>
      <c r="N1883" s="824"/>
      <c r="O1883" s="826">
        <f>O1878+O1880</f>
        <v>172082.11608695649</v>
      </c>
      <c r="P1883" s="826"/>
      <c r="Q1883" s="826">
        <f>Q1878+Q1880</f>
        <v>279099.48434782604</v>
      </c>
      <c r="R1883" s="826"/>
      <c r="S1883" s="826">
        <f>S1878+S1880</f>
        <v>506156.01956521737</v>
      </c>
      <c r="T1883" s="826"/>
      <c r="U1883" s="826">
        <f>U1878+U1880</f>
        <v>0</v>
      </c>
      <c r="V1883" s="826"/>
      <c r="W1883" s="826">
        <f>W1878+W1880</f>
        <v>140858.41</v>
      </c>
      <c r="X1883" s="826"/>
      <c r="Y1883" s="826">
        <f>Y1878+Y1880</f>
        <v>206158.49000000002</v>
      </c>
      <c r="Z1883" s="826"/>
      <c r="AA1883" s="826">
        <f>AA1878+AA1880</f>
        <v>29267</v>
      </c>
      <c r="AB1883" s="826"/>
      <c r="AC1883" s="827">
        <f>AC1878+AC1880</f>
        <v>131142.86000000002</v>
      </c>
    </row>
    <row r="1884" spans="1:31" ht="15.75" thickBot="1">
      <c r="A1884" s="250"/>
      <c r="B1884" s="251"/>
      <c r="C1884" s="326"/>
      <c r="D1884" s="292"/>
      <c r="E1884" s="307"/>
      <c r="F1884" s="225"/>
      <c r="G1884" s="253"/>
      <c r="H1884" s="800">
        <f>SUM(O1884:AC1884)</f>
        <v>0.99999999317296318</v>
      </c>
      <c r="J1884" s="253"/>
      <c r="K1884" s="253"/>
      <c r="L1884" s="253"/>
      <c r="M1884" s="253"/>
      <c r="N1884" s="225"/>
      <c r="O1884" s="801">
        <f>O1883/$H$1883</f>
        <v>0.11748108928764747</v>
      </c>
      <c r="P1884" s="253"/>
      <c r="Q1884" s="801">
        <f>Q1883/$H$1883</f>
        <v>0.1905422375456752</v>
      </c>
      <c r="R1884" s="225"/>
      <c r="S1884" s="801">
        <f>S1883/$H$1883</f>
        <v>0.3455545636013293</v>
      </c>
      <c r="T1884" s="801"/>
      <c r="U1884" s="801"/>
      <c r="V1884" s="350"/>
      <c r="W1884" s="801">
        <f>W1883/$H$1883</f>
        <v>9.6164551078416094E-2</v>
      </c>
      <c r="X1884" s="225"/>
      <c r="Y1884" s="801">
        <f>Y1883/$H$1883</f>
        <v>0.14074515424286085</v>
      </c>
      <c r="Z1884" s="350"/>
      <c r="AA1884" s="801">
        <f>AA1883/$H$1883</f>
        <v>1.9980687815601524E-2</v>
      </c>
      <c r="AB1884" s="350"/>
      <c r="AC1884" s="802">
        <f>AC1883/$H$1883</f>
        <v>8.9531709601432904E-2</v>
      </c>
    </row>
    <row r="1885" spans="1:31" ht="25.5">
      <c r="A1885" s="803"/>
      <c r="B1885" s="370"/>
      <c r="C1885" s="593"/>
      <c r="D1885" s="804" t="s">
        <v>3039</v>
      </c>
      <c r="E1885" s="794"/>
      <c r="F1885" s="805"/>
      <c r="G1885" s="523"/>
      <c r="H1885" s="805"/>
      <c r="I1885" s="794"/>
      <c r="J1885" s="523"/>
      <c r="K1885" s="523"/>
      <c r="L1885" s="523"/>
      <c r="M1885" s="523"/>
      <c r="N1885" s="770" t="s">
        <v>3175</v>
      </c>
      <c r="O1885" s="771"/>
      <c r="P1885" s="912" t="s">
        <v>3177</v>
      </c>
      <c r="Q1885" s="913"/>
      <c r="R1885" s="828" t="s">
        <v>3033</v>
      </c>
      <c r="S1885" s="769"/>
      <c r="T1885" s="798" t="s">
        <v>3038</v>
      </c>
      <c r="U1885" s="799"/>
      <c r="V1885" s="818" t="s">
        <v>3034</v>
      </c>
      <c r="W1885" s="817"/>
      <c r="X1885" s="818" t="s">
        <v>3035</v>
      </c>
      <c r="Y1885" s="817"/>
      <c r="Z1885" s="818" t="s">
        <v>3036</v>
      </c>
      <c r="AA1885" s="817"/>
      <c r="AB1885" s="818" t="s">
        <v>3037</v>
      </c>
      <c r="AC1885" s="817"/>
    </row>
    <row r="1886" spans="1:31" s="247" customFormat="1" ht="18">
      <c r="A1886" s="806"/>
      <c r="B1886" s="806"/>
      <c r="C1886" s="807"/>
      <c r="D1886" s="808"/>
      <c r="E1886" s="809"/>
      <c r="F1886" s="810"/>
      <c r="G1886" s="305"/>
      <c r="H1886" s="810"/>
      <c r="I1886" s="809"/>
      <c r="J1886" s="305"/>
      <c r="K1886" s="305"/>
      <c r="L1886" s="305"/>
      <c r="M1886" s="305"/>
      <c r="N1886" s="770" t="s">
        <v>3174</v>
      </c>
      <c r="O1886" s="771"/>
      <c r="P1886" s="912" t="s">
        <v>3176</v>
      </c>
      <c r="Q1886" s="913"/>
      <c r="R1886" s="828" t="s">
        <v>3178</v>
      </c>
      <c r="S1886" s="769"/>
      <c r="T1886" s="798" t="s">
        <v>3179</v>
      </c>
      <c r="U1886" s="799"/>
      <c r="V1886" s="818" t="s">
        <v>3176</v>
      </c>
      <c r="W1886" s="817"/>
      <c r="X1886" s="818"/>
      <c r="Y1886" s="817"/>
      <c r="Z1886" s="818"/>
      <c r="AA1886" s="817"/>
      <c r="AB1886" s="818"/>
      <c r="AC1886" s="817"/>
    </row>
    <row r="1887" spans="1:31" customFormat="1">
      <c r="D1887" s="183"/>
      <c r="F1887" s="853"/>
      <c r="G1887" s="709"/>
      <c r="H1887" s="709"/>
      <c r="I1887" s="709"/>
      <c r="J1887" s="906"/>
      <c r="K1887" s="906"/>
      <c r="L1887" s="906"/>
      <c r="M1887" s="906"/>
      <c r="N1887" s="709"/>
      <c r="O1887" s="709"/>
      <c r="P1887" s="709"/>
      <c r="Q1887" s="709"/>
      <c r="R1887" s="709"/>
      <c r="S1887" s="709"/>
      <c r="T1887" s="709"/>
      <c r="U1887" s="709"/>
      <c r="V1887" s="709"/>
      <c r="W1887" s="709"/>
      <c r="X1887" s="709"/>
      <c r="Y1887" s="709"/>
      <c r="Z1887" s="709"/>
      <c r="AA1887" s="709"/>
      <c r="AB1887" s="709"/>
      <c r="AC1887" s="709"/>
    </row>
    <row r="1888" spans="1:31" customFormat="1">
      <c r="D1888" s="183"/>
      <c r="F1888" s="853"/>
      <c r="G1888" s="709"/>
      <c r="H1888" s="709"/>
      <c r="I1888" s="709"/>
      <c r="J1888" s="906"/>
      <c r="K1888" s="906"/>
      <c r="L1888" s="906"/>
      <c r="M1888" s="906"/>
      <c r="N1888" s="709"/>
      <c r="O1888" s="709"/>
      <c r="P1888" s="709"/>
      <c r="Q1888" s="709"/>
      <c r="R1888" s="709"/>
      <c r="S1888" s="709"/>
      <c r="T1888" s="709"/>
      <c r="U1888" s="709"/>
      <c r="V1888" s="709"/>
      <c r="W1888" s="709"/>
      <c r="X1888" s="709"/>
      <c r="Y1888" s="709"/>
      <c r="Z1888" s="709"/>
      <c r="AA1888" s="709"/>
      <c r="AB1888" s="709"/>
      <c r="AC1888" s="709"/>
    </row>
    <row r="1889" spans="4:29" customFormat="1">
      <c r="D1889" s="183"/>
      <c r="F1889" s="853"/>
      <c r="G1889" s="709"/>
      <c r="H1889" s="709"/>
      <c r="I1889" s="709"/>
      <c r="J1889" s="906"/>
      <c r="K1889" s="906"/>
      <c r="L1889" s="906"/>
      <c r="M1889" s="906"/>
      <c r="N1889" s="709"/>
      <c r="O1889" s="709"/>
      <c r="P1889" s="709"/>
      <c r="Q1889" s="709"/>
      <c r="R1889" s="709"/>
      <c r="S1889" s="709"/>
      <c r="T1889" s="709"/>
      <c r="U1889" s="709"/>
      <c r="V1889" s="709"/>
      <c r="W1889" s="709"/>
      <c r="X1889" s="709"/>
      <c r="Y1889" s="709"/>
      <c r="Z1889" s="709"/>
      <c r="AA1889" s="709"/>
      <c r="AB1889" s="709"/>
      <c r="AC1889" s="709"/>
    </row>
    <row r="1890" spans="4:29" customFormat="1">
      <c r="D1890" s="183"/>
      <c r="F1890" s="853"/>
      <c r="G1890" s="709"/>
      <c r="H1890" s="709"/>
      <c r="I1890" s="709"/>
      <c r="J1890" s="906"/>
      <c r="K1890" s="906"/>
      <c r="L1890" s="906"/>
      <c r="M1890" s="906"/>
      <c r="N1890" s="709"/>
      <c r="O1890" s="709"/>
      <c r="P1890" s="709"/>
      <c r="Q1890" s="709"/>
      <c r="R1890" s="709"/>
      <c r="S1890" s="709"/>
      <c r="T1890" s="709"/>
      <c r="U1890" s="709"/>
      <c r="V1890" s="709"/>
      <c r="W1890" s="709"/>
      <c r="X1890" s="709"/>
      <c r="Y1890" s="709"/>
      <c r="Z1890" s="709"/>
      <c r="AA1890" s="709"/>
      <c r="AB1890" s="709"/>
      <c r="AC1890" s="709"/>
    </row>
    <row r="1891" spans="4:29" customFormat="1">
      <c r="D1891" s="183"/>
      <c r="F1891" s="853"/>
      <c r="G1891" s="709"/>
      <c r="H1891" s="709"/>
      <c r="I1891" s="709"/>
      <c r="J1891" s="906"/>
      <c r="K1891" s="906"/>
      <c r="L1891" s="906"/>
      <c r="M1891" s="906"/>
      <c r="N1891" s="709"/>
      <c r="O1891" s="709"/>
      <c r="P1891" s="709"/>
      <c r="Q1891" s="709"/>
      <c r="R1891" s="709"/>
      <c r="S1891" s="709"/>
      <c r="T1891" s="709"/>
      <c r="U1891" s="709"/>
      <c r="V1891" s="709"/>
      <c r="W1891" s="709"/>
      <c r="X1891" s="709"/>
      <c r="Y1891" s="709"/>
      <c r="Z1891" s="709"/>
      <c r="AA1891" s="709"/>
      <c r="AB1891" s="709"/>
      <c r="AC1891" s="709"/>
    </row>
    <row r="1892" spans="4:29" customFormat="1">
      <c r="D1892" s="183"/>
      <c r="F1892" s="853"/>
      <c r="G1892" s="709"/>
      <c r="H1892" s="709"/>
      <c r="I1892" s="709"/>
      <c r="J1892" s="906"/>
      <c r="K1892" s="906"/>
      <c r="L1892" s="906"/>
      <c r="M1892" s="906"/>
      <c r="N1892" s="709"/>
      <c r="O1892" s="709"/>
      <c r="P1892" s="709"/>
      <c r="Q1892" s="709"/>
      <c r="R1892" s="709"/>
      <c r="S1892" s="709"/>
      <c r="T1892" s="709"/>
      <c r="U1892" s="709"/>
      <c r="V1892" s="709"/>
      <c r="W1892" s="709"/>
      <c r="X1892" s="709"/>
      <c r="Y1892" s="709"/>
      <c r="Z1892" s="709"/>
      <c r="AA1892" s="709"/>
      <c r="AB1892" s="709"/>
      <c r="AC1892" s="709"/>
    </row>
    <row r="1893" spans="4:29" customFormat="1">
      <c r="D1893" s="183"/>
      <c r="F1893" s="853"/>
      <c r="G1893" s="709"/>
      <c r="H1893" s="709"/>
      <c r="I1893" s="709"/>
      <c r="J1893" s="906"/>
      <c r="K1893" s="906"/>
      <c r="L1893" s="906"/>
      <c r="M1893" s="906"/>
      <c r="N1893" s="709"/>
      <c r="O1893" s="709"/>
      <c r="P1893" s="709"/>
      <c r="Q1893" s="709"/>
      <c r="R1893" s="709"/>
      <c r="S1893" s="709"/>
      <c r="T1893" s="709"/>
      <c r="U1893" s="709"/>
      <c r="V1893" s="709"/>
      <c r="W1893" s="709"/>
      <c r="X1893" s="709"/>
      <c r="Y1893" s="709"/>
      <c r="Z1893" s="709"/>
      <c r="AA1893" s="709"/>
      <c r="AB1893" s="709"/>
      <c r="AC1893" s="709"/>
    </row>
    <row r="1894" spans="4:29" customFormat="1">
      <c r="D1894" s="183"/>
      <c r="F1894" s="853"/>
      <c r="G1894" s="709"/>
      <c r="H1894" s="709"/>
      <c r="I1894" s="709"/>
      <c r="J1894" s="906"/>
      <c r="K1894" s="906"/>
      <c r="L1894" s="906"/>
      <c r="M1894" s="906"/>
      <c r="N1894" s="709"/>
      <c r="O1894" s="709"/>
      <c r="P1894" s="709"/>
      <c r="Q1894" s="709"/>
      <c r="R1894" s="709"/>
      <c r="S1894" s="709"/>
      <c r="T1894" s="709"/>
      <c r="U1894" s="709"/>
      <c r="V1894" s="709"/>
      <c r="W1894" s="709"/>
      <c r="X1894" s="709"/>
      <c r="Y1894" s="709"/>
      <c r="Z1894" s="709"/>
      <c r="AA1894" s="709"/>
      <c r="AB1894" s="709"/>
      <c r="AC1894" s="709"/>
    </row>
    <row r="1895" spans="4:29" customFormat="1">
      <c r="D1895" s="183"/>
      <c r="F1895" s="853"/>
      <c r="G1895" s="709"/>
      <c r="H1895" s="709"/>
      <c r="I1895" s="709"/>
      <c r="J1895" s="906"/>
      <c r="K1895" s="906"/>
      <c r="L1895" s="906"/>
      <c r="M1895" s="906"/>
      <c r="N1895" s="709"/>
      <c r="O1895" s="709"/>
      <c r="P1895" s="709"/>
      <c r="Q1895" s="709"/>
      <c r="R1895" s="709"/>
      <c r="S1895" s="709"/>
      <c r="T1895" s="709"/>
      <c r="U1895" s="709"/>
      <c r="V1895" s="709"/>
      <c r="W1895" s="709"/>
      <c r="X1895" s="709"/>
      <c r="Y1895" s="709"/>
      <c r="Z1895" s="709"/>
      <c r="AA1895" s="709"/>
      <c r="AB1895" s="709"/>
      <c r="AC1895" s="709"/>
    </row>
    <row r="1896" spans="4:29" customFormat="1">
      <c r="D1896" s="183"/>
      <c r="F1896" s="853"/>
      <c r="G1896" s="709"/>
      <c r="H1896" s="709"/>
      <c r="I1896" s="709"/>
      <c r="J1896" s="906"/>
      <c r="K1896" s="906"/>
      <c r="L1896" s="906"/>
      <c r="M1896" s="906"/>
      <c r="N1896" s="709"/>
      <c r="O1896" s="709"/>
      <c r="P1896" s="709"/>
      <c r="Q1896" s="709"/>
      <c r="R1896" s="709"/>
      <c r="S1896" s="709"/>
      <c r="T1896" s="709"/>
      <c r="U1896" s="709"/>
      <c r="V1896" s="709"/>
      <c r="W1896" s="709"/>
      <c r="X1896" s="709"/>
      <c r="Y1896" s="709"/>
      <c r="Z1896" s="709"/>
      <c r="AA1896" s="709"/>
      <c r="AB1896" s="709"/>
      <c r="AC1896" s="709"/>
    </row>
    <row r="1897" spans="4:29" customFormat="1">
      <c r="D1897" s="183"/>
      <c r="F1897" s="853"/>
      <c r="G1897" s="709"/>
      <c r="H1897" s="709"/>
      <c r="I1897" s="709"/>
      <c r="J1897" s="906"/>
      <c r="K1897" s="906"/>
      <c r="L1897" s="906"/>
      <c r="M1897" s="906"/>
      <c r="N1897" s="709"/>
      <c r="O1897" s="709"/>
      <c r="P1897" s="709"/>
      <c r="Q1897" s="709"/>
      <c r="R1897" s="709"/>
      <c r="S1897" s="709"/>
      <c r="T1897" s="709"/>
      <c r="U1897" s="709"/>
      <c r="V1897" s="709"/>
      <c r="W1897" s="709"/>
      <c r="X1897" s="709"/>
      <c r="Y1897" s="709"/>
      <c r="Z1897" s="709"/>
      <c r="AA1897" s="709"/>
      <c r="AB1897" s="709"/>
      <c r="AC1897" s="709"/>
    </row>
    <row r="1898" spans="4:29" customFormat="1">
      <c r="D1898" s="183"/>
      <c r="F1898" s="853"/>
      <c r="G1898" s="709"/>
      <c r="H1898" s="709"/>
      <c r="I1898" s="709"/>
      <c r="J1898" s="906"/>
      <c r="K1898" s="906"/>
      <c r="L1898" s="906"/>
      <c r="M1898" s="906"/>
      <c r="N1898" s="709"/>
      <c r="O1898" s="709"/>
      <c r="P1898" s="709"/>
      <c r="Q1898" s="709"/>
      <c r="R1898" s="709"/>
      <c r="S1898" s="709"/>
      <c r="T1898" s="709"/>
      <c r="U1898" s="709"/>
      <c r="V1898" s="709"/>
      <c r="W1898" s="709"/>
      <c r="X1898" s="709"/>
      <c r="Y1898" s="709"/>
      <c r="Z1898" s="709"/>
      <c r="AA1898" s="709"/>
      <c r="AB1898" s="709"/>
      <c r="AC1898" s="709"/>
    </row>
    <row r="1899" spans="4:29" customFormat="1">
      <c r="D1899" s="183"/>
      <c r="F1899" s="853"/>
      <c r="G1899" s="709"/>
      <c r="H1899" s="709"/>
      <c r="I1899" s="709"/>
      <c r="J1899" s="906"/>
      <c r="K1899" s="906"/>
      <c r="L1899" s="906"/>
      <c r="M1899" s="906"/>
      <c r="N1899" s="709"/>
      <c r="O1899" s="709"/>
      <c r="P1899" s="709"/>
      <c r="Q1899" s="709"/>
      <c r="R1899" s="709"/>
      <c r="S1899" s="709"/>
      <c r="T1899" s="709"/>
      <c r="U1899" s="709"/>
      <c r="V1899" s="709"/>
      <c r="W1899" s="709"/>
      <c r="X1899" s="709"/>
      <c r="Y1899" s="709"/>
      <c r="Z1899" s="709"/>
      <c r="AA1899" s="709"/>
      <c r="AB1899" s="709"/>
      <c r="AC1899" s="709"/>
    </row>
    <row r="1900" spans="4:29" customFormat="1">
      <c r="D1900" s="183"/>
      <c r="F1900" s="853"/>
      <c r="G1900" s="709"/>
      <c r="H1900" s="709"/>
      <c r="I1900" s="709"/>
      <c r="J1900" s="906"/>
      <c r="K1900" s="906"/>
      <c r="L1900" s="906"/>
      <c r="M1900" s="906"/>
      <c r="N1900" s="709"/>
      <c r="O1900" s="709"/>
      <c r="P1900" s="709"/>
      <c r="Q1900" s="709"/>
      <c r="R1900" s="709"/>
      <c r="S1900" s="709"/>
      <c r="T1900" s="709"/>
      <c r="U1900" s="709"/>
      <c r="V1900" s="709"/>
      <c r="W1900" s="709"/>
      <c r="X1900" s="709"/>
      <c r="Y1900" s="709"/>
      <c r="Z1900" s="709"/>
      <c r="AA1900" s="709"/>
      <c r="AB1900" s="709"/>
      <c r="AC1900" s="709"/>
    </row>
    <row r="1901" spans="4:29" customFormat="1">
      <c r="D1901" s="183"/>
      <c r="F1901" s="853"/>
      <c r="G1901" s="709"/>
      <c r="H1901" s="709"/>
      <c r="I1901" s="709"/>
      <c r="J1901" s="906"/>
      <c r="K1901" s="906"/>
      <c r="L1901" s="906"/>
      <c r="M1901" s="906"/>
      <c r="N1901" s="709"/>
      <c r="O1901" s="709"/>
      <c r="P1901" s="709"/>
      <c r="Q1901" s="709"/>
      <c r="R1901" s="709"/>
      <c r="S1901" s="709"/>
      <c r="T1901" s="709"/>
      <c r="U1901" s="709"/>
      <c r="V1901" s="709"/>
      <c r="W1901" s="709"/>
      <c r="X1901" s="709"/>
      <c r="Y1901" s="709"/>
      <c r="Z1901" s="709"/>
      <c r="AA1901" s="709"/>
      <c r="AB1901" s="709"/>
      <c r="AC1901" s="709"/>
    </row>
    <row r="1902" spans="4:29" customFormat="1">
      <c r="D1902" s="183"/>
      <c r="F1902" s="853"/>
      <c r="G1902" s="709"/>
      <c r="H1902" s="709"/>
      <c r="I1902" s="709"/>
      <c r="J1902" s="906"/>
      <c r="K1902" s="906"/>
      <c r="L1902" s="906"/>
      <c r="M1902" s="906"/>
      <c r="N1902" s="709"/>
      <c r="O1902" s="709"/>
      <c r="P1902" s="709"/>
      <c r="Q1902" s="709"/>
      <c r="R1902" s="709"/>
      <c r="S1902" s="709"/>
      <c r="T1902" s="709"/>
      <c r="U1902" s="709"/>
      <c r="V1902" s="709"/>
      <c r="W1902" s="709"/>
      <c r="X1902" s="709"/>
      <c r="Y1902" s="709"/>
      <c r="Z1902" s="709"/>
      <c r="AA1902" s="709"/>
      <c r="AB1902" s="709"/>
      <c r="AC1902" s="709"/>
    </row>
    <row r="1903" spans="4:29" customFormat="1">
      <c r="D1903" s="183"/>
      <c r="F1903" s="853"/>
      <c r="G1903" s="709"/>
      <c r="H1903" s="709"/>
      <c r="I1903" s="709"/>
      <c r="J1903" s="906"/>
      <c r="K1903" s="906"/>
      <c r="L1903" s="906"/>
      <c r="M1903" s="906"/>
      <c r="N1903" s="709"/>
      <c r="O1903" s="709"/>
      <c r="P1903" s="709"/>
      <c r="Q1903" s="709"/>
      <c r="R1903" s="709"/>
      <c r="S1903" s="709"/>
      <c r="T1903" s="709"/>
      <c r="U1903" s="709"/>
      <c r="V1903" s="709"/>
      <c r="W1903" s="709"/>
      <c r="X1903" s="709"/>
      <c r="Y1903" s="709"/>
      <c r="Z1903" s="709"/>
      <c r="AA1903" s="709"/>
      <c r="AB1903" s="709"/>
      <c r="AC1903" s="709"/>
    </row>
    <row r="1904" spans="4:29" customFormat="1">
      <c r="D1904" s="183"/>
      <c r="F1904" s="853"/>
      <c r="G1904" s="709"/>
      <c r="H1904" s="709"/>
      <c r="I1904" s="709"/>
      <c r="J1904" s="906"/>
      <c r="K1904" s="906"/>
      <c r="L1904" s="906"/>
      <c r="M1904" s="906"/>
      <c r="N1904" s="709"/>
      <c r="O1904" s="709"/>
      <c r="P1904" s="709"/>
      <c r="Q1904" s="709"/>
      <c r="R1904" s="709"/>
      <c r="S1904" s="709"/>
      <c r="T1904" s="709"/>
      <c r="U1904" s="709"/>
      <c r="V1904" s="709"/>
      <c r="W1904" s="709"/>
      <c r="X1904" s="709"/>
      <c r="Y1904" s="709"/>
      <c r="Z1904" s="709"/>
      <c r="AA1904" s="709"/>
      <c r="AB1904" s="709"/>
      <c r="AC1904" s="709"/>
    </row>
    <row r="1905" spans="4:29" customFormat="1">
      <c r="D1905" s="183"/>
      <c r="F1905" s="853"/>
      <c r="G1905" s="709"/>
      <c r="H1905" s="709"/>
      <c r="I1905" s="709"/>
      <c r="J1905" s="906"/>
      <c r="K1905" s="906"/>
      <c r="L1905" s="906"/>
      <c r="M1905" s="906"/>
      <c r="N1905" s="709"/>
      <c r="O1905" s="709"/>
      <c r="P1905" s="709"/>
      <c r="Q1905" s="709"/>
      <c r="R1905" s="709"/>
      <c r="S1905" s="709"/>
      <c r="T1905" s="709"/>
      <c r="U1905" s="709"/>
      <c r="V1905" s="709"/>
      <c r="W1905" s="709"/>
      <c r="X1905" s="709"/>
      <c r="Y1905" s="709"/>
      <c r="Z1905" s="709"/>
      <c r="AA1905" s="709"/>
      <c r="AB1905" s="709"/>
      <c r="AC1905" s="709"/>
    </row>
    <row r="1906" spans="4:29" customFormat="1">
      <c r="D1906" s="183"/>
      <c r="F1906" s="853"/>
      <c r="G1906" s="709"/>
      <c r="H1906" s="709"/>
      <c r="I1906" s="709"/>
      <c r="J1906" s="906"/>
      <c r="K1906" s="906"/>
      <c r="L1906" s="906"/>
      <c r="M1906" s="906"/>
      <c r="N1906" s="709"/>
      <c r="O1906" s="709"/>
      <c r="P1906" s="709"/>
      <c r="Q1906" s="709"/>
      <c r="R1906" s="709"/>
      <c r="S1906" s="709"/>
      <c r="T1906" s="709"/>
      <c r="U1906" s="709"/>
      <c r="V1906" s="709"/>
      <c r="W1906" s="709"/>
      <c r="X1906" s="709"/>
      <c r="Y1906" s="709"/>
      <c r="Z1906" s="709"/>
      <c r="AA1906" s="709"/>
      <c r="AB1906" s="709"/>
      <c r="AC1906" s="709"/>
    </row>
    <row r="1907" spans="4:29" customFormat="1">
      <c r="D1907" s="183"/>
      <c r="F1907" s="853"/>
      <c r="G1907" s="709"/>
      <c r="H1907" s="709"/>
      <c r="I1907" s="709"/>
      <c r="J1907" s="906"/>
      <c r="K1907" s="906"/>
      <c r="L1907" s="906"/>
      <c r="M1907" s="906"/>
      <c r="N1907" s="709"/>
      <c r="O1907" s="709"/>
      <c r="P1907" s="709"/>
      <c r="Q1907" s="709"/>
      <c r="R1907" s="709"/>
      <c r="S1907" s="709"/>
      <c r="T1907" s="709"/>
      <c r="U1907" s="709"/>
      <c r="V1907" s="709"/>
      <c r="W1907" s="709"/>
      <c r="X1907" s="709"/>
      <c r="Y1907" s="709"/>
      <c r="Z1907" s="709"/>
      <c r="AA1907" s="709"/>
      <c r="AB1907" s="709"/>
      <c r="AC1907" s="709"/>
    </row>
    <row r="1908" spans="4:29" customFormat="1">
      <c r="D1908" s="183"/>
      <c r="F1908" s="853"/>
      <c r="G1908" s="709"/>
      <c r="H1908" s="709"/>
      <c r="I1908" s="709"/>
      <c r="J1908" s="906"/>
      <c r="K1908" s="906"/>
      <c r="L1908" s="906"/>
      <c r="M1908" s="906"/>
      <c r="N1908" s="709"/>
      <c r="O1908" s="709"/>
      <c r="P1908" s="709"/>
      <c r="Q1908" s="709"/>
      <c r="R1908" s="709"/>
      <c r="S1908" s="709"/>
      <c r="T1908" s="709"/>
      <c r="U1908" s="709"/>
      <c r="V1908" s="709"/>
      <c r="W1908" s="709"/>
      <c r="X1908" s="709"/>
      <c r="Y1908" s="709"/>
      <c r="Z1908" s="709"/>
      <c r="AA1908" s="709"/>
      <c r="AB1908" s="709"/>
      <c r="AC1908" s="709"/>
    </row>
    <row r="1909" spans="4:29" customFormat="1">
      <c r="D1909" s="183"/>
      <c r="F1909" s="853"/>
      <c r="G1909" s="709"/>
      <c r="H1909" s="709"/>
      <c r="I1909" s="709"/>
      <c r="J1909" s="906"/>
      <c r="K1909" s="906"/>
      <c r="L1909" s="906"/>
      <c r="M1909" s="906"/>
      <c r="N1909" s="709"/>
      <c r="O1909" s="709"/>
      <c r="P1909" s="709"/>
      <c r="Q1909" s="709"/>
      <c r="R1909" s="709"/>
      <c r="S1909" s="709"/>
      <c r="T1909" s="709"/>
      <c r="U1909" s="709"/>
      <c r="V1909" s="709"/>
      <c r="W1909" s="709"/>
      <c r="X1909" s="709"/>
      <c r="Y1909" s="709"/>
      <c r="Z1909" s="709"/>
      <c r="AA1909" s="709"/>
      <c r="AB1909" s="709"/>
      <c r="AC1909" s="709"/>
    </row>
    <row r="1910" spans="4:29" customFormat="1">
      <c r="D1910" s="183"/>
      <c r="F1910" s="853"/>
      <c r="G1910" s="709"/>
      <c r="H1910" s="709"/>
      <c r="I1910" s="709"/>
      <c r="J1910" s="906"/>
      <c r="K1910" s="906"/>
      <c r="L1910" s="906"/>
      <c r="M1910" s="906"/>
      <c r="N1910" s="709"/>
      <c r="O1910" s="709"/>
      <c r="P1910" s="709"/>
      <c r="Q1910" s="709"/>
      <c r="R1910" s="709"/>
      <c r="S1910" s="709"/>
      <c r="T1910" s="709"/>
      <c r="U1910" s="709"/>
      <c r="V1910" s="709"/>
      <c r="W1910" s="709"/>
      <c r="X1910" s="709"/>
      <c r="Y1910" s="709"/>
      <c r="Z1910" s="709"/>
      <c r="AA1910" s="709"/>
      <c r="AB1910" s="709"/>
      <c r="AC1910" s="709"/>
    </row>
    <row r="1911" spans="4:29" customFormat="1">
      <c r="D1911" s="183"/>
      <c r="F1911" s="853"/>
      <c r="G1911" s="709"/>
      <c r="H1911" s="709"/>
      <c r="I1911" s="709"/>
      <c r="J1911" s="906"/>
      <c r="K1911" s="906"/>
      <c r="L1911" s="906"/>
      <c r="M1911" s="906"/>
      <c r="N1911" s="709"/>
      <c r="O1911" s="709"/>
      <c r="P1911" s="709"/>
      <c r="Q1911" s="709"/>
      <c r="R1911" s="709"/>
      <c r="S1911" s="709"/>
      <c r="T1911" s="709"/>
      <c r="U1911" s="709"/>
      <c r="V1911" s="709"/>
      <c r="W1911" s="709"/>
      <c r="X1911" s="709"/>
      <c r="Y1911" s="709"/>
      <c r="Z1911" s="709"/>
      <c r="AA1911" s="709"/>
      <c r="AB1911" s="709"/>
      <c r="AC1911" s="709"/>
    </row>
    <row r="1912" spans="4:29" customFormat="1">
      <c r="D1912" s="183"/>
      <c r="F1912" s="853"/>
      <c r="G1912" s="709"/>
      <c r="H1912" s="709"/>
      <c r="I1912" s="709"/>
      <c r="J1912" s="906"/>
      <c r="K1912" s="906"/>
      <c r="L1912" s="906"/>
      <c r="M1912" s="906"/>
      <c r="N1912" s="709"/>
      <c r="O1912" s="709"/>
      <c r="P1912" s="709"/>
      <c r="Q1912" s="709"/>
      <c r="R1912" s="709"/>
      <c r="S1912" s="709"/>
      <c r="T1912" s="709"/>
      <c r="U1912" s="709"/>
      <c r="V1912" s="709"/>
      <c r="W1912" s="709"/>
      <c r="X1912" s="709"/>
      <c r="Y1912" s="709"/>
      <c r="Z1912" s="709"/>
      <c r="AA1912" s="709"/>
      <c r="AB1912" s="709"/>
      <c r="AC1912" s="709"/>
    </row>
    <row r="1913" spans="4:29" customFormat="1">
      <c r="D1913" s="183"/>
      <c r="F1913" s="853"/>
      <c r="G1913" s="709"/>
      <c r="H1913" s="709"/>
      <c r="I1913" s="709"/>
      <c r="J1913" s="906"/>
      <c r="K1913" s="906"/>
      <c r="L1913" s="906"/>
      <c r="M1913" s="906"/>
      <c r="N1913" s="709"/>
      <c r="O1913" s="709"/>
      <c r="P1913" s="709"/>
      <c r="Q1913" s="709"/>
      <c r="R1913" s="709"/>
      <c r="S1913" s="709"/>
      <c r="T1913" s="709"/>
      <c r="U1913" s="709"/>
      <c r="V1913" s="709"/>
      <c r="W1913" s="709"/>
      <c r="X1913" s="709"/>
      <c r="Y1913" s="709"/>
      <c r="Z1913" s="709"/>
      <c r="AA1913" s="709"/>
      <c r="AB1913" s="709"/>
      <c r="AC1913" s="709"/>
    </row>
    <row r="1914" spans="4:29" customFormat="1">
      <c r="D1914" s="183"/>
      <c r="F1914" s="853"/>
      <c r="G1914" s="709"/>
      <c r="H1914" s="709"/>
      <c r="I1914" s="709"/>
      <c r="J1914" s="906"/>
      <c r="K1914" s="906"/>
      <c r="L1914" s="906"/>
      <c r="M1914" s="906"/>
      <c r="N1914" s="709"/>
      <c r="O1914" s="709"/>
      <c r="P1914" s="709"/>
      <c r="Q1914" s="709"/>
      <c r="R1914" s="709"/>
      <c r="S1914" s="709"/>
      <c r="T1914" s="709"/>
      <c r="U1914" s="709"/>
      <c r="V1914" s="709"/>
      <c r="W1914" s="709"/>
      <c r="X1914" s="709"/>
      <c r="Y1914" s="709"/>
      <c r="Z1914" s="709"/>
      <c r="AA1914" s="709"/>
      <c r="AB1914" s="709"/>
      <c r="AC1914" s="709"/>
    </row>
    <row r="1915" spans="4:29" customFormat="1">
      <c r="D1915" s="183"/>
      <c r="F1915" s="853"/>
      <c r="G1915" s="709"/>
      <c r="H1915" s="709"/>
      <c r="I1915" s="709"/>
      <c r="J1915" s="906"/>
      <c r="K1915" s="906"/>
      <c r="L1915" s="906"/>
      <c r="M1915" s="906"/>
      <c r="N1915" s="709"/>
      <c r="O1915" s="709"/>
      <c r="P1915" s="709"/>
      <c r="Q1915" s="709"/>
      <c r="R1915" s="709"/>
      <c r="S1915" s="709"/>
      <c r="T1915" s="709"/>
      <c r="U1915" s="709"/>
      <c r="V1915" s="709"/>
      <c r="W1915" s="709"/>
      <c r="X1915" s="709"/>
      <c r="Y1915" s="709"/>
      <c r="Z1915" s="709"/>
      <c r="AA1915" s="709"/>
      <c r="AB1915" s="709"/>
      <c r="AC1915" s="709"/>
    </row>
    <row r="1916" spans="4:29" customFormat="1">
      <c r="D1916" s="183"/>
      <c r="F1916" s="853"/>
      <c r="G1916" s="709"/>
      <c r="H1916" s="709"/>
      <c r="I1916" s="709"/>
      <c r="J1916" s="906"/>
      <c r="K1916" s="906"/>
      <c r="L1916" s="906"/>
      <c r="M1916" s="906"/>
      <c r="N1916" s="709"/>
      <c r="O1916" s="709"/>
      <c r="P1916" s="709"/>
      <c r="Q1916" s="709"/>
      <c r="R1916" s="709"/>
      <c r="S1916" s="709"/>
      <c r="T1916" s="709"/>
      <c r="U1916" s="709"/>
      <c r="V1916" s="709"/>
      <c r="W1916" s="709"/>
      <c r="X1916" s="709"/>
      <c r="Y1916" s="709"/>
      <c r="Z1916" s="709"/>
      <c r="AA1916" s="709"/>
      <c r="AB1916" s="709"/>
      <c r="AC1916" s="709"/>
    </row>
    <row r="1917" spans="4:29" customFormat="1">
      <c r="D1917" s="183"/>
      <c r="F1917" s="853"/>
      <c r="G1917" s="709"/>
      <c r="H1917" s="709"/>
      <c r="I1917" s="709"/>
      <c r="J1917" s="906"/>
      <c r="K1917" s="906"/>
      <c r="L1917" s="906"/>
      <c r="M1917" s="906"/>
      <c r="N1917" s="709"/>
      <c r="O1917" s="709"/>
      <c r="P1917" s="709"/>
      <c r="Q1917" s="709"/>
      <c r="R1917" s="709"/>
      <c r="S1917" s="709"/>
      <c r="T1917" s="709"/>
      <c r="U1917" s="709"/>
      <c r="V1917" s="709"/>
      <c r="W1917" s="709"/>
      <c r="X1917" s="709"/>
      <c r="Y1917" s="709"/>
      <c r="Z1917" s="709"/>
      <c r="AA1917" s="709"/>
      <c r="AB1917" s="709"/>
      <c r="AC1917" s="709"/>
    </row>
    <row r="1918" spans="4:29" customFormat="1">
      <c r="D1918" s="183"/>
      <c r="F1918" s="853"/>
      <c r="G1918" s="709"/>
      <c r="H1918" s="709"/>
      <c r="I1918" s="709"/>
      <c r="J1918" s="906"/>
      <c r="K1918" s="906"/>
      <c r="L1918" s="906"/>
      <c r="M1918" s="906"/>
      <c r="N1918" s="709"/>
      <c r="O1918" s="709"/>
      <c r="P1918" s="709"/>
      <c r="Q1918" s="709"/>
      <c r="R1918" s="709"/>
      <c r="S1918" s="709"/>
      <c r="T1918" s="709"/>
      <c r="U1918" s="709"/>
      <c r="V1918" s="709"/>
      <c r="W1918" s="709"/>
      <c r="X1918" s="709"/>
      <c r="Y1918" s="709"/>
      <c r="Z1918" s="709"/>
      <c r="AA1918" s="709"/>
      <c r="AB1918" s="709"/>
      <c r="AC1918" s="709"/>
    </row>
    <row r="1919" spans="4:29" customFormat="1">
      <c r="D1919" s="183"/>
      <c r="F1919" s="853"/>
      <c r="G1919" s="709"/>
      <c r="H1919" s="709"/>
      <c r="I1919" s="709"/>
      <c r="J1919" s="906"/>
      <c r="K1919" s="906"/>
      <c r="L1919" s="906"/>
      <c r="M1919" s="906"/>
      <c r="N1919" s="709"/>
      <c r="O1919" s="709"/>
      <c r="P1919" s="709"/>
      <c r="Q1919" s="709"/>
      <c r="R1919" s="709"/>
      <c r="S1919" s="709"/>
      <c r="T1919" s="709"/>
      <c r="U1919" s="709"/>
      <c r="V1919" s="709"/>
      <c r="W1919" s="709"/>
      <c r="X1919" s="709"/>
      <c r="Y1919" s="709"/>
      <c r="Z1919" s="709"/>
      <c r="AA1919" s="709"/>
      <c r="AB1919" s="709"/>
      <c r="AC1919" s="709"/>
    </row>
    <row r="1920" spans="4:29" customFormat="1">
      <c r="D1920" s="183"/>
      <c r="F1920" s="853"/>
      <c r="G1920" s="709"/>
      <c r="H1920" s="709"/>
      <c r="I1920" s="709"/>
      <c r="J1920" s="906"/>
      <c r="K1920" s="906"/>
      <c r="L1920" s="906"/>
      <c r="M1920" s="906"/>
      <c r="N1920" s="709"/>
      <c r="O1920" s="709"/>
      <c r="P1920" s="709"/>
      <c r="Q1920" s="709"/>
      <c r="R1920" s="709"/>
      <c r="S1920" s="709"/>
      <c r="T1920" s="709"/>
      <c r="U1920" s="709"/>
      <c r="V1920" s="709"/>
      <c r="W1920" s="709"/>
      <c r="X1920" s="709"/>
      <c r="Y1920" s="709"/>
      <c r="Z1920" s="709"/>
      <c r="AA1920" s="709"/>
      <c r="AB1920" s="709"/>
      <c r="AC1920" s="709"/>
    </row>
    <row r="1921" spans="4:29" customFormat="1">
      <c r="D1921" s="183"/>
      <c r="F1921" s="853"/>
      <c r="G1921" s="709"/>
      <c r="H1921" s="709"/>
      <c r="I1921" s="709"/>
      <c r="J1921" s="906"/>
      <c r="K1921" s="906"/>
      <c r="L1921" s="906"/>
      <c r="M1921" s="906"/>
      <c r="N1921" s="709"/>
      <c r="O1921" s="709"/>
      <c r="P1921" s="709"/>
      <c r="Q1921" s="709"/>
      <c r="R1921" s="709"/>
      <c r="S1921" s="709"/>
      <c r="T1921" s="709"/>
      <c r="U1921" s="709"/>
      <c r="V1921" s="709"/>
      <c r="W1921" s="709"/>
      <c r="X1921" s="709"/>
      <c r="Y1921" s="709"/>
      <c r="Z1921" s="709"/>
      <c r="AA1921" s="709"/>
      <c r="AB1921" s="709"/>
      <c r="AC1921" s="709"/>
    </row>
    <row r="1922" spans="4:29" customFormat="1">
      <c r="D1922" s="183"/>
      <c r="F1922" s="853"/>
      <c r="G1922" s="709"/>
      <c r="H1922" s="709"/>
      <c r="I1922" s="709"/>
      <c r="J1922" s="906"/>
      <c r="K1922" s="906"/>
      <c r="L1922" s="906"/>
      <c r="M1922" s="906"/>
      <c r="N1922" s="709"/>
      <c r="O1922" s="709"/>
      <c r="P1922" s="709"/>
      <c r="Q1922" s="709"/>
      <c r="R1922" s="709"/>
      <c r="S1922" s="709"/>
      <c r="T1922" s="709"/>
      <c r="U1922" s="709"/>
      <c r="V1922" s="709"/>
      <c r="W1922" s="709"/>
      <c r="X1922" s="709"/>
      <c r="Y1922" s="709"/>
      <c r="Z1922" s="709"/>
      <c r="AA1922" s="709"/>
      <c r="AB1922" s="709"/>
      <c r="AC1922" s="709"/>
    </row>
    <row r="1923" spans="4:29" customFormat="1">
      <c r="D1923" s="183"/>
      <c r="F1923" s="853"/>
      <c r="G1923" s="709"/>
      <c r="H1923" s="709"/>
      <c r="I1923" s="709"/>
      <c r="J1923" s="906"/>
      <c r="K1923" s="906"/>
      <c r="L1923" s="906"/>
      <c r="M1923" s="906"/>
      <c r="N1923" s="709"/>
      <c r="O1923" s="709"/>
      <c r="P1923" s="709"/>
      <c r="Q1923" s="709"/>
      <c r="R1923" s="709"/>
      <c r="S1923" s="709"/>
      <c r="T1923" s="709"/>
      <c r="U1923" s="709"/>
      <c r="V1923" s="709"/>
      <c r="W1923" s="709"/>
      <c r="X1923" s="709"/>
      <c r="Y1923" s="709"/>
      <c r="Z1923" s="709"/>
      <c r="AA1923" s="709"/>
      <c r="AB1923" s="709"/>
      <c r="AC1923" s="709"/>
    </row>
    <row r="1924" spans="4:29" customFormat="1">
      <c r="D1924" s="183"/>
      <c r="F1924" s="853"/>
      <c r="G1924" s="709"/>
      <c r="H1924" s="709"/>
      <c r="I1924" s="709"/>
      <c r="J1924" s="906"/>
      <c r="K1924" s="906"/>
      <c r="L1924" s="906"/>
      <c r="M1924" s="906"/>
      <c r="N1924" s="709"/>
      <c r="O1924" s="709"/>
      <c r="P1924" s="709"/>
      <c r="Q1924" s="709"/>
      <c r="R1924" s="709"/>
      <c r="S1924" s="709"/>
      <c r="T1924" s="709"/>
      <c r="U1924" s="709"/>
      <c r="V1924" s="709"/>
      <c r="W1924" s="709"/>
      <c r="X1924" s="709"/>
      <c r="Y1924" s="709"/>
      <c r="Z1924" s="709"/>
      <c r="AA1924" s="709"/>
      <c r="AB1924" s="709"/>
      <c r="AC1924" s="709"/>
    </row>
    <row r="1925" spans="4:29" customFormat="1">
      <c r="D1925" s="183"/>
      <c r="F1925" s="853"/>
      <c r="G1925" s="709"/>
      <c r="H1925" s="709"/>
      <c r="I1925" s="709"/>
      <c r="J1925" s="906"/>
      <c r="K1925" s="906"/>
      <c r="L1925" s="906"/>
      <c r="M1925" s="906"/>
      <c r="N1925" s="709"/>
      <c r="O1925" s="709"/>
      <c r="P1925" s="709"/>
      <c r="Q1925" s="709"/>
      <c r="R1925" s="709"/>
      <c r="S1925" s="709"/>
      <c r="T1925" s="709"/>
      <c r="U1925" s="709"/>
      <c r="V1925" s="709"/>
      <c r="W1925" s="709"/>
      <c r="X1925" s="709"/>
      <c r="Y1925" s="709"/>
      <c r="Z1925" s="709"/>
      <c r="AA1925" s="709"/>
      <c r="AB1925" s="709"/>
      <c r="AC1925" s="709"/>
    </row>
    <row r="1926" spans="4:29" customFormat="1">
      <c r="D1926" s="183"/>
      <c r="F1926" s="853"/>
      <c r="G1926" s="709"/>
      <c r="H1926" s="709"/>
      <c r="I1926" s="709"/>
      <c r="J1926" s="906"/>
      <c r="K1926" s="906"/>
      <c r="L1926" s="906"/>
      <c r="M1926" s="906"/>
      <c r="N1926" s="709"/>
      <c r="O1926" s="709"/>
      <c r="P1926" s="709"/>
      <c r="Q1926" s="709"/>
      <c r="R1926" s="709"/>
      <c r="S1926" s="709"/>
      <c r="T1926" s="709"/>
      <c r="U1926" s="709"/>
      <c r="V1926" s="709"/>
      <c r="W1926" s="709"/>
      <c r="X1926" s="709"/>
      <c r="Y1926" s="709"/>
      <c r="Z1926" s="709"/>
      <c r="AA1926" s="709"/>
      <c r="AB1926" s="709"/>
      <c r="AC1926" s="709"/>
    </row>
    <row r="1927" spans="4:29" customFormat="1">
      <c r="D1927" s="183"/>
      <c r="F1927" s="853"/>
      <c r="G1927" s="709"/>
      <c r="H1927" s="709"/>
      <c r="I1927" s="709"/>
      <c r="J1927" s="906"/>
      <c r="K1927" s="906"/>
      <c r="L1927" s="906"/>
      <c r="M1927" s="906"/>
      <c r="N1927" s="709"/>
      <c r="O1927" s="709"/>
      <c r="P1927" s="709"/>
      <c r="Q1927" s="709"/>
      <c r="R1927" s="709"/>
      <c r="S1927" s="709"/>
      <c r="T1927" s="709"/>
      <c r="U1927" s="709"/>
      <c r="V1927" s="709"/>
      <c r="W1927" s="709"/>
      <c r="X1927" s="709"/>
      <c r="Y1927" s="709"/>
      <c r="Z1927" s="709"/>
      <c r="AA1927" s="709"/>
      <c r="AB1927" s="709"/>
      <c r="AC1927" s="709"/>
    </row>
    <row r="1928" spans="4:29" customFormat="1">
      <c r="D1928" s="183"/>
      <c r="F1928" s="853"/>
      <c r="G1928" s="709"/>
      <c r="H1928" s="709"/>
      <c r="I1928" s="709"/>
      <c r="J1928" s="906"/>
      <c r="K1928" s="906"/>
      <c r="L1928" s="906"/>
      <c r="M1928" s="906"/>
      <c r="N1928" s="709"/>
      <c r="O1928" s="709"/>
      <c r="P1928" s="709"/>
      <c r="Q1928" s="709"/>
      <c r="R1928" s="709"/>
      <c r="S1928" s="709"/>
      <c r="T1928" s="709"/>
      <c r="U1928" s="709"/>
      <c r="V1928" s="709"/>
      <c r="W1928" s="709"/>
      <c r="X1928" s="709"/>
      <c r="Y1928" s="709"/>
      <c r="Z1928" s="709"/>
      <c r="AA1928" s="709"/>
      <c r="AB1928" s="709"/>
      <c r="AC1928" s="709"/>
    </row>
    <row r="1929" spans="4:29" customFormat="1">
      <c r="D1929" s="183"/>
      <c r="F1929" s="853"/>
      <c r="G1929" s="709"/>
      <c r="H1929" s="709"/>
      <c r="I1929" s="709"/>
      <c r="J1929" s="906"/>
      <c r="K1929" s="906"/>
      <c r="L1929" s="906"/>
      <c r="M1929" s="906"/>
      <c r="N1929" s="709"/>
      <c r="O1929" s="709"/>
      <c r="P1929" s="709"/>
      <c r="Q1929" s="709"/>
      <c r="R1929" s="709"/>
      <c r="S1929" s="709"/>
      <c r="T1929" s="709"/>
      <c r="U1929" s="709"/>
      <c r="V1929" s="709"/>
      <c r="W1929" s="709"/>
      <c r="X1929" s="709"/>
      <c r="Y1929" s="709"/>
      <c r="Z1929" s="709"/>
      <c r="AA1929" s="709"/>
      <c r="AB1929" s="709"/>
      <c r="AC1929" s="709"/>
    </row>
    <row r="1930" spans="4:29" customFormat="1">
      <c r="D1930" s="183"/>
      <c r="F1930" s="853"/>
      <c r="G1930" s="709"/>
      <c r="H1930" s="709"/>
      <c r="I1930" s="709"/>
      <c r="J1930" s="906"/>
      <c r="K1930" s="906"/>
      <c r="L1930" s="906"/>
      <c r="M1930" s="906"/>
      <c r="N1930" s="709"/>
      <c r="O1930" s="709"/>
      <c r="P1930" s="709"/>
      <c r="Q1930" s="709"/>
      <c r="R1930" s="709"/>
      <c r="S1930" s="709"/>
      <c r="T1930" s="709"/>
      <c r="U1930" s="709"/>
      <c r="V1930" s="709"/>
      <c r="W1930" s="709"/>
      <c r="X1930" s="709"/>
      <c r="Y1930" s="709"/>
      <c r="Z1930" s="709"/>
      <c r="AA1930" s="709"/>
      <c r="AB1930" s="709"/>
      <c r="AC1930" s="709"/>
    </row>
    <row r="1931" spans="4:29" customFormat="1">
      <c r="D1931" s="183"/>
      <c r="F1931" s="853"/>
      <c r="G1931" s="709"/>
      <c r="H1931" s="709"/>
      <c r="I1931" s="709"/>
      <c r="J1931" s="906"/>
      <c r="K1931" s="906"/>
      <c r="L1931" s="906"/>
      <c r="M1931" s="906"/>
      <c r="N1931" s="709"/>
      <c r="O1931" s="709"/>
      <c r="P1931" s="709"/>
      <c r="Q1931" s="709"/>
      <c r="R1931" s="709"/>
      <c r="S1931" s="709"/>
      <c r="T1931" s="709"/>
      <c r="U1931" s="709"/>
      <c r="V1931" s="709"/>
      <c r="W1931" s="709"/>
      <c r="X1931" s="709"/>
      <c r="Y1931" s="709"/>
      <c r="Z1931" s="709"/>
      <c r="AA1931" s="709"/>
      <c r="AB1931" s="709"/>
      <c r="AC1931" s="709"/>
    </row>
    <row r="1932" spans="4:29" customFormat="1">
      <c r="D1932" s="183"/>
      <c r="F1932" s="853"/>
      <c r="G1932" s="709"/>
      <c r="H1932" s="709"/>
      <c r="I1932" s="709"/>
      <c r="J1932" s="906"/>
      <c r="K1932" s="906"/>
      <c r="L1932" s="906"/>
      <c r="M1932" s="906"/>
      <c r="N1932" s="709"/>
      <c r="O1932" s="709"/>
      <c r="P1932" s="709"/>
      <c r="Q1932" s="709"/>
      <c r="R1932" s="709"/>
      <c r="S1932" s="709"/>
      <c r="T1932" s="709"/>
      <c r="U1932" s="709"/>
      <c r="V1932" s="709"/>
      <c r="W1932" s="709"/>
      <c r="X1932" s="709"/>
      <c r="Y1932" s="709"/>
      <c r="Z1932" s="709"/>
      <c r="AA1932" s="709"/>
      <c r="AB1932" s="709"/>
      <c r="AC1932" s="709"/>
    </row>
    <row r="1933" spans="4:29" customFormat="1">
      <c r="D1933" s="183"/>
      <c r="F1933" s="853"/>
      <c r="G1933" s="709"/>
      <c r="H1933" s="709"/>
      <c r="I1933" s="709"/>
      <c r="J1933" s="906"/>
      <c r="K1933" s="906"/>
      <c r="L1933" s="906"/>
      <c r="M1933" s="906"/>
      <c r="N1933" s="709"/>
      <c r="O1933" s="709"/>
      <c r="P1933" s="709"/>
      <c r="Q1933" s="709"/>
      <c r="R1933" s="709"/>
      <c r="S1933" s="709"/>
      <c r="T1933" s="709"/>
      <c r="U1933" s="709"/>
      <c r="V1933" s="709"/>
      <c r="W1933" s="709"/>
      <c r="X1933" s="709"/>
      <c r="Y1933" s="709"/>
      <c r="Z1933" s="709"/>
      <c r="AA1933" s="709"/>
      <c r="AB1933" s="709"/>
      <c r="AC1933" s="709"/>
    </row>
    <row r="1934" spans="4:29" customFormat="1">
      <c r="D1934" s="183"/>
      <c r="F1934" s="853"/>
      <c r="G1934" s="709"/>
      <c r="H1934" s="709"/>
      <c r="I1934" s="709"/>
      <c r="J1934" s="906"/>
      <c r="K1934" s="906"/>
      <c r="L1934" s="906"/>
      <c r="M1934" s="906"/>
      <c r="N1934" s="709"/>
      <c r="O1934" s="709"/>
      <c r="P1934" s="709"/>
      <c r="Q1934" s="709"/>
      <c r="R1934" s="709"/>
      <c r="S1934" s="709"/>
      <c r="T1934" s="709"/>
      <c r="U1934" s="709"/>
      <c r="V1934" s="709"/>
      <c r="W1934" s="709"/>
      <c r="X1934" s="709"/>
      <c r="Y1934" s="709"/>
      <c r="Z1934" s="709"/>
      <c r="AA1934" s="709"/>
      <c r="AB1934" s="709"/>
      <c r="AC1934" s="709"/>
    </row>
    <row r="1935" spans="4:29" customFormat="1">
      <c r="D1935" s="183"/>
      <c r="F1935" s="853"/>
      <c r="G1935" s="709"/>
      <c r="H1935" s="709"/>
      <c r="I1935" s="709"/>
      <c r="J1935" s="906"/>
      <c r="K1935" s="906"/>
      <c r="L1935" s="906"/>
      <c r="M1935" s="906"/>
      <c r="N1935" s="709"/>
      <c r="O1935" s="709"/>
      <c r="P1935" s="709"/>
      <c r="Q1935" s="709"/>
      <c r="R1935" s="709"/>
      <c r="S1935" s="709"/>
      <c r="T1935" s="709"/>
      <c r="U1935" s="709"/>
      <c r="V1935" s="709"/>
      <c r="W1935" s="709"/>
      <c r="X1935" s="709"/>
      <c r="Y1935" s="709"/>
      <c r="Z1935" s="709"/>
      <c r="AA1935" s="709"/>
      <c r="AB1935" s="709"/>
      <c r="AC1935" s="709"/>
    </row>
    <row r="1936" spans="4:29" customFormat="1">
      <c r="D1936" s="183"/>
      <c r="F1936" s="853"/>
      <c r="G1936" s="709"/>
      <c r="H1936" s="709"/>
      <c r="I1936" s="709"/>
      <c r="J1936" s="906"/>
      <c r="K1936" s="906"/>
      <c r="L1936" s="906"/>
      <c r="M1936" s="906"/>
      <c r="N1936" s="709"/>
      <c r="O1936" s="709"/>
      <c r="P1936" s="709"/>
      <c r="Q1936" s="709"/>
      <c r="R1936" s="709"/>
      <c r="S1936" s="709"/>
      <c r="T1936" s="709"/>
      <c r="U1936" s="709"/>
      <c r="V1936" s="709"/>
      <c r="W1936" s="709"/>
      <c r="X1936" s="709"/>
      <c r="Y1936" s="709"/>
      <c r="Z1936" s="709"/>
      <c r="AA1936" s="709"/>
      <c r="AB1936" s="709"/>
      <c r="AC1936" s="709"/>
    </row>
    <row r="1937" spans="4:29" customFormat="1">
      <c r="D1937" s="183"/>
      <c r="F1937" s="853"/>
      <c r="G1937" s="709"/>
      <c r="H1937" s="709"/>
      <c r="I1937" s="709"/>
      <c r="J1937" s="906"/>
      <c r="K1937" s="906"/>
      <c r="L1937" s="906"/>
      <c r="M1937" s="906"/>
      <c r="N1937" s="709"/>
      <c r="O1937" s="709"/>
      <c r="P1937" s="709"/>
      <c r="Q1937" s="709"/>
      <c r="R1937" s="709"/>
      <c r="S1937" s="709"/>
      <c r="T1937" s="709"/>
      <c r="U1937" s="709"/>
      <c r="V1937" s="709"/>
      <c r="W1937" s="709"/>
      <c r="X1937" s="709"/>
      <c r="Y1937" s="709"/>
      <c r="Z1937" s="709"/>
      <c r="AA1937" s="709"/>
      <c r="AB1937" s="709"/>
      <c r="AC1937" s="709"/>
    </row>
    <row r="1938" spans="4:29" customFormat="1">
      <c r="D1938" s="183"/>
      <c r="F1938" s="853"/>
      <c r="G1938" s="709"/>
      <c r="H1938" s="709"/>
      <c r="I1938" s="709"/>
      <c r="J1938" s="906"/>
      <c r="K1938" s="906"/>
      <c r="L1938" s="906"/>
      <c r="M1938" s="906"/>
      <c r="N1938" s="709"/>
      <c r="O1938" s="709"/>
      <c r="P1938" s="709"/>
      <c r="Q1938" s="709"/>
      <c r="R1938" s="709"/>
      <c r="S1938" s="709"/>
      <c r="T1938" s="709"/>
      <c r="U1938" s="709"/>
      <c r="V1938" s="709"/>
      <c r="W1938" s="709"/>
      <c r="X1938" s="709"/>
      <c r="Y1938" s="709"/>
      <c r="Z1938" s="709"/>
      <c r="AA1938" s="709"/>
      <c r="AB1938" s="709"/>
      <c r="AC1938" s="709"/>
    </row>
    <row r="1939" spans="4:29" customFormat="1">
      <c r="D1939" s="183"/>
      <c r="F1939" s="853"/>
      <c r="G1939" s="709"/>
      <c r="H1939" s="709"/>
      <c r="I1939" s="709"/>
      <c r="J1939" s="906"/>
      <c r="K1939" s="906"/>
      <c r="L1939" s="906"/>
      <c r="M1939" s="906"/>
      <c r="N1939" s="709"/>
      <c r="O1939" s="709"/>
      <c r="P1939" s="709"/>
      <c r="Q1939" s="709"/>
      <c r="R1939" s="709"/>
      <c r="S1939" s="709"/>
      <c r="T1939" s="709"/>
      <c r="U1939" s="709"/>
      <c r="V1939" s="709"/>
      <c r="W1939" s="709"/>
      <c r="X1939" s="709"/>
      <c r="Y1939" s="709"/>
      <c r="Z1939" s="709"/>
      <c r="AA1939" s="709"/>
      <c r="AB1939" s="709"/>
      <c r="AC1939" s="709"/>
    </row>
    <row r="1940" spans="4:29" customFormat="1">
      <c r="D1940" s="183"/>
      <c r="F1940" s="853"/>
      <c r="G1940" s="709"/>
      <c r="H1940" s="709"/>
      <c r="I1940" s="709"/>
      <c r="J1940" s="906"/>
      <c r="K1940" s="906"/>
      <c r="L1940" s="906"/>
      <c r="M1940" s="906"/>
      <c r="N1940" s="709"/>
      <c r="O1940" s="709"/>
      <c r="P1940" s="709"/>
      <c r="Q1940" s="709"/>
      <c r="R1940" s="709"/>
      <c r="S1940" s="709"/>
      <c r="T1940" s="709"/>
      <c r="U1940" s="709"/>
      <c r="V1940" s="709"/>
      <c r="W1940" s="709"/>
      <c r="X1940" s="709"/>
      <c r="Y1940" s="709"/>
      <c r="Z1940" s="709"/>
      <c r="AA1940" s="709"/>
      <c r="AB1940" s="709"/>
      <c r="AC1940" s="709"/>
    </row>
    <row r="1941" spans="4:29" customFormat="1">
      <c r="D1941" s="183"/>
      <c r="F1941" s="853"/>
      <c r="G1941" s="709"/>
      <c r="H1941" s="709"/>
      <c r="I1941" s="709"/>
      <c r="J1941" s="906"/>
      <c r="K1941" s="906"/>
      <c r="L1941" s="906"/>
      <c r="M1941" s="906"/>
      <c r="N1941" s="709"/>
      <c r="O1941" s="709"/>
      <c r="P1941" s="709"/>
      <c r="Q1941" s="709"/>
      <c r="R1941" s="709"/>
      <c r="S1941" s="709"/>
      <c r="T1941" s="709"/>
      <c r="U1941" s="709"/>
      <c r="V1941" s="709"/>
      <c r="W1941" s="709"/>
      <c r="X1941" s="709"/>
      <c r="Y1941" s="709"/>
      <c r="Z1941" s="709"/>
      <c r="AA1941" s="709"/>
      <c r="AB1941" s="709"/>
      <c r="AC1941" s="709"/>
    </row>
    <row r="1942" spans="4:29" customFormat="1">
      <c r="D1942" s="183"/>
      <c r="F1942" s="853"/>
      <c r="G1942" s="709"/>
      <c r="H1942" s="709"/>
      <c r="I1942" s="709"/>
      <c r="J1942" s="906"/>
      <c r="K1942" s="906"/>
      <c r="L1942" s="906"/>
      <c r="M1942" s="906"/>
      <c r="N1942" s="709"/>
      <c r="O1942" s="709"/>
      <c r="P1942" s="709"/>
      <c r="Q1942" s="709"/>
      <c r="R1942" s="709"/>
      <c r="S1942" s="709"/>
      <c r="T1942" s="709"/>
      <c r="U1942" s="709"/>
      <c r="V1942" s="709"/>
      <c r="W1942" s="709"/>
      <c r="X1942" s="709"/>
      <c r="Y1942" s="709"/>
      <c r="Z1942" s="709"/>
      <c r="AA1942" s="709"/>
      <c r="AB1942" s="709"/>
      <c r="AC1942" s="709"/>
    </row>
    <row r="1943" spans="4:29" customFormat="1">
      <c r="D1943" s="183"/>
      <c r="F1943" s="853"/>
      <c r="G1943" s="709"/>
      <c r="H1943" s="709"/>
      <c r="I1943" s="709"/>
      <c r="J1943" s="906"/>
      <c r="K1943" s="906"/>
      <c r="L1943" s="906"/>
      <c r="M1943" s="906"/>
      <c r="N1943" s="709"/>
      <c r="O1943" s="709"/>
      <c r="P1943" s="709"/>
      <c r="Q1943" s="709"/>
      <c r="R1943" s="709"/>
      <c r="S1943" s="709"/>
      <c r="T1943" s="709"/>
      <c r="U1943" s="709"/>
      <c r="V1943" s="709"/>
      <c r="W1943" s="709"/>
      <c r="X1943" s="709"/>
      <c r="Y1943" s="709"/>
      <c r="Z1943" s="709"/>
      <c r="AA1943" s="709"/>
      <c r="AB1943" s="709"/>
      <c r="AC1943" s="709"/>
    </row>
    <row r="1944" spans="4:29" customFormat="1">
      <c r="D1944" s="183"/>
      <c r="F1944" s="853"/>
      <c r="G1944" s="709"/>
      <c r="H1944" s="709"/>
      <c r="I1944" s="709"/>
      <c r="J1944" s="906"/>
      <c r="K1944" s="906"/>
      <c r="L1944" s="906"/>
      <c r="M1944" s="906"/>
      <c r="N1944" s="709"/>
      <c r="O1944" s="709"/>
      <c r="P1944" s="709"/>
      <c r="Q1944" s="709"/>
      <c r="R1944" s="709"/>
      <c r="S1944" s="709"/>
      <c r="T1944" s="709"/>
      <c r="U1944" s="709"/>
      <c r="V1944" s="709"/>
      <c r="W1944" s="709"/>
      <c r="X1944" s="709"/>
      <c r="Y1944" s="709"/>
      <c r="Z1944" s="709"/>
      <c r="AA1944" s="709"/>
      <c r="AB1944" s="709"/>
      <c r="AC1944" s="709"/>
    </row>
    <row r="1945" spans="4:29" customFormat="1">
      <c r="D1945" s="183"/>
      <c r="F1945" s="853"/>
      <c r="G1945" s="709"/>
      <c r="H1945" s="709"/>
      <c r="I1945" s="709"/>
      <c r="J1945" s="906"/>
      <c r="K1945" s="906"/>
      <c r="L1945" s="906"/>
      <c r="M1945" s="906"/>
      <c r="N1945" s="709"/>
      <c r="O1945" s="709"/>
      <c r="P1945" s="709"/>
      <c r="Q1945" s="709"/>
      <c r="R1945" s="709"/>
      <c r="S1945" s="709"/>
      <c r="T1945" s="709"/>
      <c r="U1945" s="709"/>
      <c r="V1945" s="709"/>
      <c r="W1945" s="709"/>
      <c r="X1945" s="709"/>
      <c r="Y1945" s="709"/>
      <c r="Z1945" s="709"/>
      <c r="AA1945" s="709"/>
      <c r="AB1945" s="709"/>
      <c r="AC1945" s="709"/>
    </row>
    <row r="1946" spans="4:29" customFormat="1">
      <c r="D1946" s="183"/>
      <c r="F1946" s="853"/>
      <c r="G1946" s="709"/>
      <c r="H1946" s="709"/>
      <c r="I1946" s="709"/>
      <c r="J1946" s="906"/>
      <c r="K1946" s="906"/>
      <c r="L1946" s="906"/>
      <c r="M1946" s="906"/>
      <c r="N1946" s="709"/>
      <c r="O1946" s="709"/>
      <c r="P1946" s="709"/>
      <c r="Q1946" s="709"/>
      <c r="R1946" s="709"/>
      <c r="S1946" s="709"/>
      <c r="T1946" s="709"/>
      <c r="U1946" s="709"/>
      <c r="V1946" s="709"/>
      <c r="W1946" s="709"/>
      <c r="X1946" s="709"/>
      <c r="Y1946" s="709"/>
      <c r="Z1946" s="709"/>
      <c r="AA1946" s="709"/>
      <c r="AB1946" s="709"/>
      <c r="AC1946" s="709"/>
    </row>
    <row r="1947" spans="4:29" customFormat="1">
      <c r="D1947" s="183"/>
      <c r="F1947" s="853"/>
      <c r="G1947" s="709"/>
      <c r="H1947" s="709"/>
      <c r="I1947" s="709"/>
      <c r="J1947" s="906"/>
      <c r="K1947" s="906"/>
      <c r="L1947" s="906"/>
      <c r="M1947" s="906"/>
      <c r="N1947" s="709"/>
      <c r="O1947" s="709"/>
      <c r="P1947" s="709"/>
      <c r="Q1947" s="709"/>
      <c r="R1947" s="709"/>
      <c r="S1947" s="709"/>
      <c r="T1947" s="709"/>
      <c r="U1947" s="709"/>
      <c r="V1947" s="709"/>
      <c r="W1947" s="709"/>
      <c r="X1947" s="709"/>
      <c r="Y1947" s="709"/>
      <c r="Z1947" s="709"/>
      <c r="AA1947" s="709"/>
      <c r="AB1947" s="709"/>
      <c r="AC1947" s="709"/>
    </row>
    <row r="1948" spans="4:29" customFormat="1">
      <c r="D1948" s="183"/>
      <c r="F1948" s="853"/>
      <c r="G1948" s="709"/>
      <c r="H1948" s="709"/>
      <c r="I1948" s="709"/>
      <c r="J1948" s="906"/>
      <c r="K1948" s="906"/>
      <c r="L1948" s="906"/>
      <c r="M1948" s="906"/>
      <c r="N1948" s="709"/>
      <c r="O1948" s="709"/>
      <c r="P1948" s="709"/>
      <c r="Q1948" s="709"/>
      <c r="R1948" s="709"/>
      <c r="S1948" s="709"/>
      <c r="T1948" s="709"/>
      <c r="U1948" s="709"/>
      <c r="V1948" s="709"/>
      <c r="W1948" s="709"/>
      <c r="X1948" s="709"/>
      <c r="Y1948" s="709"/>
      <c r="Z1948" s="709"/>
      <c r="AA1948" s="709"/>
      <c r="AB1948" s="709"/>
      <c r="AC1948" s="709"/>
    </row>
    <row r="1949" spans="4:29" customFormat="1">
      <c r="D1949" s="183"/>
      <c r="F1949" s="853"/>
      <c r="G1949" s="709"/>
      <c r="H1949" s="709"/>
      <c r="I1949" s="709"/>
      <c r="J1949" s="906"/>
      <c r="K1949" s="906"/>
      <c r="L1949" s="906"/>
      <c r="M1949" s="906"/>
      <c r="N1949" s="709"/>
      <c r="O1949" s="709"/>
      <c r="P1949" s="709"/>
      <c r="Q1949" s="709"/>
      <c r="R1949" s="709"/>
      <c r="S1949" s="709"/>
      <c r="T1949" s="709"/>
      <c r="U1949" s="709"/>
      <c r="V1949" s="709"/>
      <c r="W1949" s="709"/>
      <c r="X1949" s="709"/>
      <c r="Y1949" s="709"/>
      <c r="Z1949" s="709"/>
      <c r="AA1949" s="709"/>
      <c r="AB1949" s="709"/>
      <c r="AC1949" s="709"/>
    </row>
    <row r="1950" spans="4:29" customFormat="1">
      <c r="D1950" s="183"/>
      <c r="F1950" s="853"/>
      <c r="G1950" s="709"/>
      <c r="H1950" s="709"/>
      <c r="I1950" s="709"/>
      <c r="J1950" s="906"/>
      <c r="K1950" s="906"/>
      <c r="L1950" s="906"/>
      <c r="M1950" s="906"/>
      <c r="N1950" s="709"/>
      <c r="O1950" s="709"/>
      <c r="P1950" s="709"/>
      <c r="Q1950" s="709"/>
      <c r="R1950" s="709"/>
      <c r="S1950" s="709"/>
      <c r="T1950" s="709"/>
      <c r="U1950" s="709"/>
      <c r="V1950" s="709"/>
      <c r="W1950" s="709"/>
      <c r="X1950" s="709"/>
      <c r="Y1950" s="709"/>
      <c r="Z1950" s="709"/>
      <c r="AA1950" s="709"/>
      <c r="AB1950" s="709"/>
      <c r="AC1950" s="709"/>
    </row>
    <row r="1951" spans="4:29" customFormat="1">
      <c r="D1951" s="183"/>
      <c r="F1951" s="853"/>
      <c r="G1951" s="709"/>
      <c r="H1951" s="709"/>
      <c r="I1951" s="709"/>
      <c r="J1951" s="906"/>
      <c r="K1951" s="906"/>
      <c r="L1951" s="906"/>
      <c r="M1951" s="906"/>
      <c r="N1951" s="709"/>
      <c r="O1951" s="709"/>
      <c r="P1951" s="709"/>
      <c r="Q1951" s="709"/>
      <c r="R1951" s="709"/>
      <c r="S1951" s="709"/>
      <c r="T1951" s="709"/>
      <c r="U1951" s="709"/>
      <c r="V1951" s="709"/>
      <c r="W1951" s="709"/>
      <c r="X1951" s="709"/>
      <c r="Y1951" s="709"/>
      <c r="Z1951" s="709"/>
      <c r="AA1951" s="709"/>
      <c r="AB1951" s="709"/>
      <c r="AC1951" s="709"/>
    </row>
    <row r="1952" spans="4:29" customFormat="1">
      <c r="D1952" s="183"/>
      <c r="F1952" s="853"/>
      <c r="G1952" s="709"/>
      <c r="H1952" s="709"/>
      <c r="I1952" s="709"/>
      <c r="J1952" s="906"/>
      <c r="K1952" s="906"/>
      <c r="L1952" s="906"/>
      <c r="M1952" s="906"/>
      <c r="N1952" s="709"/>
      <c r="O1952" s="709"/>
      <c r="P1952" s="709"/>
      <c r="Q1952" s="709"/>
      <c r="R1952" s="709"/>
      <c r="S1952" s="709"/>
      <c r="T1952" s="709"/>
      <c r="U1952" s="709"/>
      <c r="V1952" s="709"/>
      <c r="W1952" s="709"/>
      <c r="X1952" s="709"/>
      <c r="Y1952" s="709"/>
      <c r="Z1952" s="709"/>
      <c r="AA1952" s="709"/>
      <c r="AB1952" s="709"/>
      <c r="AC1952" s="709"/>
    </row>
    <row r="1953" spans="4:29" customFormat="1">
      <c r="D1953" s="183"/>
      <c r="F1953" s="853"/>
      <c r="G1953" s="709"/>
      <c r="H1953" s="709"/>
      <c r="I1953" s="709"/>
      <c r="J1953" s="906"/>
      <c r="K1953" s="906"/>
      <c r="L1953" s="906"/>
      <c r="M1953" s="906"/>
      <c r="N1953" s="709"/>
      <c r="O1953" s="709"/>
      <c r="P1953" s="709"/>
      <c r="Q1953" s="709"/>
      <c r="R1953" s="709"/>
      <c r="S1953" s="709"/>
      <c r="T1953" s="709"/>
      <c r="U1953" s="709"/>
      <c r="V1953" s="709"/>
      <c r="W1953" s="709"/>
      <c r="X1953" s="709"/>
      <c r="Y1953" s="709"/>
      <c r="Z1953" s="709"/>
      <c r="AA1953" s="709"/>
      <c r="AB1953" s="709"/>
      <c r="AC1953" s="709"/>
    </row>
    <row r="1954" spans="4:29" customFormat="1">
      <c r="D1954" s="183"/>
      <c r="F1954" s="853"/>
      <c r="G1954" s="709"/>
      <c r="H1954" s="709"/>
      <c r="I1954" s="709"/>
      <c r="J1954" s="906"/>
      <c r="K1954" s="906"/>
      <c r="L1954" s="906"/>
      <c r="M1954" s="906"/>
      <c r="N1954" s="709"/>
      <c r="O1954" s="709"/>
      <c r="P1954" s="709"/>
      <c r="Q1954" s="709"/>
      <c r="R1954" s="709"/>
      <c r="S1954" s="709"/>
      <c r="T1954" s="709"/>
      <c r="U1954" s="709"/>
      <c r="V1954" s="709"/>
      <c r="W1954" s="709"/>
      <c r="X1954" s="709"/>
      <c r="Y1954" s="709"/>
      <c r="Z1954" s="709"/>
      <c r="AA1954" s="709"/>
      <c r="AB1954" s="709"/>
      <c r="AC1954" s="709"/>
    </row>
    <row r="1955" spans="4:29" customFormat="1">
      <c r="D1955" s="183"/>
      <c r="F1955" s="853"/>
      <c r="G1955" s="709"/>
      <c r="H1955" s="709"/>
      <c r="I1955" s="709"/>
      <c r="J1955" s="906"/>
      <c r="K1955" s="906"/>
      <c r="L1955" s="906"/>
      <c r="M1955" s="906"/>
      <c r="N1955" s="709"/>
      <c r="O1955" s="709"/>
      <c r="P1955" s="709"/>
      <c r="Q1955" s="709"/>
      <c r="R1955" s="709"/>
      <c r="S1955" s="709"/>
      <c r="T1955" s="709"/>
      <c r="U1955" s="709"/>
      <c r="V1955" s="709"/>
      <c r="W1955" s="709"/>
      <c r="X1955" s="709"/>
      <c r="Y1955" s="709"/>
      <c r="Z1955" s="709"/>
      <c r="AA1955" s="709"/>
      <c r="AB1955" s="709"/>
      <c r="AC1955" s="709"/>
    </row>
    <row r="1956" spans="4:29" customFormat="1">
      <c r="D1956" s="183"/>
      <c r="F1956" s="853"/>
      <c r="G1956" s="709"/>
      <c r="H1956" s="709"/>
      <c r="I1956" s="709"/>
      <c r="J1956" s="906"/>
      <c r="K1956" s="906"/>
      <c r="L1956" s="906"/>
      <c r="M1956" s="906"/>
      <c r="N1956" s="709"/>
      <c r="O1956" s="709"/>
      <c r="P1956" s="709"/>
      <c r="Q1956" s="709"/>
      <c r="R1956" s="709"/>
      <c r="S1956" s="709"/>
      <c r="T1956" s="709"/>
      <c r="U1956" s="709"/>
      <c r="V1956" s="709"/>
      <c r="W1956" s="709"/>
      <c r="X1956" s="709"/>
      <c r="Y1956" s="709"/>
      <c r="Z1956" s="709"/>
      <c r="AA1956" s="709"/>
      <c r="AB1956" s="709"/>
      <c r="AC1956" s="709"/>
    </row>
    <row r="1957" spans="4:29" customFormat="1">
      <c r="D1957" s="183"/>
      <c r="F1957" s="853"/>
      <c r="G1957" s="709"/>
      <c r="H1957" s="709"/>
      <c r="I1957" s="709"/>
      <c r="J1957" s="906"/>
      <c r="K1957" s="906"/>
      <c r="L1957" s="906"/>
      <c r="M1957" s="906"/>
      <c r="N1957" s="709"/>
      <c r="O1957" s="709"/>
      <c r="P1957" s="709"/>
      <c r="Q1957" s="709"/>
      <c r="R1957" s="709"/>
      <c r="S1957" s="709"/>
      <c r="T1957" s="709"/>
      <c r="U1957" s="709"/>
      <c r="V1957" s="709"/>
      <c r="W1957" s="709"/>
      <c r="X1957" s="709"/>
      <c r="Y1957" s="709"/>
      <c r="Z1957" s="709"/>
      <c r="AA1957" s="709"/>
      <c r="AB1957" s="709"/>
      <c r="AC1957" s="709"/>
    </row>
    <row r="1958" spans="4:29" customFormat="1">
      <c r="D1958" s="183"/>
      <c r="F1958" s="853"/>
      <c r="G1958" s="709"/>
      <c r="H1958" s="709"/>
      <c r="I1958" s="709"/>
      <c r="J1958" s="906"/>
      <c r="K1958" s="906"/>
      <c r="L1958" s="906"/>
      <c r="M1958" s="906"/>
      <c r="N1958" s="709"/>
      <c r="O1958" s="709"/>
      <c r="P1958" s="709"/>
      <c r="Q1958" s="709"/>
      <c r="R1958" s="709"/>
      <c r="S1958" s="709"/>
      <c r="T1958" s="709"/>
      <c r="U1958" s="709"/>
      <c r="V1958" s="709"/>
      <c r="W1958" s="709"/>
      <c r="X1958" s="709"/>
      <c r="Y1958" s="709"/>
      <c r="Z1958" s="709"/>
      <c r="AA1958" s="709"/>
      <c r="AB1958" s="709"/>
      <c r="AC1958" s="709"/>
    </row>
    <row r="1959" spans="4:29" customFormat="1">
      <c r="D1959" s="183"/>
      <c r="F1959" s="853"/>
      <c r="G1959" s="709"/>
      <c r="H1959" s="709"/>
      <c r="I1959" s="709"/>
      <c r="J1959" s="906"/>
      <c r="K1959" s="906"/>
      <c r="L1959" s="906"/>
      <c r="M1959" s="906"/>
      <c r="N1959" s="709"/>
      <c r="O1959" s="709"/>
      <c r="P1959" s="709"/>
      <c r="Q1959" s="709"/>
      <c r="R1959" s="709"/>
      <c r="S1959" s="709"/>
      <c r="T1959" s="709"/>
      <c r="U1959" s="709"/>
      <c r="V1959" s="709"/>
      <c r="W1959" s="709"/>
      <c r="X1959" s="709"/>
      <c r="Y1959" s="709"/>
      <c r="Z1959" s="709"/>
      <c r="AA1959" s="709"/>
      <c r="AB1959" s="709"/>
      <c r="AC1959" s="709"/>
    </row>
    <row r="1960" spans="4:29" customFormat="1">
      <c r="D1960" s="183"/>
      <c r="F1960" s="853"/>
      <c r="G1960" s="709"/>
      <c r="H1960" s="709"/>
      <c r="I1960" s="709"/>
      <c r="J1960" s="906"/>
      <c r="K1960" s="906"/>
      <c r="L1960" s="906"/>
      <c r="M1960" s="906"/>
      <c r="N1960" s="709"/>
      <c r="O1960" s="709"/>
      <c r="P1960" s="709"/>
      <c r="Q1960" s="709"/>
      <c r="R1960" s="709"/>
      <c r="S1960" s="709"/>
      <c r="T1960" s="709"/>
      <c r="U1960" s="709"/>
      <c r="V1960" s="709"/>
      <c r="W1960" s="709"/>
      <c r="X1960" s="709"/>
      <c r="Y1960" s="709"/>
      <c r="Z1960" s="709"/>
      <c r="AA1960" s="709"/>
      <c r="AB1960" s="709"/>
      <c r="AC1960" s="709"/>
    </row>
    <row r="1961" spans="4:29" customFormat="1">
      <c r="D1961" s="183"/>
      <c r="F1961" s="853"/>
      <c r="G1961" s="709"/>
      <c r="H1961" s="709"/>
      <c r="I1961" s="709"/>
      <c r="J1961" s="906"/>
      <c r="K1961" s="906"/>
      <c r="L1961" s="906"/>
      <c r="M1961" s="906"/>
      <c r="N1961" s="709"/>
      <c r="O1961" s="709"/>
      <c r="P1961" s="709"/>
      <c r="Q1961" s="709"/>
      <c r="R1961" s="709"/>
      <c r="S1961" s="709"/>
      <c r="T1961" s="709"/>
      <c r="U1961" s="709"/>
      <c r="V1961" s="709"/>
      <c r="W1961" s="709"/>
      <c r="X1961" s="709"/>
      <c r="Y1961" s="709"/>
      <c r="Z1961" s="709"/>
      <c r="AA1961" s="709"/>
      <c r="AB1961" s="709"/>
      <c r="AC1961" s="709"/>
    </row>
    <row r="1962" spans="4:29" customFormat="1">
      <c r="D1962" s="183"/>
      <c r="F1962" s="853"/>
      <c r="G1962" s="709"/>
      <c r="H1962" s="709"/>
      <c r="I1962" s="709"/>
      <c r="J1962" s="906"/>
      <c r="K1962" s="906"/>
      <c r="L1962" s="906"/>
      <c r="M1962" s="906"/>
      <c r="N1962" s="709"/>
      <c r="O1962" s="709"/>
      <c r="P1962" s="709"/>
      <c r="Q1962" s="709"/>
      <c r="R1962" s="709"/>
      <c r="S1962" s="709"/>
      <c r="T1962" s="709"/>
      <c r="U1962" s="709"/>
      <c r="V1962" s="709"/>
      <c r="W1962" s="709"/>
      <c r="X1962" s="709"/>
      <c r="Y1962" s="709"/>
      <c r="Z1962" s="709"/>
      <c r="AA1962" s="709"/>
      <c r="AB1962" s="709"/>
      <c r="AC1962" s="709"/>
    </row>
    <row r="1963" spans="4:29" customFormat="1">
      <c r="D1963" s="183"/>
      <c r="F1963" s="853"/>
      <c r="G1963" s="709"/>
      <c r="H1963" s="709"/>
      <c r="I1963" s="709"/>
      <c r="J1963" s="906"/>
      <c r="K1963" s="906"/>
      <c r="L1963" s="906"/>
      <c r="M1963" s="906"/>
      <c r="N1963" s="709"/>
      <c r="O1963" s="709"/>
      <c r="P1963" s="709"/>
      <c r="Q1963" s="709"/>
      <c r="R1963" s="709"/>
      <c r="S1963" s="709"/>
      <c r="T1963" s="709"/>
      <c r="U1963" s="709"/>
      <c r="V1963" s="709"/>
      <c r="W1963" s="709"/>
      <c r="X1963" s="709"/>
      <c r="Y1963" s="709"/>
      <c r="Z1963" s="709"/>
      <c r="AA1963" s="709"/>
      <c r="AB1963" s="709"/>
      <c r="AC1963" s="709"/>
    </row>
    <row r="1964" spans="4:29" customFormat="1">
      <c r="D1964" s="183"/>
      <c r="F1964" s="853"/>
      <c r="G1964" s="709"/>
      <c r="H1964" s="709"/>
      <c r="I1964" s="709"/>
      <c r="J1964" s="906"/>
      <c r="K1964" s="906"/>
      <c r="L1964" s="906"/>
      <c r="M1964" s="906"/>
      <c r="N1964" s="709"/>
      <c r="O1964" s="709"/>
      <c r="P1964" s="709"/>
      <c r="Q1964" s="709"/>
      <c r="R1964" s="709"/>
      <c r="S1964" s="709"/>
      <c r="T1964" s="709"/>
      <c r="U1964" s="709"/>
      <c r="V1964" s="709"/>
      <c r="W1964" s="709"/>
      <c r="X1964" s="709"/>
      <c r="Y1964" s="709"/>
      <c r="Z1964" s="709"/>
      <c r="AA1964" s="709"/>
      <c r="AB1964" s="709"/>
      <c r="AC1964" s="709"/>
    </row>
    <row r="1965" spans="4:29" customFormat="1">
      <c r="D1965" s="183"/>
      <c r="F1965" s="853"/>
      <c r="G1965" s="709"/>
      <c r="H1965" s="709"/>
      <c r="I1965" s="709"/>
      <c r="J1965" s="906"/>
      <c r="K1965" s="906"/>
      <c r="L1965" s="906"/>
      <c r="M1965" s="906"/>
      <c r="N1965" s="709"/>
      <c r="O1965" s="709"/>
      <c r="P1965" s="709"/>
      <c r="Q1965" s="709"/>
      <c r="R1965" s="709"/>
      <c r="S1965" s="709"/>
      <c r="T1965" s="709"/>
      <c r="U1965" s="709"/>
      <c r="V1965" s="709"/>
      <c r="W1965" s="709"/>
      <c r="X1965" s="709"/>
      <c r="Y1965" s="709"/>
      <c r="Z1965" s="709"/>
      <c r="AA1965" s="709"/>
      <c r="AB1965" s="709"/>
      <c r="AC1965" s="709"/>
    </row>
    <row r="1966" spans="4:29" customFormat="1">
      <c r="D1966" s="183"/>
      <c r="F1966" s="853"/>
      <c r="G1966" s="709"/>
      <c r="H1966" s="709"/>
      <c r="I1966" s="709"/>
      <c r="J1966" s="906"/>
      <c r="K1966" s="906"/>
      <c r="L1966" s="906"/>
      <c r="M1966" s="906"/>
      <c r="N1966" s="709"/>
      <c r="O1966" s="709"/>
      <c r="P1966" s="709"/>
      <c r="Q1966" s="709"/>
      <c r="R1966" s="709"/>
      <c r="S1966" s="709"/>
      <c r="T1966" s="709"/>
      <c r="U1966" s="709"/>
      <c r="V1966" s="709"/>
      <c r="W1966" s="709"/>
      <c r="X1966" s="709"/>
      <c r="Y1966" s="709"/>
      <c r="Z1966" s="709"/>
      <c r="AA1966" s="709"/>
      <c r="AB1966" s="709"/>
      <c r="AC1966" s="709"/>
    </row>
    <row r="1967" spans="4:29" customFormat="1">
      <c r="D1967" s="183"/>
      <c r="F1967" s="853"/>
      <c r="G1967" s="709"/>
      <c r="H1967" s="709"/>
      <c r="I1967" s="709"/>
      <c r="J1967" s="906"/>
      <c r="K1967" s="906"/>
      <c r="L1967" s="906"/>
      <c r="M1967" s="906"/>
      <c r="N1967" s="709"/>
      <c r="O1967" s="709"/>
      <c r="P1967" s="709"/>
      <c r="Q1967" s="709"/>
      <c r="R1967" s="709"/>
      <c r="S1967" s="709"/>
      <c r="T1967" s="709"/>
      <c r="U1967" s="709"/>
      <c r="V1967" s="709"/>
      <c r="W1967" s="709"/>
      <c r="X1967" s="709"/>
      <c r="Y1967" s="709"/>
      <c r="Z1967" s="709"/>
      <c r="AA1967" s="709"/>
      <c r="AB1967" s="709"/>
      <c r="AC1967" s="709"/>
    </row>
    <row r="1968" spans="4:29" customFormat="1">
      <c r="D1968" s="183"/>
      <c r="F1968" s="853"/>
      <c r="G1968" s="709"/>
      <c r="H1968" s="709"/>
      <c r="I1968" s="709"/>
      <c r="J1968" s="906"/>
      <c r="K1968" s="906"/>
      <c r="L1968" s="906"/>
      <c r="M1968" s="906"/>
      <c r="N1968" s="709"/>
      <c r="O1968" s="709"/>
      <c r="P1968" s="709"/>
      <c r="Q1968" s="709"/>
      <c r="R1968" s="709"/>
      <c r="S1968" s="709"/>
      <c r="T1968" s="709"/>
      <c r="U1968" s="709"/>
      <c r="V1968" s="709"/>
      <c r="W1968" s="709"/>
      <c r="X1968" s="709"/>
      <c r="Y1968" s="709"/>
      <c r="Z1968" s="709"/>
      <c r="AA1968" s="709"/>
      <c r="AB1968" s="709"/>
      <c r="AC1968" s="709"/>
    </row>
    <row r="1969" spans="4:29" customFormat="1">
      <c r="D1969" s="183"/>
      <c r="F1969" s="853"/>
      <c r="G1969" s="709"/>
      <c r="H1969" s="709"/>
      <c r="I1969" s="709"/>
      <c r="J1969" s="906"/>
      <c r="K1969" s="906"/>
      <c r="L1969" s="906"/>
      <c r="M1969" s="906"/>
      <c r="N1969" s="709"/>
      <c r="O1969" s="709"/>
      <c r="P1969" s="709"/>
      <c r="Q1969" s="709"/>
      <c r="R1969" s="709"/>
      <c r="S1969" s="709"/>
      <c r="T1969" s="709"/>
      <c r="U1969" s="709"/>
      <c r="V1969" s="709"/>
      <c r="W1969" s="709"/>
      <c r="X1969" s="709"/>
      <c r="Y1969" s="709"/>
      <c r="Z1969" s="709"/>
      <c r="AA1969" s="709"/>
      <c r="AB1969" s="709"/>
      <c r="AC1969" s="709"/>
    </row>
    <row r="1970" spans="4:29" customFormat="1">
      <c r="D1970" s="183"/>
      <c r="F1970" s="853"/>
      <c r="G1970" s="709"/>
      <c r="H1970" s="709"/>
      <c r="I1970" s="709"/>
      <c r="J1970" s="906"/>
      <c r="K1970" s="906"/>
      <c r="L1970" s="906"/>
      <c r="M1970" s="906"/>
      <c r="N1970" s="709"/>
      <c r="O1970" s="709"/>
      <c r="P1970" s="709"/>
      <c r="Q1970" s="709"/>
      <c r="R1970" s="709"/>
      <c r="S1970" s="709"/>
      <c r="T1970" s="709"/>
      <c r="U1970" s="709"/>
      <c r="V1970" s="709"/>
      <c r="W1970" s="709"/>
      <c r="X1970" s="709"/>
      <c r="Y1970" s="709"/>
      <c r="Z1970" s="709"/>
      <c r="AA1970" s="709"/>
      <c r="AB1970" s="709"/>
      <c r="AC1970" s="709"/>
    </row>
    <row r="1971" spans="4:29" customFormat="1">
      <c r="D1971" s="183"/>
      <c r="F1971" s="853"/>
      <c r="G1971" s="709"/>
      <c r="H1971" s="709"/>
      <c r="I1971" s="709"/>
      <c r="J1971" s="906"/>
      <c r="K1971" s="906"/>
      <c r="L1971" s="906"/>
      <c r="M1971" s="906"/>
      <c r="N1971" s="709"/>
      <c r="O1971" s="709"/>
      <c r="P1971" s="709"/>
      <c r="Q1971" s="709"/>
      <c r="R1971" s="709"/>
      <c r="S1971" s="709"/>
      <c r="T1971" s="709"/>
      <c r="U1971" s="709"/>
      <c r="V1971" s="709"/>
      <c r="W1971" s="709"/>
      <c r="X1971" s="709"/>
      <c r="Y1971" s="709"/>
      <c r="Z1971" s="709"/>
      <c r="AA1971" s="709"/>
      <c r="AB1971" s="709"/>
      <c r="AC1971" s="709"/>
    </row>
    <row r="1972" spans="4:29" customFormat="1">
      <c r="D1972" s="183"/>
      <c r="F1972" s="853"/>
      <c r="G1972" s="709"/>
      <c r="H1972" s="709"/>
      <c r="I1972" s="709"/>
      <c r="J1972" s="906"/>
      <c r="K1972" s="906"/>
      <c r="L1972" s="906"/>
      <c r="M1972" s="906"/>
      <c r="N1972" s="709"/>
      <c r="O1972" s="709"/>
      <c r="P1972" s="709"/>
      <c r="Q1972" s="709"/>
      <c r="R1972" s="709"/>
      <c r="S1972" s="709"/>
      <c r="T1972" s="709"/>
      <c r="U1972" s="709"/>
      <c r="V1972" s="709"/>
      <c r="W1972" s="709"/>
      <c r="X1972" s="709"/>
      <c r="Y1972" s="709"/>
      <c r="Z1972" s="709"/>
      <c r="AA1972" s="709"/>
      <c r="AB1972" s="709"/>
      <c r="AC1972" s="709"/>
    </row>
    <row r="1973" spans="4:29" customFormat="1">
      <c r="D1973" s="183"/>
      <c r="F1973" s="853"/>
      <c r="G1973" s="709"/>
      <c r="H1973" s="709"/>
      <c r="I1973" s="709"/>
      <c r="J1973" s="906"/>
      <c r="K1973" s="906"/>
      <c r="L1973" s="906"/>
      <c r="M1973" s="906"/>
      <c r="N1973" s="709"/>
      <c r="O1973" s="709"/>
      <c r="P1973" s="709"/>
      <c r="Q1973" s="709"/>
      <c r="R1973" s="709"/>
      <c r="S1973" s="709"/>
      <c r="T1973" s="709"/>
      <c r="U1973" s="709"/>
      <c r="V1973" s="709"/>
      <c r="W1973" s="709"/>
      <c r="X1973" s="709"/>
      <c r="Y1973" s="709"/>
      <c r="Z1973" s="709"/>
      <c r="AA1973" s="709"/>
      <c r="AB1973" s="709"/>
      <c r="AC1973" s="709"/>
    </row>
    <row r="1974" spans="4:29" customFormat="1">
      <c r="D1974" s="183"/>
      <c r="F1974" s="853"/>
      <c r="G1974" s="709"/>
      <c r="H1974" s="709"/>
      <c r="I1974" s="709"/>
      <c r="J1974" s="906"/>
      <c r="K1974" s="906"/>
      <c r="L1974" s="906"/>
      <c r="M1974" s="906"/>
      <c r="N1974" s="709"/>
      <c r="O1974" s="709"/>
      <c r="P1974" s="709"/>
      <c r="Q1974" s="709"/>
      <c r="R1974" s="709"/>
      <c r="S1974" s="709"/>
      <c r="T1974" s="709"/>
      <c r="U1974" s="709"/>
      <c r="V1974" s="709"/>
      <c r="W1974" s="709"/>
      <c r="X1974" s="709"/>
      <c r="Y1974" s="709"/>
      <c r="Z1974" s="709"/>
      <c r="AA1974" s="709"/>
      <c r="AB1974" s="709"/>
      <c r="AC1974" s="709"/>
    </row>
    <row r="1975" spans="4:29" customFormat="1">
      <c r="D1975" s="183"/>
      <c r="F1975" s="853"/>
      <c r="G1975" s="709"/>
      <c r="H1975" s="709"/>
      <c r="I1975" s="709"/>
      <c r="J1975" s="906"/>
      <c r="K1975" s="906"/>
      <c r="L1975" s="906"/>
      <c r="M1975" s="906"/>
      <c r="N1975" s="709"/>
      <c r="O1975" s="709"/>
      <c r="P1975" s="709"/>
      <c r="Q1975" s="709"/>
      <c r="R1975" s="709"/>
      <c r="S1975" s="709"/>
      <c r="T1975" s="709"/>
      <c r="U1975" s="709"/>
      <c r="V1975" s="709"/>
      <c r="W1975" s="709"/>
      <c r="X1975" s="709"/>
      <c r="Y1975" s="709"/>
      <c r="Z1975" s="709"/>
      <c r="AA1975" s="709"/>
      <c r="AB1975" s="709"/>
      <c r="AC1975" s="709"/>
    </row>
    <row r="1976" spans="4:29" customFormat="1">
      <c r="D1976" s="183"/>
      <c r="F1976" s="853"/>
      <c r="G1976" s="709"/>
      <c r="H1976" s="709"/>
      <c r="I1976" s="709"/>
      <c r="J1976" s="906"/>
      <c r="K1976" s="906"/>
      <c r="L1976" s="906"/>
      <c r="M1976" s="906"/>
      <c r="N1976" s="709"/>
      <c r="O1976" s="709"/>
      <c r="P1976" s="709"/>
      <c r="Q1976" s="709"/>
      <c r="R1976" s="709"/>
      <c r="S1976" s="709"/>
      <c r="T1976" s="709"/>
      <c r="U1976" s="709"/>
      <c r="V1976" s="709"/>
      <c r="W1976" s="709"/>
      <c r="X1976" s="709"/>
      <c r="Y1976" s="709"/>
      <c r="Z1976" s="709"/>
      <c r="AA1976" s="709"/>
      <c r="AB1976" s="709"/>
      <c r="AC1976" s="709"/>
    </row>
    <row r="1977" spans="4:29" customFormat="1">
      <c r="D1977" s="183"/>
      <c r="F1977" s="853"/>
      <c r="G1977" s="709"/>
      <c r="H1977" s="709"/>
      <c r="I1977" s="709"/>
      <c r="J1977" s="906"/>
      <c r="K1977" s="906"/>
      <c r="L1977" s="906"/>
      <c r="M1977" s="906"/>
      <c r="N1977" s="709"/>
      <c r="O1977" s="709"/>
      <c r="P1977" s="709"/>
      <c r="Q1977" s="709"/>
      <c r="R1977" s="709"/>
      <c r="S1977" s="709"/>
      <c r="T1977" s="709"/>
      <c r="U1977" s="709"/>
      <c r="V1977" s="709"/>
      <c r="W1977" s="709"/>
      <c r="X1977" s="709"/>
      <c r="Y1977" s="709"/>
      <c r="Z1977" s="709"/>
      <c r="AA1977" s="709"/>
      <c r="AB1977" s="709"/>
      <c r="AC1977" s="709"/>
    </row>
    <row r="1978" spans="4:29" customFormat="1">
      <c r="D1978" s="183"/>
      <c r="F1978" s="853"/>
      <c r="G1978" s="709"/>
      <c r="H1978" s="709"/>
      <c r="I1978" s="709"/>
      <c r="J1978" s="906"/>
      <c r="K1978" s="906"/>
      <c r="L1978" s="906"/>
      <c r="M1978" s="906"/>
      <c r="N1978" s="709"/>
      <c r="O1978" s="709"/>
      <c r="P1978" s="709"/>
      <c r="Q1978" s="709"/>
      <c r="R1978" s="709"/>
      <c r="S1978" s="709"/>
      <c r="T1978" s="709"/>
      <c r="U1978" s="709"/>
      <c r="V1978" s="709"/>
      <c r="W1978" s="709"/>
      <c r="X1978" s="709"/>
      <c r="Y1978" s="709"/>
      <c r="Z1978" s="709"/>
      <c r="AA1978" s="709"/>
      <c r="AB1978" s="709"/>
      <c r="AC1978" s="709"/>
    </row>
    <row r="1979" spans="4:29" customFormat="1">
      <c r="D1979" s="183"/>
      <c r="F1979" s="853"/>
      <c r="G1979" s="709"/>
      <c r="H1979" s="709"/>
      <c r="I1979" s="709"/>
      <c r="J1979" s="906"/>
      <c r="K1979" s="906"/>
      <c r="L1979" s="906"/>
      <c r="M1979" s="906"/>
      <c r="N1979" s="709"/>
      <c r="O1979" s="709"/>
      <c r="P1979" s="709"/>
      <c r="Q1979" s="709"/>
      <c r="R1979" s="709"/>
      <c r="S1979" s="709"/>
      <c r="T1979" s="709"/>
      <c r="U1979" s="709"/>
      <c r="V1979" s="709"/>
      <c r="W1979" s="709"/>
      <c r="X1979" s="709"/>
      <c r="Y1979" s="709"/>
      <c r="Z1979" s="709"/>
      <c r="AA1979" s="709"/>
      <c r="AB1979" s="709"/>
      <c r="AC1979" s="709"/>
    </row>
    <row r="1980" spans="4:29" customFormat="1">
      <c r="D1980" s="183"/>
      <c r="F1980" s="853"/>
      <c r="G1980" s="709"/>
      <c r="H1980" s="709"/>
      <c r="I1980" s="709"/>
      <c r="J1980" s="906"/>
      <c r="K1980" s="906"/>
      <c r="L1980" s="906"/>
      <c r="M1980" s="906"/>
      <c r="N1980" s="709"/>
      <c r="O1980" s="709"/>
      <c r="P1980" s="709"/>
      <c r="Q1980" s="709"/>
      <c r="R1980" s="709"/>
      <c r="S1980" s="709"/>
      <c r="T1980" s="709"/>
      <c r="U1980" s="709"/>
      <c r="V1980" s="709"/>
      <c r="W1980" s="709"/>
      <c r="X1980" s="709"/>
      <c r="Y1980" s="709"/>
      <c r="Z1980" s="709"/>
      <c r="AA1980" s="709"/>
      <c r="AB1980" s="709"/>
      <c r="AC1980" s="709"/>
    </row>
    <row r="1981" spans="4:29" customFormat="1">
      <c r="D1981" s="183"/>
      <c r="F1981" s="853"/>
      <c r="G1981" s="709"/>
      <c r="H1981" s="709"/>
      <c r="I1981" s="709"/>
      <c r="J1981" s="906"/>
      <c r="K1981" s="906"/>
      <c r="L1981" s="906"/>
      <c r="M1981" s="906"/>
      <c r="N1981" s="709"/>
      <c r="O1981" s="709"/>
      <c r="P1981" s="709"/>
      <c r="Q1981" s="709"/>
      <c r="R1981" s="709"/>
      <c r="S1981" s="709"/>
      <c r="T1981" s="709"/>
      <c r="U1981" s="709"/>
      <c r="V1981" s="709"/>
      <c r="W1981" s="709"/>
      <c r="X1981" s="709"/>
      <c r="Y1981" s="709"/>
      <c r="Z1981" s="709"/>
      <c r="AA1981" s="709"/>
      <c r="AB1981" s="709"/>
      <c r="AC1981" s="709"/>
    </row>
    <row r="1982" spans="4:29" customFormat="1">
      <c r="D1982" s="183"/>
      <c r="F1982" s="853"/>
      <c r="G1982" s="709"/>
      <c r="H1982" s="709"/>
      <c r="I1982" s="709"/>
      <c r="J1982" s="906"/>
      <c r="K1982" s="906"/>
      <c r="L1982" s="906"/>
      <c r="M1982" s="906"/>
      <c r="N1982" s="709"/>
      <c r="O1982" s="709"/>
      <c r="P1982" s="709"/>
      <c r="Q1982" s="709"/>
      <c r="R1982" s="709"/>
      <c r="S1982" s="709"/>
      <c r="T1982" s="709"/>
      <c r="U1982" s="709"/>
      <c r="V1982" s="709"/>
      <c r="W1982" s="709"/>
      <c r="X1982" s="709"/>
      <c r="Y1982" s="709"/>
      <c r="Z1982" s="709"/>
      <c r="AA1982" s="709"/>
      <c r="AB1982" s="709"/>
      <c r="AC1982" s="709"/>
    </row>
    <row r="1983" spans="4:29" customFormat="1">
      <c r="D1983" s="183"/>
      <c r="F1983" s="853"/>
      <c r="G1983" s="709"/>
      <c r="H1983" s="709"/>
      <c r="I1983" s="709"/>
      <c r="J1983" s="906"/>
      <c r="K1983" s="906"/>
      <c r="L1983" s="906"/>
      <c r="M1983" s="906"/>
      <c r="N1983" s="709"/>
      <c r="O1983" s="709"/>
      <c r="P1983" s="709"/>
      <c r="Q1983" s="709"/>
      <c r="R1983" s="709"/>
      <c r="S1983" s="709"/>
      <c r="T1983" s="709"/>
      <c r="U1983" s="709"/>
      <c r="V1983" s="709"/>
      <c r="W1983" s="709"/>
      <c r="X1983" s="709"/>
      <c r="Y1983" s="709"/>
      <c r="Z1983" s="709"/>
      <c r="AA1983" s="709"/>
      <c r="AB1983" s="709"/>
      <c r="AC1983" s="709"/>
    </row>
    <row r="1984" spans="4:29" customFormat="1">
      <c r="D1984" s="183"/>
      <c r="F1984" s="853"/>
      <c r="G1984" s="709"/>
      <c r="H1984" s="709"/>
      <c r="I1984" s="709"/>
      <c r="J1984" s="906"/>
      <c r="K1984" s="906"/>
      <c r="L1984" s="906"/>
      <c r="M1984" s="906"/>
      <c r="N1984" s="709"/>
      <c r="O1984" s="709"/>
      <c r="P1984" s="709"/>
      <c r="Q1984" s="709"/>
      <c r="R1984" s="709"/>
      <c r="S1984" s="709"/>
      <c r="T1984" s="709"/>
      <c r="U1984" s="709"/>
      <c r="V1984" s="709"/>
      <c r="W1984" s="709"/>
      <c r="X1984" s="709"/>
      <c r="Y1984" s="709"/>
      <c r="Z1984" s="709"/>
      <c r="AA1984" s="709"/>
      <c r="AB1984" s="709"/>
      <c r="AC1984" s="709"/>
    </row>
    <row r="1985" spans="4:29" customFormat="1">
      <c r="D1985" s="183"/>
      <c r="F1985" s="853"/>
      <c r="G1985" s="709"/>
      <c r="H1985" s="709"/>
      <c r="I1985" s="709"/>
      <c r="J1985" s="906"/>
      <c r="K1985" s="906"/>
      <c r="L1985" s="906"/>
      <c r="M1985" s="906"/>
      <c r="N1985" s="709"/>
      <c r="O1985" s="709"/>
      <c r="P1985" s="709"/>
      <c r="Q1985" s="709"/>
      <c r="R1985" s="709"/>
      <c r="S1985" s="709"/>
      <c r="T1985" s="709"/>
      <c r="U1985" s="709"/>
      <c r="V1985" s="709"/>
      <c r="W1985" s="709"/>
      <c r="X1985" s="709"/>
      <c r="Y1985" s="709"/>
      <c r="Z1985" s="709"/>
      <c r="AA1985" s="709"/>
      <c r="AB1985" s="709"/>
      <c r="AC1985" s="709"/>
    </row>
    <row r="1986" spans="4:29" customFormat="1">
      <c r="D1986" s="183"/>
      <c r="F1986" s="853"/>
      <c r="G1986" s="709"/>
      <c r="H1986" s="709"/>
      <c r="I1986" s="709"/>
      <c r="J1986" s="906"/>
      <c r="K1986" s="906"/>
      <c r="L1986" s="906"/>
      <c r="M1986" s="906"/>
      <c r="N1986" s="709"/>
      <c r="O1986" s="709"/>
      <c r="P1986" s="709"/>
      <c r="Q1986" s="709"/>
      <c r="R1986" s="709"/>
      <c r="S1986" s="709"/>
      <c r="T1986" s="709"/>
      <c r="U1986" s="709"/>
      <c r="V1986" s="709"/>
      <c r="W1986" s="709"/>
      <c r="X1986" s="709"/>
      <c r="Y1986" s="709"/>
      <c r="Z1986" s="709"/>
      <c r="AA1986" s="709"/>
      <c r="AB1986" s="709"/>
      <c r="AC1986" s="709"/>
    </row>
    <row r="1987" spans="4:29" customFormat="1">
      <c r="D1987" s="183"/>
      <c r="F1987" s="853"/>
      <c r="G1987" s="709"/>
      <c r="H1987" s="709"/>
      <c r="I1987" s="709"/>
      <c r="J1987" s="906"/>
      <c r="K1987" s="906"/>
      <c r="L1987" s="906"/>
      <c r="M1987" s="906"/>
      <c r="N1987" s="709"/>
      <c r="O1987" s="709"/>
      <c r="P1987" s="709"/>
      <c r="Q1987" s="709"/>
      <c r="R1987" s="709"/>
      <c r="S1987" s="709"/>
      <c r="T1987" s="709"/>
      <c r="U1987" s="709"/>
      <c r="V1987" s="709"/>
      <c r="W1987" s="709"/>
      <c r="X1987" s="709"/>
      <c r="Y1987" s="709"/>
      <c r="Z1987" s="709"/>
      <c r="AA1987" s="709"/>
      <c r="AB1987" s="709"/>
      <c r="AC1987" s="709"/>
    </row>
    <row r="1988" spans="4:29" customFormat="1">
      <c r="D1988" s="183"/>
      <c r="F1988" s="853"/>
      <c r="G1988" s="709"/>
      <c r="H1988" s="709"/>
      <c r="I1988" s="709"/>
      <c r="J1988" s="906"/>
      <c r="K1988" s="906"/>
      <c r="L1988" s="906"/>
      <c r="M1988" s="906"/>
      <c r="N1988" s="709"/>
      <c r="O1988" s="709"/>
      <c r="P1988" s="709"/>
      <c r="Q1988" s="709"/>
      <c r="R1988" s="709"/>
      <c r="S1988" s="709"/>
      <c r="T1988" s="709"/>
      <c r="U1988" s="709"/>
      <c r="V1988" s="709"/>
      <c r="W1988" s="709"/>
      <c r="X1988" s="709"/>
      <c r="Y1988" s="709"/>
      <c r="Z1988" s="709"/>
      <c r="AA1988" s="709"/>
      <c r="AB1988" s="709"/>
      <c r="AC1988" s="709"/>
    </row>
    <row r="1989" spans="4:29" customFormat="1">
      <c r="D1989" s="183"/>
      <c r="F1989" s="853"/>
      <c r="G1989" s="709"/>
      <c r="H1989" s="709"/>
      <c r="I1989" s="709"/>
      <c r="J1989" s="906"/>
      <c r="K1989" s="906"/>
      <c r="L1989" s="906"/>
      <c r="M1989" s="906"/>
      <c r="N1989" s="709"/>
      <c r="O1989" s="709"/>
      <c r="P1989" s="709"/>
      <c r="Q1989" s="709"/>
      <c r="R1989" s="709"/>
      <c r="S1989" s="709"/>
      <c r="T1989" s="709"/>
      <c r="U1989" s="709"/>
      <c r="V1989" s="709"/>
      <c r="W1989" s="709"/>
      <c r="X1989" s="709"/>
      <c r="Y1989" s="709"/>
      <c r="Z1989" s="709"/>
      <c r="AA1989" s="709"/>
      <c r="AB1989" s="709"/>
      <c r="AC1989" s="709"/>
    </row>
    <row r="1990" spans="4:29" customFormat="1">
      <c r="D1990" s="183"/>
      <c r="F1990" s="853"/>
      <c r="G1990" s="709"/>
      <c r="H1990" s="709"/>
      <c r="I1990" s="709"/>
      <c r="J1990" s="906"/>
      <c r="K1990" s="906"/>
      <c r="L1990" s="906"/>
      <c r="M1990" s="906"/>
      <c r="N1990" s="709"/>
      <c r="O1990" s="709"/>
      <c r="P1990" s="709"/>
      <c r="Q1990" s="709"/>
      <c r="R1990" s="709"/>
      <c r="S1990" s="709"/>
      <c r="T1990" s="709"/>
      <c r="U1990" s="709"/>
      <c r="V1990" s="709"/>
      <c r="W1990" s="709"/>
      <c r="X1990" s="709"/>
      <c r="Y1990" s="709"/>
      <c r="Z1990" s="709"/>
      <c r="AA1990" s="709"/>
      <c r="AB1990" s="709"/>
      <c r="AC1990" s="709"/>
    </row>
    <row r="1991" spans="4:29" customFormat="1">
      <c r="D1991" s="183"/>
      <c r="F1991" s="853"/>
      <c r="G1991" s="709"/>
      <c r="H1991" s="709"/>
      <c r="I1991" s="709"/>
      <c r="J1991" s="906"/>
      <c r="K1991" s="906"/>
      <c r="L1991" s="906"/>
      <c r="M1991" s="906"/>
      <c r="N1991" s="709"/>
      <c r="O1991" s="709"/>
      <c r="P1991" s="709"/>
      <c r="Q1991" s="709"/>
      <c r="R1991" s="709"/>
      <c r="S1991" s="709"/>
      <c r="T1991" s="709"/>
      <c r="U1991" s="709"/>
      <c r="V1991" s="709"/>
      <c r="W1991" s="709"/>
      <c r="X1991" s="709"/>
      <c r="Y1991" s="709"/>
      <c r="Z1991" s="709"/>
      <c r="AA1991" s="709"/>
      <c r="AB1991" s="709"/>
      <c r="AC1991" s="709"/>
    </row>
    <row r="1992" spans="4:29" customFormat="1">
      <c r="D1992" s="183"/>
      <c r="F1992" s="853"/>
      <c r="G1992" s="709"/>
      <c r="H1992" s="709"/>
      <c r="I1992" s="709"/>
      <c r="J1992" s="906"/>
      <c r="K1992" s="906"/>
      <c r="L1992" s="906"/>
      <c r="M1992" s="906"/>
      <c r="N1992" s="709"/>
      <c r="O1992" s="709"/>
      <c r="P1992" s="709"/>
      <c r="Q1992" s="709"/>
      <c r="R1992" s="709"/>
      <c r="S1992" s="709"/>
      <c r="T1992" s="709"/>
      <c r="U1992" s="709"/>
      <c r="V1992" s="709"/>
      <c r="W1992" s="709"/>
      <c r="X1992" s="709"/>
      <c r="Y1992" s="709"/>
      <c r="Z1992" s="709"/>
      <c r="AA1992" s="709"/>
      <c r="AB1992" s="709"/>
      <c r="AC1992" s="709"/>
    </row>
    <row r="1993" spans="4:29" customFormat="1">
      <c r="D1993" s="183"/>
      <c r="F1993" s="853"/>
      <c r="G1993" s="709"/>
      <c r="H1993" s="709"/>
      <c r="I1993" s="709"/>
      <c r="J1993" s="906"/>
      <c r="K1993" s="906"/>
      <c r="L1993" s="906"/>
      <c r="M1993" s="906"/>
      <c r="N1993" s="709"/>
      <c r="O1993" s="709"/>
      <c r="P1993" s="709"/>
      <c r="Q1993" s="709"/>
      <c r="R1993" s="709"/>
      <c r="S1993" s="709"/>
      <c r="T1993" s="709"/>
      <c r="U1993" s="709"/>
      <c r="V1993" s="709"/>
      <c r="W1993" s="709"/>
      <c r="X1993" s="709"/>
      <c r="Y1993" s="709"/>
      <c r="Z1993" s="709"/>
      <c r="AA1993" s="709"/>
      <c r="AB1993" s="709"/>
      <c r="AC1993" s="709"/>
    </row>
    <row r="1994" spans="4:29" customFormat="1">
      <c r="D1994" s="183"/>
      <c r="F1994" s="853"/>
      <c r="G1994" s="709"/>
      <c r="H1994" s="709"/>
      <c r="I1994" s="709"/>
      <c r="J1994" s="906"/>
      <c r="K1994" s="906"/>
      <c r="L1994" s="906"/>
      <c r="M1994" s="906"/>
      <c r="N1994" s="709"/>
      <c r="O1994" s="709"/>
      <c r="P1994" s="709"/>
      <c r="Q1994" s="709"/>
      <c r="R1994" s="709"/>
      <c r="S1994" s="709"/>
      <c r="T1994" s="709"/>
      <c r="U1994" s="709"/>
      <c r="V1994" s="709"/>
      <c r="W1994" s="709"/>
      <c r="X1994" s="709"/>
      <c r="Y1994" s="709"/>
      <c r="Z1994" s="709"/>
      <c r="AA1994" s="709"/>
      <c r="AB1994" s="709"/>
      <c r="AC1994" s="709"/>
    </row>
    <row r="1995" spans="4:29" customFormat="1">
      <c r="D1995" s="183"/>
      <c r="F1995" s="853"/>
      <c r="G1995" s="709"/>
      <c r="H1995" s="709"/>
      <c r="I1995" s="709"/>
      <c r="J1995" s="906"/>
      <c r="K1995" s="906"/>
      <c r="L1995" s="906"/>
      <c r="M1995" s="906"/>
      <c r="N1995" s="709"/>
      <c r="O1995" s="709"/>
      <c r="P1995" s="709"/>
      <c r="Q1995" s="709"/>
      <c r="R1995" s="709"/>
      <c r="S1995" s="709"/>
      <c r="T1995" s="709"/>
      <c r="U1995" s="709"/>
      <c r="V1995" s="709"/>
      <c r="W1995" s="709"/>
      <c r="X1995" s="709"/>
      <c r="Y1995" s="709"/>
      <c r="Z1995" s="709"/>
      <c r="AA1995" s="709"/>
      <c r="AB1995" s="709"/>
      <c r="AC1995" s="709"/>
    </row>
    <row r="1996" spans="4:29" customFormat="1">
      <c r="D1996" s="183"/>
      <c r="F1996" s="853"/>
      <c r="G1996" s="709"/>
      <c r="H1996" s="709"/>
      <c r="I1996" s="709"/>
      <c r="J1996" s="906"/>
      <c r="K1996" s="906"/>
      <c r="L1996" s="906"/>
      <c r="M1996" s="906"/>
      <c r="N1996" s="709"/>
      <c r="O1996" s="709"/>
      <c r="P1996" s="709"/>
      <c r="Q1996" s="709"/>
      <c r="R1996" s="709"/>
      <c r="S1996" s="709"/>
      <c r="T1996" s="709"/>
      <c r="U1996" s="709"/>
      <c r="V1996" s="709"/>
      <c r="W1996" s="709"/>
      <c r="X1996" s="709"/>
      <c r="Y1996" s="709"/>
      <c r="Z1996" s="709"/>
      <c r="AA1996" s="709"/>
      <c r="AB1996" s="709"/>
      <c r="AC1996" s="709"/>
    </row>
    <row r="1997" spans="4:29" customFormat="1">
      <c r="D1997" s="183"/>
      <c r="F1997" s="853"/>
      <c r="G1997" s="709"/>
      <c r="H1997" s="709"/>
      <c r="I1997" s="709"/>
      <c r="J1997" s="906"/>
      <c r="K1997" s="906"/>
      <c r="L1997" s="906"/>
      <c r="M1997" s="906"/>
      <c r="N1997" s="709"/>
      <c r="O1997" s="709"/>
      <c r="P1997" s="709"/>
      <c r="Q1997" s="709"/>
      <c r="R1997" s="709"/>
      <c r="S1997" s="709"/>
      <c r="T1997" s="709"/>
      <c r="U1997" s="709"/>
      <c r="V1997" s="709"/>
      <c r="W1997" s="709"/>
      <c r="X1997" s="709"/>
      <c r="Y1997" s="709"/>
      <c r="Z1997" s="709"/>
      <c r="AA1997" s="709"/>
      <c r="AB1997" s="709"/>
      <c r="AC1997" s="709"/>
    </row>
    <row r="1998" spans="4:29" customFormat="1">
      <c r="D1998" s="183"/>
      <c r="F1998" s="853"/>
      <c r="G1998" s="709"/>
      <c r="H1998" s="709"/>
      <c r="I1998" s="709"/>
      <c r="J1998" s="906"/>
      <c r="K1998" s="906"/>
      <c r="L1998" s="906"/>
      <c r="M1998" s="906"/>
      <c r="N1998" s="709"/>
      <c r="O1998" s="709"/>
      <c r="P1998" s="709"/>
      <c r="Q1998" s="709"/>
      <c r="R1998" s="709"/>
      <c r="S1998" s="709"/>
      <c r="T1998" s="709"/>
      <c r="U1998" s="709"/>
      <c r="V1998" s="709"/>
      <c r="W1998" s="709"/>
      <c r="X1998" s="709"/>
      <c r="Y1998" s="709"/>
      <c r="Z1998" s="709"/>
      <c r="AA1998" s="709"/>
      <c r="AB1998" s="709"/>
      <c r="AC1998" s="709"/>
    </row>
    <row r="1999" spans="4:29" customFormat="1">
      <c r="D1999" s="183"/>
      <c r="F1999" s="853"/>
      <c r="G1999" s="709"/>
      <c r="H1999" s="709"/>
      <c r="I1999" s="709"/>
      <c r="J1999" s="906"/>
      <c r="K1999" s="906"/>
      <c r="L1999" s="906"/>
      <c r="M1999" s="906"/>
      <c r="N1999" s="709"/>
      <c r="O1999" s="709"/>
      <c r="P1999" s="709"/>
      <c r="Q1999" s="709"/>
      <c r="R1999" s="709"/>
      <c r="S1999" s="709"/>
      <c r="T1999" s="709"/>
      <c r="U1999" s="709"/>
      <c r="V1999" s="709"/>
      <c r="W1999" s="709"/>
      <c r="X1999" s="709"/>
      <c r="Y1999" s="709"/>
      <c r="Z1999" s="709"/>
      <c r="AA1999" s="709"/>
      <c r="AB1999" s="709"/>
      <c r="AC1999" s="709"/>
    </row>
    <row r="2000" spans="4:29" customFormat="1">
      <c r="D2000" s="183"/>
      <c r="F2000" s="853"/>
      <c r="G2000" s="709"/>
      <c r="H2000" s="709"/>
      <c r="I2000" s="709"/>
      <c r="J2000" s="906"/>
      <c r="K2000" s="906"/>
      <c r="L2000" s="906"/>
      <c r="M2000" s="906"/>
      <c r="N2000" s="709"/>
      <c r="O2000" s="709"/>
      <c r="P2000" s="709"/>
      <c r="Q2000" s="709"/>
      <c r="R2000" s="709"/>
      <c r="S2000" s="709"/>
      <c r="T2000" s="709"/>
      <c r="U2000" s="709"/>
      <c r="V2000" s="709"/>
      <c r="W2000" s="709"/>
      <c r="X2000" s="709"/>
      <c r="Y2000" s="709"/>
      <c r="Z2000" s="709"/>
      <c r="AA2000" s="709"/>
      <c r="AB2000" s="709"/>
      <c r="AC2000" s="709"/>
    </row>
    <row r="2001" spans="4:29" customFormat="1">
      <c r="D2001" s="183"/>
      <c r="F2001" s="853"/>
      <c r="G2001" s="709"/>
      <c r="H2001" s="709"/>
      <c r="I2001" s="709"/>
      <c r="J2001" s="906"/>
      <c r="K2001" s="906"/>
      <c r="L2001" s="906"/>
      <c r="M2001" s="906"/>
      <c r="N2001" s="709"/>
      <c r="O2001" s="709"/>
      <c r="P2001" s="709"/>
      <c r="Q2001" s="709"/>
      <c r="R2001" s="709"/>
      <c r="S2001" s="709"/>
      <c r="T2001" s="709"/>
      <c r="U2001" s="709"/>
      <c r="V2001" s="709"/>
      <c r="W2001" s="709"/>
      <c r="X2001" s="709"/>
      <c r="Y2001" s="709"/>
      <c r="Z2001" s="709"/>
      <c r="AA2001" s="709"/>
      <c r="AB2001" s="709"/>
      <c r="AC2001" s="709"/>
    </row>
    <row r="2002" spans="4:29" customFormat="1">
      <c r="D2002" s="183"/>
      <c r="F2002" s="853"/>
      <c r="G2002" s="709"/>
      <c r="H2002" s="709"/>
      <c r="I2002" s="709"/>
      <c r="J2002" s="906"/>
      <c r="K2002" s="906"/>
      <c r="L2002" s="906"/>
      <c r="M2002" s="906"/>
      <c r="N2002" s="709"/>
      <c r="O2002" s="709"/>
      <c r="P2002" s="709"/>
      <c r="Q2002" s="709"/>
      <c r="R2002" s="709"/>
      <c r="S2002" s="709"/>
      <c r="T2002" s="709"/>
      <c r="U2002" s="709"/>
      <c r="V2002" s="709"/>
      <c r="W2002" s="709"/>
      <c r="X2002" s="709"/>
      <c r="Y2002" s="709"/>
      <c r="Z2002" s="709"/>
      <c r="AA2002" s="709"/>
      <c r="AB2002" s="709"/>
      <c r="AC2002" s="709"/>
    </row>
    <row r="2003" spans="4:29" customFormat="1">
      <c r="D2003" s="183"/>
      <c r="F2003" s="853"/>
      <c r="G2003" s="709"/>
      <c r="H2003" s="709"/>
      <c r="I2003" s="709"/>
      <c r="J2003" s="906"/>
      <c r="K2003" s="906"/>
      <c r="L2003" s="906"/>
      <c r="M2003" s="906"/>
      <c r="N2003" s="709"/>
      <c r="O2003" s="709"/>
      <c r="P2003" s="709"/>
      <c r="Q2003" s="709"/>
      <c r="R2003" s="709"/>
      <c r="S2003" s="709"/>
      <c r="T2003" s="709"/>
      <c r="U2003" s="709"/>
      <c r="V2003" s="709"/>
      <c r="W2003" s="709"/>
      <c r="X2003" s="709"/>
      <c r="Y2003" s="709"/>
      <c r="Z2003" s="709"/>
      <c r="AA2003" s="709"/>
      <c r="AB2003" s="709"/>
      <c r="AC2003" s="709"/>
    </row>
    <row r="2004" spans="4:29" customFormat="1">
      <c r="D2004" s="183"/>
      <c r="F2004" s="853"/>
      <c r="G2004" s="709"/>
      <c r="H2004" s="709"/>
      <c r="I2004" s="709"/>
      <c r="J2004" s="906"/>
      <c r="K2004" s="906"/>
      <c r="L2004" s="906"/>
      <c r="M2004" s="906"/>
      <c r="N2004" s="709"/>
      <c r="O2004" s="709"/>
      <c r="P2004" s="709"/>
      <c r="Q2004" s="709"/>
      <c r="R2004" s="709"/>
      <c r="S2004" s="709"/>
      <c r="T2004" s="709"/>
      <c r="U2004" s="709"/>
      <c r="V2004" s="709"/>
      <c r="W2004" s="709"/>
      <c r="X2004" s="709"/>
      <c r="Y2004" s="709"/>
      <c r="Z2004" s="709"/>
      <c r="AA2004" s="709"/>
      <c r="AB2004" s="709"/>
      <c r="AC2004" s="709"/>
    </row>
    <row r="2005" spans="4:29" customFormat="1">
      <c r="D2005" s="183"/>
      <c r="F2005" s="853"/>
      <c r="G2005" s="709"/>
      <c r="H2005" s="709"/>
      <c r="I2005" s="709"/>
      <c r="J2005" s="906"/>
      <c r="K2005" s="906"/>
      <c r="L2005" s="906"/>
      <c r="M2005" s="906"/>
      <c r="N2005" s="709"/>
      <c r="O2005" s="709"/>
      <c r="P2005" s="709"/>
      <c r="Q2005" s="709"/>
      <c r="R2005" s="709"/>
      <c r="S2005" s="709"/>
      <c r="T2005" s="709"/>
      <c r="U2005" s="709"/>
      <c r="V2005" s="709"/>
      <c r="W2005" s="709"/>
      <c r="X2005" s="709"/>
      <c r="Y2005" s="709"/>
      <c r="Z2005" s="709"/>
      <c r="AA2005" s="709"/>
      <c r="AB2005" s="709"/>
      <c r="AC2005" s="709"/>
    </row>
    <row r="2006" spans="4:29" customFormat="1">
      <c r="D2006" s="183"/>
      <c r="F2006" s="853"/>
      <c r="G2006" s="709"/>
      <c r="H2006" s="709"/>
      <c r="I2006" s="709"/>
      <c r="J2006" s="906"/>
      <c r="K2006" s="906"/>
      <c r="L2006" s="906"/>
      <c r="M2006" s="906"/>
      <c r="N2006" s="709"/>
      <c r="O2006" s="709"/>
      <c r="P2006" s="709"/>
      <c r="Q2006" s="709"/>
      <c r="R2006" s="709"/>
      <c r="S2006" s="709"/>
      <c r="T2006" s="709"/>
      <c r="U2006" s="709"/>
      <c r="V2006" s="709"/>
      <c r="W2006" s="709"/>
      <c r="X2006" s="709"/>
      <c r="Y2006" s="709"/>
      <c r="Z2006" s="709"/>
      <c r="AA2006" s="709"/>
      <c r="AB2006" s="709"/>
      <c r="AC2006" s="709"/>
    </row>
    <row r="2007" spans="4:29" customFormat="1">
      <c r="D2007" s="183"/>
      <c r="F2007" s="853"/>
      <c r="G2007" s="709"/>
      <c r="H2007" s="709"/>
      <c r="I2007" s="709"/>
      <c r="J2007" s="906"/>
      <c r="K2007" s="906"/>
      <c r="L2007" s="906"/>
      <c r="M2007" s="906"/>
      <c r="N2007" s="709"/>
      <c r="O2007" s="709"/>
      <c r="P2007" s="709"/>
      <c r="Q2007" s="709"/>
      <c r="R2007" s="709"/>
      <c r="S2007" s="709"/>
      <c r="T2007" s="709"/>
      <c r="U2007" s="709"/>
      <c r="V2007" s="709"/>
      <c r="W2007" s="709"/>
      <c r="X2007" s="709"/>
      <c r="Y2007" s="709"/>
      <c r="Z2007" s="709"/>
      <c r="AA2007" s="709"/>
      <c r="AB2007" s="709"/>
      <c r="AC2007" s="709"/>
    </row>
    <row r="2008" spans="4:29" customFormat="1">
      <c r="D2008" s="183"/>
      <c r="F2008" s="853"/>
      <c r="G2008" s="709"/>
      <c r="H2008" s="709"/>
      <c r="I2008" s="709"/>
      <c r="J2008" s="906"/>
      <c r="K2008" s="906"/>
      <c r="L2008" s="906"/>
      <c r="M2008" s="906"/>
      <c r="N2008" s="709"/>
      <c r="O2008" s="709"/>
      <c r="P2008" s="709"/>
      <c r="Q2008" s="709"/>
      <c r="R2008" s="709"/>
      <c r="S2008" s="709"/>
      <c r="T2008" s="709"/>
      <c r="U2008" s="709"/>
      <c r="V2008" s="709"/>
      <c r="W2008" s="709"/>
      <c r="X2008" s="709"/>
      <c r="Y2008" s="709"/>
      <c r="Z2008" s="709"/>
      <c r="AA2008" s="709"/>
      <c r="AB2008" s="709"/>
      <c r="AC2008" s="709"/>
    </row>
    <row r="2009" spans="4:29" customFormat="1">
      <c r="D2009" s="183"/>
      <c r="F2009" s="853"/>
      <c r="G2009" s="709"/>
      <c r="H2009" s="709"/>
      <c r="I2009" s="709"/>
      <c r="J2009" s="906"/>
      <c r="K2009" s="906"/>
      <c r="L2009" s="906"/>
      <c r="M2009" s="906"/>
      <c r="N2009" s="709"/>
      <c r="O2009" s="709"/>
      <c r="P2009" s="709"/>
      <c r="Q2009" s="709"/>
      <c r="R2009" s="709"/>
      <c r="S2009" s="709"/>
      <c r="T2009" s="709"/>
      <c r="U2009" s="709"/>
      <c r="V2009" s="709"/>
      <c r="W2009" s="709"/>
      <c r="X2009" s="709"/>
      <c r="Y2009" s="709"/>
      <c r="Z2009" s="709"/>
      <c r="AA2009" s="709"/>
      <c r="AB2009" s="709"/>
      <c r="AC2009" s="709"/>
    </row>
    <row r="2010" spans="4:29" customFormat="1">
      <c r="D2010" s="183"/>
      <c r="F2010" s="853"/>
      <c r="G2010" s="709"/>
      <c r="H2010" s="709"/>
      <c r="I2010" s="709"/>
      <c r="J2010" s="906"/>
      <c r="K2010" s="906"/>
      <c r="L2010" s="906"/>
      <c r="M2010" s="906"/>
      <c r="N2010" s="709"/>
      <c r="O2010" s="709"/>
      <c r="P2010" s="709"/>
      <c r="Q2010" s="709"/>
      <c r="R2010" s="709"/>
      <c r="S2010" s="709"/>
      <c r="T2010" s="709"/>
      <c r="U2010" s="709"/>
      <c r="V2010" s="709"/>
      <c r="W2010" s="709"/>
      <c r="X2010" s="709"/>
      <c r="Y2010" s="709"/>
      <c r="Z2010" s="709"/>
      <c r="AA2010" s="709"/>
      <c r="AB2010" s="709"/>
      <c r="AC2010" s="709"/>
    </row>
    <row r="2011" spans="4:29" customFormat="1">
      <c r="D2011" s="183"/>
      <c r="F2011" s="853"/>
      <c r="G2011" s="709"/>
      <c r="H2011" s="709"/>
      <c r="I2011" s="709"/>
      <c r="J2011" s="906"/>
      <c r="K2011" s="906"/>
      <c r="L2011" s="906"/>
      <c r="M2011" s="906"/>
      <c r="N2011" s="709"/>
      <c r="O2011" s="709"/>
      <c r="P2011" s="709"/>
      <c r="Q2011" s="709"/>
      <c r="R2011" s="709"/>
      <c r="S2011" s="709"/>
      <c r="T2011" s="709"/>
      <c r="U2011" s="709"/>
      <c r="V2011" s="709"/>
      <c r="W2011" s="709"/>
      <c r="X2011" s="709"/>
      <c r="Y2011" s="709"/>
      <c r="Z2011" s="709"/>
      <c r="AA2011" s="709"/>
      <c r="AB2011" s="709"/>
      <c r="AC2011" s="709"/>
    </row>
    <row r="2012" spans="4:29" customFormat="1">
      <c r="D2012" s="183"/>
      <c r="F2012" s="853"/>
      <c r="G2012" s="709"/>
      <c r="H2012" s="709"/>
      <c r="I2012" s="709"/>
      <c r="J2012" s="906"/>
      <c r="K2012" s="906"/>
      <c r="L2012" s="906"/>
      <c r="M2012" s="906"/>
      <c r="N2012" s="709"/>
      <c r="O2012" s="709"/>
      <c r="P2012" s="709"/>
      <c r="Q2012" s="709"/>
      <c r="R2012" s="709"/>
      <c r="S2012" s="709"/>
      <c r="T2012" s="709"/>
      <c r="U2012" s="709"/>
      <c r="V2012" s="709"/>
      <c r="W2012" s="709"/>
      <c r="X2012" s="709"/>
      <c r="Y2012" s="709"/>
      <c r="Z2012" s="709"/>
      <c r="AA2012" s="709"/>
      <c r="AB2012" s="709"/>
      <c r="AC2012" s="709"/>
    </row>
    <row r="2013" spans="4:29" customFormat="1">
      <c r="D2013" s="183"/>
      <c r="F2013" s="853"/>
      <c r="G2013" s="709"/>
      <c r="H2013" s="709"/>
      <c r="I2013" s="709"/>
      <c r="J2013" s="906"/>
      <c r="K2013" s="906"/>
      <c r="L2013" s="906"/>
      <c r="M2013" s="906"/>
      <c r="N2013" s="709"/>
      <c r="O2013" s="709"/>
      <c r="P2013" s="709"/>
      <c r="Q2013" s="709"/>
      <c r="R2013" s="709"/>
      <c r="S2013" s="709"/>
      <c r="T2013" s="709"/>
      <c r="U2013" s="709"/>
      <c r="V2013" s="709"/>
      <c r="W2013" s="709"/>
      <c r="X2013" s="709"/>
      <c r="Y2013" s="709"/>
      <c r="Z2013" s="709"/>
      <c r="AA2013" s="709"/>
      <c r="AB2013" s="709"/>
      <c r="AC2013" s="709"/>
    </row>
    <row r="2014" spans="4:29" customFormat="1">
      <c r="D2014" s="183"/>
      <c r="F2014" s="853"/>
      <c r="G2014" s="709"/>
      <c r="H2014" s="709"/>
      <c r="I2014" s="709"/>
      <c r="J2014" s="906"/>
      <c r="K2014" s="906"/>
      <c r="L2014" s="906"/>
      <c r="M2014" s="906"/>
      <c r="N2014" s="709"/>
      <c r="O2014" s="709"/>
      <c r="P2014" s="709"/>
      <c r="Q2014" s="709"/>
      <c r="R2014" s="709"/>
      <c r="S2014" s="709"/>
      <c r="T2014" s="709"/>
      <c r="U2014" s="709"/>
      <c r="V2014" s="709"/>
      <c r="W2014" s="709"/>
      <c r="X2014" s="709"/>
      <c r="Y2014" s="709"/>
      <c r="Z2014" s="709"/>
      <c r="AA2014" s="709"/>
      <c r="AB2014" s="709"/>
      <c r="AC2014" s="709"/>
    </row>
    <row r="2015" spans="4:29" customFormat="1">
      <c r="D2015" s="183"/>
      <c r="F2015" s="853"/>
      <c r="G2015" s="709"/>
      <c r="H2015" s="709"/>
      <c r="I2015" s="709"/>
      <c r="J2015" s="906"/>
      <c r="K2015" s="906"/>
      <c r="L2015" s="906"/>
      <c r="M2015" s="906"/>
      <c r="N2015" s="709"/>
      <c r="O2015" s="709"/>
      <c r="P2015" s="709"/>
      <c r="Q2015" s="709"/>
      <c r="R2015" s="709"/>
      <c r="S2015" s="709"/>
      <c r="T2015" s="709"/>
      <c r="U2015" s="709"/>
      <c r="V2015" s="709"/>
      <c r="W2015" s="709"/>
      <c r="X2015" s="709"/>
      <c r="Y2015" s="709"/>
      <c r="Z2015" s="709"/>
      <c r="AA2015" s="709"/>
      <c r="AB2015" s="709"/>
      <c r="AC2015" s="709"/>
    </row>
    <row r="2016" spans="4:29" customFormat="1">
      <c r="D2016" s="183"/>
      <c r="F2016" s="853"/>
      <c r="G2016" s="709"/>
      <c r="H2016" s="709"/>
      <c r="I2016" s="709"/>
      <c r="J2016" s="906"/>
      <c r="K2016" s="906"/>
      <c r="L2016" s="906"/>
      <c r="M2016" s="906"/>
      <c r="N2016" s="709"/>
      <c r="O2016" s="709"/>
      <c r="P2016" s="709"/>
      <c r="Q2016" s="709"/>
      <c r="R2016" s="709"/>
      <c r="S2016" s="709"/>
      <c r="T2016" s="709"/>
      <c r="U2016" s="709"/>
      <c r="V2016" s="709"/>
      <c r="W2016" s="709"/>
      <c r="X2016" s="709"/>
      <c r="Y2016" s="709"/>
      <c r="Z2016" s="709"/>
      <c r="AA2016" s="709"/>
      <c r="AB2016" s="709"/>
      <c r="AC2016" s="709"/>
    </row>
    <row r="2017" spans="4:29" customFormat="1">
      <c r="D2017" s="183"/>
      <c r="F2017" s="853"/>
      <c r="G2017" s="709"/>
      <c r="H2017" s="709"/>
      <c r="I2017" s="709"/>
      <c r="J2017" s="906"/>
      <c r="K2017" s="906"/>
      <c r="L2017" s="906"/>
      <c r="M2017" s="906"/>
      <c r="N2017" s="709"/>
      <c r="O2017" s="709"/>
      <c r="P2017" s="709"/>
      <c r="Q2017" s="709"/>
      <c r="R2017" s="709"/>
      <c r="S2017" s="709"/>
      <c r="T2017" s="709"/>
      <c r="U2017" s="709"/>
      <c r="V2017" s="709"/>
      <c r="W2017" s="709"/>
      <c r="X2017" s="709"/>
      <c r="Y2017" s="709"/>
      <c r="Z2017" s="709"/>
      <c r="AA2017" s="709"/>
      <c r="AB2017" s="709"/>
      <c r="AC2017" s="709"/>
    </row>
    <row r="2018" spans="4:29" customFormat="1">
      <c r="D2018" s="183"/>
      <c r="F2018" s="853"/>
      <c r="G2018" s="709"/>
      <c r="H2018" s="709"/>
      <c r="I2018" s="709"/>
      <c r="J2018" s="906"/>
      <c r="K2018" s="906"/>
      <c r="L2018" s="906"/>
      <c r="M2018" s="906"/>
      <c r="N2018" s="709"/>
      <c r="O2018" s="709"/>
      <c r="P2018" s="709"/>
      <c r="Q2018" s="709"/>
      <c r="R2018" s="709"/>
      <c r="S2018" s="709"/>
      <c r="T2018" s="709"/>
      <c r="U2018" s="709"/>
      <c r="V2018" s="709"/>
      <c r="W2018" s="709"/>
      <c r="X2018" s="709"/>
      <c r="Y2018" s="709"/>
      <c r="Z2018" s="709"/>
      <c r="AA2018" s="709"/>
      <c r="AB2018" s="709"/>
      <c r="AC2018" s="709"/>
    </row>
    <row r="2019" spans="4:29" customFormat="1">
      <c r="D2019" s="183"/>
      <c r="F2019" s="853"/>
      <c r="G2019" s="709"/>
      <c r="H2019" s="709"/>
      <c r="I2019" s="709"/>
      <c r="J2019" s="906"/>
      <c r="K2019" s="906"/>
      <c r="L2019" s="906"/>
      <c r="M2019" s="906"/>
      <c r="N2019" s="709"/>
      <c r="O2019" s="709"/>
      <c r="P2019" s="709"/>
      <c r="Q2019" s="709"/>
      <c r="R2019" s="709"/>
      <c r="S2019" s="709"/>
      <c r="T2019" s="709"/>
      <c r="U2019" s="709"/>
      <c r="V2019" s="709"/>
      <c r="W2019" s="709"/>
      <c r="X2019" s="709"/>
      <c r="Y2019" s="709"/>
      <c r="Z2019" s="709"/>
      <c r="AA2019" s="709"/>
      <c r="AB2019" s="709"/>
      <c r="AC2019" s="709"/>
    </row>
    <row r="2020" spans="4:29" customFormat="1">
      <c r="D2020" s="183"/>
      <c r="F2020" s="853"/>
      <c r="G2020" s="709"/>
      <c r="H2020" s="709"/>
      <c r="I2020" s="709"/>
      <c r="J2020" s="906"/>
      <c r="K2020" s="906"/>
      <c r="L2020" s="906"/>
      <c r="M2020" s="906"/>
      <c r="N2020" s="709"/>
      <c r="O2020" s="709"/>
      <c r="P2020" s="709"/>
      <c r="Q2020" s="709"/>
      <c r="R2020" s="709"/>
      <c r="S2020" s="709"/>
      <c r="T2020" s="709"/>
      <c r="U2020" s="709"/>
      <c r="V2020" s="709"/>
      <c r="W2020" s="709"/>
      <c r="X2020" s="709"/>
      <c r="Y2020" s="709"/>
      <c r="Z2020" s="709"/>
      <c r="AA2020" s="709"/>
      <c r="AB2020" s="709"/>
      <c r="AC2020" s="709"/>
    </row>
    <row r="2021" spans="4:29" customFormat="1">
      <c r="D2021" s="183"/>
      <c r="F2021" s="853"/>
      <c r="G2021" s="709"/>
      <c r="H2021" s="709"/>
      <c r="I2021" s="709"/>
      <c r="J2021" s="906"/>
      <c r="K2021" s="906"/>
      <c r="L2021" s="906"/>
      <c r="M2021" s="906"/>
      <c r="N2021" s="709"/>
      <c r="O2021" s="709"/>
      <c r="P2021" s="709"/>
      <c r="Q2021" s="709"/>
      <c r="R2021" s="709"/>
      <c r="S2021" s="709"/>
      <c r="T2021" s="709"/>
      <c r="U2021" s="709"/>
      <c r="V2021" s="709"/>
      <c r="W2021" s="709"/>
      <c r="X2021" s="709"/>
      <c r="Y2021" s="709"/>
      <c r="Z2021" s="709"/>
      <c r="AA2021" s="709"/>
      <c r="AB2021" s="709"/>
      <c r="AC2021" s="709"/>
    </row>
    <row r="2022" spans="4:29" customFormat="1">
      <c r="D2022" s="183"/>
      <c r="F2022" s="853"/>
      <c r="G2022" s="709"/>
      <c r="H2022" s="709"/>
      <c r="I2022" s="709"/>
      <c r="J2022" s="906"/>
      <c r="K2022" s="906"/>
      <c r="L2022" s="906"/>
      <c r="M2022" s="906"/>
      <c r="N2022" s="709"/>
      <c r="O2022" s="709"/>
      <c r="P2022" s="709"/>
      <c r="Q2022" s="709"/>
      <c r="R2022" s="709"/>
      <c r="S2022" s="709"/>
      <c r="T2022" s="709"/>
      <c r="U2022" s="709"/>
      <c r="V2022" s="709"/>
      <c r="W2022" s="709"/>
      <c r="X2022" s="709"/>
      <c r="Y2022" s="709"/>
      <c r="Z2022" s="709"/>
      <c r="AA2022" s="709"/>
      <c r="AB2022" s="709"/>
      <c r="AC2022" s="709"/>
    </row>
    <row r="2023" spans="4:29" customFormat="1">
      <c r="D2023" s="183"/>
      <c r="F2023" s="853"/>
      <c r="G2023" s="709"/>
      <c r="H2023" s="709"/>
      <c r="I2023" s="709"/>
      <c r="J2023" s="906"/>
      <c r="K2023" s="906"/>
      <c r="L2023" s="906"/>
      <c r="M2023" s="906"/>
      <c r="N2023" s="709"/>
      <c r="O2023" s="709"/>
      <c r="P2023" s="709"/>
      <c r="Q2023" s="709"/>
      <c r="R2023" s="709"/>
      <c r="S2023" s="709"/>
      <c r="T2023" s="709"/>
      <c r="U2023" s="709"/>
      <c r="V2023" s="709"/>
      <c r="W2023" s="709"/>
      <c r="X2023" s="709"/>
      <c r="Y2023" s="709"/>
      <c r="Z2023" s="709"/>
      <c r="AA2023" s="709"/>
      <c r="AB2023" s="709"/>
      <c r="AC2023" s="709"/>
    </row>
    <row r="2024" spans="4:29" customFormat="1">
      <c r="D2024" s="183"/>
      <c r="F2024" s="853"/>
      <c r="G2024" s="709"/>
      <c r="H2024" s="709"/>
      <c r="I2024" s="709"/>
      <c r="J2024" s="906"/>
      <c r="K2024" s="906"/>
      <c r="L2024" s="906"/>
      <c r="M2024" s="906"/>
      <c r="N2024" s="709"/>
      <c r="O2024" s="709"/>
      <c r="P2024" s="709"/>
      <c r="Q2024" s="709"/>
      <c r="R2024" s="709"/>
      <c r="S2024" s="709"/>
      <c r="T2024" s="709"/>
      <c r="U2024" s="709"/>
      <c r="V2024" s="709"/>
      <c r="W2024" s="709"/>
      <c r="X2024" s="709"/>
      <c r="Y2024" s="709"/>
      <c r="Z2024" s="709"/>
      <c r="AA2024" s="709"/>
      <c r="AB2024" s="709"/>
      <c r="AC2024" s="709"/>
    </row>
    <row r="2025" spans="4:29" customFormat="1">
      <c r="D2025" s="183"/>
      <c r="F2025" s="853"/>
      <c r="G2025" s="709"/>
      <c r="H2025" s="709"/>
      <c r="I2025" s="709"/>
      <c r="J2025" s="906"/>
      <c r="K2025" s="906"/>
      <c r="L2025" s="906"/>
      <c r="M2025" s="906"/>
      <c r="N2025" s="709"/>
      <c r="O2025" s="709"/>
      <c r="P2025" s="709"/>
      <c r="Q2025" s="709"/>
      <c r="R2025" s="709"/>
      <c r="S2025" s="709"/>
      <c r="T2025" s="709"/>
      <c r="U2025" s="709"/>
      <c r="V2025" s="709"/>
      <c r="W2025" s="709"/>
      <c r="X2025" s="709"/>
      <c r="Y2025" s="709"/>
      <c r="Z2025" s="709"/>
      <c r="AA2025" s="709"/>
      <c r="AB2025" s="709"/>
      <c r="AC2025" s="709"/>
    </row>
    <row r="2026" spans="4:29" customFormat="1">
      <c r="D2026" s="183"/>
      <c r="F2026" s="853"/>
      <c r="G2026" s="709"/>
      <c r="H2026" s="709"/>
      <c r="I2026" s="709"/>
      <c r="J2026" s="906"/>
      <c r="K2026" s="906"/>
      <c r="L2026" s="906"/>
      <c r="M2026" s="906"/>
      <c r="N2026" s="709"/>
      <c r="O2026" s="709"/>
      <c r="P2026" s="709"/>
      <c r="Q2026" s="709"/>
      <c r="R2026" s="709"/>
      <c r="S2026" s="709"/>
      <c r="T2026" s="709"/>
      <c r="U2026" s="709"/>
      <c r="V2026" s="709"/>
      <c r="W2026" s="709"/>
      <c r="X2026" s="709"/>
      <c r="Y2026" s="709"/>
      <c r="Z2026" s="709"/>
      <c r="AA2026" s="709"/>
      <c r="AB2026" s="709"/>
      <c r="AC2026" s="709"/>
    </row>
    <row r="2027" spans="4:29" customFormat="1">
      <c r="D2027" s="183"/>
      <c r="F2027" s="853"/>
      <c r="G2027" s="709"/>
      <c r="H2027" s="709"/>
      <c r="I2027" s="709"/>
      <c r="J2027" s="906"/>
      <c r="K2027" s="906"/>
      <c r="L2027" s="906"/>
      <c r="M2027" s="906"/>
      <c r="N2027" s="709"/>
      <c r="O2027" s="709"/>
      <c r="P2027" s="709"/>
      <c r="Q2027" s="709"/>
      <c r="R2027" s="709"/>
      <c r="S2027" s="709"/>
      <c r="T2027" s="709"/>
      <c r="U2027" s="709"/>
      <c r="V2027" s="709"/>
      <c r="W2027" s="709"/>
      <c r="X2027" s="709"/>
      <c r="Y2027" s="709"/>
      <c r="Z2027" s="709"/>
      <c r="AA2027" s="709"/>
      <c r="AB2027" s="709"/>
      <c r="AC2027" s="709"/>
    </row>
    <row r="2028" spans="4:29" customFormat="1">
      <c r="D2028" s="183"/>
      <c r="F2028" s="853"/>
      <c r="G2028" s="709"/>
      <c r="H2028" s="709"/>
      <c r="I2028" s="709"/>
      <c r="J2028" s="906"/>
      <c r="K2028" s="906"/>
      <c r="L2028" s="906"/>
      <c r="M2028" s="906"/>
      <c r="N2028" s="709"/>
      <c r="O2028" s="709"/>
      <c r="P2028" s="709"/>
      <c r="Q2028" s="709"/>
      <c r="R2028" s="709"/>
      <c r="S2028" s="709"/>
      <c r="T2028" s="709"/>
      <c r="U2028" s="709"/>
      <c r="V2028" s="709"/>
      <c r="W2028" s="709"/>
      <c r="X2028" s="709"/>
      <c r="Y2028" s="709"/>
      <c r="Z2028" s="709"/>
      <c r="AA2028" s="709"/>
      <c r="AB2028" s="709"/>
      <c r="AC2028" s="709"/>
    </row>
    <row r="2029" spans="4:29" customFormat="1">
      <c r="D2029" s="183"/>
      <c r="F2029" s="853"/>
      <c r="G2029" s="709"/>
      <c r="H2029" s="709"/>
      <c r="I2029" s="709"/>
      <c r="J2029" s="906"/>
      <c r="K2029" s="906"/>
      <c r="L2029" s="906"/>
      <c r="M2029" s="906"/>
      <c r="N2029" s="709"/>
      <c r="O2029" s="709"/>
      <c r="P2029" s="709"/>
      <c r="Q2029" s="709"/>
      <c r="R2029" s="709"/>
      <c r="S2029" s="709"/>
      <c r="T2029" s="709"/>
      <c r="U2029" s="709"/>
      <c r="V2029" s="709"/>
      <c r="W2029" s="709"/>
      <c r="X2029" s="709"/>
      <c r="Y2029" s="709"/>
      <c r="Z2029" s="709"/>
      <c r="AA2029" s="709"/>
      <c r="AB2029" s="709"/>
      <c r="AC2029" s="709"/>
    </row>
    <row r="2030" spans="4:29" customFormat="1">
      <c r="D2030" s="183"/>
      <c r="F2030" s="853"/>
      <c r="G2030" s="709"/>
      <c r="H2030" s="709"/>
      <c r="I2030" s="709"/>
      <c r="J2030" s="906"/>
      <c r="K2030" s="906"/>
      <c r="L2030" s="906"/>
      <c r="M2030" s="906"/>
      <c r="N2030" s="709"/>
      <c r="O2030" s="709"/>
      <c r="P2030" s="709"/>
      <c r="Q2030" s="709"/>
      <c r="R2030" s="709"/>
      <c r="S2030" s="709"/>
      <c r="T2030" s="709"/>
      <c r="U2030" s="709"/>
      <c r="V2030" s="709"/>
      <c r="W2030" s="709"/>
      <c r="X2030" s="709"/>
      <c r="Y2030" s="709"/>
      <c r="Z2030" s="709"/>
      <c r="AA2030" s="709"/>
      <c r="AB2030" s="709"/>
      <c r="AC2030" s="709"/>
    </row>
    <row r="2031" spans="4:29" customFormat="1">
      <c r="D2031" s="183"/>
      <c r="F2031" s="853"/>
      <c r="G2031" s="709"/>
      <c r="H2031" s="709"/>
      <c r="I2031" s="709"/>
      <c r="J2031" s="906"/>
      <c r="K2031" s="906"/>
      <c r="L2031" s="906"/>
      <c r="M2031" s="906"/>
      <c r="N2031" s="709"/>
      <c r="O2031" s="709"/>
      <c r="P2031" s="709"/>
      <c r="Q2031" s="709"/>
      <c r="R2031" s="709"/>
      <c r="S2031" s="709"/>
      <c r="T2031" s="709"/>
      <c r="U2031" s="709"/>
      <c r="V2031" s="709"/>
      <c r="W2031" s="709"/>
      <c r="X2031" s="709"/>
      <c r="Y2031" s="709"/>
      <c r="Z2031" s="709"/>
      <c r="AA2031" s="709"/>
      <c r="AB2031" s="709"/>
      <c r="AC2031" s="709"/>
    </row>
    <row r="2032" spans="4:29" customFormat="1">
      <c r="D2032" s="183"/>
      <c r="F2032" s="853"/>
      <c r="G2032" s="709"/>
      <c r="H2032" s="709"/>
      <c r="I2032" s="709"/>
      <c r="J2032" s="906"/>
      <c r="K2032" s="906"/>
      <c r="L2032" s="906"/>
      <c r="M2032" s="906"/>
      <c r="N2032" s="709"/>
      <c r="O2032" s="709"/>
      <c r="P2032" s="709"/>
      <c r="Q2032" s="709"/>
      <c r="R2032" s="709"/>
      <c r="S2032" s="709"/>
      <c r="T2032" s="709"/>
      <c r="U2032" s="709"/>
      <c r="V2032" s="709"/>
      <c r="W2032" s="709"/>
      <c r="X2032" s="709"/>
      <c r="Y2032" s="709"/>
      <c r="Z2032" s="709"/>
      <c r="AA2032" s="709"/>
      <c r="AB2032" s="709"/>
      <c r="AC2032" s="709"/>
    </row>
    <row r="2033" spans="2:29" customFormat="1">
      <c r="D2033" s="183"/>
      <c r="F2033" s="853"/>
      <c r="G2033" s="709"/>
      <c r="H2033" s="709"/>
      <c r="I2033" s="709"/>
      <c r="J2033" s="906"/>
      <c r="K2033" s="906"/>
      <c r="L2033" s="906"/>
      <c r="M2033" s="906"/>
      <c r="N2033" s="709"/>
      <c r="O2033" s="709"/>
      <c r="P2033" s="709"/>
      <c r="Q2033" s="709"/>
      <c r="R2033" s="709"/>
      <c r="S2033" s="709"/>
      <c r="T2033" s="709"/>
      <c r="U2033" s="709"/>
      <c r="V2033" s="709"/>
      <c r="W2033" s="709"/>
      <c r="X2033" s="709"/>
      <c r="Y2033" s="709"/>
      <c r="Z2033" s="709"/>
      <c r="AA2033" s="709"/>
      <c r="AB2033" s="709"/>
      <c r="AC2033" s="709"/>
    </row>
    <row r="2034" spans="2:29" ht="15">
      <c r="B2034" s="191"/>
      <c r="G2034" s="287"/>
      <c r="J2034" s="287"/>
      <c r="K2034" s="287"/>
      <c r="L2034" s="287"/>
      <c r="M2034" s="287"/>
      <c r="P2034" s="219"/>
      <c r="Q2034" s="183"/>
      <c r="V2034" s="183"/>
      <c r="W2034" s="183"/>
      <c r="X2034" s="183"/>
      <c r="Y2034" s="183"/>
      <c r="Z2034" s="183"/>
      <c r="AA2034" s="183"/>
      <c r="AB2034" s="183"/>
      <c r="AC2034" s="183"/>
    </row>
    <row r="2035" spans="2:29" ht="15">
      <c r="B2035" s="191"/>
      <c r="G2035" s="287"/>
      <c r="J2035" s="287"/>
      <c r="K2035" s="287"/>
      <c r="L2035" s="287"/>
      <c r="M2035" s="287"/>
      <c r="P2035" s="219"/>
      <c r="Q2035" s="183"/>
      <c r="V2035" s="183"/>
      <c r="W2035" s="183"/>
      <c r="X2035" s="183"/>
      <c r="Y2035" s="183"/>
      <c r="Z2035" s="183"/>
      <c r="AA2035" s="183"/>
      <c r="AB2035" s="183"/>
      <c r="AC2035" s="183"/>
    </row>
    <row r="2036" spans="2:29" ht="15">
      <c r="B2036" s="191"/>
      <c r="G2036" s="287"/>
      <c r="J2036" s="287"/>
      <c r="K2036" s="287"/>
      <c r="L2036" s="287"/>
      <c r="M2036" s="287"/>
      <c r="P2036" s="219"/>
      <c r="Q2036" s="183"/>
      <c r="V2036" s="183"/>
      <c r="W2036" s="183"/>
      <c r="X2036" s="183"/>
      <c r="Y2036" s="183"/>
      <c r="Z2036" s="183"/>
      <c r="AA2036" s="183"/>
      <c r="AB2036" s="183"/>
      <c r="AC2036" s="183"/>
    </row>
    <row r="2037" spans="2:29" ht="15">
      <c r="B2037" s="191"/>
      <c r="G2037" s="287"/>
      <c r="J2037" s="287"/>
      <c r="K2037" s="287"/>
      <c r="L2037" s="287"/>
      <c r="M2037" s="287"/>
      <c r="P2037" s="219"/>
      <c r="Q2037" s="183"/>
      <c r="V2037" s="183"/>
      <c r="W2037" s="183"/>
      <c r="X2037" s="183"/>
      <c r="Y2037" s="183"/>
      <c r="Z2037" s="183"/>
      <c r="AA2037" s="183"/>
      <c r="AB2037" s="183"/>
      <c r="AC2037" s="183"/>
    </row>
    <row r="2038" spans="2:29" ht="15">
      <c r="B2038" s="191"/>
      <c r="G2038" s="287"/>
      <c r="J2038" s="287"/>
      <c r="K2038" s="287"/>
      <c r="L2038" s="287"/>
      <c r="M2038" s="287"/>
      <c r="P2038" s="219"/>
      <c r="Q2038" s="183"/>
      <c r="V2038" s="183"/>
      <c r="W2038" s="183"/>
      <c r="X2038" s="183"/>
      <c r="Y2038" s="183"/>
      <c r="Z2038" s="183"/>
      <c r="AA2038" s="183"/>
      <c r="AB2038" s="183"/>
      <c r="AC2038" s="183"/>
    </row>
    <row r="2039" spans="2:29" ht="15">
      <c r="B2039" s="191"/>
      <c r="G2039" s="287"/>
      <c r="J2039" s="287"/>
      <c r="K2039" s="287"/>
      <c r="L2039" s="287"/>
      <c r="M2039" s="287"/>
      <c r="P2039" s="219"/>
      <c r="Q2039" s="183"/>
      <c r="V2039" s="183"/>
      <c r="W2039" s="183"/>
      <c r="X2039" s="183"/>
      <c r="Y2039" s="183"/>
      <c r="Z2039" s="183"/>
      <c r="AA2039" s="183"/>
      <c r="AB2039" s="183"/>
      <c r="AC2039" s="183"/>
    </row>
    <row r="2040" spans="2:29" ht="15">
      <c r="B2040" s="191"/>
      <c r="G2040" s="287"/>
      <c r="J2040" s="287"/>
      <c r="K2040" s="287"/>
      <c r="L2040" s="287"/>
      <c r="M2040" s="287"/>
      <c r="P2040" s="219"/>
      <c r="Q2040" s="183"/>
      <c r="V2040" s="183"/>
      <c r="W2040" s="183"/>
      <c r="X2040" s="183"/>
      <c r="Y2040" s="183"/>
      <c r="Z2040" s="183"/>
      <c r="AA2040" s="183"/>
      <c r="AB2040" s="183"/>
      <c r="AC2040" s="183"/>
    </row>
    <row r="2041" spans="2:29" ht="15">
      <c r="B2041" s="191"/>
      <c r="G2041" s="287"/>
      <c r="J2041" s="287"/>
      <c r="K2041" s="287"/>
      <c r="L2041" s="287"/>
      <c r="M2041" s="287"/>
      <c r="P2041" s="219"/>
      <c r="Q2041" s="183"/>
      <c r="V2041" s="183"/>
      <c r="W2041" s="183"/>
      <c r="X2041" s="183"/>
      <c r="Y2041" s="183"/>
      <c r="Z2041" s="183"/>
      <c r="AA2041" s="183"/>
      <c r="AB2041" s="183"/>
      <c r="AC2041" s="183"/>
    </row>
    <row r="2042" spans="2:29" ht="15">
      <c r="B2042" s="191"/>
      <c r="G2042" s="287"/>
      <c r="J2042" s="287"/>
      <c r="K2042" s="287"/>
      <c r="L2042" s="287"/>
      <c r="M2042" s="287"/>
      <c r="P2042" s="219"/>
      <c r="Q2042" s="183"/>
      <c r="V2042" s="183"/>
      <c r="W2042" s="183"/>
      <c r="X2042" s="183"/>
      <c r="Y2042" s="183"/>
      <c r="Z2042" s="183"/>
      <c r="AA2042" s="183"/>
      <c r="AB2042" s="183"/>
      <c r="AC2042" s="183"/>
    </row>
    <row r="2043" spans="2:29" ht="15">
      <c r="B2043" s="191"/>
      <c r="G2043" s="287"/>
      <c r="J2043" s="287"/>
      <c r="K2043" s="287"/>
      <c r="L2043" s="287"/>
      <c r="M2043" s="287"/>
      <c r="P2043" s="219"/>
      <c r="Q2043" s="183"/>
      <c r="V2043" s="183"/>
      <c r="W2043" s="183"/>
      <c r="X2043" s="183"/>
      <c r="Y2043" s="183"/>
      <c r="Z2043" s="183"/>
      <c r="AA2043" s="183"/>
      <c r="AB2043" s="183"/>
      <c r="AC2043" s="183"/>
    </row>
    <row r="2044" spans="2:29" ht="15">
      <c r="B2044" s="191"/>
      <c r="G2044" s="287"/>
      <c r="J2044" s="287"/>
      <c r="K2044" s="287"/>
      <c r="L2044" s="287"/>
      <c r="M2044" s="287"/>
      <c r="P2044" s="219"/>
      <c r="Q2044" s="183"/>
      <c r="V2044" s="183"/>
      <c r="W2044" s="183"/>
      <c r="X2044" s="183"/>
      <c r="Y2044" s="183"/>
      <c r="Z2044" s="183"/>
      <c r="AA2044" s="183"/>
      <c r="AB2044" s="183"/>
      <c r="AC2044" s="183"/>
    </row>
    <row r="2045" spans="2:29" ht="15">
      <c r="B2045" s="191"/>
      <c r="G2045" s="287"/>
      <c r="J2045" s="287"/>
      <c r="K2045" s="287"/>
      <c r="L2045" s="287"/>
      <c r="M2045" s="287"/>
      <c r="Q2045" s="183"/>
      <c r="V2045" s="183"/>
      <c r="W2045" s="183"/>
      <c r="X2045" s="183"/>
      <c r="Y2045" s="183"/>
      <c r="Z2045" s="183"/>
      <c r="AA2045" s="183"/>
      <c r="AB2045" s="183"/>
      <c r="AC2045" s="183"/>
    </row>
    <row r="2046" spans="2:29" ht="15">
      <c r="B2046" s="191"/>
      <c r="G2046" s="287"/>
      <c r="J2046" s="287"/>
      <c r="K2046" s="287"/>
      <c r="L2046" s="287"/>
      <c r="M2046" s="287"/>
      <c r="Q2046" s="183"/>
      <c r="V2046" s="183"/>
      <c r="W2046" s="183"/>
      <c r="X2046" s="183"/>
      <c r="Y2046" s="183"/>
      <c r="Z2046" s="183"/>
      <c r="AA2046" s="183"/>
      <c r="AB2046" s="183"/>
      <c r="AC2046" s="183"/>
    </row>
    <row r="2047" spans="2:29" ht="15">
      <c r="B2047" s="191"/>
      <c r="G2047" s="287"/>
      <c r="J2047" s="287"/>
      <c r="K2047" s="287"/>
      <c r="L2047" s="287"/>
      <c r="M2047" s="287"/>
      <c r="Q2047" s="183"/>
      <c r="V2047" s="183"/>
      <c r="W2047" s="183"/>
      <c r="X2047" s="183"/>
      <c r="Y2047" s="183"/>
      <c r="Z2047" s="183"/>
      <c r="AA2047" s="183"/>
      <c r="AB2047" s="183"/>
      <c r="AC2047" s="183"/>
    </row>
    <row r="2048" spans="2:29" ht="15">
      <c r="B2048" s="191"/>
      <c r="G2048" s="287"/>
      <c r="J2048" s="287"/>
      <c r="K2048" s="287"/>
      <c r="L2048" s="287"/>
      <c r="M2048" s="287"/>
      <c r="Q2048" s="183"/>
      <c r="V2048" s="183"/>
      <c r="W2048" s="183"/>
      <c r="X2048" s="183"/>
      <c r="Y2048" s="183"/>
      <c r="Z2048" s="183"/>
      <c r="AA2048" s="183"/>
      <c r="AB2048" s="183"/>
      <c r="AC2048" s="183"/>
    </row>
    <row r="2049" spans="2:29" ht="15">
      <c r="B2049" s="191"/>
      <c r="G2049" s="287"/>
      <c r="J2049" s="287"/>
      <c r="K2049" s="287"/>
      <c r="L2049" s="287"/>
      <c r="M2049" s="287"/>
      <c r="Q2049" s="183"/>
      <c r="V2049" s="183"/>
      <c r="W2049" s="183"/>
      <c r="X2049" s="183"/>
      <c r="Y2049" s="183"/>
      <c r="Z2049" s="183"/>
      <c r="AA2049" s="183"/>
      <c r="AB2049" s="183"/>
      <c r="AC2049" s="183"/>
    </row>
    <row r="2050" spans="2:29" ht="15">
      <c r="B2050" s="191"/>
      <c r="G2050" s="287"/>
      <c r="J2050" s="287"/>
      <c r="K2050" s="287"/>
      <c r="L2050" s="287"/>
      <c r="M2050" s="287"/>
      <c r="Q2050" s="183"/>
      <c r="V2050" s="183"/>
      <c r="W2050" s="183"/>
      <c r="X2050" s="183"/>
      <c r="Y2050" s="183"/>
      <c r="Z2050" s="183"/>
      <c r="AA2050" s="183"/>
      <c r="AB2050" s="183"/>
      <c r="AC2050" s="183"/>
    </row>
    <row r="2051" spans="2:29" ht="15">
      <c r="B2051" s="191"/>
      <c r="G2051" s="287"/>
      <c r="J2051" s="287"/>
      <c r="K2051" s="287"/>
      <c r="L2051" s="287"/>
      <c r="M2051" s="287"/>
      <c r="Q2051" s="183"/>
      <c r="V2051" s="183"/>
      <c r="W2051" s="183"/>
      <c r="X2051" s="183"/>
      <c r="Y2051" s="183"/>
      <c r="Z2051" s="183"/>
      <c r="AA2051" s="183"/>
      <c r="AB2051" s="183"/>
      <c r="AC2051" s="183"/>
    </row>
    <row r="2052" spans="2:29" ht="15">
      <c r="B2052" s="191"/>
      <c r="G2052" s="287"/>
      <c r="J2052" s="287"/>
      <c r="K2052" s="287"/>
      <c r="L2052" s="287"/>
      <c r="M2052" s="287"/>
      <c r="Q2052" s="183"/>
      <c r="V2052" s="183"/>
      <c r="W2052" s="183"/>
      <c r="X2052" s="183"/>
      <c r="Y2052" s="183"/>
      <c r="Z2052" s="183"/>
      <c r="AA2052" s="183"/>
      <c r="AB2052" s="183"/>
      <c r="AC2052" s="183"/>
    </row>
    <row r="2053" spans="2:29" ht="15">
      <c r="B2053" s="191"/>
      <c r="G2053" s="287"/>
      <c r="J2053" s="287"/>
      <c r="K2053" s="287"/>
      <c r="L2053" s="287"/>
      <c r="M2053" s="287"/>
      <c r="Q2053" s="183"/>
      <c r="V2053" s="183"/>
      <c r="W2053" s="183"/>
      <c r="X2053" s="183"/>
      <c r="Y2053" s="183"/>
      <c r="Z2053" s="183"/>
      <c r="AA2053" s="183"/>
      <c r="AB2053" s="183"/>
      <c r="AC2053" s="183"/>
    </row>
    <row r="2054" spans="2:29" ht="15">
      <c r="B2054" s="191"/>
      <c r="G2054" s="287"/>
      <c r="J2054" s="287"/>
      <c r="K2054" s="287"/>
      <c r="L2054" s="287"/>
      <c r="M2054" s="287"/>
      <c r="Q2054" s="183"/>
      <c r="V2054" s="183"/>
      <c r="W2054" s="183"/>
      <c r="X2054" s="183"/>
      <c r="Y2054" s="183"/>
      <c r="Z2054" s="183"/>
      <c r="AA2054" s="183"/>
      <c r="AB2054" s="183"/>
      <c r="AC2054" s="183"/>
    </row>
    <row r="2055" spans="2:29" ht="15">
      <c r="B2055" s="191"/>
      <c r="G2055" s="287"/>
      <c r="J2055" s="287"/>
      <c r="K2055" s="287"/>
      <c r="L2055" s="287"/>
      <c r="M2055" s="287"/>
      <c r="Q2055" s="183"/>
      <c r="V2055" s="183"/>
      <c r="W2055" s="183"/>
      <c r="X2055" s="183"/>
      <c r="Y2055" s="183"/>
      <c r="Z2055" s="183"/>
      <c r="AA2055" s="183"/>
      <c r="AB2055" s="183"/>
      <c r="AC2055" s="183"/>
    </row>
    <row r="2056" spans="2:29" ht="15">
      <c r="B2056" s="191"/>
      <c r="G2056" s="287"/>
      <c r="J2056" s="287"/>
      <c r="K2056" s="287"/>
      <c r="L2056" s="287"/>
      <c r="M2056" s="287"/>
      <c r="Q2056" s="183"/>
      <c r="V2056" s="183"/>
      <c r="W2056" s="183"/>
      <c r="X2056" s="183"/>
      <c r="Y2056" s="183"/>
      <c r="Z2056" s="183"/>
      <c r="AA2056" s="183"/>
      <c r="AB2056" s="183"/>
      <c r="AC2056" s="183"/>
    </row>
    <row r="2057" spans="2:29" ht="15">
      <c r="B2057" s="191"/>
      <c r="G2057" s="287"/>
      <c r="J2057" s="287"/>
      <c r="K2057" s="287"/>
      <c r="L2057" s="287"/>
      <c r="M2057" s="287"/>
      <c r="Q2057" s="183"/>
      <c r="V2057" s="183"/>
      <c r="W2057" s="183"/>
      <c r="X2057" s="183"/>
      <c r="Y2057" s="183"/>
      <c r="Z2057" s="183"/>
      <c r="AA2057" s="183"/>
      <c r="AB2057" s="183"/>
      <c r="AC2057" s="183"/>
    </row>
    <row r="2058" spans="2:29" ht="15">
      <c r="B2058" s="191"/>
      <c r="G2058" s="287"/>
      <c r="J2058" s="287"/>
      <c r="K2058" s="287"/>
      <c r="L2058" s="287"/>
      <c r="M2058" s="287"/>
      <c r="Q2058" s="183"/>
      <c r="V2058" s="183"/>
      <c r="W2058" s="183"/>
      <c r="X2058" s="183"/>
      <c r="Y2058" s="183"/>
      <c r="Z2058" s="183"/>
      <c r="AA2058" s="183"/>
      <c r="AB2058" s="183"/>
      <c r="AC2058" s="183"/>
    </row>
    <row r="2059" spans="2:29" ht="15">
      <c r="B2059" s="191"/>
      <c r="G2059" s="287"/>
      <c r="J2059" s="287"/>
      <c r="K2059" s="287"/>
      <c r="L2059" s="287"/>
      <c r="M2059" s="287"/>
      <c r="N2059" s="183"/>
      <c r="O2059" s="183"/>
      <c r="P2059" s="183"/>
      <c r="Q2059" s="183"/>
      <c r="R2059" s="183"/>
      <c r="S2059" s="183"/>
      <c r="T2059" s="183"/>
      <c r="U2059" s="183"/>
      <c r="V2059" s="183"/>
      <c r="W2059" s="183"/>
      <c r="X2059" s="183"/>
      <c r="Y2059" s="183"/>
      <c r="Z2059" s="183"/>
      <c r="AA2059" s="183"/>
      <c r="AB2059" s="183"/>
      <c r="AC2059" s="183"/>
    </row>
    <row r="2060" spans="2:29" ht="15">
      <c r="B2060" s="191"/>
      <c r="G2060" s="287"/>
      <c r="J2060" s="287"/>
      <c r="K2060" s="287"/>
      <c r="L2060" s="287"/>
      <c r="M2060" s="287"/>
      <c r="N2060" s="183"/>
      <c r="O2060" s="183"/>
      <c r="P2060" s="183"/>
      <c r="Q2060" s="183"/>
      <c r="R2060" s="183"/>
      <c r="S2060" s="183"/>
      <c r="T2060" s="183"/>
      <c r="U2060" s="183"/>
      <c r="V2060" s="183"/>
      <c r="W2060" s="183"/>
      <c r="X2060" s="183"/>
      <c r="Y2060" s="183"/>
      <c r="Z2060" s="183"/>
      <c r="AA2060" s="183"/>
      <c r="AB2060" s="183"/>
      <c r="AC2060" s="183"/>
    </row>
    <row r="2061" spans="2:29" ht="15">
      <c r="B2061" s="191"/>
      <c r="G2061" s="287"/>
      <c r="J2061" s="287"/>
      <c r="K2061" s="287"/>
      <c r="L2061" s="287"/>
      <c r="M2061" s="287"/>
      <c r="N2061" s="183"/>
      <c r="O2061" s="183"/>
      <c r="P2061" s="183"/>
      <c r="Q2061" s="183"/>
      <c r="R2061" s="183"/>
      <c r="S2061" s="183"/>
      <c r="T2061" s="183"/>
      <c r="U2061" s="183"/>
      <c r="V2061" s="183"/>
      <c r="W2061" s="183"/>
      <c r="X2061" s="183"/>
      <c r="Y2061" s="183"/>
      <c r="Z2061" s="183"/>
      <c r="AA2061" s="183"/>
      <c r="AB2061" s="183"/>
      <c r="AC2061" s="183"/>
    </row>
    <row r="2062" spans="2:29" ht="15">
      <c r="B2062" s="191"/>
      <c r="G2062" s="287"/>
      <c r="J2062" s="287"/>
      <c r="K2062" s="287"/>
      <c r="L2062" s="287"/>
      <c r="M2062" s="287"/>
      <c r="N2062" s="183"/>
      <c r="O2062" s="183"/>
      <c r="P2062" s="183"/>
      <c r="Q2062" s="183"/>
      <c r="R2062" s="183"/>
      <c r="S2062" s="183"/>
      <c r="T2062" s="183"/>
      <c r="U2062" s="183"/>
      <c r="V2062" s="183"/>
      <c r="W2062" s="183"/>
      <c r="X2062" s="183"/>
      <c r="Y2062" s="183"/>
      <c r="Z2062" s="183"/>
      <c r="AA2062" s="183"/>
      <c r="AB2062" s="183"/>
      <c r="AC2062" s="183"/>
    </row>
    <row r="2063" spans="2:29" ht="15">
      <c r="B2063" s="191"/>
      <c r="G2063" s="287"/>
      <c r="J2063" s="287"/>
      <c r="K2063" s="287"/>
      <c r="L2063" s="287"/>
      <c r="M2063" s="287"/>
      <c r="N2063" s="183"/>
      <c r="O2063" s="183"/>
      <c r="P2063" s="183"/>
      <c r="Q2063" s="183"/>
      <c r="R2063" s="183"/>
      <c r="S2063" s="183"/>
      <c r="T2063" s="183"/>
      <c r="U2063" s="183"/>
      <c r="V2063" s="183"/>
      <c r="W2063" s="183"/>
      <c r="X2063" s="183"/>
      <c r="Y2063" s="183"/>
      <c r="Z2063" s="183"/>
      <c r="AA2063" s="183"/>
      <c r="AB2063" s="183"/>
      <c r="AC2063" s="183"/>
    </row>
    <row r="2064" spans="2:29" ht="15">
      <c r="B2064" s="191"/>
      <c r="G2064" s="287"/>
      <c r="J2064" s="287"/>
      <c r="K2064" s="287"/>
      <c r="L2064" s="287"/>
      <c r="M2064" s="287"/>
      <c r="N2064" s="183"/>
      <c r="O2064" s="183"/>
      <c r="P2064" s="183"/>
      <c r="Q2064" s="183"/>
      <c r="R2064" s="183"/>
      <c r="S2064" s="183"/>
      <c r="T2064" s="183"/>
      <c r="U2064" s="183"/>
      <c r="V2064" s="183"/>
      <c r="W2064" s="183"/>
      <c r="X2064" s="183"/>
      <c r="Y2064" s="183"/>
      <c r="Z2064" s="183"/>
      <c r="AA2064" s="183"/>
      <c r="AB2064" s="183"/>
      <c r="AC2064" s="183"/>
    </row>
    <row r="2065" spans="2:29" ht="15">
      <c r="B2065" s="191"/>
      <c r="G2065" s="287"/>
      <c r="J2065" s="287"/>
      <c r="K2065" s="287"/>
      <c r="L2065" s="287"/>
      <c r="M2065" s="287"/>
      <c r="N2065" s="183"/>
      <c r="O2065" s="183"/>
      <c r="P2065" s="183"/>
      <c r="Q2065" s="183"/>
      <c r="R2065" s="183"/>
      <c r="S2065" s="183"/>
      <c r="T2065" s="183"/>
      <c r="U2065" s="183"/>
      <c r="V2065" s="183"/>
      <c r="W2065" s="183"/>
      <c r="X2065" s="183"/>
      <c r="Y2065" s="183"/>
      <c r="Z2065" s="183"/>
      <c r="AA2065" s="183"/>
      <c r="AB2065" s="183"/>
      <c r="AC2065" s="183"/>
    </row>
    <row r="2066" spans="2:29" ht="15">
      <c r="B2066" s="191"/>
      <c r="G2066" s="287"/>
      <c r="J2066" s="287"/>
      <c r="K2066" s="287"/>
      <c r="L2066" s="287"/>
      <c r="M2066" s="287"/>
      <c r="N2066" s="183"/>
      <c r="O2066" s="183"/>
      <c r="P2066" s="183"/>
      <c r="Q2066" s="183"/>
      <c r="R2066" s="183"/>
      <c r="S2066" s="183"/>
      <c r="T2066" s="183"/>
      <c r="U2066" s="183"/>
      <c r="V2066" s="183"/>
      <c r="W2066" s="183"/>
      <c r="X2066" s="183"/>
      <c r="Y2066" s="183"/>
      <c r="Z2066" s="183"/>
      <c r="AA2066" s="183"/>
      <c r="AB2066" s="183"/>
      <c r="AC2066" s="183"/>
    </row>
    <row r="2067" spans="2:29" ht="15">
      <c r="B2067" s="191"/>
      <c r="G2067" s="287"/>
      <c r="J2067" s="287"/>
      <c r="K2067" s="287"/>
      <c r="L2067" s="287"/>
      <c r="M2067" s="287"/>
      <c r="N2067" s="183"/>
      <c r="O2067" s="183"/>
      <c r="P2067" s="183"/>
      <c r="Q2067" s="183"/>
      <c r="R2067" s="183"/>
      <c r="S2067" s="183"/>
      <c r="T2067" s="183"/>
      <c r="U2067" s="183"/>
      <c r="V2067" s="183"/>
      <c r="W2067" s="183"/>
      <c r="X2067" s="183"/>
      <c r="Y2067" s="183"/>
      <c r="Z2067" s="183"/>
      <c r="AA2067" s="183"/>
      <c r="AB2067" s="183"/>
      <c r="AC2067" s="183"/>
    </row>
    <row r="2068" spans="2:29" ht="15">
      <c r="B2068" s="191"/>
      <c r="G2068" s="287"/>
      <c r="J2068" s="287"/>
      <c r="K2068" s="287"/>
      <c r="L2068" s="287"/>
      <c r="M2068" s="287"/>
      <c r="N2068" s="183"/>
      <c r="O2068" s="183"/>
      <c r="P2068" s="183"/>
      <c r="Q2068" s="183"/>
      <c r="R2068" s="183"/>
      <c r="S2068" s="183"/>
      <c r="T2068" s="183"/>
      <c r="U2068" s="183"/>
      <c r="V2068" s="183"/>
      <c r="W2068" s="183"/>
      <c r="X2068" s="183"/>
      <c r="Y2068" s="183"/>
      <c r="Z2068" s="183"/>
      <c r="AA2068" s="183"/>
      <c r="AB2068" s="183"/>
      <c r="AC2068" s="183"/>
    </row>
    <row r="2069" spans="2:29" ht="15">
      <c r="B2069" s="191"/>
      <c r="G2069" s="287"/>
      <c r="J2069" s="287"/>
      <c r="K2069" s="287"/>
      <c r="L2069" s="287"/>
      <c r="M2069" s="287"/>
      <c r="N2069" s="183"/>
      <c r="O2069" s="183"/>
      <c r="P2069" s="183"/>
      <c r="Q2069" s="183"/>
      <c r="R2069" s="183"/>
      <c r="S2069" s="183"/>
      <c r="T2069" s="183"/>
      <c r="U2069" s="183"/>
      <c r="V2069" s="183"/>
      <c r="W2069" s="183"/>
      <c r="X2069" s="183"/>
      <c r="Y2069" s="183"/>
      <c r="Z2069" s="183"/>
      <c r="AA2069" s="183"/>
      <c r="AB2069" s="183"/>
      <c r="AC2069" s="183"/>
    </row>
    <row r="2070" spans="2:29" ht="15">
      <c r="B2070" s="191"/>
      <c r="G2070" s="287"/>
      <c r="J2070" s="287"/>
      <c r="K2070" s="287"/>
      <c r="L2070" s="287"/>
      <c r="M2070" s="287"/>
      <c r="N2070" s="183"/>
      <c r="O2070" s="183"/>
      <c r="P2070" s="183"/>
      <c r="Q2070" s="183"/>
      <c r="R2070" s="183"/>
      <c r="S2070" s="183"/>
      <c r="T2070" s="183"/>
      <c r="U2070" s="183"/>
      <c r="V2070" s="183"/>
      <c r="W2070" s="183"/>
      <c r="X2070" s="183"/>
      <c r="Y2070" s="183"/>
      <c r="Z2070" s="183"/>
      <c r="AA2070" s="183"/>
      <c r="AB2070" s="183"/>
      <c r="AC2070" s="183"/>
    </row>
    <row r="2071" spans="2:29" ht="15">
      <c r="B2071" s="191"/>
      <c r="G2071" s="287"/>
      <c r="J2071" s="287"/>
      <c r="K2071" s="287"/>
      <c r="L2071" s="287"/>
      <c r="M2071" s="287"/>
      <c r="N2071" s="183"/>
      <c r="O2071" s="183"/>
      <c r="P2071" s="183"/>
      <c r="Q2071" s="183"/>
      <c r="R2071" s="183"/>
      <c r="S2071" s="183"/>
      <c r="T2071" s="183"/>
      <c r="U2071" s="183"/>
      <c r="V2071" s="183"/>
      <c r="W2071" s="183"/>
      <c r="X2071" s="183"/>
      <c r="Y2071" s="183"/>
      <c r="Z2071" s="183"/>
      <c r="AA2071" s="183"/>
      <c r="AB2071" s="183"/>
      <c r="AC2071" s="183"/>
    </row>
    <row r="2072" spans="2:29" ht="15">
      <c r="B2072" s="191"/>
      <c r="G2072" s="287"/>
      <c r="J2072" s="287"/>
      <c r="K2072" s="287"/>
      <c r="L2072" s="287"/>
      <c r="M2072" s="287"/>
      <c r="N2072" s="183"/>
      <c r="O2072" s="183"/>
      <c r="P2072" s="183"/>
      <c r="Q2072" s="183"/>
      <c r="R2072" s="183"/>
      <c r="S2072" s="183"/>
      <c r="T2072" s="183"/>
      <c r="U2072" s="183"/>
      <c r="V2072" s="183"/>
      <c r="W2072" s="183"/>
      <c r="X2072" s="183"/>
      <c r="Y2072" s="183"/>
      <c r="Z2072" s="183"/>
      <c r="AA2072" s="183"/>
      <c r="AB2072" s="183"/>
      <c r="AC2072" s="183"/>
    </row>
    <row r="2073" spans="2:29" ht="15">
      <c r="B2073" s="191"/>
      <c r="G2073" s="287"/>
      <c r="J2073" s="287"/>
      <c r="K2073" s="287"/>
      <c r="L2073" s="287"/>
      <c r="M2073" s="287"/>
      <c r="N2073" s="183"/>
      <c r="O2073" s="183"/>
      <c r="P2073" s="183"/>
      <c r="Q2073" s="183"/>
      <c r="R2073" s="183"/>
      <c r="S2073" s="183"/>
      <c r="T2073" s="183"/>
      <c r="U2073" s="183"/>
      <c r="V2073" s="183"/>
      <c r="W2073" s="183"/>
      <c r="X2073" s="183"/>
      <c r="Y2073" s="183"/>
      <c r="Z2073" s="183"/>
      <c r="AA2073" s="183"/>
      <c r="AB2073" s="183"/>
      <c r="AC2073" s="183"/>
    </row>
    <row r="2074" spans="2:29" ht="15">
      <c r="B2074" s="191"/>
      <c r="G2074" s="287"/>
      <c r="J2074" s="287"/>
      <c r="K2074" s="287"/>
      <c r="L2074" s="287"/>
      <c r="M2074" s="287"/>
      <c r="N2074" s="183"/>
      <c r="O2074" s="183"/>
      <c r="P2074" s="183"/>
      <c r="Q2074" s="183"/>
      <c r="R2074" s="183"/>
      <c r="S2074" s="183"/>
      <c r="T2074" s="183"/>
      <c r="U2074" s="183"/>
      <c r="V2074" s="183"/>
      <c r="W2074" s="183"/>
      <c r="X2074" s="183"/>
      <c r="Y2074" s="183"/>
      <c r="Z2074" s="183"/>
      <c r="AA2074" s="183"/>
      <c r="AB2074" s="183"/>
      <c r="AC2074" s="183"/>
    </row>
    <row r="2075" spans="2:29" ht="15">
      <c r="B2075" s="191"/>
      <c r="G2075" s="287"/>
      <c r="J2075" s="287"/>
      <c r="K2075" s="287"/>
      <c r="L2075" s="287"/>
      <c r="M2075" s="287"/>
      <c r="N2075" s="183"/>
      <c r="O2075" s="183"/>
      <c r="P2075" s="183"/>
      <c r="Q2075" s="183"/>
      <c r="R2075" s="183"/>
      <c r="S2075" s="183"/>
      <c r="T2075" s="183"/>
      <c r="U2075" s="183"/>
      <c r="V2075" s="183"/>
      <c r="W2075" s="183"/>
      <c r="X2075" s="183"/>
      <c r="Y2075" s="183"/>
      <c r="Z2075" s="183"/>
      <c r="AA2075" s="183"/>
      <c r="AB2075" s="183"/>
      <c r="AC2075" s="183"/>
    </row>
    <row r="2076" spans="2:29" ht="15">
      <c r="B2076" s="191"/>
      <c r="G2076" s="287"/>
      <c r="J2076" s="287"/>
      <c r="K2076" s="287"/>
      <c r="L2076" s="287"/>
      <c r="M2076" s="287"/>
      <c r="N2076" s="183"/>
      <c r="O2076" s="183"/>
      <c r="P2076" s="183"/>
      <c r="Q2076" s="183"/>
      <c r="R2076" s="183"/>
      <c r="S2076" s="183"/>
      <c r="T2076" s="183"/>
      <c r="U2076" s="183"/>
      <c r="V2076" s="183"/>
      <c r="W2076" s="183"/>
      <c r="X2076" s="183"/>
      <c r="Y2076" s="183"/>
      <c r="Z2076" s="183"/>
      <c r="AA2076" s="183"/>
      <c r="AB2076" s="183"/>
      <c r="AC2076" s="183"/>
    </row>
    <row r="2077" spans="2:29" ht="15">
      <c r="B2077" s="191"/>
      <c r="G2077" s="287"/>
      <c r="J2077" s="287"/>
      <c r="K2077" s="287"/>
      <c r="L2077" s="287"/>
      <c r="M2077" s="287"/>
      <c r="N2077" s="183"/>
      <c r="O2077" s="183"/>
      <c r="P2077" s="183"/>
      <c r="Q2077" s="183"/>
      <c r="R2077" s="183"/>
      <c r="S2077" s="183"/>
      <c r="T2077" s="183"/>
      <c r="U2077" s="183"/>
      <c r="V2077" s="183"/>
      <c r="W2077" s="183"/>
      <c r="X2077" s="183"/>
      <c r="Y2077" s="183"/>
      <c r="Z2077" s="183"/>
      <c r="AA2077" s="183"/>
      <c r="AB2077" s="183"/>
      <c r="AC2077" s="183"/>
    </row>
    <row r="2078" spans="2:29" ht="15">
      <c r="B2078" s="191"/>
      <c r="G2078" s="287"/>
      <c r="J2078" s="287"/>
      <c r="K2078" s="287"/>
      <c r="L2078" s="287"/>
      <c r="M2078" s="287"/>
      <c r="N2078" s="183"/>
      <c r="O2078" s="183"/>
      <c r="P2078" s="183"/>
      <c r="Q2078" s="183"/>
      <c r="R2078" s="183"/>
      <c r="S2078" s="183"/>
      <c r="T2078" s="183"/>
      <c r="U2078" s="183"/>
      <c r="V2078" s="183"/>
      <c r="W2078" s="183"/>
      <c r="X2078" s="183"/>
      <c r="Y2078" s="183"/>
      <c r="Z2078" s="183"/>
      <c r="AA2078" s="183"/>
      <c r="AB2078" s="183"/>
      <c r="AC2078" s="183"/>
    </row>
    <row r="2079" spans="2:29" ht="15">
      <c r="B2079" s="191"/>
      <c r="G2079" s="287"/>
      <c r="J2079" s="287"/>
      <c r="K2079" s="287"/>
      <c r="L2079" s="287"/>
      <c r="M2079" s="287"/>
      <c r="N2079" s="183"/>
      <c r="O2079" s="183"/>
      <c r="P2079" s="183"/>
      <c r="Q2079" s="183"/>
      <c r="R2079" s="183"/>
      <c r="S2079" s="183"/>
      <c r="T2079" s="183"/>
      <c r="U2079" s="183"/>
      <c r="V2079" s="183"/>
      <c r="W2079" s="183"/>
      <c r="X2079" s="183"/>
      <c r="Y2079" s="183"/>
      <c r="Z2079" s="183"/>
      <c r="AA2079" s="183"/>
      <c r="AB2079" s="183"/>
      <c r="AC2079" s="183"/>
    </row>
    <row r="2080" spans="2:29" ht="15">
      <c r="B2080" s="191"/>
      <c r="G2080" s="287"/>
      <c r="J2080" s="287"/>
      <c r="K2080" s="287"/>
      <c r="L2080" s="287"/>
      <c r="M2080" s="287"/>
      <c r="N2080" s="183"/>
      <c r="O2080" s="183"/>
      <c r="P2080" s="183"/>
      <c r="Q2080" s="183"/>
      <c r="R2080" s="183"/>
      <c r="S2080" s="183"/>
      <c r="T2080" s="183"/>
      <c r="U2080" s="183"/>
      <c r="V2080" s="183"/>
      <c r="W2080" s="183"/>
      <c r="X2080" s="183"/>
      <c r="Y2080" s="183"/>
      <c r="Z2080" s="183"/>
      <c r="AA2080" s="183"/>
      <c r="AB2080" s="183"/>
      <c r="AC2080" s="183"/>
    </row>
    <row r="2081" spans="2:29" ht="15">
      <c r="B2081" s="191"/>
      <c r="G2081" s="287"/>
      <c r="J2081" s="287"/>
      <c r="K2081" s="287"/>
      <c r="L2081" s="287"/>
      <c r="M2081" s="287"/>
      <c r="N2081" s="183"/>
      <c r="O2081" s="183"/>
      <c r="P2081" s="183"/>
      <c r="Q2081" s="183"/>
      <c r="R2081" s="183"/>
      <c r="S2081" s="183"/>
      <c r="T2081" s="183"/>
      <c r="U2081" s="183"/>
      <c r="V2081" s="183"/>
      <c r="W2081" s="183"/>
      <c r="X2081" s="183"/>
      <c r="Y2081" s="183"/>
      <c r="Z2081" s="183"/>
      <c r="AA2081" s="183"/>
      <c r="AB2081" s="183"/>
      <c r="AC2081" s="183"/>
    </row>
    <row r="2082" spans="2:29">
      <c r="B2082" s="191"/>
      <c r="N2082" s="183"/>
      <c r="O2082" s="183"/>
      <c r="P2082" s="183"/>
      <c r="Q2082" s="183"/>
      <c r="R2082" s="183"/>
      <c r="S2082" s="183"/>
      <c r="T2082" s="183"/>
      <c r="U2082" s="183"/>
      <c r="V2082" s="183"/>
      <c r="W2082" s="183"/>
      <c r="X2082" s="183"/>
      <c r="Y2082" s="183"/>
      <c r="Z2082" s="183"/>
      <c r="AA2082" s="183"/>
      <c r="AB2082" s="183"/>
      <c r="AC2082" s="183"/>
    </row>
    <row r="2083" spans="2:29">
      <c r="B2083" s="191"/>
      <c r="N2083" s="183"/>
      <c r="O2083" s="183"/>
      <c r="P2083" s="183"/>
      <c r="Q2083" s="183"/>
      <c r="R2083" s="183"/>
      <c r="S2083" s="183"/>
      <c r="T2083" s="183"/>
      <c r="U2083" s="183"/>
      <c r="V2083" s="183"/>
      <c r="W2083" s="183"/>
      <c r="X2083" s="183"/>
      <c r="Y2083" s="183"/>
      <c r="Z2083" s="183"/>
      <c r="AA2083" s="183"/>
      <c r="AB2083" s="183"/>
      <c r="AC2083" s="183"/>
    </row>
    <row r="2084" spans="2:29">
      <c r="B2084" s="191"/>
      <c r="N2084" s="183"/>
      <c r="O2084" s="183"/>
      <c r="P2084" s="183"/>
      <c r="Q2084" s="183"/>
      <c r="R2084" s="183"/>
      <c r="S2084" s="183"/>
      <c r="T2084" s="183"/>
      <c r="U2084" s="183"/>
      <c r="V2084" s="183"/>
      <c r="W2084" s="183"/>
      <c r="X2084" s="183"/>
      <c r="Y2084" s="183"/>
      <c r="Z2084" s="183"/>
      <c r="AA2084" s="183"/>
      <c r="AB2084" s="183"/>
      <c r="AC2084" s="183"/>
    </row>
    <row r="2085" spans="2:29">
      <c r="B2085" s="191"/>
      <c r="N2085" s="183"/>
      <c r="O2085" s="183"/>
      <c r="P2085" s="183"/>
      <c r="Q2085" s="183"/>
      <c r="R2085" s="183"/>
      <c r="S2085" s="183"/>
      <c r="T2085" s="183"/>
      <c r="U2085" s="183"/>
      <c r="V2085" s="183"/>
      <c r="W2085" s="183"/>
      <c r="X2085" s="183"/>
      <c r="Y2085" s="183"/>
      <c r="Z2085" s="183"/>
      <c r="AA2085" s="183"/>
      <c r="AB2085" s="183"/>
      <c r="AC2085" s="183"/>
    </row>
    <row r="2086" spans="2:29">
      <c r="B2086" s="191"/>
      <c r="N2086" s="183"/>
      <c r="O2086" s="183"/>
      <c r="P2086" s="183"/>
      <c r="Q2086" s="183"/>
      <c r="R2086" s="183"/>
      <c r="S2086" s="183"/>
      <c r="T2086" s="183"/>
      <c r="U2086" s="183"/>
      <c r="V2086" s="183"/>
      <c r="W2086" s="183"/>
      <c r="X2086" s="183"/>
      <c r="Y2086" s="183"/>
      <c r="Z2086" s="183"/>
      <c r="AA2086" s="183"/>
      <c r="AB2086" s="183"/>
      <c r="AC2086" s="183"/>
    </row>
    <row r="2087" spans="2:29">
      <c r="B2087" s="191"/>
      <c r="N2087" s="183"/>
      <c r="O2087" s="183"/>
      <c r="P2087" s="183"/>
      <c r="Q2087" s="183"/>
      <c r="R2087" s="183"/>
      <c r="S2087" s="183"/>
      <c r="T2087" s="183"/>
      <c r="U2087" s="183"/>
      <c r="V2087" s="183"/>
      <c r="W2087" s="183"/>
      <c r="X2087" s="183"/>
      <c r="Y2087" s="183"/>
      <c r="Z2087" s="183"/>
      <c r="AA2087" s="183"/>
      <c r="AB2087" s="183"/>
      <c r="AC2087" s="183"/>
    </row>
    <row r="2088" spans="2:29">
      <c r="B2088" s="191"/>
      <c r="N2088" s="183"/>
      <c r="O2088" s="183"/>
      <c r="P2088" s="183"/>
      <c r="Q2088" s="183"/>
      <c r="R2088" s="183"/>
      <c r="S2088" s="183"/>
      <c r="T2088" s="183"/>
      <c r="U2088" s="183"/>
      <c r="V2088" s="183"/>
      <c r="W2088" s="183"/>
      <c r="X2088" s="183"/>
      <c r="Y2088" s="183"/>
      <c r="Z2088" s="183"/>
      <c r="AA2088" s="183"/>
      <c r="AB2088" s="183"/>
      <c r="AC2088" s="183"/>
    </row>
    <row r="2089" spans="2:29">
      <c r="B2089" s="191"/>
      <c r="N2089" s="183"/>
      <c r="O2089" s="183"/>
      <c r="P2089" s="183"/>
      <c r="Q2089" s="183"/>
      <c r="R2089" s="183"/>
      <c r="S2089" s="183"/>
      <c r="T2089" s="183"/>
      <c r="U2089" s="183"/>
      <c r="V2089" s="183"/>
      <c r="W2089" s="183"/>
      <c r="X2089" s="183"/>
      <c r="Y2089" s="183"/>
      <c r="Z2089" s="183"/>
      <c r="AA2089" s="183"/>
      <c r="AB2089" s="183"/>
      <c r="AC2089" s="183"/>
    </row>
    <row r="2090" spans="2:29">
      <c r="B2090" s="191"/>
      <c r="N2090" s="183"/>
      <c r="O2090" s="183"/>
      <c r="P2090" s="183"/>
      <c r="Q2090" s="183"/>
      <c r="R2090" s="183"/>
      <c r="S2090" s="183"/>
      <c r="T2090" s="183"/>
      <c r="U2090" s="183"/>
      <c r="V2090" s="183"/>
      <c r="W2090" s="183"/>
      <c r="X2090" s="183"/>
      <c r="Y2090" s="183"/>
      <c r="Z2090" s="183"/>
      <c r="AA2090" s="183"/>
      <c r="AB2090" s="183"/>
      <c r="AC2090" s="183"/>
    </row>
    <row r="2091" spans="2:29">
      <c r="B2091" s="191"/>
      <c r="D2091" s="183"/>
      <c r="G2091" s="183"/>
      <c r="H2091" s="183"/>
      <c r="J2091" s="907"/>
      <c r="K2091" s="907"/>
      <c r="L2091" s="907"/>
      <c r="M2091" s="907"/>
      <c r="N2091" s="183"/>
      <c r="O2091" s="183"/>
      <c r="P2091" s="183"/>
      <c r="Q2091" s="183"/>
      <c r="R2091" s="183"/>
      <c r="S2091" s="183"/>
      <c r="T2091" s="183"/>
      <c r="U2091" s="183"/>
      <c r="V2091" s="183"/>
      <c r="W2091" s="183"/>
      <c r="X2091" s="183"/>
      <c r="Y2091" s="183"/>
      <c r="Z2091" s="183"/>
      <c r="AA2091" s="183"/>
      <c r="AB2091" s="183"/>
      <c r="AC2091" s="183"/>
    </row>
    <row r="2092" spans="2:29">
      <c r="B2092" s="191"/>
      <c r="D2092" s="183"/>
      <c r="G2092" s="183"/>
      <c r="H2092" s="183"/>
      <c r="J2092" s="907"/>
      <c r="K2092" s="907"/>
      <c r="L2092" s="907"/>
      <c r="M2092" s="907"/>
      <c r="N2092" s="183"/>
      <c r="O2092" s="183"/>
      <c r="P2092" s="183"/>
      <c r="Q2092" s="183"/>
      <c r="R2092" s="183"/>
      <c r="S2092" s="183"/>
      <c r="T2092" s="183"/>
      <c r="U2092" s="183"/>
      <c r="V2092" s="183"/>
      <c r="W2092" s="183"/>
      <c r="X2092" s="183"/>
      <c r="Y2092" s="183"/>
      <c r="Z2092" s="183"/>
      <c r="AA2092" s="183"/>
      <c r="AB2092" s="183"/>
      <c r="AC2092" s="183"/>
    </row>
    <row r="2093" spans="2:29">
      <c r="B2093" s="191"/>
      <c r="D2093" s="183"/>
      <c r="G2093" s="183"/>
      <c r="H2093" s="183"/>
      <c r="J2093" s="907"/>
      <c r="K2093" s="907"/>
      <c r="L2093" s="907"/>
      <c r="M2093" s="907"/>
      <c r="N2093" s="183"/>
      <c r="O2093" s="183"/>
      <c r="P2093" s="183"/>
      <c r="Q2093" s="183"/>
      <c r="R2093" s="183"/>
      <c r="S2093" s="183"/>
      <c r="T2093" s="183"/>
      <c r="U2093" s="183"/>
      <c r="V2093" s="183"/>
      <c r="W2093" s="183"/>
      <c r="X2093" s="183"/>
      <c r="Y2093" s="183"/>
      <c r="Z2093" s="183"/>
      <c r="AA2093" s="183"/>
      <c r="AB2093" s="183"/>
      <c r="AC2093" s="183"/>
    </row>
    <row r="2094" spans="2:29">
      <c r="B2094" s="191"/>
      <c r="D2094" s="183"/>
      <c r="G2094" s="183"/>
      <c r="H2094" s="183"/>
      <c r="J2094" s="907"/>
      <c r="K2094" s="907"/>
      <c r="L2094" s="907"/>
      <c r="M2094" s="907"/>
      <c r="N2094" s="183"/>
      <c r="O2094" s="183"/>
      <c r="P2094" s="183"/>
      <c r="Q2094" s="183"/>
      <c r="R2094" s="183"/>
      <c r="S2094" s="183"/>
      <c r="T2094" s="183"/>
      <c r="U2094" s="183"/>
      <c r="V2094" s="183"/>
      <c r="W2094" s="183"/>
      <c r="X2094" s="183"/>
      <c r="Y2094" s="183"/>
      <c r="Z2094" s="183"/>
      <c r="AA2094" s="183"/>
      <c r="AB2094" s="183"/>
      <c r="AC2094" s="183"/>
    </row>
    <row r="2095" spans="2:29">
      <c r="B2095" s="191"/>
      <c r="D2095" s="183"/>
      <c r="G2095" s="183"/>
      <c r="H2095" s="183"/>
      <c r="J2095" s="907"/>
      <c r="K2095" s="907"/>
      <c r="L2095" s="907"/>
      <c r="M2095" s="907"/>
      <c r="N2095" s="183"/>
      <c r="O2095" s="183"/>
      <c r="P2095" s="183"/>
      <c r="Q2095" s="183"/>
      <c r="R2095" s="183"/>
      <c r="S2095" s="183"/>
      <c r="T2095" s="183"/>
      <c r="U2095" s="183"/>
      <c r="V2095" s="183"/>
      <c r="W2095" s="183"/>
      <c r="X2095" s="183"/>
      <c r="Y2095" s="183"/>
      <c r="Z2095" s="183"/>
      <c r="AA2095" s="183"/>
      <c r="AB2095" s="183"/>
      <c r="AC2095" s="183"/>
    </row>
    <row r="2096" spans="2:29">
      <c r="B2096" s="191"/>
      <c r="D2096" s="183"/>
      <c r="G2096" s="183"/>
      <c r="H2096" s="183"/>
      <c r="J2096" s="907"/>
      <c r="K2096" s="907"/>
      <c r="L2096" s="907"/>
      <c r="M2096" s="907"/>
      <c r="N2096" s="183"/>
      <c r="O2096" s="183"/>
      <c r="P2096" s="183"/>
      <c r="Q2096" s="183"/>
      <c r="R2096" s="183"/>
      <c r="S2096" s="183"/>
      <c r="T2096" s="183"/>
      <c r="U2096" s="183"/>
      <c r="V2096" s="183"/>
      <c r="W2096" s="183"/>
      <c r="X2096" s="183"/>
      <c r="Y2096" s="183"/>
      <c r="Z2096" s="183"/>
      <c r="AA2096" s="183"/>
      <c r="AB2096" s="183"/>
      <c r="AC2096" s="183"/>
    </row>
    <row r="2097" spans="2:29">
      <c r="B2097" s="191"/>
      <c r="D2097" s="183"/>
      <c r="G2097" s="183"/>
      <c r="H2097" s="183"/>
      <c r="J2097" s="907"/>
      <c r="K2097" s="907"/>
      <c r="L2097" s="907"/>
      <c r="M2097" s="907"/>
      <c r="N2097" s="183"/>
      <c r="O2097" s="183"/>
      <c r="P2097" s="183"/>
      <c r="Q2097" s="183"/>
      <c r="R2097" s="183"/>
      <c r="S2097" s="183"/>
      <c r="T2097" s="183"/>
      <c r="U2097" s="183"/>
      <c r="V2097" s="183"/>
      <c r="W2097" s="183"/>
      <c r="X2097" s="183"/>
      <c r="Y2097" s="183"/>
      <c r="Z2097" s="183"/>
      <c r="AA2097" s="183"/>
      <c r="AB2097" s="183"/>
      <c r="AC2097" s="183"/>
    </row>
    <row r="2098" spans="2:29">
      <c r="B2098" s="191"/>
      <c r="D2098" s="183"/>
      <c r="G2098" s="183"/>
      <c r="H2098" s="183"/>
      <c r="J2098" s="907"/>
      <c r="K2098" s="907"/>
      <c r="L2098" s="907"/>
      <c r="M2098" s="907"/>
      <c r="N2098" s="183"/>
      <c r="O2098" s="183"/>
      <c r="P2098" s="183"/>
      <c r="Q2098" s="183"/>
      <c r="R2098" s="183"/>
      <c r="S2098" s="183"/>
      <c r="T2098" s="183"/>
      <c r="U2098" s="183"/>
      <c r="V2098" s="183"/>
      <c r="W2098" s="183"/>
      <c r="X2098" s="183"/>
      <c r="Y2098" s="183"/>
      <c r="Z2098" s="183"/>
      <c r="AA2098" s="183"/>
      <c r="AB2098" s="183"/>
      <c r="AC2098" s="183"/>
    </row>
    <row r="2099" spans="2:29">
      <c r="B2099" s="191"/>
      <c r="D2099" s="183"/>
      <c r="G2099" s="183"/>
      <c r="H2099" s="183"/>
      <c r="J2099" s="907"/>
      <c r="K2099" s="907"/>
      <c r="L2099" s="907"/>
      <c r="M2099" s="907"/>
      <c r="N2099" s="183"/>
      <c r="O2099" s="183"/>
      <c r="P2099" s="183"/>
      <c r="Q2099" s="183"/>
      <c r="R2099" s="183"/>
      <c r="S2099" s="183"/>
      <c r="T2099" s="183"/>
      <c r="U2099" s="183"/>
      <c r="V2099" s="183"/>
      <c r="W2099" s="183"/>
      <c r="X2099" s="183"/>
      <c r="Y2099" s="183"/>
      <c r="Z2099" s="183"/>
      <c r="AA2099" s="183"/>
      <c r="AB2099" s="183"/>
      <c r="AC2099" s="183"/>
    </row>
    <row r="2100" spans="2:29">
      <c r="B2100" s="191"/>
      <c r="D2100" s="183"/>
      <c r="G2100" s="183"/>
      <c r="H2100" s="183"/>
      <c r="J2100" s="907"/>
      <c r="K2100" s="907"/>
      <c r="L2100" s="907"/>
      <c r="M2100" s="907"/>
      <c r="N2100" s="183"/>
      <c r="O2100" s="183"/>
      <c r="P2100" s="183"/>
      <c r="Q2100" s="183"/>
      <c r="R2100" s="183"/>
      <c r="S2100" s="183"/>
      <c r="T2100" s="183"/>
      <c r="U2100" s="183"/>
      <c r="V2100" s="183"/>
      <c r="W2100" s="183"/>
      <c r="X2100" s="183"/>
      <c r="Y2100" s="183"/>
      <c r="Z2100" s="183"/>
      <c r="AA2100" s="183"/>
      <c r="AB2100" s="183"/>
      <c r="AC2100" s="183"/>
    </row>
    <row r="2101" spans="2:29">
      <c r="B2101" s="191"/>
      <c r="D2101" s="183"/>
      <c r="G2101" s="183"/>
      <c r="H2101" s="183"/>
      <c r="J2101" s="907"/>
      <c r="K2101" s="907"/>
      <c r="L2101" s="907"/>
      <c r="M2101" s="907"/>
      <c r="N2101" s="183"/>
      <c r="O2101" s="183"/>
      <c r="P2101" s="183"/>
      <c r="Q2101" s="183"/>
      <c r="R2101" s="183"/>
      <c r="S2101" s="183"/>
      <c r="T2101" s="183"/>
      <c r="U2101" s="183"/>
      <c r="V2101" s="183"/>
      <c r="W2101" s="183"/>
      <c r="X2101" s="183"/>
      <c r="Y2101" s="183"/>
      <c r="Z2101" s="183"/>
      <c r="AA2101" s="183"/>
      <c r="AB2101" s="183"/>
      <c r="AC2101" s="183"/>
    </row>
    <row r="2102" spans="2:29">
      <c r="B2102" s="191"/>
      <c r="D2102" s="183"/>
      <c r="G2102" s="183"/>
      <c r="H2102" s="183"/>
      <c r="J2102" s="907"/>
      <c r="K2102" s="907"/>
      <c r="L2102" s="907"/>
      <c r="M2102" s="907"/>
      <c r="N2102" s="183"/>
      <c r="O2102" s="183"/>
      <c r="P2102" s="183"/>
      <c r="Q2102" s="183"/>
      <c r="R2102" s="183"/>
      <c r="S2102" s="183"/>
      <c r="T2102" s="183"/>
      <c r="U2102" s="183"/>
      <c r="V2102" s="183"/>
      <c r="W2102" s="183"/>
      <c r="X2102" s="183"/>
      <c r="Y2102" s="183"/>
      <c r="Z2102" s="183"/>
      <c r="AA2102" s="183"/>
      <c r="AB2102" s="183"/>
      <c r="AC2102" s="183"/>
    </row>
    <row r="2103" spans="2:29">
      <c r="B2103" s="191"/>
      <c r="D2103" s="183"/>
      <c r="G2103" s="183"/>
      <c r="H2103" s="183"/>
      <c r="J2103" s="907"/>
      <c r="K2103" s="907"/>
      <c r="L2103" s="907"/>
      <c r="M2103" s="907"/>
      <c r="N2103" s="183"/>
      <c r="O2103" s="183"/>
      <c r="P2103" s="183"/>
      <c r="Q2103" s="183"/>
      <c r="R2103" s="183"/>
      <c r="S2103" s="183"/>
      <c r="T2103" s="183"/>
      <c r="U2103" s="183"/>
      <c r="V2103" s="183"/>
      <c r="W2103" s="183"/>
      <c r="X2103" s="183"/>
      <c r="Y2103" s="183"/>
      <c r="Z2103" s="183"/>
      <c r="AA2103" s="183"/>
      <c r="AB2103" s="183"/>
      <c r="AC2103" s="183"/>
    </row>
    <row r="2104" spans="2:29">
      <c r="B2104" s="191"/>
      <c r="D2104" s="183"/>
      <c r="G2104" s="183"/>
      <c r="H2104" s="183"/>
      <c r="J2104" s="907"/>
      <c r="K2104" s="907"/>
      <c r="L2104" s="907"/>
      <c r="M2104" s="907"/>
      <c r="N2104" s="183"/>
      <c r="O2104" s="183"/>
      <c r="P2104" s="183"/>
      <c r="Q2104" s="183"/>
      <c r="R2104" s="183"/>
      <c r="S2104" s="183"/>
      <c r="T2104" s="183"/>
      <c r="U2104" s="183"/>
      <c r="V2104" s="183"/>
      <c r="W2104" s="183"/>
      <c r="X2104" s="183"/>
      <c r="Y2104" s="183"/>
      <c r="Z2104" s="183"/>
      <c r="AA2104" s="183"/>
      <c r="AB2104" s="183"/>
      <c r="AC2104" s="183"/>
    </row>
    <row r="2105" spans="2:29">
      <c r="B2105" s="191"/>
      <c r="D2105" s="183"/>
      <c r="G2105" s="183"/>
      <c r="H2105" s="183"/>
      <c r="J2105" s="907"/>
      <c r="K2105" s="907"/>
      <c r="L2105" s="907"/>
      <c r="M2105" s="907"/>
      <c r="N2105" s="183"/>
      <c r="O2105" s="183"/>
      <c r="P2105" s="183"/>
      <c r="Q2105" s="183"/>
      <c r="R2105" s="183"/>
      <c r="S2105" s="183"/>
      <c r="T2105" s="183"/>
      <c r="U2105" s="183"/>
      <c r="V2105" s="183"/>
      <c r="W2105" s="183"/>
      <c r="X2105" s="183"/>
      <c r="Y2105" s="183"/>
      <c r="Z2105" s="183"/>
      <c r="AA2105" s="183"/>
      <c r="AB2105" s="183"/>
      <c r="AC2105" s="183"/>
    </row>
    <row r="2106" spans="2:29">
      <c r="B2106" s="191"/>
      <c r="D2106" s="183"/>
      <c r="G2106" s="183"/>
      <c r="H2106" s="183"/>
      <c r="J2106" s="907"/>
      <c r="K2106" s="907"/>
      <c r="L2106" s="907"/>
      <c r="M2106" s="907"/>
      <c r="N2106" s="183"/>
      <c r="O2106" s="183"/>
      <c r="P2106" s="183"/>
      <c r="Q2106" s="183"/>
      <c r="R2106" s="183"/>
      <c r="S2106" s="183"/>
      <c r="T2106" s="183"/>
      <c r="U2106" s="183"/>
      <c r="V2106" s="183"/>
      <c r="W2106" s="183"/>
      <c r="X2106" s="183"/>
      <c r="Y2106" s="183"/>
      <c r="Z2106" s="183"/>
      <c r="AA2106" s="183"/>
      <c r="AB2106" s="183"/>
      <c r="AC2106" s="183"/>
    </row>
    <row r="2107" spans="2:29">
      <c r="B2107" s="191"/>
      <c r="D2107" s="183"/>
      <c r="G2107" s="183"/>
      <c r="H2107" s="183"/>
      <c r="J2107" s="907"/>
      <c r="K2107" s="907"/>
      <c r="L2107" s="907"/>
      <c r="M2107" s="907"/>
      <c r="N2107" s="183"/>
      <c r="O2107" s="183"/>
      <c r="P2107" s="183"/>
      <c r="Q2107" s="183"/>
      <c r="R2107" s="183"/>
      <c r="S2107" s="183"/>
      <c r="T2107" s="183"/>
      <c r="U2107" s="183"/>
      <c r="V2107" s="183"/>
      <c r="W2107" s="183"/>
      <c r="X2107" s="183"/>
      <c r="Y2107" s="183"/>
      <c r="Z2107" s="183"/>
      <c r="AA2107" s="183"/>
      <c r="AB2107" s="183"/>
      <c r="AC2107" s="183"/>
    </row>
    <row r="2108" spans="2:29">
      <c r="B2108" s="191"/>
      <c r="D2108" s="183"/>
      <c r="G2108" s="183"/>
      <c r="H2108" s="183"/>
      <c r="J2108" s="907"/>
      <c r="K2108" s="907"/>
      <c r="L2108" s="907"/>
      <c r="M2108" s="907"/>
      <c r="N2108" s="183"/>
      <c r="O2108" s="183"/>
      <c r="P2108" s="183"/>
      <c r="Q2108" s="183"/>
      <c r="R2108" s="183"/>
      <c r="S2108" s="183"/>
      <c r="T2108" s="183"/>
      <c r="U2108" s="183"/>
      <c r="V2108" s="183"/>
      <c r="W2108" s="183"/>
      <c r="X2108" s="183"/>
      <c r="Y2108" s="183"/>
      <c r="Z2108" s="183"/>
      <c r="AA2108" s="183"/>
      <c r="AB2108" s="183"/>
      <c r="AC2108" s="183"/>
    </row>
    <row r="2109" spans="2:29">
      <c r="B2109" s="191"/>
      <c r="D2109" s="183"/>
      <c r="G2109" s="183"/>
      <c r="H2109" s="183"/>
      <c r="J2109" s="907"/>
      <c r="K2109" s="907"/>
      <c r="L2109" s="907"/>
      <c r="M2109" s="907"/>
      <c r="N2109" s="183"/>
      <c r="O2109" s="183"/>
      <c r="P2109" s="183"/>
      <c r="Q2109" s="183"/>
      <c r="R2109" s="183"/>
      <c r="S2109" s="183"/>
      <c r="T2109" s="183"/>
      <c r="U2109" s="183"/>
      <c r="V2109" s="183"/>
      <c r="W2109" s="183"/>
      <c r="X2109" s="183"/>
      <c r="Y2109" s="183"/>
      <c r="Z2109" s="183"/>
      <c r="AA2109" s="183"/>
      <c r="AB2109" s="183"/>
      <c r="AC2109" s="183"/>
    </row>
    <row r="2110" spans="2:29">
      <c r="B2110" s="191"/>
      <c r="D2110" s="183"/>
      <c r="G2110" s="183"/>
      <c r="H2110" s="183"/>
      <c r="J2110" s="907"/>
      <c r="K2110" s="907"/>
      <c r="L2110" s="907"/>
      <c r="M2110" s="907"/>
      <c r="N2110" s="183"/>
      <c r="O2110" s="183"/>
      <c r="P2110" s="183"/>
      <c r="Q2110" s="183"/>
      <c r="R2110" s="183"/>
      <c r="S2110" s="183"/>
      <c r="T2110" s="183"/>
      <c r="U2110" s="183"/>
      <c r="V2110" s="183"/>
      <c r="W2110" s="183"/>
      <c r="X2110" s="183"/>
      <c r="Y2110" s="183"/>
      <c r="Z2110" s="183"/>
      <c r="AA2110" s="183"/>
      <c r="AB2110" s="183"/>
      <c r="AC2110" s="183"/>
    </row>
    <row r="2111" spans="2:29">
      <c r="B2111" s="191"/>
      <c r="D2111" s="183"/>
      <c r="G2111" s="183"/>
      <c r="H2111" s="183"/>
      <c r="J2111" s="907"/>
      <c r="K2111" s="907"/>
      <c r="L2111" s="907"/>
      <c r="M2111" s="907"/>
      <c r="N2111" s="183"/>
      <c r="O2111" s="183"/>
      <c r="P2111" s="183"/>
      <c r="Q2111" s="183"/>
      <c r="R2111" s="183"/>
      <c r="S2111" s="183"/>
      <c r="T2111" s="183"/>
      <c r="U2111" s="183"/>
      <c r="V2111" s="183"/>
      <c r="W2111" s="183"/>
      <c r="X2111" s="183"/>
      <c r="Y2111" s="183"/>
      <c r="Z2111" s="183"/>
      <c r="AA2111" s="183"/>
      <c r="AB2111" s="183"/>
      <c r="AC2111" s="183"/>
    </row>
    <row r="2112" spans="2:29">
      <c r="B2112" s="191"/>
      <c r="D2112" s="183"/>
      <c r="G2112" s="183"/>
      <c r="H2112" s="183"/>
      <c r="J2112" s="907"/>
      <c r="K2112" s="907"/>
      <c r="L2112" s="907"/>
      <c r="M2112" s="907"/>
      <c r="N2112" s="183"/>
      <c r="O2112" s="183"/>
      <c r="P2112" s="183"/>
      <c r="Q2112" s="183"/>
      <c r="R2112" s="183"/>
      <c r="S2112" s="183"/>
      <c r="T2112" s="183"/>
      <c r="U2112" s="183"/>
      <c r="V2112" s="183"/>
      <c r="W2112" s="183"/>
      <c r="X2112" s="183"/>
      <c r="Y2112" s="183"/>
      <c r="Z2112" s="183"/>
      <c r="AA2112" s="183"/>
      <c r="AB2112" s="183"/>
      <c r="AC2112" s="183"/>
    </row>
    <row r="2113" spans="2:29">
      <c r="B2113" s="191"/>
      <c r="D2113" s="183"/>
      <c r="G2113" s="183"/>
      <c r="H2113" s="183"/>
      <c r="J2113" s="907"/>
      <c r="K2113" s="907"/>
      <c r="L2113" s="907"/>
      <c r="M2113" s="907"/>
      <c r="N2113" s="183"/>
      <c r="O2113" s="183"/>
      <c r="P2113" s="183"/>
      <c r="Q2113" s="183"/>
      <c r="R2113" s="183"/>
      <c r="S2113" s="183"/>
      <c r="T2113" s="183"/>
      <c r="U2113" s="183"/>
      <c r="V2113" s="183"/>
      <c r="W2113" s="183"/>
      <c r="X2113" s="183"/>
      <c r="Y2113" s="183"/>
      <c r="Z2113" s="183"/>
      <c r="AA2113" s="183"/>
      <c r="AB2113" s="183"/>
      <c r="AC2113" s="183"/>
    </row>
    <row r="2114" spans="2:29">
      <c r="B2114" s="191"/>
      <c r="D2114" s="183"/>
      <c r="G2114" s="183"/>
      <c r="H2114" s="183"/>
      <c r="J2114" s="907"/>
      <c r="K2114" s="907"/>
      <c r="L2114" s="907"/>
      <c r="M2114" s="907"/>
      <c r="N2114" s="183"/>
      <c r="O2114" s="183"/>
      <c r="P2114" s="183"/>
      <c r="Q2114" s="183"/>
      <c r="R2114" s="183"/>
      <c r="S2114" s="183"/>
      <c r="T2114" s="183"/>
      <c r="U2114" s="183"/>
      <c r="V2114" s="183"/>
      <c r="W2114" s="183"/>
      <c r="X2114" s="183"/>
      <c r="Y2114" s="183"/>
      <c r="Z2114" s="183"/>
      <c r="AA2114" s="183"/>
      <c r="AB2114" s="183"/>
      <c r="AC2114" s="183"/>
    </row>
    <row r="2115" spans="2:29">
      <c r="B2115" s="191"/>
      <c r="D2115" s="183"/>
      <c r="G2115" s="183"/>
      <c r="H2115" s="183"/>
      <c r="J2115" s="907"/>
      <c r="K2115" s="907"/>
      <c r="L2115" s="907"/>
      <c r="M2115" s="907"/>
      <c r="N2115" s="183"/>
      <c r="O2115" s="183"/>
      <c r="P2115" s="183"/>
      <c r="Q2115" s="183"/>
      <c r="R2115" s="183"/>
      <c r="S2115" s="183"/>
      <c r="T2115" s="183"/>
      <c r="U2115" s="183"/>
      <c r="V2115" s="183"/>
      <c r="W2115" s="183"/>
      <c r="X2115" s="183"/>
      <c r="Y2115" s="183"/>
      <c r="Z2115" s="183"/>
      <c r="AA2115" s="183"/>
      <c r="AB2115" s="183"/>
      <c r="AC2115" s="183"/>
    </row>
    <row r="2116" spans="2:29">
      <c r="B2116" s="191"/>
      <c r="D2116" s="183"/>
      <c r="G2116" s="183"/>
      <c r="H2116" s="183"/>
      <c r="J2116" s="907"/>
      <c r="K2116" s="907"/>
      <c r="L2116" s="907"/>
      <c r="M2116" s="907"/>
      <c r="N2116" s="183"/>
      <c r="O2116" s="183"/>
      <c r="P2116" s="183"/>
      <c r="Q2116" s="183"/>
      <c r="R2116" s="183"/>
      <c r="S2116" s="183"/>
      <c r="T2116" s="183"/>
      <c r="U2116" s="183"/>
      <c r="V2116" s="183"/>
      <c r="W2116" s="183"/>
      <c r="X2116" s="183"/>
      <c r="Y2116" s="183"/>
      <c r="Z2116" s="183"/>
      <c r="AA2116" s="183"/>
      <c r="AB2116" s="183"/>
      <c r="AC2116" s="183"/>
    </row>
    <row r="2117" spans="2:29">
      <c r="B2117" s="191"/>
      <c r="D2117" s="183"/>
      <c r="G2117" s="183"/>
      <c r="H2117" s="183"/>
      <c r="J2117" s="907"/>
      <c r="K2117" s="907"/>
      <c r="L2117" s="907"/>
      <c r="M2117" s="907"/>
      <c r="N2117" s="183"/>
      <c r="O2117" s="183"/>
      <c r="P2117" s="183"/>
      <c r="Q2117" s="183"/>
      <c r="R2117" s="183"/>
      <c r="S2117" s="183"/>
      <c r="T2117" s="183"/>
      <c r="U2117" s="183"/>
      <c r="V2117" s="183"/>
      <c r="W2117" s="183"/>
      <c r="X2117" s="183"/>
      <c r="Y2117" s="183"/>
      <c r="Z2117" s="183"/>
      <c r="AA2117" s="183"/>
      <c r="AB2117" s="183"/>
      <c r="AC2117" s="183"/>
    </row>
    <row r="2118" spans="2:29">
      <c r="B2118" s="191"/>
      <c r="D2118" s="183"/>
      <c r="G2118" s="183"/>
      <c r="H2118" s="183"/>
      <c r="J2118" s="907"/>
      <c r="K2118" s="907"/>
      <c r="L2118" s="907"/>
      <c r="M2118" s="907"/>
      <c r="N2118" s="183"/>
      <c r="O2118" s="183"/>
      <c r="P2118" s="183"/>
      <c r="Q2118" s="183"/>
      <c r="R2118" s="183"/>
      <c r="S2118" s="183"/>
      <c r="T2118" s="183"/>
      <c r="U2118" s="183"/>
      <c r="V2118" s="183"/>
      <c r="W2118" s="183"/>
      <c r="X2118" s="183"/>
      <c r="Y2118" s="183"/>
      <c r="Z2118" s="183"/>
      <c r="AA2118" s="183"/>
      <c r="AB2118" s="183"/>
      <c r="AC2118" s="183"/>
    </row>
    <row r="2119" spans="2:29">
      <c r="B2119" s="191"/>
      <c r="D2119" s="183"/>
      <c r="G2119" s="183"/>
      <c r="H2119" s="183"/>
      <c r="J2119" s="907"/>
      <c r="K2119" s="907"/>
      <c r="L2119" s="907"/>
      <c r="M2119" s="907"/>
      <c r="N2119" s="183"/>
      <c r="O2119" s="183"/>
      <c r="P2119" s="183"/>
      <c r="Q2119" s="183"/>
      <c r="R2119" s="183"/>
      <c r="S2119" s="183"/>
      <c r="T2119" s="183"/>
      <c r="U2119" s="183"/>
      <c r="V2119" s="183"/>
      <c r="W2119" s="183"/>
      <c r="X2119" s="183"/>
      <c r="Y2119" s="183"/>
      <c r="Z2119" s="183"/>
      <c r="AA2119" s="183"/>
      <c r="AB2119" s="183"/>
      <c r="AC2119" s="183"/>
    </row>
    <row r="2120" spans="2:29">
      <c r="B2120" s="191"/>
      <c r="D2120" s="183"/>
      <c r="G2120" s="183"/>
      <c r="H2120" s="183"/>
      <c r="J2120" s="907"/>
      <c r="K2120" s="907"/>
      <c r="L2120" s="907"/>
      <c r="M2120" s="907"/>
      <c r="N2120" s="183"/>
      <c r="O2120" s="183"/>
      <c r="P2120" s="183"/>
      <c r="Q2120" s="183"/>
      <c r="R2120" s="183"/>
      <c r="S2120" s="183"/>
      <c r="T2120" s="183"/>
      <c r="U2120" s="183"/>
      <c r="V2120" s="183"/>
      <c r="W2120" s="183"/>
      <c r="X2120" s="183"/>
      <c r="Y2120" s="183"/>
      <c r="Z2120" s="183"/>
      <c r="AA2120" s="183"/>
      <c r="AB2120" s="183"/>
      <c r="AC2120" s="183"/>
    </row>
    <row r="2121" spans="2:29">
      <c r="B2121" s="191"/>
      <c r="D2121" s="183"/>
      <c r="G2121" s="183"/>
      <c r="H2121" s="183"/>
      <c r="J2121" s="907"/>
      <c r="K2121" s="907"/>
      <c r="L2121" s="907"/>
      <c r="M2121" s="907"/>
      <c r="N2121" s="183"/>
      <c r="O2121" s="183"/>
      <c r="P2121" s="183"/>
      <c r="Q2121" s="183"/>
      <c r="R2121" s="183"/>
      <c r="S2121" s="183"/>
      <c r="T2121" s="183"/>
      <c r="U2121" s="183"/>
      <c r="V2121" s="183"/>
      <c r="W2121" s="183"/>
      <c r="X2121" s="183"/>
      <c r="Y2121" s="183"/>
      <c r="Z2121" s="183"/>
      <c r="AA2121" s="183"/>
      <c r="AB2121" s="183"/>
      <c r="AC2121" s="183"/>
    </row>
    <row r="2122" spans="2:29">
      <c r="B2122" s="191"/>
      <c r="D2122" s="183"/>
      <c r="G2122" s="183"/>
      <c r="H2122" s="183"/>
      <c r="J2122" s="907"/>
      <c r="K2122" s="907"/>
      <c r="L2122" s="907"/>
      <c r="M2122" s="907"/>
      <c r="N2122" s="183"/>
      <c r="O2122" s="183"/>
      <c r="P2122" s="183"/>
      <c r="Q2122" s="183"/>
      <c r="R2122" s="183"/>
      <c r="S2122" s="183"/>
      <c r="T2122" s="183"/>
      <c r="U2122" s="183"/>
      <c r="V2122" s="183"/>
      <c r="W2122" s="183"/>
      <c r="X2122" s="183"/>
      <c r="Y2122" s="183"/>
      <c r="Z2122" s="183"/>
      <c r="AA2122" s="183"/>
      <c r="AB2122" s="183"/>
      <c r="AC2122" s="183"/>
    </row>
    <row r="2123" spans="2:29">
      <c r="B2123" s="191"/>
      <c r="D2123" s="183"/>
      <c r="G2123" s="183"/>
      <c r="H2123" s="183"/>
      <c r="J2123" s="907"/>
      <c r="K2123" s="907"/>
      <c r="L2123" s="907"/>
      <c r="M2123" s="907"/>
      <c r="N2123" s="183"/>
      <c r="O2123" s="183"/>
      <c r="P2123" s="183"/>
      <c r="Q2123" s="183"/>
      <c r="R2123" s="183"/>
      <c r="S2123" s="183"/>
      <c r="T2123" s="183"/>
      <c r="U2123" s="183"/>
      <c r="V2123" s="183"/>
      <c r="W2123" s="183"/>
      <c r="X2123" s="183"/>
      <c r="Y2123" s="183"/>
      <c r="Z2123" s="183"/>
      <c r="AA2123" s="183"/>
      <c r="AB2123" s="183"/>
      <c r="AC2123" s="183"/>
    </row>
    <row r="2124" spans="2:29">
      <c r="B2124" s="191"/>
      <c r="D2124" s="183"/>
      <c r="G2124" s="183"/>
      <c r="H2124" s="183"/>
      <c r="J2124" s="907"/>
      <c r="K2124" s="907"/>
      <c r="L2124" s="907"/>
      <c r="M2124" s="907"/>
      <c r="N2124" s="183"/>
      <c r="O2124" s="183"/>
      <c r="P2124" s="183"/>
      <c r="Q2124" s="183"/>
      <c r="R2124" s="183"/>
      <c r="S2124" s="183"/>
      <c r="T2124" s="183"/>
      <c r="U2124" s="183"/>
      <c r="V2124" s="183"/>
      <c r="W2124" s="183"/>
      <c r="X2124" s="183"/>
      <c r="Y2124" s="183"/>
      <c r="Z2124" s="183"/>
      <c r="AA2124" s="183"/>
      <c r="AB2124" s="183"/>
      <c r="AC2124" s="183"/>
    </row>
    <row r="2125" spans="2:29">
      <c r="B2125" s="191"/>
      <c r="D2125" s="183"/>
      <c r="G2125" s="183"/>
      <c r="H2125" s="183"/>
      <c r="J2125" s="907"/>
      <c r="K2125" s="907"/>
      <c r="L2125" s="907"/>
      <c r="M2125" s="907"/>
      <c r="N2125" s="183"/>
      <c r="O2125" s="183"/>
      <c r="P2125" s="183"/>
      <c r="Q2125" s="183"/>
      <c r="R2125" s="183"/>
      <c r="S2125" s="183"/>
      <c r="T2125" s="183"/>
      <c r="U2125" s="183"/>
      <c r="V2125" s="183"/>
      <c r="W2125" s="183"/>
      <c r="X2125" s="183"/>
      <c r="Y2125" s="183"/>
      <c r="Z2125" s="183"/>
      <c r="AA2125" s="183"/>
      <c r="AB2125" s="183"/>
      <c r="AC2125" s="183"/>
    </row>
    <row r="2126" spans="2:29">
      <c r="B2126" s="191"/>
      <c r="D2126" s="183"/>
      <c r="G2126" s="183"/>
      <c r="H2126" s="183"/>
      <c r="J2126" s="907"/>
      <c r="K2126" s="907"/>
      <c r="L2126" s="907"/>
      <c r="M2126" s="907"/>
      <c r="N2126" s="183"/>
      <c r="O2126" s="183"/>
      <c r="P2126" s="183"/>
      <c r="Q2126" s="183"/>
      <c r="R2126" s="183"/>
      <c r="S2126" s="183"/>
      <c r="T2126" s="183"/>
      <c r="U2126" s="183"/>
      <c r="V2126" s="183"/>
      <c r="W2126" s="183"/>
      <c r="X2126" s="183"/>
      <c r="Y2126" s="183"/>
      <c r="Z2126" s="183"/>
      <c r="AA2126" s="183"/>
      <c r="AB2126" s="183"/>
      <c r="AC2126" s="183"/>
    </row>
    <row r="2127" spans="2:29">
      <c r="B2127" s="191"/>
      <c r="D2127" s="183"/>
      <c r="G2127" s="183"/>
      <c r="H2127" s="183"/>
      <c r="J2127" s="907"/>
      <c r="K2127" s="907"/>
      <c r="L2127" s="907"/>
      <c r="M2127" s="907"/>
      <c r="N2127" s="183"/>
      <c r="O2127" s="183"/>
      <c r="P2127" s="183"/>
      <c r="Q2127" s="183"/>
      <c r="R2127" s="183"/>
      <c r="S2127" s="183"/>
      <c r="T2127" s="183"/>
      <c r="U2127" s="183"/>
      <c r="V2127" s="183"/>
      <c r="W2127" s="183"/>
      <c r="X2127" s="183"/>
      <c r="Y2127" s="183"/>
      <c r="Z2127" s="183"/>
      <c r="AA2127" s="183"/>
      <c r="AB2127" s="183"/>
      <c r="AC2127" s="183"/>
    </row>
    <row r="2128" spans="2:29">
      <c r="B2128" s="191"/>
      <c r="D2128" s="183"/>
      <c r="G2128" s="183"/>
      <c r="H2128" s="183"/>
      <c r="J2128" s="907"/>
      <c r="K2128" s="907"/>
      <c r="L2128" s="907"/>
      <c r="M2128" s="907"/>
      <c r="N2128" s="183"/>
      <c r="O2128" s="183"/>
      <c r="P2128" s="183"/>
      <c r="Q2128" s="183"/>
      <c r="R2128" s="183"/>
      <c r="S2128" s="183"/>
      <c r="T2128" s="183"/>
      <c r="U2128" s="183"/>
      <c r="V2128" s="183"/>
      <c r="W2128" s="183"/>
      <c r="X2128" s="183"/>
      <c r="Y2128" s="183"/>
      <c r="Z2128" s="183"/>
      <c r="AA2128" s="183"/>
      <c r="AB2128" s="183"/>
      <c r="AC2128" s="183"/>
    </row>
    <row r="2129" spans="2:29">
      <c r="B2129" s="191"/>
      <c r="D2129" s="183"/>
      <c r="G2129" s="183"/>
      <c r="H2129" s="183"/>
      <c r="J2129" s="907"/>
      <c r="K2129" s="907"/>
      <c r="L2129" s="907"/>
      <c r="M2129" s="907"/>
      <c r="N2129" s="183"/>
      <c r="O2129" s="183"/>
      <c r="P2129" s="183"/>
      <c r="Q2129" s="183"/>
      <c r="R2129" s="183"/>
      <c r="S2129" s="183"/>
      <c r="T2129" s="183"/>
      <c r="U2129" s="183"/>
      <c r="V2129" s="183"/>
      <c r="W2129" s="183"/>
      <c r="X2129" s="183"/>
      <c r="Y2129" s="183"/>
      <c r="Z2129" s="183"/>
      <c r="AA2129" s="183"/>
      <c r="AB2129" s="183"/>
      <c r="AC2129" s="183"/>
    </row>
    <row r="2130" spans="2:29">
      <c r="B2130" s="191"/>
      <c r="D2130" s="183"/>
      <c r="G2130" s="183"/>
      <c r="H2130" s="183"/>
      <c r="J2130" s="907"/>
      <c r="K2130" s="907"/>
      <c r="L2130" s="907"/>
      <c r="M2130" s="907"/>
      <c r="N2130" s="183"/>
      <c r="O2130" s="183"/>
      <c r="P2130" s="183"/>
      <c r="Q2130" s="183"/>
      <c r="R2130" s="183"/>
      <c r="S2130" s="183"/>
      <c r="T2130" s="183"/>
      <c r="U2130" s="183"/>
      <c r="V2130" s="183"/>
      <c r="W2130" s="183"/>
      <c r="X2130" s="183"/>
      <c r="Y2130" s="183"/>
      <c r="Z2130" s="183"/>
      <c r="AA2130" s="183"/>
      <c r="AB2130" s="183"/>
      <c r="AC2130" s="183"/>
    </row>
    <row r="2131" spans="2:29">
      <c r="B2131" s="191"/>
      <c r="D2131" s="183"/>
      <c r="G2131" s="183"/>
      <c r="H2131" s="183"/>
      <c r="J2131" s="907"/>
      <c r="K2131" s="907"/>
      <c r="L2131" s="907"/>
      <c r="M2131" s="907"/>
      <c r="N2131" s="183"/>
      <c r="O2131" s="183"/>
      <c r="P2131" s="183"/>
      <c r="Q2131" s="183"/>
      <c r="R2131" s="183"/>
      <c r="S2131" s="183"/>
      <c r="T2131" s="183"/>
      <c r="U2131" s="183"/>
      <c r="V2131" s="183"/>
      <c r="W2131" s="183"/>
      <c r="X2131" s="183"/>
      <c r="Y2131" s="183"/>
      <c r="Z2131" s="183"/>
      <c r="AA2131" s="183"/>
      <c r="AB2131" s="183"/>
      <c r="AC2131" s="183"/>
    </row>
    <row r="2132" spans="2:29">
      <c r="B2132" s="191"/>
      <c r="D2132" s="183"/>
      <c r="G2132" s="183"/>
      <c r="H2132" s="183"/>
      <c r="J2132" s="907"/>
      <c r="K2132" s="907"/>
      <c r="L2132" s="907"/>
      <c r="M2132" s="907"/>
      <c r="N2132" s="183"/>
      <c r="O2132" s="183"/>
      <c r="P2132" s="183"/>
      <c r="Q2132" s="183"/>
      <c r="R2132" s="183"/>
      <c r="S2132" s="183"/>
      <c r="T2132" s="183"/>
      <c r="U2132" s="183"/>
      <c r="V2132" s="183"/>
      <c r="W2132" s="183"/>
      <c r="X2132" s="183"/>
      <c r="Y2132" s="183"/>
      <c r="Z2132" s="183"/>
      <c r="AA2132" s="183"/>
      <c r="AB2132" s="183"/>
      <c r="AC2132" s="183"/>
    </row>
    <row r="2133" spans="2:29">
      <c r="B2133" s="191"/>
      <c r="D2133" s="183"/>
      <c r="G2133" s="183"/>
      <c r="H2133" s="183"/>
      <c r="J2133" s="907"/>
      <c r="K2133" s="907"/>
      <c r="L2133" s="907"/>
      <c r="M2133" s="907"/>
      <c r="N2133" s="183"/>
      <c r="O2133" s="183"/>
      <c r="P2133" s="183"/>
      <c r="Q2133" s="183"/>
      <c r="R2133" s="183"/>
      <c r="S2133" s="183"/>
      <c r="T2133" s="183"/>
      <c r="U2133" s="183"/>
      <c r="V2133" s="183"/>
      <c r="W2133" s="183"/>
      <c r="X2133" s="183"/>
      <c r="Y2133" s="183"/>
      <c r="Z2133" s="183"/>
      <c r="AA2133" s="183"/>
      <c r="AB2133" s="183"/>
      <c r="AC2133" s="183"/>
    </row>
    <row r="2134" spans="2:29">
      <c r="B2134" s="191"/>
      <c r="D2134" s="183"/>
      <c r="G2134" s="183"/>
      <c r="H2134" s="183"/>
      <c r="J2134" s="907"/>
      <c r="K2134" s="907"/>
      <c r="L2134" s="907"/>
      <c r="M2134" s="907"/>
      <c r="N2134" s="183"/>
      <c r="O2134" s="183"/>
      <c r="P2134" s="183"/>
      <c r="Q2134" s="183"/>
      <c r="R2134" s="183"/>
      <c r="S2134" s="183"/>
      <c r="T2134" s="183"/>
      <c r="U2134" s="183"/>
      <c r="V2134" s="183"/>
      <c r="W2134" s="183"/>
      <c r="X2134" s="183"/>
      <c r="Y2134" s="183"/>
      <c r="Z2134" s="183"/>
      <c r="AA2134" s="183"/>
      <c r="AB2134" s="183"/>
      <c r="AC2134" s="183"/>
    </row>
    <row r="2135" spans="2:29">
      <c r="B2135" s="191"/>
      <c r="D2135" s="183"/>
      <c r="G2135" s="183"/>
      <c r="H2135" s="183"/>
      <c r="J2135" s="907"/>
      <c r="K2135" s="907"/>
      <c r="L2135" s="907"/>
      <c r="M2135" s="907"/>
      <c r="N2135" s="183"/>
      <c r="O2135" s="183"/>
      <c r="P2135" s="183"/>
      <c r="Q2135" s="183"/>
      <c r="R2135" s="183"/>
      <c r="S2135" s="183"/>
      <c r="T2135" s="183"/>
      <c r="U2135" s="183"/>
      <c r="V2135" s="183"/>
      <c r="W2135" s="183"/>
      <c r="X2135" s="183"/>
      <c r="Y2135" s="183"/>
      <c r="Z2135" s="183"/>
      <c r="AA2135" s="183"/>
      <c r="AB2135" s="183"/>
      <c r="AC2135" s="183"/>
    </row>
    <row r="2136" spans="2:29">
      <c r="B2136" s="191"/>
      <c r="D2136" s="183"/>
      <c r="G2136" s="183"/>
      <c r="H2136" s="183"/>
      <c r="J2136" s="907"/>
      <c r="K2136" s="907"/>
      <c r="L2136" s="907"/>
      <c r="M2136" s="907"/>
      <c r="N2136" s="183"/>
      <c r="O2136" s="183"/>
      <c r="P2136" s="183"/>
      <c r="Q2136" s="183"/>
      <c r="R2136" s="183"/>
      <c r="S2136" s="183"/>
      <c r="T2136" s="183"/>
      <c r="U2136" s="183"/>
      <c r="V2136" s="183"/>
      <c r="W2136" s="183"/>
      <c r="X2136" s="183"/>
      <c r="Y2136" s="183"/>
      <c r="Z2136" s="183"/>
      <c r="AA2136" s="183"/>
      <c r="AB2136" s="183"/>
      <c r="AC2136" s="183"/>
    </row>
    <row r="2137" spans="2:29">
      <c r="B2137" s="191"/>
      <c r="D2137" s="183"/>
      <c r="G2137" s="183"/>
      <c r="H2137" s="183"/>
      <c r="J2137" s="907"/>
      <c r="K2137" s="907"/>
      <c r="L2137" s="907"/>
      <c r="M2137" s="907"/>
      <c r="N2137" s="183"/>
      <c r="O2137" s="183"/>
      <c r="P2137" s="183"/>
      <c r="Q2137" s="183"/>
      <c r="R2137" s="183"/>
      <c r="S2137" s="183"/>
      <c r="T2137" s="183"/>
      <c r="U2137" s="183"/>
      <c r="V2137" s="183"/>
      <c r="W2137" s="183"/>
      <c r="X2137" s="183"/>
      <c r="Y2137" s="183"/>
      <c r="Z2137" s="183"/>
      <c r="AA2137" s="183"/>
      <c r="AB2137" s="183"/>
      <c r="AC2137" s="183"/>
    </row>
    <row r="2138" spans="2:29">
      <c r="B2138" s="191"/>
      <c r="D2138" s="183"/>
      <c r="G2138" s="183"/>
      <c r="H2138" s="183"/>
      <c r="J2138" s="907"/>
      <c r="K2138" s="907"/>
      <c r="L2138" s="907"/>
      <c r="M2138" s="907"/>
      <c r="N2138" s="183"/>
      <c r="O2138" s="183"/>
      <c r="P2138" s="183"/>
      <c r="Q2138" s="183"/>
      <c r="R2138" s="183"/>
      <c r="S2138" s="183"/>
      <c r="T2138" s="183"/>
      <c r="U2138" s="183"/>
      <c r="V2138" s="183"/>
      <c r="W2138" s="183"/>
      <c r="X2138" s="183"/>
      <c r="Y2138" s="183"/>
      <c r="Z2138" s="183"/>
      <c r="AA2138" s="183"/>
      <c r="AB2138" s="183"/>
      <c r="AC2138" s="183"/>
    </row>
    <row r="2139" spans="2:29">
      <c r="B2139" s="191"/>
      <c r="D2139" s="183"/>
      <c r="G2139" s="183"/>
      <c r="H2139" s="183"/>
      <c r="J2139" s="907"/>
      <c r="K2139" s="907"/>
      <c r="L2139" s="907"/>
      <c r="M2139" s="907"/>
      <c r="N2139" s="183"/>
      <c r="O2139" s="183"/>
      <c r="P2139" s="183"/>
      <c r="Q2139" s="183"/>
      <c r="R2139" s="183"/>
      <c r="S2139" s="183"/>
      <c r="T2139" s="183"/>
      <c r="U2139" s="183"/>
      <c r="V2139" s="183"/>
      <c r="W2139" s="183"/>
      <c r="X2139" s="183"/>
      <c r="Y2139" s="183"/>
      <c r="Z2139" s="183"/>
      <c r="AA2139" s="183"/>
      <c r="AB2139" s="183"/>
      <c r="AC2139" s="183"/>
    </row>
    <row r="2140" spans="2:29">
      <c r="B2140" s="191"/>
      <c r="D2140" s="183"/>
      <c r="G2140" s="183"/>
      <c r="H2140" s="183"/>
      <c r="J2140" s="907"/>
      <c r="K2140" s="907"/>
      <c r="L2140" s="907"/>
      <c r="M2140" s="907"/>
      <c r="N2140" s="183"/>
      <c r="O2140" s="183"/>
      <c r="P2140" s="183"/>
      <c r="Q2140" s="183"/>
      <c r="R2140" s="183"/>
      <c r="S2140" s="183"/>
      <c r="T2140" s="183"/>
      <c r="U2140" s="183"/>
      <c r="V2140" s="183"/>
      <c r="W2140" s="183"/>
      <c r="X2140" s="183"/>
      <c r="Y2140" s="183"/>
      <c r="Z2140" s="183"/>
      <c r="AA2140" s="183"/>
      <c r="AB2140" s="183"/>
      <c r="AC2140" s="183"/>
    </row>
    <row r="2141" spans="2:29">
      <c r="B2141" s="191"/>
      <c r="D2141" s="183"/>
      <c r="G2141" s="183"/>
      <c r="H2141" s="183"/>
      <c r="J2141" s="907"/>
      <c r="K2141" s="907"/>
      <c r="L2141" s="907"/>
      <c r="M2141" s="907"/>
      <c r="N2141" s="183"/>
      <c r="O2141" s="183"/>
      <c r="P2141" s="183"/>
      <c r="Q2141" s="183"/>
      <c r="R2141" s="183"/>
      <c r="S2141" s="183"/>
      <c r="T2141" s="183"/>
      <c r="U2141" s="183"/>
      <c r="V2141" s="183"/>
      <c r="W2141" s="183"/>
      <c r="X2141" s="183"/>
      <c r="Y2141" s="183"/>
      <c r="Z2141" s="183"/>
      <c r="AA2141" s="183"/>
      <c r="AB2141" s="183"/>
      <c r="AC2141" s="183"/>
    </row>
    <row r="2142" spans="2:29">
      <c r="B2142" s="191"/>
      <c r="D2142" s="183"/>
      <c r="G2142" s="183"/>
      <c r="H2142" s="183"/>
      <c r="J2142" s="907"/>
      <c r="K2142" s="907"/>
      <c r="L2142" s="907"/>
      <c r="M2142" s="907"/>
      <c r="N2142" s="183"/>
      <c r="O2142" s="183"/>
      <c r="P2142" s="183"/>
      <c r="Q2142" s="183"/>
      <c r="R2142" s="183"/>
      <c r="S2142" s="183"/>
      <c r="T2142" s="183"/>
      <c r="U2142" s="183"/>
      <c r="V2142" s="183"/>
      <c r="W2142" s="183"/>
      <c r="X2142" s="183"/>
      <c r="Y2142" s="183"/>
      <c r="Z2142" s="183"/>
      <c r="AA2142" s="183"/>
      <c r="AB2142" s="183"/>
      <c r="AC2142" s="183"/>
    </row>
    <row r="2143" spans="2:29">
      <c r="B2143" s="191"/>
      <c r="D2143" s="183"/>
      <c r="G2143" s="183"/>
      <c r="H2143" s="183"/>
      <c r="J2143" s="907"/>
      <c r="K2143" s="907"/>
      <c r="L2143" s="907"/>
      <c r="M2143" s="907"/>
      <c r="N2143" s="183"/>
      <c r="O2143" s="183"/>
      <c r="P2143" s="183"/>
      <c r="Q2143" s="183"/>
      <c r="R2143" s="183"/>
      <c r="S2143" s="183"/>
      <c r="T2143" s="183"/>
      <c r="U2143" s="183"/>
      <c r="V2143" s="183"/>
      <c r="W2143" s="183"/>
      <c r="X2143" s="183"/>
      <c r="Y2143" s="183"/>
      <c r="Z2143" s="183"/>
      <c r="AA2143" s="183"/>
      <c r="AB2143" s="183"/>
      <c r="AC2143" s="183"/>
    </row>
    <row r="2144" spans="2:29">
      <c r="B2144" s="191"/>
      <c r="D2144" s="183"/>
      <c r="G2144" s="183"/>
      <c r="H2144" s="183"/>
      <c r="J2144" s="907"/>
      <c r="K2144" s="907"/>
      <c r="L2144" s="907"/>
      <c r="M2144" s="907"/>
      <c r="N2144" s="183"/>
      <c r="O2144" s="183"/>
      <c r="P2144" s="183"/>
      <c r="Q2144" s="183"/>
      <c r="R2144" s="183"/>
      <c r="S2144" s="183"/>
      <c r="T2144" s="183"/>
      <c r="U2144" s="183"/>
      <c r="V2144" s="183"/>
      <c r="W2144" s="183"/>
      <c r="X2144" s="183"/>
      <c r="Y2144" s="183"/>
      <c r="Z2144" s="183"/>
      <c r="AA2144" s="183"/>
      <c r="AB2144" s="183"/>
      <c r="AC2144" s="183"/>
    </row>
    <row r="2145" spans="2:29">
      <c r="B2145" s="191"/>
      <c r="D2145" s="183"/>
      <c r="G2145" s="183"/>
      <c r="H2145" s="183"/>
      <c r="J2145" s="907"/>
      <c r="K2145" s="907"/>
      <c r="L2145" s="907"/>
      <c r="M2145" s="907"/>
      <c r="N2145" s="183"/>
      <c r="O2145" s="183"/>
      <c r="P2145" s="183"/>
      <c r="Q2145" s="183"/>
      <c r="R2145" s="183"/>
      <c r="S2145" s="183"/>
      <c r="T2145" s="183"/>
      <c r="U2145" s="183"/>
      <c r="V2145" s="183"/>
      <c r="W2145" s="183"/>
      <c r="X2145" s="183"/>
      <c r="Y2145" s="183"/>
      <c r="Z2145" s="183"/>
      <c r="AA2145" s="183"/>
      <c r="AB2145" s="183"/>
      <c r="AC2145" s="183"/>
    </row>
    <row r="2146" spans="2:29">
      <c r="B2146" s="191"/>
      <c r="D2146" s="183"/>
      <c r="G2146" s="183"/>
      <c r="H2146" s="183"/>
      <c r="J2146" s="907"/>
      <c r="K2146" s="907"/>
      <c r="L2146" s="907"/>
      <c r="M2146" s="907"/>
      <c r="N2146" s="183"/>
      <c r="O2146" s="183"/>
      <c r="P2146" s="183"/>
      <c r="Q2146" s="183"/>
      <c r="R2146" s="183"/>
      <c r="S2146" s="183"/>
      <c r="T2146" s="183"/>
      <c r="U2146" s="183"/>
      <c r="V2146" s="183"/>
      <c r="W2146" s="183"/>
      <c r="X2146" s="183"/>
      <c r="Y2146" s="183"/>
      <c r="Z2146" s="183"/>
      <c r="AA2146" s="183"/>
      <c r="AB2146" s="183"/>
      <c r="AC2146" s="183"/>
    </row>
    <row r="2147" spans="2:29">
      <c r="B2147" s="191"/>
      <c r="D2147" s="183"/>
      <c r="G2147" s="183"/>
      <c r="H2147" s="183"/>
      <c r="J2147" s="907"/>
      <c r="K2147" s="907"/>
      <c r="L2147" s="907"/>
      <c r="M2147" s="907"/>
      <c r="N2147" s="183"/>
      <c r="O2147" s="183"/>
      <c r="P2147" s="183"/>
      <c r="Q2147" s="183"/>
      <c r="R2147" s="183"/>
      <c r="S2147" s="183"/>
      <c r="T2147" s="183"/>
      <c r="U2147" s="183"/>
      <c r="V2147" s="183"/>
      <c r="W2147" s="183"/>
      <c r="X2147" s="183"/>
      <c r="Y2147" s="183"/>
      <c r="Z2147" s="183"/>
      <c r="AA2147" s="183"/>
      <c r="AB2147" s="183"/>
      <c r="AC2147" s="183"/>
    </row>
    <row r="2148" spans="2:29">
      <c r="B2148" s="191"/>
      <c r="D2148" s="183"/>
      <c r="G2148" s="183"/>
      <c r="H2148" s="183"/>
      <c r="J2148" s="907"/>
      <c r="K2148" s="907"/>
      <c r="L2148" s="907"/>
      <c r="M2148" s="907"/>
      <c r="N2148" s="183"/>
      <c r="O2148" s="183"/>
      <c r="P2148" s="183"/>
      <c r="Q2148" s="183"/>
      <c r="R2148" s="183"/>
      <c r="S2148" s="183"/>
      <c r="T2148" s="183"/>
      <c r="U2148" s="183"/>
      <c r="V2148" s="183"/>
      <c r="W2148" s="183"/>
      <c r="X2148" s="183"/>
      <c r="Y2148" s="183"/>
      <c r="Z2148" s="183"/>
      <c r="AA2148" s="183"/>
      <c r="AB2148" s="183"/>
      <c r="AC2148" s="183"/>
    </row>
    <row r="2149" spans="2:29">
      <c r="B2149" s="191"/>
      <c r="D2149" s="183"/>
      <c r="G2149" s="183"/>
      <c r="H2149" s="183"/>
      <c r="J2149" s="907"/>
      <c r="K2149" s="907"/>
      <c r="L2149" s="907"/>
      <c r="M2149" s="907"/>
      <c r="N2149" s="183"/>
      <c r="O2149" s="183"/>
      <c r="P2149" s="183"/>
      <c r="Q2149" s="183"/>
      <c r="R2149" s="183"/>
      <c r="S2149" s="183"/>
      <c r="T2149" s="183"/>
      <c r="U2149" s="183"/>
      <c r="V2149" s="183"/>
      <c r="W2149" s="183"/>
      <c r="X2149" s="183"/>
      <c r="Y2149" s="183"/>
      <c r="Z2149" s="183"/>
      <c r="AA2149" s="183"/>
      <c r="AB2149" s="183"/>
      <c r="AC2149" s="183"/>
    </row>
    <row r="2150" spans="2:29">
      <c r="B2150" s="191"/>
      <c r="D2150" s="183"/>
      <c r="G2150" s="183"/>
      <c r="H2150" s="183"/>
      <c r="J2150" s="907"/>
      <c r="K2150" s="907"/>
      <c r="L2150" s="907"/>
      <c r="M2150" s="907"/>
      <c r="N2150" s="183"/>
      <c r="O2150" s="183"/>
      <c r="P2150" s="183"/>
      <c r="Q2150" s="183"/>
      <c r="R2150" s="183"/>
      <c r="S2150" s="183"/>
      <c r="T2150" s="183"/>
      <c r="U2150" s="183"/>
      <c r="V2150" s="183"/>
      <c r="W2150" s="183"/>
      <c r="X2150" s="183"/>
      <c r="Y2150" s="183"/>
      <c r="Z2150" s="183"/>
      <c r="AA2150" s="183"/>
      <c r="AB2150" s="183"/>
      <c r="AC2150" s="183"/>
    </row>
    <row r="2151" spans="2:29">
      <c r="B2151" s="191"/>
      <c r="D2151" s="183"/>
      <c r="G2151" s="183"/>
      <c r="H2151" s="183"/>
      <c r="J2151" s="907"/>
      <c r="K2151" s="907"/>
      <c r="L2151" s="907"/>
      <c r="M2151" s="907"/>
      <c r="N2151" s="183"/>
      <c r="O2151" s="183"/>
      <c r="P2151" s="183"/>
      <c r="Q2151" s="183"/>
      <c r="R2151" s="183"/>
      <c r="S2151" s="183"/>
      <c r="T2151" s="183"/>
      <c r="U2151" s="183"/>
      <c r="V2151" s="183"/>
      <c r="W2151" s="183"/>
      <c r="X2151" s="183"/>
      <c r="Y2151" s="183"/>
      <c r="Z2151" s="183"/>
      <c r="AA2151" s="183"/>
      <c r="AB2151" s="183"/>
      <c r="AC2151" s="183"/>
    </row>
    <row r="2152" spans="2:29">
      <c r="B2152" s="191"/>
      <c r="D2152" s="183"/>
      <c r="G2152" s="183"/>
      <c r="H2152" s="183"/>
      <c r="J2152" s="907"/>
      <c r="K2152" s="907"/>
      <c r="L2152" s="907"/>
      <c r="M2152" s="907"/>
      <c r="N2152" s="183"/>
      <c r="O2152" s="183"/>
      <c r="P2152" s="183"/>
      <c r="Q2152" s="183"/>
      <c r="R2152" s="183"/>
      <c r="S2152" s="183"/>
      <c r="T2152" s="183"/>
      <c r="U2152" s="183"/>
      <c r="V2152" s="183"/>
      <c r="W2152" s="183"/>
      <c r="X2152" s="183"/>
      <c r="Y2152" s="183"/>
      <c r="Z2152" s="183"/>
      <c r="AA2152" s="183"/>
      <c r="AB2152" s="183"/>
      <c r="AC2152" s="183"/>
    </row>
    <row r="2153" spans="2:29">
      <c r="B2153" s="191"/>
      <c r="D2153" s="183"/>
      <c r="G2153" s="183"/>
      <c r="H2153" s="183"/>
      <c r="J2153" s="907"/>
      <c r="K2153" s="907"/>
      <c r="L2153" s="907"/>
      <c r="M2153" s="907"/>
      <c r="N2153" s="183"/>
      <c r="O2153" s="183"/>
      <c r="P2153" s="183"/>
      <c r="Q2153" s="183"/>
      <c r="R2153" s="183"/>
      <c r="S2153" s="183"/>
      <c r="T2153" s="183"/>
      <c r="U2153" s="183"/>
      <c r="V2153" s="183"/>
      <c r="W2153" s="183"/>
      <c r="X2153" s="183"/>
      <c r="Y2153" s="183"/>
      <c r="Z2153" s="183"/>
      <c r="AA2153" s="183"/>
      <c r="AB2153" s="183"/>
      <c r="AC2153" s="183"/>
    </row>
    <row r="2154" spans="2:29">
      <c r="B2154" s="191"/>
      <c r="D2154" s="183"/>
      <c r="G2154" s="183"/>
      <c r="H2154" s="183"/>
      <c r="J2154" s="907"/>
      <c r="K2154" s="907"/>
      <c r="L2154" s="907"/>
      <c r="M2154" s="907"/>
      <c r="N2154" s="183"/>
      <c r="O2154" s="183"/>
      <c r="P2154" s="183"/>
      <c r="Q2154" s="183"/>
      <c r="R2154" s="183"/>
      <c r="S2154" s="183"/>
      <c r="T2154" s="183"/>
      <c r="U2154" s="183"/>
      <c r="V2154" s="183"/>
      <c r="W2154" s="183"/>
      <c r="X2154" s="183"/>
      <c r="Y2154" s="183"/>
      <c r="Z2154" s="183"/>
      <c r="AA2154" s="183"/>
      <c r="AB2154" s="183"/>
      <c r="AC2154" s="183"/>
    </row>
    <row r="2155" spans="2:29">
      <c r="B2155" s="191"/>
      <c r="D2155" s="183"/>
      <c r="G2155" s="183"/>
      <c r="H2155" s="183"/>
      <c r="J2155" s="907"/>
      <c r="K2155" s="907"/>
      <c r="L2155" s="907"/>
      <c r="M2155" s="907"/>
      <c r="N2155" s="183"/>
      <c r="O2155" s="183"/>
      <c r="P2155" s="183"/>
      <c r="Q2155" s="183"/>
      <c r="R2155" s="183"/>
      <c r="S2155" s="183"/>
      <c r="T2155" s="183"/>
      <c r="U2155" s="183"/>
      <c r="V2155" s="183"/>
      <c r="W2155" s="183"/>
      <c r="X2155" s="183"/>
      <c r="Y2155" s="183"/>
      <c r="Z2155" s="183"/>
      <c r="AA2155" s="183"/>
      <c r="AB2155" s="183"/>
      <c r="AC2155" s="183"/>
    </row>
    <row r="2156" spans="2:29">
      <c r="B2156" s="191"/>
      <c r="D2156" s="183"/>
      <c r="G2156" s="183"/>
      <c r="H2156" s="183"/>
      <c r="J2156" s="907"/>
      <c r="K2156" s="907"/>
      <c r="L2156" s="907"/>
      <c r="M2156" s="907"/>
      <c r="N2156" s="183"/>
      <c r="O2156" s="183"/>
      <c r="P2156" s="183"/>
      <c r="Q2156" s="183"/>
      <c r="R2156" s="183"/>
      <c r="S2156" s="183"/>
      <c r="T2156" s="183"/>
      <c r="U2156" s="183"/>
      <c r="V2156" s="183"/>
      <c r="W2156" s="183"/>
      <c r="X2156" s="183"/>
      <c r="Y2156" s="183"/>
      <c r="Z2156" s="183"/>
      <c r="AA2156" s="183"/>
      <c r="AB2156" s="183"/>
      <c r="AC2156" s="183"/>
    </row>
    <row r="2157" spans="2:29">
      <c r="B2157" s="191"/>
      <c r="D2157" s="183"/>
      <c r="G2157" s="183"/>
      <c r="H2157" s="183"/>
      <c r="J2157" s="907"/>
      <c r="K2157" s="907"/>
      <c r="L2157" s="907"/>
      <c r="M2157" s="907"/>
      <c r="N2157" s="183"/>
      <c r="O2157" s="183"/>
      <c r="P2157" s="183"/>
      <c r="Q2157" s="183"/>
      <c r="R2157" s="183"/>
      <c r="S2157" s="183"/>
      <c r="T2157" s="183"/>
      <c r="U2157" s="183"/>
      <c r="V2157" s="183"/>
      <c r="W2157" s="183"/>
      <c r="X2157" s="183"/>
      <c r="Y2157" s="183"/>
      <c r="Z2157" s="183"/>
      <c r="AA2157" s="183"/>
      <c r="AB2157" s="183"/>
      <c r="AC2157" s="183"/>
    </row>
    <row r="2158" spans="2:29">
      <c r="B2158" s="191"/>
      <c r="D2158" s="183"/>
      <c r="G2158" s="183"/>
      <c r="H2158" s="183"/>
      <c r="J2158" s="907"/>
      <c r="K2158" s="907"/>
      <c r="L2158" s="907"/>
      <c r="M2158" s="907"/>
      <c r="N2158" s="183"/>
      <c r="O2158" s="183"/>
      <c r="P2158" s="183"/>
      <c r="Q2158" s="183"/>
      <c r="R2158" s="183"/>
      <c r="S2158" s="183"/>
      <c r="T2158" s="183"/>
      <c r="U2158" s="183"/>
      <c r="V2158" s="183"/>
      <c r="W2158" s="183"/>
      <c r="X2158" s="183"/>
      <c r="Y2158" s="183"/>
      <c r="Z2158" s="183"/>
      <c r="AA2158" s="183"/>
      <c r="AB2158" s="183"/>
      <c r="AC2158" s="183"/>
    </row>
    <row r="2159" spans="2:29">
      <c r="B2159" s="191"/>
      <c r="D2159" s="183"/>
      <c r="G2159" s="183"/>
      <c r="H2159" s="183"/>
      <c r="J2159" s="907"/>
      <c r="K2159" s="907"/>
      <c r="L2159" s="907"/>
      <c r="M2159" s="907"/>
      <c r="N2159" s="183"/>
      <c r="O2159" s="183"/>
      <c r="P2159" s="183"/>
      <c r="Q2159" s="183"/>
      <c r="R2159" s="183"/>
      <c r="S2159" s="183"/>
      <c r="T2159" s="183"/>
      <c r="U2159" s="183"/>
      <c r="V2159" s="183"/>
      <c r="W2159" s="183"/>
      <c r="X2159" s="183"/>
      <c r="Y2159" s="183"/>
      <c r="Z2159" s="183"/>
      <c r="AA2159" s="183"/>
      <c r="AB2159" s="183"/>
      <c r="AC2159" s="183"/>
    </row>
    <row r="2160" spans="2:29">
      <c r="B2160" s="191"/>
      <c r="D2160" s="183"/>
      <c r="G2160" s="183"/>
      <c r="H2160" s="183"/>
      <c r="J2160" s="907"/>
      <c r="K2160" s="907"/>
      <c r="L2160" s="907"/>
      <c r="M2160" s="907"/>
      <c r="N2160" s="183"/>
      <c r="O2160" s="183"/>
      <c r="P2160" s="183"/>
      <c r="Q2160" s="183"/>
      <c r="R2160" s="183"/>
      <c r="S2160" s="183"/>
      <c r="T2160" s="183"/>
      <c r="U2160" s="183"/>
      <c r="V2160" s="183"/>
      <c r="W2160" s="183"/>
      <c r="X2160" s="183"/>
      <c r="Y2160" s="183"/>
      <c r="Z2160" s="183"/>
      <c r="AA2160" s="183"/>
      <c r="AB2160" s="183"/>
      <c r="AC2160" s="183"/>
    </row>
    <row r="2161" spans="2:29">
      <c r="B2161" s="191"/>
      <c r="D2161" s="183"/>
      <c r="G2161" s="183"/>
      <c r="H2161" s="183"/>
      <c r="J2161" s="907"/>
      <c r="K2161" s="907"/>
      <c r="L2161" s="907"/>
      <c r="M2161" s="907"/>
      <c r="N2161" s="183"/>
      <c r="O2161" s="183"/>
      <c r="P2161" s="183"/>
      <c r="Q2161" s="183"/>
      <c r="R2161" s="183"/>
      <c r="S2161" s="183"/>
      <c r="T2161" s="183"/>
      <c r="U2161" s="183"/>
      <c r="V2161" s="183"/>
      <c r="W2161" s="183"/>
      <c r="X2161" s="183"/>
      <c r="Y2161" s="183"/>
      <c r="Z2161" s="183"/>
      <c r="AA2161" s="183"/>
      <c r="AB2161" s="183"/>
      <c r="AC2161" s="183"/>
    </row>
    <row r="2162" spans="2:29">
      <c r="B2162" s="191"/>
      <c r="D2162" s="183"/>
      <c r="G2162" s="183"/>
      <c r="H2162" s="183"/>
      <c r="J2162" s="907"/>
      <c r="K2162" s="907"/>
      <c r="L2162" s="907"/>
      <c r="M2162" s="907"/>
      <c r="N2162" s="183"/>
      <c r="O2162" s="183"/>
      <c r="P2162" s="183"/>
      <c r="Q2162" s="183"/>
      <c r="R2162" s="183"/>
      <c r="S2162" s="183"/>
      <c r="T2162" s="183"/>
      <c r="U2162" s="183"/>
      <c r="V2162" s="183"/>
      <c r="W2162" s="183"/>
      <c r="X2162" s="183"/>
      <c r="Y2162" s="183"/>
      <c r="Z2162" s="183"/>
      <c r="AA2162" s="183"/>
      <c r="AB2162" s="183"/>
      <c r="AC2162" s="183"/>
    </row>
    <row r="2163" spans="2:29">
      <c r="B2163" s="191"/>
      <c r="D2163" s="183"/>
      <c r="G2163" s="183"/>
      <c r="H2163" s="183"/>
      <c r="J2163" s="907"/>
      <c r="K2163" s="907"/>
      <c r="L2163" s="907"/>
      <c r="M2163" s="907"/>
      <c r="N2163" s="183"/>
      <c r="O2163" s="183"/>
      <c r="P2163" s="183"/>
      <c r="Q2163" s="183"/>
      <c r="R2163" s="183"/>
      <c r="S2163" s="183"/>
      <c r="T2163" s="183"/>
      <c r="U2163" s="183"/>
      <c r="V2163" s="183"/>
      <c r="W2163" s="183"/>
      <c r="X2163" s="183"/>
      <c r="Y2163" s="183"/>
      <c r="Z2163" s="183"/>
      <c r="AA2163" s="183"/>
      <c r="AB2163" s="183"/>
      <c r="AC2163" s="183"/>
    </row>
    <row r="2164" spans="2:29">
      <c r="B2164" s="191"/>
      <c r="D2164" s="183"/>
      <c r="G2164" s="183"/>
      <c r="H2164" s="183"/>
      <c r="J2164" s="907"/>
      <c r="K2164" s="907"/>
      <c r="L2164" s="907"/>
      <c r="M2164" s="907"/>
      <c r="N2164" s="183"/>
      <c r="O2164" s="183"/>
      <c r="P2164" s="183"/>
      <c r="Q2164" s="183"/>
      <c r="R2164" s="183"/>
      <c r="S2164" s="183"/>
      <c r="T2164" s="183"/>
      <c r="U2164" s="183"/>
      <c r="V2164" s="183"/>
      <c r="W2164" s="183"/>
      <c r="X2164" s="183"/>
      <c r="Y2164" s="183"/>
      <c r="Z2164" s="183"/>
      <c r="AA2164" s="183"/>
      <c r="AB2164" s="183"/>
      <c r="AC2164" s="183"/>
    </row>
    <row r="2165" spans="2:29">
      <c r="B2165" s="191"/>
      <c r="D2165" s="183"/>
      <c r="G2165" s="183"/>
      <c r="H2165" s="183"/>
      <c r="J2165" s="907"/>
      <c r="K2165" s="907"/>
      <c r="L2165" s="907"/>
      <c r="M2165" s="907"/>
      <c r="N2165" s="183"/>
      <c r="O2165" s="183"/>
      <c r="P2165" s="183"/>
      <c r="Q2165" s="183"/>
      <c r="R2165" s="183"/>
      <c r="S2165" s="183"/>
      <c r="T2165" s="183"/>
      <c r="U2165" s="183"/>
      <c r="V2165" s="183"/>
      <c r="W2165" s="183"/>
      <c r="X2165" s="183"/>
      <c r="Y2165" s="183"/>
      <c r="Z2165" s="183"/>
      <c r="AA2165" s="183"/>
      <c r="AB2165" s="183"/>
      <c r="AC2165" s="183"/>
    </row>
    <row r="2166" spans="2:29">
      <c r="B2166" s="191"/>
      <c r="D2166" s="183"/>
      <c r="G2166" s="183"/>
      <c r="H2166" s="183"/>
      <c r="J2166" s="907"/>
      <c r="K2166" s="907"/>
      <c r="L2166" s="907"/>
      <c r="M2166" s="907"/>
      <c r="N2166" s="183"/>
      <c r="O2166" s="183"/>
      <c r="P2166" s="183"/>
      <c r="Q2166" s="183"/>
      <c r="R2166" s="183"/>
      <c r="S2166" s="183"/>
      <c r="T2166" s="183"/>
      <c r="U2166" s="183"/>
      <c r="V2166" s="183"/>
      <c r="W2166" s="183"/>
      <c r="X2166" s="183"/>
      <c r="Y2166" s="183"/>
      <c r="Z2166" s="183"/>
      <c r="AA2166" s="183"/>
      <c r="AB2166" s="183"/>
      <c r="AC2166" s="183"/>
    </row>
    <row r="2167" spans="2:29">
      <c r="B2167" s="191"/>
      <c r="D2167" s="183"/>
      <c r="G2167" s="183"/>
      <c r="H2167" s="183"/>
      <c r="J2167" s="907"/>
      <c r="K2167" s="907"/>
      <c r="L2167" s="907"/>
      <c r="M2167" s="907"/>
      <c r="N2167" s="183"/>
      <c r="O2167" s="183"/>
      <c r="P2167" s="183"/>
      <c r="Q2167" s="183"/>
      <c r="R2167" s="183"/>
      <c r="S2167" s="183"/>
      <c r="T2167" s="183"/>
      <c r="U2167" s="183"/>
      <c r="V2167" s="183"/>
      <c r="W2167" s="183"/>
      <c r="X2167" s="183"/>
      <c r="Y2167" s="183"/>
      <c r="Z2167" s="183"/>
      <c r="AA2167" s="183"/>
      <c r="AB2167" s="183"/>
      <c r="AC2167" s="183"/>
    </row>
    <row r="2168" spans="2:29">
      <c r="B2168" s="191"/>
      <c r="D2168" s="183"/>
      <c r="G2168" s="183"/>
      <c r="H2168" s="183"/>
      <c r="J2168" s="907"/>
      <c r="K2168" s="907"/>
      <c r="L2168" s="907"/>
      <c r="M2168" s="907"/>
      <c r="N2168" s="183"/>
      <c r="O2168" s="183"/>
      <c r="P2168" s="183"/>
      <c r="Q2168" s="183"/>
      <c r="R2168" s="183"/>
      <c r="S2168" s="183"/>
      <c r="T2168" s="183"/>
      <c r="U2168" s="183"/>
      <c r="V2168" s="183"/>
      <c r="W2168" s="183"/>
      <c r="X2168" s="183"/>
      <c r="Y2168" s="183"/>
      <c r="Z2168" s="183"/>
      <c r="AA2168" s="183"/>
      <c r="AB2168" s="183"/>
      <c r="AC2168" s="183"/>
    </row>
    <row r="2169" spans="2:29">
      <c r="B2169" s="191"/>
      <c r="D2169" s="183"/>
      <c r="G2169" s="183"/>
      <c r="H2169" s="183"/>
      <c r="J2169" s="907"/>
      <c r="K2169" s="907"/>
      <c r="L2169" s="907"/>
      <c r="M2169" s="907"/>
      <c r="N2169" s="183"/>
      <c r="O2169" s="183"/>
      <c r="P2169" s="183"/>
      <c r="Q2169" s="183"/>
      <c r="R2169" s="183"/>
      <c r="S2169" s="183"/>
      <c r="T2169" s="183"/>
      <c r="U2169" s="183"/>
      <c r="V2169" s="183"/>
      <c r="W2169" s="183"/>
      <c r="X2169" s="183"/>
      <c r="Y2169" s="183"/>
      <c r="Z2169" s="183"/>
      <c r="AA2169" s="183"/>
      <c r="AB2169" s="183"/>
      <c r="AC2169" s="183"/>
    </row>
    <row r="2170" spans="2:29">
      <c r="B2170" s="191"/>
      <c r="D2170" s="183"/>
      <c r="G2170" s="183"/>
      <c r="H2170" s="183"/>
      <c r="J2170" s="907"/>
      <c r="K2170" s="907"/>
      <c r="L2170" s="907"/>
      <c r="M2170" s="907"/>
      <c r="N2170" s="183"/>
      <c r="O2170" s="183"/>
      <c r="P2170" s="183"/>
      <c r="Q2170" s="183"/>
      <c r="R2170" s="183"/>
      <c r="S2170" s="183"/>
      <c r="T2170" s="183"/>
      <c r="U2170" s="183"/>
      <c r="V2170" s="183"/>
      <c r="W2170" s="183"/>
      <c r="X2170" s="183"/>
      <c r="Y2170" s="183"/>
      <c r="Z2170" s="183"/>
      <c r="AA2170" s="183"/>
      <c r="AB2170" s="183"/>
      <c r="AC2170" s="183"/>
    </row>
    <row r="2171" spans="2:29">
      <c r="B2171" s="191"/>
      <c r="D2171" s="183"/>
      <c r="G2171" s="183"/>
      <c r="H2171" s="183"/>
      <c r="J2171" s="907"/>
      <c r="K2171" s="907"/>
      <c r="L2171" s="907"/>
      <c r="M2171" s="907"/>
      <c r="N2171" s="183"/>
      <c r="O2171" s="183"/>
      <c r="P2171" s="183"/>
      <c r="Q2171" s="183"/>
      <c r="R2171" s="183"/>
      <c r="S2171" s="183"/>
      <c r="T2171" s="183"/>
      <c r="U2171" s="183"/>
      <c r="V2171" s="183"/>
      <c r="W2171" s="183"/>
      <c r="X2171" s="183"/>
      <c r="Y2171" s="183"/>
      <c r="Z2171" s="183"/>
      <c r="AA2171" s="183"/>
      <c r="AB2171" s="183"/>
      <c r="AC2171" s="183"/>
    </row>
    <row r="2172" spans="2:29">
      <c r="B2172" s="191"/>
      <c r="D2172" s="183"/>
      <c r="G2172" s="183"/>
      <c r="H2172" s="183"/>
      <c r="J2172" s="907"/>
      <c r="K2172" s="907"/>
      <c r="L2172" s="907"/>
      <c r="M2172" s="907"/>
      <c r="N2172" s="183"/>
      <c r="O2172" s="183"/>
      <c r="P2172" s="183"/>
      <c r="Q2172" s="183"/>
      <c r="R2172" s="183"/>
      <c r="S2172" s="183"/>
      <c r="T2172" s="183"/>
      <c r="U2172" s="183"/>
      <c r="V2172" s="183"/>
      <c r="W2172" s="183"/>
      <c r="X2172" s="183"/>
      <c r="Y2172" s="183"/>
      <c r="Z2172" s="183"/>
      <c r="AA2172" s="183"/>
      <c r="AB2172" s="183"/>
      <c r="AC2172" s="183"/>
    </row>
    <row r="2173" spans="2:29">
      <c r="B2173" s="191"/>
      <c r="D2173" s="183"/>
      <c r="G2173" s="183"/>
      <c r="H2173" s="183"/>
      <c r="J2173" s="907"/>
      <c r="K2173" s="907"/>
      <c r="L2173" s="907"/>
      <c r="M2173" s="907"/>
      <c r="N2173" s="183"/>
      <c r="O2173" s="183"/>
      <c r="P2173" s="183"/>
      <c r="Q2173" s="183"/>
      <c r="R2173" s="183"/>
      <c r="S2173" s="183"/>
      <c r="T2173" s="183"/>
      <c r="U2173" s="183"/>
      <c r="V2173" s="183"/>
      <c r="W2173" s="183"/>
      <c r="X2173" s="183"/>
      <c r="Y2173" s="183"/>
      <c r="Z2173" s="183"/>
      <c r="AA2173" s="183"/>
      <c r="AB2173" s="183"/>
      <c r="AC2173" s="183"/>
    </row>
    <row r="2174" spans="2:29">
      <c r="B2174" s="191"/>
      <c r="D2174" s="183"/>
      <c r="G2174" s="183"/>
      <c r="H2174" s="183"/>
      <c r="J2174" s="907"/>
      <c r="K2174" s="907"/>
      <c r="L2174" s="907"/>
      <c r="M2174" s="907"/>
      <c r="N2174" s="183"/>
      <c r="O2174" s="183"/>
      <c r="P2174" s="183"/>
      <c r="Q2174" s="183"/>
      <c r="R2174" s="183"/>
      <c r="S2174" s="183"/>
      <c r="T2174" s="183"/>
      <c r="U2174" s="183"/>
      <c r="V2174" s="183"/>
      <c r="W2174" s="183"/>
      <c r="X2174" s="183"/>
      <c r="Y2174" s="183"/>
      <c r="Z2174" s="183"/>
      <c r="AA2174" s="183"/>
      <c r="AB2174" s="183"/>
      <c r="AC2174" s="183"/>
    </row>
    <row r="2175" spans="2:29">
      <c r="B2175" s="191"/>
      <c r="D2175" s="183"/>
      <c r="G2175" s="183"/>
      <c r="H2175" s="183"/>
      <c r="J2175" s="907"/>
      <c r="K2175" s="907"/>
      <c r="L2175" s="907"/>
      <c r="M2175" s="907"/>
      <c r="N2175" s="183"/>
      <c r="O2175" s="183"/>
      <c r="P2175" s="183"/>
      <c r="Q2175" s="183"/>
      <c r="R2175" s="183"/>
      <c r="S2175" s="183"/>
      <c r="T2175" s="183"/>
      <c r="U2175" s="183"/>
      <c r="V2175" s="183"/>
      <c r="W2175" s="183"/>
      <c r="X2175" s="183"/>
      <c r="Y2175" s="183"/>
      <c r="Z2175" s="183"/>
      <c r="AA2175" s="183"/>
      <c r="AB2175" s="183"/>
      <c r="AC2175" s="183"/>
    </row>
    <row r="2176" spans="2:29">
      <c r="B2176" s="191"/>
      <c r="D2176" s="183"/>
      <c r="G2176" s="183"/>
      <c r="H2176" s="183"/>
      <c r="J2176" s="907"/>
      <c r="K2176" s="907"/>
      <c r="L2176" s="907"/>
      <c r="M2176" s="907"/>
      <c r="N2176" s="183"/>
      <c r="O2176" s="183"/>
      <c r="P2176" s="183"/>
      <c r="Q2176" s="183"/>
      <c r="R2176" s="183"/>
      <c r="S2176" s="183"/>
      <c r="T2176" s="183"/>
      <c r="U2176" s="183"/>
      <c r="V2176" s="183"/>
      <c r="W2176" s="183"/>
      <c r="X2176" s="183"/>
      <c r="Y2176" s="183"/>
      <c r="Z2176" s="183"/>
      <c r="AA2176" s="183"/>
      <c r="AB2176" s="183"/>
      <c r="AC2176" s="183"/>
    </row>
    <row r="2177" spans="2:29">
      <c r="B2177" s="191"/>
      <c r="D2177" s="183"/>
      <c r="G2177" s="183"/>
      <c r="H2177" s="183"/>
      <c r="J2177" s="907"/>
      <c r="K2177" s="907"/>
      <c r="L2177" s="907"/>
      <c r="M2177" s="907"/>
      <c r="N2177" s="183"/>
      <c r="O2177" s="183"/>
      <c r="P2177" s="183"/>
      <c r="Q2177" s="183"/>
      <c r="R2177" s="183"/>
      <c r="S2177" s="183"/>
      <c r="T2177" s="183"/>
      <c r="U2177" s="183"/>
      <c r="V2177" s="183"/>
      <c r="W2177" s="183"/>
      <c r="X2177" s="183"/>
      <c r="Y2177" s="183"/>
      <c r="Z2177" s="183"/>
      <c r="AA2177" s="183"/>
      <c r="AB2177" s="183"/>
      <c r="AC2177" s="183"/>
    </row>
    <row r="2178" spans="2:29">
      <c r="B2178" s="191"/>
      <c r="D2178" s="183"/>
      <c r="G2178" s="183"/>
      <c r="H2178" s="183"/>
      <c r="J2178" s="907"/>
      <c r="K2178" s="907"/>
      <c r="L2178" s="907"/>
      <c r="M2178" s="907"/>
      <c r="N2178" s="183"/>
      <c r="O2178" s="183"/>
      <c r="P2178" s="183"/>
      <c r="Q2178" s="183"/>
      <c r="R2178" s="183"/>
      <c r="S2178" s="183"/>
      <c r="T2178" s="183"/>
      <c r="U2178" s="183"/>
      <c r="V2178" s="183"/>
      <c r="W2178" s="183"/>
      <c r="X2178" s="183"/>
      <c r="Y2178" s="183"/>
      <c r="Z2178" s="183"/>
      <c r="AA2178" s="183"/>
      <c r="AB2178" s="183"/>
      <c r="AC2178" s="183"/>
    </row>
    <row r="2179" spans="2:29">
      <c r="B2179" s="191"/>
      <c r="D2179" s="183"/>
      <c r="G2179" s="183"/>
      <c r="H2179" s="183"/>
      <c r="J2179" s="907"/>
      <c r="K2179" s="907"/>
      <c r="L2179" s="907"/>
      <c r="M2179" s="907"/>
      <c r="N2179" s="183"/>
      <c r="O2179" s="183"/>
      <c r="P2179" s="183"/>
      <c r="Q2179" s="183"/>
      <c r="R2179" s="183"/>
      <c r="S2179" s="183"/>
      <c r="T2179" s="183"/>
      <c r="U2179" s="183"/>
      <c r="V2179" s="183"/>
      <c r="W2179" s="183"/>
      <c r="X2179" s="183"/>
      <c r="Y2179" s="183"/>
      <c r="Z2179" s="183"/>
      <c r="AA2179" s="183"/>
      <c r="AB2179" s="183"/>
      <c r="AC2179" s="183"/>
    </row>
    <row r="2180" spans="2:29">
      <c r="B2180" s="191"/>
      <c r="D2180" s="183"/>
      <c r="G2180" s="183"/>
      <c r="H2180" s="183"/>
      <c r="J2180" s="907"/>
      <c r="K2180" s="907"/>
      <c r="L2180" s="907"/>
      <c r="M2180" s="907"/>
      <c r="N2180" s="183"/>
      <c r="O2180" s="183"/>
      <c r="P2180" s="183"/>
      <c r="Q2180" s="183"/>
      <c r="R2180" s="183"/>
      <c r="S2180" s="183"/>
      <c r="T2180" s="183"/>
      <c r="U2180" s="183"/>
      <c r="V2180" s="183"/>
      <c r="W2180" s="183"/>
      <c r="X2180" s="183"/>
      <c r="Y2180" s="183"/>
      <c r="Z2180" s="183"/>
      <c r="AA2180" s="183"/>
      <c r="AB2180" s="183"/>
      <c r="AC2180" s="183"/>
    </row>
    <row r="2181" spans="2:29">
      <c r="B2181" s="191"/>
      <c r="D2181" s="183"/>
      <c r="G2181" s="183"/>
      <c r="H2181" s="183"/>
      <c r="J2181" s="907"/>
      <c r="K2181" s="907"/>
      <c r="L2181" s="907"/>
      <c r="M2181" s="907"/>
      <c r="N2181" s="183"/>
      <c r="O2181" s="183"/>
      <c r="P2181" s="183"/>
      <c r="Q2181" s="183"/>
      <c r="R2181" s="183"/>
      <c r="S2181" s="183"/>
      <c r="T2181" s="183"/>
      <c r="U2181" s="183"/>
      <c r="V2181" s="183"/>
      <c r="W2181" s="183"/>
      <c r="X2181" s="183"/>
      <c r="Y2181" s="183"/>
      <c r="Z2181" s="183"/>
      <c r="AA2181" s="183"/>
      <c r="AB2181" s="183"/>
      <c r="AC2181" s="183"/>
    </row>
    <row r="2182" spans="2:29">
      <c r="B2182" s="191"/>
      <c r="D2182" s="183"/>
      <c r="G2182" s="183"/>
      <c r="H2182" s="183"/>
      <c r="J2182" s="907"/>
      <c r="K2182" s="907"/>
      <c r="L2182" s="907"/>
      <c r="M2182" s="907"/>
      <c r="N2182" s="183"/>
      <c r="O2182" s="183"/>
      <c r="P2182" s="183"/>
      <c r="Q2182" s="183"/>
      <c r="R2182" s="183"/>
      <c r="S2182" s="183"/>
      <c r="T2182" s="183"/>
      <c r="U2182" s="183"/>
      <c r="V2182" s="183"/>
      <c r="W2182" s="183"/>
      <c r="X2182" s="183"/>
      <c r="Y2182" s="183"/>
      <c r="Z2182" s="183"/>
      <c r="AA2182" s="183"/>
      <c r="AB2182" s="183"/>
      <c r="AC2182" s="183"/>
    </row>
    <row r="2183" spans="2:29">
      <c r="B2183" s="191"/>
      <c r="D2183" s="183"/>
      <c r="G2183" s="183"/>
      <c r="H2183" s="183"/>
      <c r="J2183" s="907"/>
      <c r="K2183" s="907"/>
      <c r="L2183" s="907"/>
      <c r="M2183" s="907"/>
      <c r="N2183" s="183"/>
      <c r="O2183" s="183"/>
      <c r="P2183" s="183"/>
      <c r="Q2183" s="183"/>
      <c r="R2183" s="183"/>
      <c r="S2183" s="183"/>
      <c r="T2183" s="183"/>
      <c r="U2183" s="183"/>
      <c r="V2183" s="183"/>
      <c r="W2183" s="183"/>
      <c r="X2183" s="183"/>
      <c r="Y2183" s="183"/>
      <c r="Z2183" s="183"/>
      <c r="AA2183" s="183"/>
      <c r="AB2183" s="183"/>
      <c r="AC2183" s="183"/>
    </row>
    <row r="2184" spans="2:29">
      <c r="B2184" s="191"/>
      <c r="D2184" s="183"/>
      <c r="G2184" s="183"/>
      <c r="H2184" s="183"/>
      <c r="J2184" s="907"/>
      <c r="K2184" s="907"/>
      <c r="L2184" s="907"/>
      <c r="M2184" s="907"/>
      <c r="N2184" s="183"/>
      <c r="O2184" s="183"/>
      <c r="P2184" s="183"/>
      <c r="Q2184" s="183"/>
      <c r="R2184" s="183"/>
      <c r="S2184" s="183"/>
      <c r="T2184" s="183"/>
      <c r="U2184" s="183"/>
      <c r="V2184" s="183"/>
      <c r="W2184" s="183"/>
      <c r="X2184" s="183"/>
      <c r="Y2184" s="183"/>
      <c r="Z2184" s="183"/>
      <c r="AA2184" s="183"/>
      <c r="AB2184" s="183"/>
      <c r="AC2184" s="183"/>
    </row>
    <row r="2185" spans="2:29">
      <c r="B2185" s="191"/>
      <c r="D2185" s="183"/>
      <c r="G2185" s="183"/>
      <c r="H2185" s="183"/>
      <c r="J2185" s="907"/>
      <c r="K2185" s="907"/>
      <c r="L2185" s="907"/>
      <c r="M2185" s="907"/>
      <c r="N2185" s="183"/>
      <c r="O2185" s="183"/>
      <c r="P2185" s="183"/>
      <c r="Q2185" s="183"/>
      <c r="R2185" s="183"/>
      <c r="S2185" s="183"/>
      <c r="T2185" s="183"/>
      <c r="U2185" s="183"/>
      <c r="V2185" s="183"/>
      <c r="W2185" s="183"/>
      <c r="X2185" s="183"/>
      <c r="Y2185" s="183"/>
      <c r="Z2185" s="183"/>
      <c r="AA2185" s="183"/>
      <c r="AB2185" s="183"/>
      <c r="AC2185" s="183"/>
    </row>
    <row r="2186" spans="2:29">
      <c r="B2186" s="191"/>
      <c r="D2186" s="183"/>
      <c r="G2186" s="183"/>
      <c r="H2186" s="183"/>
      <c r="J2186" s="907"/>
      <c r="K2186" s="907"/>
      <c r="L2186" s="907"/>
      <c r="M2186" s="907"/>
      <c r="N2186" s="183"/>
      <c r="O2186" s="183"/>
      <c r="P2186" s="183"/>
      <c r="Q2186" s="183"/>
      <c r="R2186" s="183"/>
      <c r="S2186" s="183"/>
      <c r="T2186" s="183"/>
      <c r="U2186" s="183"/>
      <c r="V2186" s="183"/>
      <c r="W2186" s="183"/>
      <c r="X2186" s="183"/>
      <c r="Y2186" s="183"/>
      <c r="Z2186" s="183"/>
      <c r="AA2186" s="183"/>
      <c r="AB2186" s="183"/>
      <c r="AC2186" s="183"/>
    </row>
    <row r="2187" spans="2:29">
      <c r="B2187" s="191"/>
      <c r="D2187" s="183"/>
      <c r="G2187" s="183"/>
      <c r="H2187" s="183"/>
      <c r="J2187" s="907"/>
      <c r="K2187" s="907"/>
      <c r="L2187" s="907"/>
      <c r="M2187" s="907"/>
      <c r="N2187" s="183"/>
      <c r="O2187" s="183"/>
      <c r="P2187" s="183"/>
      <c r="Q2187" s="183"/>
      <c r="R2187" s="183"/>
      <c r="S2187" s="183"/>
      <c r="T2187" s="183"/>
      <c r="U2187" s="183"/>
      <c r="V2187" s="183"/>
      <c r="W2187" s="183"/>
      <c r="X2187" s="183"/>
      <c r="Y2187" s="183"/>
      <c r="Z2187" s="183"/>
      <c r="AA2187" s="183"/>
      <c r="AB2187" s="183"/>
      <c r="AC2187" s="183"/>
    </row>
    <row r="2188" spans="2:29">
      <c r="B2188" s="191"/>
      <c r="D2188" s="183"/>
      <c r="G2188" s="183"/>
      <c r="H2188" s="183"/>
      <c r="J2188" s="907"/>
      <c r="K2188" s="907"/>
      <c r="L2188" s="907"/>
      <c r="M2188" s="907"/>
      <c r="N2188" s="183"/>
      <c r="O2188" s="183"/>
      <c r="P2188" s="183"/>
      <c r="Q2188" s="183"/>
      <c r="R2188" s="183"/>
      <c r="S2188" s="183"/>
      <c r="T2188" s="183"/>
      <c r="U2188" s="183"/>
      <c r="V2188" s="183"/>
      <c r="W2188" s="183"/>
      <c r="X2188" s="183"/>
      <c r="Y2188" s="183"/>
      <c r="Z2188" s="183"/>
      <c r="AA2188" s="183"/>
      <c r="AB2188" s="183"/>
      <c r="AC2188" s="183"/>
    </row>
    <row r="2189" spans="2:29">
      <c r="B2189" s="191"/>
      <c r="D2189" s="183"/>
      <c r="G2189" s="183"/>
      <c r="H2189" s="183"/>
      <c r="J2189" s="907"/>
      <c r="K2189" s="907"/>
      <c r="L2189" s="907"/>
      <c r="M2189" s="907"/>
      <c r="N2189" s="183"/>
      <c r="O2189" s="183"/>
      <c r="P2189" s="183"/>
      <c r="Q2189" s="183"/>
      <c r="R2189" s="183"/>
      <c r="S2189" s="183"/>
      <c r="T2189" s="183"/>
      <c r="U2189" s="183"/>
      <c r="V2189" s="183"/>
      <c r="W2189" s="183"/>
      <c r="X2189" s="183"/>
      <c r="Y2189" s="183"/>
      <c r="Z2189" s="183"/>
      <c r="AA2189" s="183"/>
      <c r="AB2189" s="183"/>
      <c r="AC2189" s="183"/>
    </row>
    <row r="2190" spans="2:29">
      <c r="B2190" s="191"/>
      <c r="D2190" s="183"/>
      <c r="G2190" s="183"/>
      <c r="H2190" s="183"/>
      <c r="J2190" s="907"/>
      <c r="K2190" s="907"/>
      <c r="L2190" s="907"/>
      <c r="M2190" s="907"/>
      <c r="N2190" s="183"/>
      <c r="O2190" s="183"/>
      <c r="P2190" s="183"/>
      <c r="Q2190" s="183"/>
      <c r="R2190" s="183"/>
      <c r="S2190" s="183"/>
      <c r="T2190" s="183"/>
      <c r="U2190" s="183"/>
      <c r="V2190" s="183"/>
      <c r="W2190" s="183"/>
      <c r="X2190" s="183"/>
      <c r="Y2190" s="183"/>
      <c r="Z2190" s="183"/>
      <c r="AA2190" s="183"/>
      <c r="AB2190" s="183"/>
      <c r="AC2190" s="183"/>
    </row>
    <row r="2191" spans="2:29">
      <c r="B2191" s="191"/>
      <c r="D2191" s="183"/>
      <c r="G2191" s="183"/>
      <c r="H2191" s="183"/>
      <c r="J2191" s="907"/>
      <c r="K2191" s="907"/>
      <c r="L2191" s="907"/>
      <c r="M2191" s="907"/>
      <c r="N2191" s="183"/>
      <c r="O2191" s="183"/>
      <c r="P2191" s="183"/>
      <c r="Q2191" s="183"/>
      <c r="R2191" s="183"/>
      <c r="S2191" s="183"/>
      <c r="T2191" s="183"/>
      <c r="U2191" s="183"/>
      <c r="V2191" s="183"/>
      <c r="W2191" s="183"/>
      <c r="X2191" s="183"/>
      <c r="Y2191" s="183"/>
      <c r="Z2191" s="183"/>
      <c r="AA2191" s="183"/>
      <c r="AB2191" s="183"/>
      <c r="AC2191" s="183"/>
    </row>
    <row r="2192" spans="2:29">
      <c r="B2192" s="191"/>
      <c r="D2192" s="183"/>
      <c r="G2192" s="183"/>
      <c r="H2192" s="183"/>
      <c r="J2192" s="907"/>
      <c r="K2192" s="907"/>
      <c r="L2192" s="907"/>
      <c r="M2192" s="907"/>
      <c r="N2192" s="183"/>
      <c r="O2192" s="183"/>
      <c r="P2192" s="183"/>
      <c r="Q2192" s="183"/>
      <c r="R2192" s="183"/>
      <c r="S2192" s="183"/>
      <c r="T2192" s="183"/>
      <c r="U2192" s="183"/>
      <c r="V2192" s="183"/>
      <c r="W2192" s="183"/>
      <c r="X2192" s="183"/>
      <c r="Y2192" s="183"/>
      <c r="Z2192" s="183"/>
      <c r="AA2192" s="183"/>
      <c r="AB2192" s="183"/>
      <c r="AC2192" s="183"/>
    </row>
    <row r="2193" spans="2:29">
      <c r="B2193" s="191"/>
      <c r="D2193" s="183"/>
      <c r="G2193" s="183"/>
      <c r="H2193" s="183"/>
      <c r="J2193" s="907"/>
      <c r="K2193" s="907"/>
      <c r="L2193" s="907"/>
      <c r="M2193" s="907"/>
      <c r="N2193" s="183"/>
      <c r="O2193" s="183"/>
      <c r="P2193" s="183"/>
      <c r="Q2193" s="183"/>
      <c r="R2193" s="183"/>
      <c r="S2193" s="183"/>
      <c r="T2193" s="183"/>
      <c r="U2193" s="183"/>
      <c r="V2193" s="183"/>
      <c r="W2193" s="183"/>
      <c r="X2193" s="183"/>
      <c r="Y2193" s="183"/>
      <c r="Z2193" s="183"/>
      <c r="AA2193" s="183"/>
      <c r="AB2193" s="183"/>
      <c r="AC2193" s="183"/>
    </row>
    <row r="2194" spans="2:29">
      <c r="B2194" s="191"/>
      <c r="D2194" s="183"/>
      <c r="G2194" s="183"/>
      <c r="H2194" s="183"/>
      <c r="J2194" s="907"/>
      <c r="K2194" s="907"/>
      <c r="L2194" s="907"/>
      <c r="M2194" s="907"/>
      <c r="N2194" s="183"/>
      <c r="O2194" s="183"/>
      <c r="P2194" s="183"/>
      <c r="Q2194" s="183"/>
      <c r="R2194" s="183"/>
      <c r="S2194" s="183"/>
      <c r="T2194" s="183"/>
      <c r="U2194" s="183"/>
      <c r="V2194" s="183"/>
      <c r="W2194" s="183"/>
      <c r="X2194" s="183"/>
      <c r="Y2194" s="183"/>
      <c r="Z2194" s="183"/>
      <c r="AA2194" s="183"/>
      <c r="AB2194" s="183"/>
      <c r="AC2194" s="183"/>
    </row>
    <row r="2195" spans="2:29">
      <c r="B2195" s="191"/>
      <c r="D2195" s="183"/>
      <c r="G2195" s="183"/>
      <c r="H2195" s="183"/>
      <c r="J2195" s="907"/>
      <c r="K2195" s="907"/>
      <c r="L2195" s="907"/>
      <c r="M2195" s="907"/>
      <c r="N2195" s="183"/>
      <c r="O2195" s="183"/>
      <c r="P2195" s="183"/>
      <c r="Q2195" s="183"/>
      <c r="R2195" s="183"/>
      <c r="S2195" s="183"/>
      <c r="T2195" s="183"/>
      <c r="U2195" s="183"/>
      <c r="V2195" s="183"/>
      <c r="W2195" s="183"/>
      <c r="X2195" s="183"/>
      <c r="Y2195" s="183"/>
      <c r="Z2195" s="183"/>
      <c r="AA2195" s="183"/>
      <c r="AB2195" s="183"/>
      <c r="AC2195" s="183"/>
    </row>
    <row r="2196" spans="2:29">
      <c r="B2196" s="191"/>
      <c r="D2196" s="183"/>
      <c r="G2196" s="183"/>
      <c r="H2196" s="183"/>
      <c r="J2196" s="907"/>
      <c r="K2196" s="907"/>
      <c r="L2196" s="907"/>
      <c r="M2196" s="907"/>
      <c r="N2196" s="183"/>
      <c r="O2196" s="183"/>
      <c r="P2196" s="183"/>
      <c r="Q2196" s="183"/>
      <c r="R2196" s="183"/>
      <c r="S2196" s="183"/>
      <c r="T2196" s="183"/>
      <c r="U2196" s="183"/>
      <c r="V2196" s="183"/>
      <c r="W2196" s="183"/>
      <c r="X2196" s="183"/>
      <c r="Y2196" s="183"/>
      <c r="Z2196" s="183"/>
      <c r="AA2196" s="183"/>
      <c r="AB2196" s="183"/>
      <c r="AC2196" s="183"/>
    </row>
    <row r="2197" spans="2:29">
      <c r="B2197" s="191"/>
      <c r="D2197" s="183"/>
      <c r="G2197" s="183"/>
      <c r="H2197" s="183"/>
      <c r="J2197" s="907"/>
      <c r="K2197" s="907"/>
      <c r="L2197" s="907"/>
      <c r="M2197" s="907"/>
      <c r="N2197" s="183"/>
      <c r="O2197" s="183"/>
      <c r="P2197" s="183"/>
      <c r="Q2197" s="183"/>
      <c r="R2197" s="183"/>
      <c r="S2197" s="183"/>
      <c r="T2197" s="183"/>
      <c r="U2197" s="183"/>
      <c r="V2197" s="183"/>
      <c r="W2197" s="183"/>
      <c r="X2197" s="183"/>
      <c r="Y2197" s="183"/>
      <c r="Z2197" s="183"/>
      <c r="AA2197" s="183"/>
      <c r="AB2197" s="183"/>
      <c r="AC2197" s="183"/>
    </row>
    <row r="2198" spans="2:29">
      <c r="B2198" s="191"/>
      <c r="D2198" s="183"/>
      <c r="G2198" s="183"/>
      <c r="H2198" s="183"/>
      <c r="J2198" s="907"/>
      <c r="K2198" s="907"/>
      <c r="L2198" s="907"/>
      <c r="M2198" s="907"/>
      <c r="N2198" s="183"/>
      <c r="O2198" s="183"/>
      <c r="P2198" s="183"/>
      <c r="Q2198" s="183"/>
      <c r="R2198" s="183"/>
      <c r="S2198" s="183"/>
      <c r="T2198" s="183"/>
      <c r="U2198" s="183"/>
      <c r="V2198" s="183"/>
      <c r="W2198" s="183"/>
      <c r="X2198" s="183"/>
      <c r="Y2198" s="183"/>
      <c r="Z2198" s="183"/>
      <c r="AA2198" s="183"/>
      <c r="AB2198" s="183"/>
      <c r="AC2198" s="183"/>
    </row>
    <row r="2199" spans="2:29">
      <c r="B2199" s="191"/>
      <c r="D2199" s="183"/>
      <c r="G2199" s="183"/>
      <c r="H2199" s="183"/>
      <c r="J2199" s="907"/>
      <c r="K2199" s="907"/>
      <c r="L2199" s="907"/>
      <c r="M2199" s="907"/>
      <c r="N2199" s="183"/>
      <c r="O2199" s="183"/>
      <c r="P2199" s="183"/>
      <c r="Q2199" s="183"/>
      <c r="R2199" s="183"/>
      <c r="S2199" s="183"/>
      <c r="T2199" s="183"/>
      <c r="U2199" s="183"/>
      <c r="V2199" s="183"/>
      <c r="W2199" s="183"/>
      <c r="X2199" s="183"/>
      <c r="Y2199" s="183"/>
      <c r="Z2199" s="183"/>
      <c r="AA2199" s="183"/>
      <c r="AB2199" s="183"/>
      <c r="AC2199" s="183"/>
    </row>
    <row r="2200" spans="2:29">
      <c r="B2200" s="191"/>
      <c r="D2200" s="183"/>
      <c r="G2200" s="183"/>
      <c r="H2200" s="183"/>
      <c r="J2200" s="907"/>
      <c r="K2200" s="907"/>
      <c r="L2200" s="907"/>
      <c r="M2200" s="907"/>
      <c r="N2200" s="183"/>
      <c r="O2200" s="183"/>
      <c r="P2200" s="183"/>
      <c r="Q2200" s="183"/>
      <c r="R2200" s="183"/>
      <c r="S2200" s="183"/>
      <c r="T2200" s="183"/>
      <c r="U2200" s="183"/>
      <c r="V2200" s="183"/>
      <c r="W2200" s="183"/>
      <c r="X2200" s="183"/>
      <c r="Y2200" s="183"/>
      <c r="Z2200" s="183"/>
      <c r="AA2200" s="183"/>
      <c r="AB2200" s="183"/>
      <c r="AC2200" s="183"/>
    </row>
    <row r="2201" spans="2:29">
      <c r="B2201" s="191"/>
      <c r="D2201" s="183"/>
      <c r="G2201" s="183"/>
      <c r="H2201" s="183"/>
      <c r="J2201" s="907"/>
      <c r="K2201" s="907"/>
      <c r="L2201" s="907"/>
      <c r="M2201" s="907"/>
      <c r="N2201" s="183"/>
      <c r="O2201" s="183"/>
      <c r="P2201" s="183"/>
      <c r="Q2201" s="183"/>
      <c r="R2201" s="183"/>
      <c r="S2201" s="183"/>
      <c r="T2201" s="183"/>
      <c r="U2201" s="183"/>
      <c r="V2201" s="183"/>
      <c r="W2201" s="183"/>
      <c r="X2201" s="183"/>
      <c r="Y2201" s="183"/>
      <c r="Z2201" s="183"/>
      <c r="AA2201" s="183"/>
      <c r="AB2201" s="183"/>
      <c r="AC2201" s="183"/>
    </row>
    <row r="2202" spans="2:29">
      <c r="B2202" s="191"/>
      <c r="D2202" s="183"/>
      <c r="G2202" s="183"/>
      <c r="H2202" s="183"/>
      <c r="J2202" s="907"/>
      <c r="K2202" s="907"/>
      <c r="L2202" s="907"/>
      <c r="M2202" s="907"/>
      <c r="N2202" s="183"/>
      <c r="O2202" s="183"/>
      <c r="P2202" s="183"/>
      <c r="Q2202" s="183"/>
      <c r="R2202" s="183"/>
      <c r="S2202" s="183"/>
      <c r="T2202" s="183"/>
      <c r="U2202" s="183"/>
      <c r="V2202" s="183"/>
      <c r="W2202" s="183"/>
      <c r="X2202" s="183"/>
      <c r="Y2202" s="183"/>
      <c r="Z2202" s="183"/>
      <c r="AA2202" s="183"/>
      <c r="AB2202" s="183"/>
      <c r="AC2202" s="183"/>
    </row>
    <row r="2203" spans="2:29">
      <c r="B2203" s="191"/>
      <c r="D2203" s="183"/>
      <c r="G2203" s="183"/>
      <c r="H2203" s="183"/>
      <c r="J2203" s="907"/>
      <c r="K2203" s="907"/>
      <c r="L2203" s="907"/>
      <c r="M2203" s="907"/>
      <c r="N2203" s="183"/>
      <c r="O2203" s="183"/>
      <c r="P2203" s="183"/>
      <c r="Q2203" s="183"/>
      <c r="R2203" s="183"/>
      <c r="S2203" s="183"/>
      <c r="T2203" s="183"/>
      <c r="U2203" s="183"/>
      <c r="V2203" s="183"/>
      <c r="W2203" s="183"/>
      <c r="X2203" s="183"/>
      <c r="Y2203" s="183"/>
      <c r="Z2203" s="183"/>
      <c r="AA2203" s="183"/>
      <c r="AB2203" s="183"/>
      <c r="AC2203" s="183"/>
    </row>
    <row r="2204" spans="2:29">
      <c r="B2204" s="191"/>
      <c r="D2204" s="183"/>
      <c r="G2204" s="183"/>
      <c r="H2204" s="183"/>
      <c r="J2204" s="907"/>
      <c r="K2204" s="907"/>
      <c r="L2204" s="907"/>
      <c r="M2204" s="907"/>
      <c r="N2204" s="183"/>
      <c r="O2204" s="183"/>
      <c r="P2204" s="183"/>
      <c r="Q2204" s="183"/>
      <c r="R2204" s="183"/>
      <c r="S2204" s="183"/>
      <c r="T2204" s="183"/>
      <c r="U2204" s="183"/>
      <c r="V2204" s="183"/>
      <c r="W2204" s="183"/>
      <c r="X2204" s="183"/>
      <c r="Y2204" s="183"/>
      <c r="Z2204" s="183"/>
      <c r="AA2204" s="183"/>
      <c r="AB2204" s="183"/>
      <c r="AC2204" s="183"/>
    </row>
    <row r="2205" spans="2:29">
      <c r="B2205" s="191"/>
      <c r="D2205" s="183"/>
      <c r="G2205" s="183"/>
      <c r="H2205" s="183"/>
      <c r="J2205" s="907"/>
      <c r="K2205" s="907"/>
      <c r="L2205" s="907"/>
      <c r="M2205" s="907"/>
      <c r="N2205" s="183"/>
      <c r="O2205" s="183"/>
      <c r="P2205" s="183"/>
      <c r="Q2205" s="183"/>
      <c r="R2205" s="183"/>
      <c r="S2205" s="183"/>
      <c r="T2205" s="183"/>
      <c r="U2205" s="183"/>
      <c r="V2205" s="183"/>
      <c r="W2205" s="183"/>
      <c r="X2205" s="183"/>
      <c r="Y2205" s="183"/>
      <c r="Z2205" s="183"/>
      <c r="AA2205" s="183"/>
      <c r="AB2205" s="183"/>
      <c r="AC2205" s="183"/>
    </row>
    <row r="2206" spans="2:29">
      <c r="B2206" s="191"/>
      <c r="D2206" s="183"/>
      <c r="G2206" s="183"/>
      <c r="H2206" s="183"/>
      <c r="J2206" s="907"/>
      <c r="K2206" s="907"/>
      <c r="L2206" s="907"/>
      <c r="M2206" s="907"/>
      <c r="N2206" s="183"/>
      <c r="O2206" s="183"/>
      <c r="P2206" s="183"/>
      <c r="Q2206" s="183"/>
      <c r="R2206" s="183"/>
      <c r="S2206" s="183"/>
      <c r="T2206" s="183"/>
      <c r="U2206" s="183"/>
      <c r="V2206" s="183"/>
      <c r="W2206" s="183"/>
      <c r="X2206" s="183"/>
      <c r="Y2206" s="183"/>
      <c r="Z2206" s="183"/>
      <c r="AA2206" s="183"/>
      <c r="AB2206" s="183"/>
      <c r="AC2206" s="183"/>
    </row>
    <row r="2207" spans="2:29">
      <c r="B2207" s="191"/>
      <c r="D2207" s="183"/>
      <c r="G2207" s="183"/>
      <c r="H2207" s="183"/>
      <c r="J2207" s="907"/>
      <c r="K2207" s="907"/>
      <c r="L2207" s="907"/>
      <c r="M2207" s="907"/>
      <c r="N2207" s="183"/>
      <c r="O2207" s="183"/>
      <c r="P2207" s="183"/>
      <c r="Q2207" s="183"/>
      <c r="R2207" s="183"/>
      <c r="S2207" s="183"/>
      <c r="T2207" s="183"/>
      <c r="U2207" s="183"/>
      <c r="V2207" s="183"/>
      <c r="W2207" s="183"/>
      <c r="X2207" s="183"/>
      <c r="Y2207" s="183"/>
      <c r="Z2207" s="183"/>
      <c r="AA2207" s="183"/>
      <c r="AB2207" s="183"/>
      <c r="AC2207" s="183"/>
    </row>
    <row r="2208" spans="2:29">
      <c r="B2208" s="191"/>
      <c r="D2208" s="183"/>
      <c r="G2208" s="183"/>
      <c r="H2208" s="183"/>
      <c r="J2208" s="907"/>
      <c r="K2208" s="907"/>
      <c r="L2208" s="907"/>
      <c r="M2208" s="907"/>
      <c r="N2208" s="183"/>
      <c r="O2208" s="183"/>
      <c r="P2208" s="183"/>
      <c r="Q2208" s="183"/>
      <c r="R2208" s="183"/>
      <c r="S2208" s="183"/>
      <c r="T2208" s="183"/>
      <c r="U2208" s="183"/>
      <c r="V2208" s="183"/>
      <c r="W2208" s="183"/>
      <c r="X2208" s="183"/>
      <c r="Y2208" s="183"/>
      <c r="Z2208" s="183"/>
      <c r="AA2208" s="183"/>
      <c r="AB2208" s="183"/>
      <c r="AC2208" s="183"/>
    </row>
    <row r="2209" spans="2:29">
      <c r="B2209" s="191"/>
      <c r="D2209" s="183"/>
      <c r="G2209" s="183"/>
      <c r="H2209" s="183"/>
      <c r="J2209" s="907"/>
      <c r="K2209" s="907"/>
      <c r="L2209" s="907"/>
      <c r="M2209" s="907"/>
      <c r="N2209" s="183"/>
      <c r="O2209" s="183"/>
      <c r="P2209" s="183"/>
      <c r="Q2209" s="183"/>
      <c r="R2209" s="183"/>
      <c r="S2209" s="183"/>
      <c r="T2209" s="183"/>
      <c r="U2209" s="183"/>
      <c r="V2209" s="183"/>
      <c r="W2209" s="183"/>
      <c r="X2209" s="183"/>
      <c r="Y2209" s="183"/>
      <c r="Z2209" s="183"/>
      <c r="AA2209" s="183"/>
      <c r="AB2209" s="183"/>
      <c r="AC2209" s="183"/>
    </row>
    <row r="2210" spans="2:29">
      <c r="B2210" s="191"/>
      <c r="D2210" s="183"/>
      <c r="G2210" s="183"/>
      <c r="H2210" s="183"/>
      <c r="J2210" s="907"/>
      <c r="K2210" s="907"/>
      <c r="L2210" s="907"/>
      <c r="M2210" s="907"/>
      <c r="N2210" s="183"/>
      <c r="O2210" s="183"/>
      <c r="P2210" s="183"/>
      <c r="Q2210" s="183"/>
      <c r="R2210" s="183"/>
      <c r="S2210" s="183"/>
      <c r="T2210" s="183"/>
      <c r="U2210" s="183"/>
      <c r="V2210" s="183"/>
      <c r="W2210" s="183"/>
      <c r="X2210" s="183"/>
      <c r="Y2210" s="183"/>
      <c r="Z2210" s="183"/>
      <c r="AA2210" s="183"/>
      <c r="AB2210" s="183"/>
      <c r="AC2210" s="183"/>
    </row>
    <row r="2211" spans="2:29">
      <c r="B2211" s="191"/>
      <c r="D2211" s="183"/>
      <c r="G2211" s="183"/>
      <c r="H2211" s="183"/>
      <c r="J2211" s="907"/>
      <c r="K2211" s="907"/>
      <c r="L2211" s="907"/>
      <c r="M2211" s="907"/>
      <c r="N2211" s="183"/>
      <c r="O2211" s="183"/>
      <c r="P2211" s="183"/>
      <c r="Q2211" s="183"/>
      <c r="R2211" s="183"/>
      <c r="S2211" s="183"/>
      <c r="T2211" s="183"/>
      <c r="U2211" s="183"/>
      <c r="V2211" s="183"/>
      <c r="W2211" s="183"/>
      <c r="X2211" s="183"/>
      <c r="Y2211" s="183"/>
      <c r="Z2211" s="183"/>
      <c r="AA2211" s="183"/>
      <c r="AB2211" s="183"/>
      <c r="AC2211" s="183"/>
    </row>
    <row r="2212" spans="2:29">
      <c r="B2212" s="191"/>
      <c r="D2212" s="183"/>
      <c r="G2212" s="183"/>
      <c r="H2212" s="183"/>
      <c r="J2212" s="907"/>
      <c r="K2212" s="907"/>
      <c r="L2212" s="907"/>
      <c r="M2212" s="907"/>
      <c r="N2212" s="183"/>
      <c r="O2212" s="183"/>
      <c r="P2212" s="183"/>
      <c r="Q2212" s="183"/>
      <c r="R2212" s="183"/>
      <c r="S2212" s="183"/>
      <c r="T2212" s="183"/>
      <c r="U2212" s="183"/>
      <c r="V2212" s="183"/>
      <c r="W2212" s="183"/>
      <c r="X2212" s="183"/>
      <c r="Y2212" s="183"/>
      <c r="Z2212" s="183"/>
      <c r="AA2212" s="183"/>
      <c r="AB2212" s="183"/>
      <c r="AC2212" s="183"/>
    </row>
    <row r="2213" spans="2:29">
      <c r="B2213" s="191"/>
      <c r="D2213" s="183"/>
      <c r="G2213" s="183"/>
      <c r="H2213" s="183"/>
      <c r="J2213" s="907"/>
      <c r="K2213" s="907"/>
      <c r="L2213" s="907"/>
      <c r="M2213" s="907"/>
      <c r="N2213" s="183"/>
      <c r="O2213" s="183"/>
      <c r="P2213" s="183"/>
      <c r="Q2213" s="183"/>
      <c r="R2213" s="183"/>
      <c r="S2213" s="183"/>
      <c r="T2213" s="183"/>
      <c r="U2213" s="183"/>
      <c r="V2213" s="183"/>
      <c r="W2213" s="183"/>
      <c r="X2213" s="183"/>
      <c r="Y2213" s="183"/>
      <c r="Z2213" s="183"/>
      <c r="AA2213" s="183"/>
      <c r="AB2213" s="183"/>
      <c r="AC2213" s="183"/>
    </row>
    <row r="2214" spans="2:29">
      <c r="B2214" s="191"/>
      <c r="D2214" s="183"/>
      <c r="G2214" s="183"/>
      <c r="H2214" s="183"/>
      <c r="J2214" s="907"/>
      <c r="K2214" s="907"/>
      <c r="L2214" s="907"/>
      <c r="M2214" s="907"/>
      <c r="N2214" s="183"/>
      <c r="O2214" s="183"/>
      <c r="P2214" s="183"/>
      <c r="Q2214" s="183"/>
      <c r="R2214" s="183"/>
      <c r="S2214" s="183"/>
      <c r="T2214" s="183"/>
      <c r="U2214" s="183"/>
      <c r="V2214" s="183"/>
      <c r="W2214" s="183"/>
      <c r="X2214" s="183"/>
      <c r="Y2214" s="183"/>
      <c r="Z2214" s="183"/>
      <c r="AA2214" s="183"/>
      <c r="AB2214" s="183"/>
      <c r="AC2214" s="183"/>
    </row>
    <row r="2215" spans="2:29">
      <c r="B2215" s="191"/>
      <c r="D2215" s="183"/>
      <c r="G2215" s="183"/>
      <c r="H2215" s="183"/>
      <c r="J2215" s="907"/>
      <c r="K2215" s="907"/>
      <c r="L2215" s="907"/>
      <c r="M2215" s="907"/>
      <c r="N2215" s="183"/>
      <c r="O2215" s="183"/>
      <c r="P2215" s="183"/>
      <c r="Q2215" s="183"/>
      <c r="R2215" s="183"/>
      <c r="S2215" s="183"/>
      <c r="T2215" s="183"/>
      <c r="U2215" s="183"/>
      <c r="V2215" s="183"/>
      <c r="W2215" s="183"/>
      <c r="X2215" s="183"/>
      <c r="Y2215" s="183"/>
      <c r="Z2215" s="183"/>
      <c r="AA2215" s="183"/>
      <c r="AB2215" s="183"/>
      <c r="AC2215" s="183"/>
    </row>
    <row r="2216" spans="2:29">
      <c r="B2216" s="191"/>
      <c r="D2216" s="183"/>
      <c r="G2216" s="183"/>
      <c r="H2216" s="183"/>
      <c r="J2216" s="907"/>
      <c r="K2216" s="907"/>
      <c r="L2216" s="907"/>
      <c r="M2216" s="907"/>
      <c r="N2216" s="183"/>
      <c r="O2216" s="183"/>
      <c r="P2216" s="183"/>
      <c r="Q2216" s="183"/>
      <c r="R2216" s="183"/>
      <c r="S2216" s="183"/>
      <c r="T2216" s="183"/>
      <c r="U2216" s="183"/>
      <c r="V2216" s="183"/>
      <c r="W2216" s="183"/>
      <c r="X2216" s="183"/>
      <c r="Y2216" s="183"/>
      <c r="Z2216" s="183"/>
      <c r="AA2216" s="183"/>
      <c r="AB2216" s="183"/>
      <c r="AC2216" s="183"/>
    </row>
    <row r="2217" spans="2:29">
      <c r="B2217" s="191"/>
      <c r="D2217" s="183"/>
      <c r="G2217" s="183"/>
      <c r="H2217" s="183"/>
      <c r="J2217" s="907"/>
      <c r="K2217" s="907"/>
      <c r="L2217" s="907"/>
      <c r="M2217" s="907"/>
      <c r="N2217" s="183"/>
      <c r="O2217" s="183"/>
      <c r="P2217" s="183"/>
      <c r="Q2217" s="183"/>
      <c r="R2217" s="183"/>
      <c r="S2217" s="183"/>
      <c r="T2217" s="183"/>
      <c r="U2217" s="183"/>
      <c r="V2217" s="183"/>
      <c r="W2217" s="183"/>
      <c r="X2217" s="183"/>
      <c r="Y2217" s="183"/>
      <c r="Z2217" s="183"/>
      <c r="AA2217" s="183"/>
      <c r="AB2217" s="183"/>
      <c r="AC2217" s="183"/>
    </row>
    <row r="2218" spans="2:29">
      <c r="B2218" s="191"/>
      <c r="D2218" s="183"/>
      <c r="G2218" s="183"/>
      <c r="H2218" s="183"/>
      <c r="J2218" s="907"/>
      <c r="K2218" s="907"/>
      <c r="L2218" s="907"/>
      <c r="M2218" s="907"/>
      <c r="N2218" s="183"/>
      <c r="O2218" s="183"/>
      <c r="P2218" s="183"/>
      <c r="Q2218" s="183"/>
      <c r="R2218" s="183"/>
      <c r="S2218" s="183"/>
      <c r="T2218" s="183"/>
      <c r="U2218" s="183"/>
      <c r="V2218" s="183"/>
      <c r="W2218" s="183"/>
      <c r="X2218" s="183"/>
      <c r="Y2218" s="183"/>
      <c r="Z2218" s="183"/>
      <c r="AA2218" s="183"/>
      <c r="AB2218" s="183"/>
      <c r="AC2218" s="183"/>
    </row>
    <row r="2219" spans="2:29">
      <c r="B2219" s="191"/>
      <c r="D2219" s="183"/>
      <c r="G2219" s="183"/>
      <c r="H2219" s="183"/>
      <c r="J2219" s="907"/>
      <c r="K2219" s="907"/>
      <c r="L2219" s="907"/>
      <c r="M2219" s="907"/>
      <c r="N2219" s="183"/>
      <c r="O2219" s="183"/>
      <c r="P2219" s="183"/>
      <c r="Q2219" s="183"/>
      <c r="R2219" s="183"/>
      <c r="S2219" s="183"/>
      <c r="T2219" s="183"/>
      <c r="U2219" s="183"/>
      <c r="V2219" s="183"/>
      <c r="W2219" s="183"/>
      <c r="X2219" s="183"/>
      <c r="Y2219" s="183"/>
      <c r="Z2219" s="183"/>
      <c r="AA2219" s="183"/>
      <c r="AB2219" s="183"/>
      <c r="AC2219" s="183"/>
    </row>
    <row r="2220" spans="2:29">
      <c r="B2220" s="191"/>
      <c r="D2220" s="183"/>
      <c r="G2220" s="183"/>
      <c r="H2220" s="183"/>
      <c r="J2220" s="907"/>
      <c r="K2220" s="907"/>
      <c r="L2220" s="907"/>
      <c r="M2220" s="907"/>
      <c r="N2220" s="183"/>
      <c r="O2220" s="183"/>
      <c r="P2220" s="183"/>
      <c r="Q2220" s="183"/>
      <c r="R2220" s="183"/>
      <c r="S2220" s="183"/>
      <c r="T2220" s="183"/>
      <c r="U2220" s="183"/>
      <c r="V2220" s="183"/>
      <c r="W2220" s="183"/>
      <c r="X2220" s="183"/>
      <c r="Y2220" s="183"/>
      <c r="Z2220" s="183"/>
      <c r="AA2220" s="183"/>
      <c r="AB2220" s="183"/>
      <c r="AC2220" s="183"/>
    </row>
    <row r="2221" spans="2:29">
      <c r="B2221" s="191"/>
      <c r="D2221" s="183"/>
      <c r="G2221" s="183"/>
      <c r="H2221" s="183"/>
      <c r="J2221" s="907"/>
      <c r="K2221" s="907"/>
      <c r="L2221" s="907"/>
      <c r="M2221" s="907"/>
      <c r="N2221" s="183"/>
      <c r="O2221" s="183"/>
      <c r="P2221" s="183"/>
      <c r="Q2221" s="183"/>
      <c r="R2221" s="183"/>
      <c r="S2221" s="183"/>
      <c r="T2221" s="183"/>
      <c r="U2221" s="183"/>
      <c r="V2221" s="183"/>
      <c r="W2221" s="183"/>
      <c r="X2221" s="183"/>
      <c r="Y2221" s="183"/>
      <c r="Z2221" s="183"/>
      <c r="AA2221" s="183"/>
      <c r="AB2221" s="183"/>
      <c r="AC2221" s="183"/>
    </row>
    <row r="2222" spans="2:29">
      <c r="B2222" s="191"/>
      <c r="D2222" s="183"/>
      <c r="G2222" s="183"/>
      <c r="H2222" s="183"/>
      <c r="J2222" s="907"/>
      <c r="K2222" s="907"/>
      <c r="L2222" s="907"/>
      <c r="M2222" s="907"/>
      <c r="N2222" s="183"/>
      <c r="O2222" s="183"/>
      <c r="P2222" s="183"/>
      <c r="Q2222" s="183"/>
      <c r="R2222" s="183"/>
      <c r="S2222" s="183"/>
      <c r="T2222" s="183"/>
      <c r="U2222" s="183"/>
      <c r="V2222" s="183"/>
      <c r="W2222" s="183"/>
      <c r="X2222" s="183"/>
      <c r="Y2222" s="183"/>
      <c r="Z2222" s="183"/>
      <c r="AA2222" s="183"/>
      <c r="AB2222" s="183"/>
      <c r="AC2222" s="183"/>
    </row>
    <row r="2223" spans="2:29">
      <c r="B2223" s="191"/>
      <c r="D2223" s="183"/>
      <c r="G2223" s="183"/>
      <c r="H2223" s="183"/>
      <c r="J2223" s="907"/>
      <c r="K2223" s="907"/>
      <c r="L2223" s="907"/>
      <c r="M2223" s="907"/>
      <c r="N2223" s="183"/>
      <c r="O2223" s="183"/>
      <c r="P2223" s="183"/>
      <c r="Q2223" s="183"/>
      <c r="R2223" s="183"/>
      <c r="S2223" s="183"/>
      <c r="T2223" s="183"/>
      <c r="U2223" s="183"/>
      <c r="V2223" s="183"/>
      <c r="W2223" s="183"/>
      <c r="X2223" s="183"/>
      <c r="Y2223" s="183"/>
      <c r="Z2223" s="183"/>
      <c r="AA2223" s="183"/>
      <c r="AB2223" s="183"/>
      <c r="AC2223" s="183"/>
    </row>
    <row r="2224" spans="2:29">
      <c r="B2224" s="191"/>
      <c r="D2224" s="183"/>
      <c r="G2224" s="183"/>
      <c r="H2224" s="183"/>
      <c r="J2224" s="907"/>
      <c r="K2224" s="907"/>
      <c r="L2224" s="907"/>
      <c r="M2224" s="907"/>
      <c r="N2224" s="183"/>
      <c r="O2224" s="183"/>
      <c r="P2224" s="183"/>
      <c r="Q2224" s="183"/>
      <c r="R2224" s="183"/>
      <c r="S2224" s="183"/>
      <c r="T2224" s="183"/>
      <c r="U2224" s="183"/>
      <c r="V2224" s="183"/>
      <c r="W2224" s="183"/>
      <c r="X2224" s="183"/>
      <c r="Y2224" s="183"/>
      <c r="Z2224" s="183"/>
      <c r="AA2224" s="183"/>
      <c r="AB2224" s="183"/>
      <c r="AC2224" s="183"/>
    </row>
    <row r="2225" spans="2:29">
      <c r="B2225" s="191"/>
      <c r="D2225" s="183"/>
      <c r="G2225" s="183"/>
      <c r="H2225" s="183"/>
      <c r="J2225" s="907"/>
      <c r="K2225" s="907"/>
      <c r="L2225" s="907"/>
      <c r="M2225" s="907"/>
      <c r="N2225" s="183"/>
      <c r="O2225" s="183"/>
      <c r="P2225" s="183"/>
      <c r="Q2225" s="183"/>
      <c r="R2225" s="183"/>
      <c r="S2225" s="183"/>
      <c r="T2225" s="183"/>
      <c r="U2225" s="183"/>
      <c r="V2225" s="183"/>
      <c r="W2225" s="183"/>
      <c r="X2225" s="183"/>
      <c r="Y2225" s="183"/>
      <c r="Z2225" s="183"/>
      <c r="AA2225" s="183"/>
      <c r="AB2225" s="183"/>
      <c r="AC2225" s="183"/>
    </row>
    <row r="2226" spans="2:29">
      <c r="B2226" s="191"/>
      <c r="D2226" s="183"/>
      <c r="G2226" s="183"/>
      <c r="H2226" s="183"/>
      <c r="J2226" s="907"/>
      <c r="K2226" s="907"/>
      <c r="L2226" s="907"/>
      <c r="M2226" s="907"/>
      <c r="N2226" s="183"/>
      <c r="O2226" s="183"/>
      <c r="P2226" s="183"/>
      <c r="Q2226" s="183"/>
      <c r="R2226" s="183"/>
      <c r="S2226" s="183"/>
      <c r="T2226" s="183"/>
      <c r="U2226" s="183"/>
      <c r="V2226" s="183"/>
      <c r="W2226" s="183"/>
      <c r="X2226" s="183"/>
      <c r="Y2226" s="183"/>
      <c r="Z2226" s="183"/>
      <c r="AA2226" s="183"/>
      <c r="AB2226" s="183"/>
      <c r="AC2226" s="183"/>
    </row>
    <row r="2227" spans="2:29">
      <c r="B2227" s="191"/>
      <c r="D2227" s="183"/>
      <c r="G2227" s="183"/>
      <c r="H2227" s="183"/>
      <c r="J2227" s="907"/>
      <c r="K2227" s="907"/>
      <c r="L2227" s="907"/>
      <c r="M2227" s="907"/>
      <c r="N2227" s="183"/>
      <c r="O2227" s="183"/>
      <c r="P2227" s="183"/>
      <c r="Q2227" s="183"/>
      <c r="R2227" s="183"/>
      <c r="S2227" s="183"/>
      <c r="T2227" s="183"/>
      <c r="U2227" s="183"/>
      <c r="V2227" s="183"/>
      <c r="W2227" s="183"/>
      <c r="X2227" s="183"/>
      <c r="Y2227" s="183"/>
      <c r="Z2227" s="183"/>
      <c r="AA2227" s="183"/>
      <c r="AB2227" s="183"/>
      <c r="AC2227" s="183"/>
    </row>
    <row r="2228" spans="2:29">
      <c r="B2228" s="191"/>
      <c r="D2228" s="183"/>
      <c r="G2228" s="183"/>
      <c r="H2228" s="183"/>
      <c r="J2228" s="907"/>
      <c r="K2228" s="907"/>
      <c r="L2228" s="907"/>
      <c r="M2228" s="907"/>
      <c r="N2228" s="183"/>
      <c r="O2228" s="183"/>
      <c r="P2228" s="183"/>
      <c r="Q2228" s="183"/>
      <c r="R2228" s="183"/>
      <c r="S2228" s="183"/>
      <c r="T2228" s="183"/>
      <c r="U2228" s="183"/>
      <c r="V2228" s="183"/>
      <c r="W2228" s="183"/>
      <c r="X2228" s="183"/>
      <c r="Y2228" s="183"/>
      <c r="Z2228" s="183"/>
      <c r="AA2228" s="183"/>
      <c r="AB2228" s="183"/>
      <c r="AC2228" s="183"/>
    </row>
    <row r="2229" spans="2:29">
      <c r="B2229" s="191"/>
      <c r="D2229" s="183"/>
      <c r="G2229" s="183"/>
      <c r="H2229" s="183"/>
      <c r="J2229" s="907"/>
      <c r="K2229" s="907"/>
      <c r="L2229" s="907"/>
      <c r="M2229" s="907"/>
      <c r="N2229" s="183"/>
      <c r="O2229" s="183"/>
      <c r="P2229" s="183"/>
      <c r="Q2229" s="183"/>
      <c r="R2229" s="183"/>
      <c r="S2229" s="183"/>
      <c r="T2229" s="183"/>
      <c r="U2229" s="183"/>
      <c r="V2229" s="183"/>
      <c r="W2229" s="183"/>
      <c r="X2229" s="183"/>
      <c r="Y2229" s="183"/>
      <c r="Z2229" s="183"/>
      <c r="AA2229" s="183"/>
      <c r="AB2229" s="183"/>
      <c r="AC2229" s="183"/>
    </row>
    <row r="2230" spans="2:29">
      <c r="B2230" s="191"/>
      <c r="D2230" s="183"/>
      <c r="G2230" s="183"/>
      <c r="H2230" s="183"/>
      <c r="J2230" s="907"/>
      <c r="K2230" s="907"/>
      <c r="L2230" s="907"/>
      <c r="M2230" s="907"/>
      <c r="N2230" s="183"/>
      <c r="O2230" s="183"/>
      <c r="P2230" s="183"/>
      <c r="Q2230" s="183"/>
      <c r="R2230" s="183"/>
      <c r="S2230" s="183"/>
      <c r="T2230" s="183"/>
      <c r="U2230" s="183"/>
      <c r="V2230" s="183"/>
      <c r="W2230" s="183"/>
      <c r="X2230" s="183"/>
      <c r="Y2230" s="183"/>
      <c r="Z2230" s="183"/>
      <c r="AA2230" s="183"/>
      <c r="AB2230" s="183"/>
      <c r="AC2230" s="183"/>
    </row>
    <row r="2231" spans="2:29">
      <c r="B2231" s="191"/>
      <c r="D2231" s="183"/>
      <c r="G2231" s="183"/>
      <c r="H2231" s="183"/>
      <c r="J2231" s="907"/>
      <c r="K2231" s="907"/>
      <c r="L2231" s="907"/>
      <c r="M2231" s="907"/>
      <c r="N2231" s="183"/>
      <c r="O2231" s="183"/>
      <c r="P2231" s="183"/>
      <c r="Q2231" s="183"/>
      <c r="R2231" s="183"/>
      <c r="S2231" s="183"/>
      <c r="T2231" s="183"/>
      <c r="U2231" s="183"/>
      <c r="V2231" s="183"/>
      <c r="W2231" s="183"/>
      <c r="X2231" s="183"/>
      <c r="Y2231" s="183"/>
      <c r="Z2231" s="183"/>
      <c r="AA2231" s="183"/>
      <c r="AB2231" s="183"/>
      <c r="AC2231" s="183"/>
    </row>
    <row r="2232" spans="2:29">
      <c r="B2232" s="191"/>
      <c r="D2232" s="183"/>
      <c r="G2232" s="183"/>
      <c r="H2232" s="183"/>
      <c r="J2232" s="907"/>
      <c r="K2232" s="907"/>
      <c r="L2232" s="907"/>
      <c r="M2232" s="907"/>
      <c r="N2232" s="183"/>
      <c r="O2232" s="183"/>
      <c r="P2232" s="183"/>
      <c r="Q2232" s="183"/>
      <c r="R2232" s="183"/>
      <c r="S2232" s="183"/>
      <c r="T2232" s="183"/>
      <c r="U2232" s="183"/>
      <c r="V2232" s="183"/>
      <c r="W2232" s="183"/>
      <c r="X2232" s="183"/>
      <c r="Y2232" s="183"/>
      <c r="Z2232" s="183"/>
      <c r="AA2232" s="183"/>
      <c r="AB2232" s="183"/>
      <c r="AC2232" s="183"/>
    </row>
    <row r="2233" spans="2:29">
      <c r="B2233" s="191"/>
      <c r="D2233" s="183"/>
      <c r="G2233" s="183"/>
      <c r="H2233" s="183"/>
      <c r="J2233" s="907"/>
      <c r="K2233" s="907"/>
      <c r="L2233" s="907"/>
      <c r="M2233" s="907"/>
      <c r="N2233" s="183"/>
      <c r="O2233" s="183"/>
      <c r="P2233" s="183"/>
      <c r="Q2233" s="183"/>
      <c r="R2233" s="183"/>
      <c r="S2233" s="183"/>
      <c r="T2233" s="183"/>
      <c r="U2233" s="183"/>
      <c r="V2233" s="183"/>
      <c r="W2233" s="183"/>
      <c r="X2233" s="183"/>
      <c r="Y2233" s="183"/>
      <c r="Z2233" s="183"/>
      <c r="AA2233" s="183"/>
      <c r="AB2233" s="183"/>
      <c r="AC2233" s="183"/>
    </row>
    <row r="2234" spans="2:29">
      <c r="B2234" s="191"/>
      <c r="D2234" s="183"/>
      <c r="G2234" s="183"/>
      <c r="H2234" s="183"/>
      <c r="J2234" s="907"/>
      <c r="K2234" s="907"/>
      <c r="L2234" s="907"/>
      <c r="M2234" s="907"/>
      <c r="N2234" s="183"/>
      <c r="O2234" s="183"/>
      <c r="P2234" s="183"/>
      <c r="Q2234" s="183"/>
      <c r="R2234" s="183"/>
      <c r="S2234" s="183"/>
      <c r="T2234" s="183"/>
      <c r="U2234" s="183"/>
      <c r="V2234" s="183"/>
      <c r="W2234" s="183"/>
      <c r="X2234" s="183"/>
      <c r="Y2234" s="183"/>
      <c r="Z2234" s="183"/>
      <c r="AA2234" s="183"/>
      <c r="AB2234" s="183"/>
      <c r="AC2234" s="183"/>
    </row>
    <row r="2235" spans="2:29">
      <c r="B2235" s="191"/>
      <c r="D2235" s="183"/>
      <c r="G2235" s="183"/>
      <c r="H2235" s="183"/>
      <c r="J2235" s="907"/>
      <c r="K2235" s="907"/>
      <c r="L2235" s="907"/>
      <c r="M2235" s="907"/>
      <c r="N2235" s="183"/>
      <c r="O2235" s="183"/>
      <c r="P2235" s="183"/>
      <c r="Q2235" s="183"/>
      <c r="R2235" s="183"/>
      <c r="S2235" s="183"/>
      <c r="T2235" s="183"/>
      <c r="U2235" s="183"/>
      <c r="V2235" s="183"/>
      <c r="W2235" s="183"/>
      <c r="X2235" s="183"/>
      <c r="Y2235" s="183"/>
      <c r="Z2235" s="183"/>
      <c r="AA2235" s="183"/>
      <c r="AB2235" s="183"/>
      <c r="AC2235" s="183"/>
    </row>
    <row r="2236" spans="2:29">
      <c r="B2236" s="191"/>
      <c r="D2236" s="183"/>
      <c r="G2236" s="183"/>
      <c r="H2236" s="183"/>
      <c r="J2236" s="907"/>
      <c r="K2236" s="907"/>
      <c r="L2236" s="907"/>
      <c r="M2236" s="907"/>
      <c r="N2236" s="183"/>
      <c r="O2236" s="183"/>
      <c r="P2236" s="183"/>
      <c r="Q2236" s="183"/>
      <c r="R2236" s="183"/>
      <c r="S2236" s="183"/>
      <c r="T2236" s="183"/>
      <c r="U2236" s="183"/>
      <c r="V2236" s="183"/>
      <c r="W2236" s="183"/>
      <c r="X2236" s="183"/>
      <c r="Y2236" s="183"/>
      <c r="Z2236" s="183"/>
      <c r="AA2236" s="183"/>
      <c r="AB2236" s="183"/>
      <c r="AC2236" s="183"/>
    </row>
    <row r="2237" spans="2:29">
      <c r="B2237" s="191"/>
      <c r="D2237" s="183"/>
      <c r="G2237" s="183"/>
      <c r="H2237" s="183"/>
      <c r="J2237" s="907"/>
      <c r="K2237" s="907"/>
      <c r="L2237" s="907"/>
      <c r="M2237" s="907"/>
      <c r="N2237" s="183"/>
      <c r="O2237" s="183"/>
      <c r="P2237" s="183"/>
      <c r="Q2237" s="183"/>
      <c r="R2237" s="183"/>
      <c r="S2237" s="183"/>
      <c r="T2237" s="183"/>
      <c r="U2237" s="183"/>
      <c r="V2237" s="183"/>
      <c r="W2237" s="183"/>
      <c r="X2237" s="183"/>
      <c r="Y2237" s="183"/>
      <c r="Z2237" s="183"/>
      <c r="AA2237" s="183"/>
      <c r="AB2237" s="183"/>
      <c r="AC2237" s="183"/>
    </row>
    <row r="2238" spans="2:29">
      <c r="B2238" s="191"/>
      <c r="D2238" s="183"/>
      <c r="G2238" s="183"/>
      <c r="H2238" s="183"/>
      <c r="J2238" s="907"/>
      <c r="K2238" s="907"/>
      <c r="L2238" s="907"/>
      <c r="M2238" s="907"/>
      <c r="N2238" s="183"/>
      <c r="O2238" s="183"/>
      <c r="P2238" s="183"/>
      <c r="Q2238" s="183"/>
      <c r="R2238" s="183"/>
      <c r="S2238" s="183"/>
      <c r="T2238" s="183"/>
      <c r="U2238" s="183"/>
      <c r="V2238" s="183"/>
      <c r="W2238" s="183"/>
      <c r="X2238" s="183"/>
      <c r="Y2238" s="183"/>
      <c r="Z2238" s="183"/>
      <c r="AA2238" s="183"/>
      <c r="AB2238" s="183"/>
      <c r="AC2238" s="183"/>
    </row>
    <row r="2239" spans="2:29">
      <c r="B2239" s="191"/>
      <c r="D2239" s="183"/>
      <c r="G2239" s="183"/>
      <c r="H2239" s="183"/>
      <c r="J2239" s="907"/>
      <c r="K2239" s="907"/>
      <c r="L2239" s="907"/>
      <c r="M2239" s="907"/>
      <c r="N2239" s="183"/>
      <c r="O2239" s="183"/>
      <c r="P2239" s="183"/>
      <c r="Q2239" s="183"/>
      <c r="R2239" s="183"/>
      <c r="S2239" s="183"/>
      <c r="T2239" s="183"/>
      <c r="U2239" s="183"/>
      <c r="V2239" s="183"/>
      <c r="W2239" s="183"/>
      <c r="X2239" s="183"/>
      <c r="Y2239" s="183"/>
      <c r="Z2239" s="183"/>
      <c r="AA2239" s="183"/>
      <c r="AB2239" s="183"/>
      <c r="AC2239" s="183"/>
    </row>
    <row r="2240" spans="2:29">
      <c r="B2240" s="191"/>
      <c r="D2240" s="183"/>
      <c r="G2240" s="183"/>
      <c r="H2240" s="183"/>
      <c r="J2240" s="907"/>
      <c r="K2240" s="907"/>
      <c r="L2240" s="907"/>
      <c r="M2240" s="907"/>
      <c r="N2240" s="183"/>
      <c r="O2240" s="183"/>
      <c r="P2240" s="183"/>
      <c r="Q2240" s="183"/>
      <c r="R2240" s="183"/>
      <c r="S2240" s="183"/>
      <c r="T2240" s="183"/>
      <c r="U2240" s="183"/>
      <c r="V2240" s="183"/>
      <c r="W2240" s="183"/>
      <c r="X2240" s="183"/>
      <c r="Y2240" s="183"/>
      <c r="Z2240" s="183"/>
      <c r="AA2240" s="183"/>
      <c r="AB2240" s="183"/>
      <c r="AC2240" s="183"/>
    </row>
    <row r="2241" spans="2:29">
      <c r="B2241" s="191"/>
      <c r="D2241" s="183"/>
      <c r="G2241" s="183"/>
      <c r="H2241" s="183"/>
      <c r="J2241" s="907"/>
      <c r="K2241" s="907"/>
      <c r="L2241" s="907"/>
      <c r="M2241" s="907"/>
      <c r="N2241" s="183"/>
      <c r="O2241" s="183"/>
      <c r="P2241" s="183"/>
      <c r="Q2241" s="183"/>
      <c r="R2241" s="183"/>
      <c r="S2241" s="183"/>
      <c r="T2241" s="183"/>
      <c r="U2241" s="183"/>
      <c r="V2241" s="183"/>
      <c r="W2241" s="183"/>
      <c r="X2241" s="183"/>
      <c r="Y2241" s="183"/>
      <c r="Z2241" s="183"/>
      <c r="AA2241" s="183"/>
      <c r="AB2241" s="183"/>
      <c r="AC2241" s="183"/>
    </row>
    <row r="2242" spans="2:29">
      <c r="B2242" s="191"/>
      <c r="D2242" s="183"/>
      <c r="G2242" s="183"/>
      <c r="H2242" s="183"/>
      <c r="J2242" s="907"/>
      <c r="K2242" s="907"/>
      <c r="L2242" s="907"/>
      <c r="M2242" s="907"/>
      <c r="N2242" s="183"/>
      <c r="O2242" s="183"/>
      <c r="P2242" s="183"/>
      <c r="Q2242" s="183"/>
      <c r="R2242" s="183"/>
      <c r="S2242" s="183"/>
      <c r="T2242" s="183"/>
      <c r="U2242" s="183"/>
      <c r="V2242" s="183"/>
      <c r="W2242" s="183"/>
      <c r="X2242" s="183"/>
      <c r="Y2242" s="183"/>
      <c r="Z2242" s="183"/>
      <c r="AA2242" s="183"/>
      <c r="AB2242" s="183"/>
      <c r="AC2242" s="183"/>
    </row>
    <row r="2243" spans="2:29">
      <c r="B2243" s="191"/>
      <c r="D2243" s="183"/>
      <c r="G2243" s="183"/>
      <c r="H2243" s="183"/>
      <c r="J2243" s="907"/>
      <c r="K2243" s="907"/>
      <c r="L2243" s="907"/>
      <c r="M2243" s="907"/>
      <c r="N2243" s="183"/>
      <c r="O2243" s="183"/>
      <c r="P2243" s="183"/>
      <c r="Q2243" s="183"/>
      <c r="R2243" s="183"/>
      <c r="S2243" s="183"/>
      <c r="T2243" s="183"/>
      <c r="U2243" s="183"/>
      <c r="V2243" s="183"/>
      <c r="W2243" s="183"/>
      <c r="X2243" s="183"/>
      <c r="Y2243" s="183"/>
      <c r="Z2243" s="183"/>
      <c r="AA2243" s="183"/>
      <c r="AB2243" s="183"/>
      <c r="AC2243" s="183"/>
    </row>
    <row r="2244" spans="2:29">
      <c r="B2244" s="191"/>
      <c r="D2244" s="183"/>
      <c r="G2244" s="183"/>
      <c r="H2244" s="183"/>
      <c r="J2244" s="907"/>
      <c r="K2244" s="907"/>
      <c r="L2244" s="907"/>
      <c r="M2244" s="907"/>
      <c r="N2244" s="183"/>
      <c r="O2244" s="183"/>
      <c r="P2244" s="183"/>
      <c r="Q2244" s="183"/>
      <c r="R2244" s="183"/>
      <c r="S2244" s="183"/>
      <c r="T2244" s="183"/>
      <c r="U2244" s="183"/>
      <c r="V2244" s="183"/>
      <c r="W2244" s="183"/>
      <c r="X2244" s="183"/>
      <c r="Y2244" s="183"/>
      <c r="Z2244" s="183"/>
      <c r="AA2244" s="183"/>
      <c r="AB2244" s="183"/>
      <c r="AC2244" s="183"/>
    </row>
    <row r="2245" spans="2:29">
      <c r="B2245" s="191"/>
      <c r="D2245" s="183"/>
      <c r="G2245" s="183"/>
      <c r="H2245" s="183"/>
      <c r="J2245" s="907"/>
      <c r="K2245" s="907"/>
      <c r="L2245" s="907"/>
      <c r="M2245" s="907"/>
      <c r="N2245" s="183"/>
      <c r="O2245" s="183"/>
      <c r="P2245" s="183"/>
      <c r="Q2245" s="183"/>
      <c r="R2245" s="183"/>
      <c r="S2245" s="183"/>
      <c r="T2245" s="183"/>
      <c r="U2245" s="183"/>
      <c r="V2245" s="183"/>
      <c r="W2245" s="183"/>
      <c r="X2245" s="183"/>
      <c r="Y2245" s="183"/>
      <c r="Z2245" s="183"/>
      <c r="AA2245" s="183"/>
      <c r="AB2245" s="183"/>
      <c r="AC2245" s="183"/>
    </row>
    <row r="2246" spans="2:29">
      <c r="B2246" s="191"/>
      <c r="D2246" s="183"/>
      <c r="G2246" s="183"/>
      <c r="H2246" s="183"/>
      <c r="J2246" s="907"/>
      <c r="K2246" s="907"/>
      <c r="L2246" s="907"/>
      <c r="M2246" s="907"/>
      <c r="N2246" s="183"/>
      <c r="O2246" s="183"/>
      <c r="P2246" s="183"/>
      <c r="Q2246" s="183"/>
      <c r="R2246" s="183"/>
      <c r="S2246" s="183"/>
      <c r="T2246" s="183"/>
      <c r="U2246" s="183"/>
      <c r="V2246" s="183"/>
      <c r="W2246" s="183"/>
      <c r="X2246" s="183"/>
      <c r="Y2246" s="183"/>
      <c r="Z2246" s="183"/>
      <c r="AA2246" s="183"/>
      <c r="AB2246" s="183"/>
      <c r="AC2246" s="183"/>
    </row>
    <row r="2247" spans="2:29">
      <c r="B2247" s="191"/>
      <c r="D2247" s="183"/>
      <c r="G2247" s="183"/>
      <c r="H2247" s="183"/>
      <c r="J2247" s="907"/>
      <c r="K2247" s="907"/>
      <c r="L2247" s="907"/>
      <c r="M2247" s="907"/>
      <c r="N2247" s="183"/>
      <c r="O2247" s="183"/>
      <c r="P2247" s="183"/>
      <c r="Q2247" s="183"/>
      <c r="R2247" s="183"/>
      <c r="S2247" s="183"/>
      <c r="T2247" s="183"/>
      <c r="U2247" s="183"/>
      <c r="V2247" s="183"/>
      <c r="W2247" s="183"/>
      <c r="X2247" s="183"/>
      <c r="Y2247" s="183"/>
      <c r="Z2247" s="183"/>
      <c r="AA2247" s="183"/>
      <c r="AB2247" s="183"/>
      <c r="AC2247" s="183"/>
    </row>
    <row r="2248" spans="2:29">
      <c r="B2248" s="191"/>
      <c r="D2248" s="183"/>
      <c r="G2248" s="183"/>
      <c r="H2248" s="183"/>
      <c r="J2248" s="907"/>
      <c r="K2248" s="907"/>
      <c r="L2248" s="907"/>
      <c r="M2248" s="907"/>
      <c r="N2248" s="183"/>
      <c r="O2248" s="183"/>
      <c r="P2248" s="183"/>
      <c r="Q2248" s="183"/>
      <c r="R2248" s="183"/>
      <c r="S2248" s="183"/>
      <c r="T2248" s="183"/>
      <c r="U2248" s="183"/>
      <c r="V2248" s="183"/>
      <c r="W2248" s="183"/>
      <c r="X2248" s="183"/>
      <c r="Y2248" s="183"/>
      <c r="Z2248" s="183"/>
      <c r="AA2248" s="183"/>
      <c r="AB2248" s="183"/>
      <c r="AC2248" s="183"/>
    </row>
    <row r="2249" spans="2:29">
      <c r="B2249" s="191"/>
      <c r="D2249" s="183"/>
      <c r="G2249" s="183"/>
      <c r="H2249" s="183"/>
      <c r="J2249" s="907"/>
      <c r="K2249" s="907"/>
      <c r="L2249" s="907"/>
      <c r="M2249" s="907"/>
      <c r="N2249" s="183"/>
      <c r="O2249" s="183"/>
      <c r="P2249" s="183"/>
      <c r="Q2249" s="183"/>
      <c r="R2249" s="183"/>
      <c r="S2249" s="183"/>
      <c r="T2249" s="183"/>
      <c r="U2249" s="183"/>
      <c r="V2249" s="183"/>
      <c r="W2249" s="183"/>
      <c r="X2249" s="183"/>
      <c r="Y2249" s="183"/>
      <c r="Z2249" s="183"/>
      <c r="AA2249" s="183"/>
      <c r="AB2249" s="183"/>
      <c r="AC2249" s="183"/>
    </row>
    <row r="2250" spans="2:29">
      <c r="B2250" s="191"/>
      <c r="D2250" s="183"/>
      <c r="G2250" s="183"/>
      <c r="H2250" s="183"/>
      <c r="J2250" s="907"/>
      <c r="K2250" s="907"/>
      <c r="L2250" s="907"/>
      <c r="M2250" s="907"/>
      <c r="N2250" s="183"/>
      <c r="O2250" s="183"/>
      <c r="P2250" s="183"/>
      <c r="Q2250" s="183"/>
      <c r="R2250" s="183"/>
      <c r="S2250" s="183"/>
      <c r="T2250" s="183"/>
      <c r="U2250" s="183"/>
      <c r="V2250" s="183"/>
      <c r="W2250" s="183"/>
      <c r="X2250" s="183"/>
      <c r="Y2250" s="183"/>
      <c r="Z2250" s="183"/>
      <c r="AA2250" s="183"/>
      <c r="AB2250" s="183"/>
      <c r="AC2250" s="183"/>
    </row>
    <row r="2251" spans="2:29">
      <c r="B2251" s="191"/>
      <c r="D2251" s="183"/>
      <c r="G2251" s="183"/>
      <c r="H2251" s="183"/>
      <c r="J2251" s="907"/>
      <c r="K2251" s="907"/>
      <c r="L2251" s="907"/>
      <c r="M2251" s="907"/>
      <c r="N2251" s="183"/>
      <c r="O2251" s="183"/>
      <c r="P2251" s="183"/>
      <c r="Q2251" s="183"/>
      <c r="R2251" s="183"/>
      <c r="S2251" s="183"/>
      <c r="T2251" s="183"/>
      <c r="U2251" s="183"/>
      <c r="V2251" s="183"/>
      <c r="W2251" s="183"/>
      <c r="X2251" s="183"/>
      <c r="Y2251" s="183"/>
      <c r="Z2251" s="183"/>
      <c r="AA2251" s="183"/>
      <c r="AB2251" s="183"/>
      <c r="AC2251" s="183"/>
    </row>
    <row r="2252" spans="2:29">
      <c r="B2252" s="191"/>
      <c r="D2252" s="183"/>
      <c r="G2252" s="183"/>
      <c r="H2252" s="183"/>
      <c r="J2252" s="907"/>
      <c r="K2252" s="907"/>
      <c r="L2252" s="907"/>
      <c r="M2252" s="907"/>
      <c r="N2252" s="183"/>
      <c r="O2252" s="183"/>
      <c r="P2252" s="183"/>
      <c r="Q2252" s="183"/>
      <c r="R2252" s="183"/>
      <c r="S2252" s="183"/>
      <c r="T2252" s="183"/>
      <c r="U2252" s="183"/>
      <c r="V2252" s="183"/>
      <c r="W2252" s="183"/>
      <c r="X2252" s="183"/>
      <c r="Y2252" s="183"/>
      <c r="Z2252" s="183"/>
      <c r="AA2252" s="183"/>
      <c r="AB2252" s="183"/>
      <c r="AC2252" s="183"/>
    </row>
    <row r="2253" spans="2:29">
      <c r="B2253" s="191"/>
      <c r="D2253" s="183"/>
      <c r="G2253" s="183"/>
      <c r="H2253" s="183"/>
      <c r="J2253" s="907"/>
      <c r="K2253" s="907"/>
      <c r="L2253" s="907"/>
      <c r="M2253" s="907"/>
      <c r="N2253" s="183"/>
      <c r="O2253" s="183"/>
      <c r="P2253" s="183"/>
      <c r="Q2253" s="183"/>
      <c r="R2253" s="183"/>
      <c r="S2253" s="183"/>
      <c r="T2253" s="183"/>
      <c r="U2253" s="183"/>
      <c r="V2253" s="183"/>
      <c r="W2253" s="183"/>
      <c r="X2253" s="183"/>
      <c r="Y2253" s="183"/>
      <c r="Z2253" s="183"/>
      <c r="AA2253" s="183"/>
      <c r="AB2253" s="183"/>
      <c r="AC2253" s="183"/>
    </row>
    <row r="2254" spans="2:29">
      <c r="B2254" s="191"/>
      <c r="D2254" s="183"/>
      <c r="G2254" s="183"/>
      <c r="H2254" s="183"/>
      <c r="J2254" s="907"/>
      <c r="K2254" s="907"/>
      <c r="L2254" s="907"/>
      <c r="M2254" s="907"/>
      <c r="N2254" s="183"/>
      <c r="O2254" s="183"/>
      <c r="P2254" s="183"/>
      <c r="Q2254" s="183"/>
      <c r="R2254" s="183"/>
      <c r="S2254" s="183"/>
      <c r="T2254" s="183"/>
      <c r="U2254" s="183"/>
      <c r="V2254" s="183"/>
      <c r="W2254" s="183"/>
      <c r="X2254" s="183"/>
      <c r="Y2254" s="183"/>
      <c r="Z2254" s="183"/>
      <c r="AA2254" s="183"/>
      <c r="AB2254" s="183"/>
      <c r="AC2254" s="183"/>
    </row>
    <row r="2255" spans="2:29">
      <c r="B2255" s="191"/>
      <c r="D2255" s="183"/>
      <c r="G2255" s="183"/>
      <c r="H2255" s="183"/>
      <c r="J2255" s="907"/>
      <c r="K2255" s="907"/>
      <c r="L2255" s="907"/>
      <c r="M2255" s="907"/>
      <c r="N2255" s="183"/>
      <c r="O2255" s="183"/>
      <c r="P2255" s="183"/>
      <c r="Q2255" s="183"/>
      <c r="R2255" s="183"/>
      <c r="S2255" s="183"/>
      <c r="T2255" s="183"/>
      <c r="U2255" s="183"/>
      <c r="V2255" s="183"/>
      <c r="W2255" s="183"/>
      <c r="X2255" s="183"/>
      <c r="Y2255" s="183"/>
      <c r="Z2255" s="183"/>
      <c r="AA2255" s="183"/>
      <c r="AB2255" s="183"/>
      <c r="AC2255" s="183"/>
    </row>
    <row r="2256" spans="2:29">
      <c r="B2256" s="191"/>
      <c r="D2256" s="183"/>
      <c r="G2256" s="183"/>
      <c r="H2256" s="183"/>
      <c r="J2256" s="907"/>
      <c r="K2256" s="907"/>
      <c r="L2256" s="907"/>
      <c r="M2256" s="907"/>
      <c r="N2256" s="183"/>
      <c r="O2256" s="183"/>
      <c r="P2256" s="183"/>
      <c r="Q2256" s="183"/>
      <c r="R2256" s="183"/>
      <c r="S2256" s="183"/>
      <c r="T2256" s="183"/>
      <c r="U2256" s="183"/>
      <c r="V2256" s="183"/>
      <c r="W2256" s="183"/>
      <c r="X2256" s="183"/>
      <c r="Y2256" s="183"/>
      <c r="Z2256" s="183"/>
      <c r="AA2256" s="183"/>
      <c r="AB2256" s="183"/>
      <c r="AC2256" s="183"/>
    </row>
    <row r="2257" spans="2:29">
      <c r="B2257" s="191"/>
      <c r="D2257" s="183"/>
      <c r="G2257" s="183"/>
      <c r="H2257" s="183"/>
      <c r="J2257" s="907"/>
      <c r="K2257" s="907"/>
      <c r="L2257" s="907"/>
      <c r="M2257" s="907"/>
      <c r="N2257" s="183"/>
      <c r="O2257" s="183"/>
      <c r="P2257" s="183"/>
      <c r="Q2257" s="183"/>
      <c r="R2257" s="183"/>
      <c r="S2257" s="183"/>
      <c r="T2257" s="183"/>
      <c r="U2257" s="183"/>
      <c r="V2257" s="183"/>
      <c r="W2257" s="183"/>
      <c r="X2257" s="183"/>
      <c r="Y2257" s="183"/>
      <c r="Z2257" s="183"/>
      <c r="AA2257" s="183"/>
      <c r="AB2257" s="183"/>
      <c r="AC2257" s="183"/>
    </row>
    <row r="2258" spans="2:29">
      <c r="B2258" s="191"/>
      <c r="D2258" s="183"/>
      <c r="G2258" s="183"/>
      <c r="H2258" s="183"/>
      <c r="J2258" s="907"/>
      <c r="K2258" s="907"/>
      <c r="L2258" s="907"/>
      <c r="M2258" s="907"/>
      <c r="N2258" s="183"/>
      <c r="O2258" s="183"/>
      <c r="P2258" s="183"/>
      <c r="Q2258" s="183"/>
      <c r="R2258" s="183"/>
      <c r="S2258" s="183"/>
      <c r="T2258" s="183"/>
      <c r="U2258" s="183"/>
      <c r="V2258" s="183"/>
      <c r="W2258" s="183"/>
      <c r="X2258" s="183"/>
      <c r="Y2258" s="183"/>
      <c r="Z2258" s="183"/>
      <c r="AA2258" s="183"/>
      <c r="AB2258" s="183"/>
      <c r="AC2258" s="183"/>
    </row>
    <row r="2259" spans="2:29">
      <c r="B2259" s="191"/>
      <c r="D2259" s="183"/>
      <c r="G2259" s="183"/>
      <c r="H2259" s="183"/>
      <c r="J2259" s="907"/>
      <c r="K2259" s="907"/>
      <c r="L2259" s="907"/>
      <c r="M2259" s="907"/>
      <c r="N2259" s="183"/>
      <c r="O2259" s="183"/>
      <c r="P2259" s="183"/>
      <c r="Q2259" s="183"/>
      <c r="R2259" s="183"/>
      <c r="S2259" s="183"/>
      <c r="T2259" s="183"/>
      <c r="U2259" s="183"/>
      <c r="V2259" s="183"/>
      <c r="W2259" s="183"/>
      <c r="X2259" s="183"/>
      <c r="Y2259" s="183"/>
      <c r="Z2259" s="183"/>
      <c r="AA2259" s="183"/>
      <c r="AB2259" s="183"/>
      <c r="AC2259" s="183"/>
    </row>
    <row r="2260" spans="2:29">
      <c r="B2260" s="191"/>
      <c r="D2260" s="183"/>
      <c r="G2260" s="183"/>
      <c r="H2260" s="183"/>
      <c r="J2260" s="907"/>
      <c r="K2260" s="907"/>
      <c r="L2260" s="907"/>
      <c r="M2260" s="907"/>
      <c r="N2260" s="183"/>
      <c r="O2260" s="183"/>
      <c r="P2260" s="183"/>
      <c r="Q2260" s="183"/>
      <c r="R2260" s="183"/>
      <c r="S2260" s="183"/>
      <c r="T2260" s="183"/>
      <c r="U2260" s="183"/>
      <c r="V2260" s="183"/>
      <c r="W2260" s="183"/>
      <c r="X2260" s="183"/>
      <c r="Y2260" s="183"/>
      <c r="Z2260" s="183"/>
      <c r="AA2260" s="183"/>
      <c r="AB2260" s="183"/>
      <c r="AC2260" s="183"/>
    </row>
    <row r="2261" spans="2:29">
      <c r="B2261" s="191"/>
      <c r="D2261" s="183"/>
      <c r="G2261" s="183"/>
      <c r="H2261" s="183"/>
      <c r="J2261" s="907"/>
      <c r="K2261" s="907"/>
      <c r="L2261" s="907"/>
      <c r="M2261" s="907"/>
      <c r="N2261" s="183"/>
      <c r="O2261" s="183"/>
      <c r="P2261" s="183"/>
      <c r="Q2261" s="183"/>
      <c r="R2261" s="183"/>
      <c r="S2261" s="183"/>
      <c r="T2261" s="183"/>
      <c r="U2261" s="183"/>
      <c r="V2261" s="183"/>
      <c r="W2261" s="183"/>
      <c r="X2261" s="183"/>
      <c r="Y2261" s="183"/>
      <c r="Z2261" s="183"/>
      <c r="AA2261" s="183"/>
      <c r="AB2261" s="183"/>
      <c r="AC2261" s="183"/>
    </row>
    <row r="2262" spans="2:29">
      <c r="B2262" s="191"/>
      <c r="D2262" s="183"/>
      <c r="G2262" s="183"/>
      <c r="H2262" s="183"/>
      <c r="J2262" s="907"/>
      <c r="K2262" s="907"/>
      <c r="L2262" s="907"/>
      <c r="M2262" s="907"/>
      <c r="N2262" s="183"/>
      <c r="O2262" s="183"/>
      <c r="P2262" s="183"/>
      <c r="Q2262" s="183"/>
      <c r="R2262" s="183"/>
      <c r="S2262" s="183"/>
      <c r="T2262" s="183"/>
      <c r="U2262" s="183"/>
      <c r="V2262" s="183"/>
      <c r="W2262" s="183"/>
      <c r="X2262" s="183"/>
      <c r="Y2262" s="183"/>
      <c r="Z2262" s="183"/>
      <c r="AA2262" s="183"/>
      <c r="AB2262" s="183"/>
      <c r="AC2262" s="183"/>
    </row>
    <row r="2263" spans="2:29">
      <c r="B2263" s="191"/>
      <c r="D2263" s="183"/>
      <c r="G2263" s="183"/>
      <c r="H2263" s="183"/>
      <c r="J2263" s="907"/>
      <c r="K2263" s="907"/>
      <c r="L2263" s="907"/>
      <c r="M2263" s="907"/>
      <c r="N2263" s="183"/>
      <c r="O2263" s="183"/>
      <c r="P2263" s="183"/>
      <c r="Q2263" s="183"/>
      <c r="R2263" s="183"/>
      <c r="S2263" s="183"/>
      <c r="T2263" s="183"/>
      <c r="U2263" s="183"/>
      <c r="V2263" s="183"/>
      <c r="W2263" s="183"/>
      <c r="X2263" s="183"/>
      <c r="Y2263" s="183"/>
      <c r="Z2263" s="183"/>
      <c r="AA2263" s="183"/>
      <c r="AB2263" s="183"/>
      <c r="AC2263" s="183"/>
    </row>
    <row r="2264" spans="2:29">
      <c r="B2264" s="191"/>
      <c r="D2264" s="183"/>
      <c r="G2264" s="183"/>
      <c r="H2264" s="183"/>
      <c r="J2264" s="907"/>
      <c r="K2264" s="907"/>
      <c r="L2264" s="907"/>
      <c r="M2264" s="907"/>
      <c r="N2264" s="183"/>
      <c r="O2264" s="183"/>
      <c r="P2264" s="183"/>
      <c r="Q2264" s="183"/>
      <c r="R2264" s="183"/>
      <c r="S2264" s="183"/>
      <c r="T2264" s="183"/>
      <c r="U2264" s="183"/>
      <c r="V2264" s="183"/>
      <c r="W2264" s="183"/>
      <c r="X2264" s="183"/>
      <c r="Y2264" s="183"/>
      <c r="Z2264" s="183"/>
      <c r="AA2264" s="183"/>
      <c r="AB2264" s="183"/>
      <c r="AC2264" s="183"/>
    </row>
    <row r="2265" spans="2:29">
      <c r="B2265" s="191"/>
      <c r="D2265" s="183"/>
      <c r="G2265" s="183"/>
      <c r="H2265" s="183"/>
      <c r="J2265" s="907"/>
      <c r="K2265" s="907"/>
      <c r="L2265" s="907"/>
      <c r="M2265" s="907"/>
      <c r="N2265" s="183"/>
      <c r="O2265" s="183"/>
      <c r="P2265" s="183"/>
      <c r="Q2265" s="183"/>
      <c r="R2265" s="183"/>
      <c r="S2265" s="183"/>
      <c r="T2265" s="183"/>
      <c r="U2265" s="183"/>
      <c r="V2265" s="183"/>
      <c r="W2265" s="183"/>
      <c r="X2265" s="183"/>
      <c r="Y2265" s="183"/>
      <c r="Z2265" s="183"/>
      <c r="AA2265" s="183"/>
      <c r="AB2265" s="183"/>
      <c r="AC2265" s="183"/>
    </row>
    <row r="2266" spans="2:29">
      <c r="B2266" s="191"/>
      <c r="D2266" s="183"/>
      <c r="G2266" s="183"/>
      <c r="H2266" s="183"/>
      <c r="J2266" s="907"/>
      <c r="K2266" s="907"/>
      <c r="L2266" s="907"/>
      <c r="M2266" s="907"/>
      <c r="N2266" s="183"/>
      <c r="O2266" s="183"/>
      <c r="P2266" s="183"/>
      <c r="Q2266" s="183"/>
      <c r="R2266" s="183"/>
      <c r="S2266" s="183"/>
      <c r="T2266" s="183"/>
      <c r="U2266" s="183"/>
      <c r="V2266" s="183"/>
      <c r="W2266" s="183"/>
      <c r="X2266" s="183"/>
      <c r="Y2266" s="183"/>
      <c r="Z2266" s="183"/>
      <c r="AA2266" s="183"/>
      <c r="AB2266" s="183"/>
      <c r="AC2266" s="183"/>
    </row>
    <row r="2267" spans="2:29">
      <c r="B2267" s="191"/>
      <c r="D2267" s="183"/>
      <c r="G2267" s="183"/>
      <c r="H2267" s="183"/>
      <c r="J2267" s="907"/>
      <c r="K2267" s="907"/>
      <c r="L2267" s="907"/>
      <c r="M2267" s="907"/>
      <c r="N2267" s="183"/>
      <c r="O2267" s="183"/>
      <c r="P2267" s="183"/>
      <c r="Q2267" s="183"/>
      <c r="R2267" s="183"/>
      <c r="S2267" s="183"/>
      <c r="T2267" s="183"/>
      <c r="U2267" s="183"/>
      <c r="V2267" s="183"/>
      <c r="W2267" s="183"/>
      <c r="X2267" s="183"/>
      <c r="Y2267" s="183"/>
      <c r="Z2267" s="183"/>
      <c r="AA2267" s="183"/>
      <c r="AB2267" s="183"/>
      <c r="AC2267" s="183"/>
    </row>
    <row r="2268" spans="2:29">
      <c r="B2268" s="191"/>
      <c r="D2268" s="183"/>
      <c r="G2268" s="183"/>
      <c r="H2268" s="183"/>
      <c r="J2268" s="907"/>
      <c r="K2268" s="907"/>
      <c r="L2268" s="907"/>
      <c r="M2268" s="907"/>
      <c r="N2268" s="183"/>
      <c r="O2268" s="183"/>
      <c r="P2268" s="183"/>
      <c r="Q2268" s="183"/>
      <c r="R2268" s="183"/>
      <c r="S2268" s="183"/>
      <c r="T2268" s="183"/>
      <c r="U2268" s="183"/>
      <c r="V2268" s="183"/>
      <c r="W2268" s="183"/>
      <c r="X2268" s="183"/>
      <c r="Y2268" s="183"/>
      <c r="Z2268" s="183"/>
      <c r="AA2268" s="183"/>
      <c r="AB2268" s="183"/>
      <c r="AC2268" s="183"/>
    </row>
    <row r="2269" spans="2:29">
      <c r="B2269" s="191"/>
      <c r="D2269" s="183"/>
      <c r="G2269" s="183"/>
      <c r="H2269" s="183"/>
      <c r="J2269" s="907"/>
      <c r="K2269" s="907"/>
      <c r="L2269" s="907"/>
      <c r="M2269" s="907"/>
      <c r="N2269" s="183"/>
      <c r="O2269" s="183"/>
      <c r="P2269" s="183"/>
      <c r="Q2269" s="183"/>
      <c r="R2269" s="183"/>
      <c r="S2269" s="183"/>
      <c r="T2269" s="183"/>
      <c r="U2269" s="183"/>
      <c r="V2269" s="183"/>
      <c r="W2269" s="183"/>
      <c r="X2269" s="183"/>
      <c r="Y2269" s="183"/>
      <c r="Z2269" s="183"/>
      <c r="AA2269" s="183"/>
      <c r="AB2269" s="183"/>
      <c r="AC2269" s="183"/>
    </row>
    <row r="2270" spans="2:29">
      <c r="B2270" s="191"/>
      <c r="D2270" s="183"/>
      <c r="G2270" s="183"/>
      <c r="H2270" s="183"/>
      <c r="J2270" s="907"/>
      <c r="K2270" s="907"/>
      <c r="L2270" s="907"/>
      <c r="M2270" s="907"/>
      <c r="N2270" s="183"/>
      <c r="O2270" s="183"/>
      <c r="P2270" s="183"/>
      <c r="Q2270" s="183"/>
      <c r="R2270" s="183"/>
      <c r="S2270" s="183"/>
      <c r="T2270" s="183"/>
      <c r="U2270" s="183"/>
      <c r="V2270" s="183"/>
      <c r="W2270" s="183"/>
      <c r="X2270" s="183"/>
      <c r="Y2270" s="183"/>
      <c r="Z2270" s="183"/>
      <c r="AA2270" s="183"/>
      <c r="AB2270" s="183"/>
      <c r="AC2270" s="183"/>
    </row>
    <row r="2271" spans="2:29">
      <c r="B2271" s="191"/>
      <c r="D2271" s="183"/>
      <c r="G2271" s="183"/>
      <c r="H2271" s="183"/>
      <c r="J2271" s="907"/>
      <c r="K2271" s="907"/>
      <c r="L2271" s="907"/>
      <c r="M2271" s="907"/>
      <c r="N2271" s="183"/>
      <c r="O2271" s="183"/>
      <c r="P2271" s="183"/>
      <c r="Q2271" s="183"/>
      <c r="R2271" s="183"/>
      <c r="S2271" s="183"/>
      <c r="T2271" s="183"/>
      <c r="U2271" s="183"/>
      <c r="V2271" s="183"/>
      <c r="W2271" s="183"/>
      <c r="X2271" s="183"/>
      <c r="Y2271" s="183"/>
      <c r="Z2271" s="183"/>
      <c r="AA2271" s="183"/>
      <c r="AB2271" s="183"/>
      <c r="AC2271" s="183"/>
    </row>
    <row r="2272" spans="2:29">
      <c r="B2272" s="191"/>
      <c r="D2272" s="183"/>
      <c r="G2272" s="183"/>
      <c r="H2272" s="183"/>
      <c r="J2272" s="907"/>
      <c r="K2272" s="907"/>
      <c r="L2272" s="907"/>
      <c r="M2272" s="907"/>
      <c r="N2272" s="183"/>
      <c r="O2272" s="183"/>
      <c r="P2272" s="183"/>
      <c r="Q2272" s="183"/>
      <c r="R2272" s="183"/>
      <c r="S2272" s="183"/>
      <c r="T2272" s="183"/>
      <c r="U2272" s="183"/>
      <c r="V2272" s="183"/>
      <c r="W2272" s="183"/>
      <c r="X2272" s="183"/>
      <c r="Y2272" s="183"/>
      <c r="Z2272" s="183"/>
      <c r="AA2272" s="183"/>
      <c r="AB2272" s="183"/>
      <c r="AC2272" s="183"/>
    </row>
    <row r="2273" spans="2:29">
      <c r="B2273" s="191"/>
      <c r="D2273" s="183"/>
      <c r="G2273" s="183"/>
      <c r="H2273" s="183"/>
      <c r="J2273" s="907"/>
      <c r="K2273" s="907"/>
      <c r="L2273" s="907"/>
      <c r="M2273" s="907"/>
      <c r="N2273" s="183"/>
      <c r="O2273" s="183"/>
      <c r="P2273" s="183"/>
      <c r="Q2273" s="183"/>
      <c r="R2273" s="183"/>
      <c r="S2273" s="183"/>
      <c r="T2273" s="183"/>
      <c r="U2273" s="183"/>
      <c r="V2273" s="183"/>
      <c r="W2273" s="183"/>
      <c r="X2273" s="183"/>
      <c r="Y2273" s="183"/>
      <c r="Z2273" s="183"/>
      <c r="AA2273" s="183"/>
      <c r="AB2273" s="183"/>
      <c r="AC2273" s="183"/>
    </row>
    <row r="2274" spans="2:29">
      <c r="B2274" s="191"/>
      <c r="D2274" s="183"/>
      <c r="G2274" s="183"/>
      <c r="H2274" s="183"/>
      <c r="J2274" s="907"/>
      <c r="K2274" s="907"/>
      <c r="L2274" s="907"/>
      <c r="M2274" s="907"/>
      <c r="N2274" s="183"/>
      <c r="O2274" s="183"/>
      <c r="P2274" s="183"/>
      <c r="Q2274" s="183"/>
      <c r="R2274" s="183"/>
      <c r="S2274" s="183"/>
      <c r="T2274" s="183"/>
      <c r="U2274" s="183"/>
      <c r="V2274" s="183"/>
      <c r="W2274" s="183"/>
      <c r="X2274" s="183"/>
      <c r="Y2274" s="183"/>
      <c r="Z2274" s="183"/>
      <c r="AA2274" s="183"/>
      <c r="AB2274" s="183"/>
      <c r="AC2274" s="183"/>
    </row>
    <row r="2275" spans="2:29">
      <c r="B2275" s="191"/>
      <c r="D2275" s="183"/>
      <c r="G2275" s="183"/>
      <c r="H2275" s="183"/>
      <c r="J2275" s="907"/>
      <c r="K2275" s="907"/>
      <c r="L2275" s="907"/>
      <c r="M2275" s="907"/>
      <c r="N2275" s="183"/>
      <c r="O2275" s="183"/>
      <c r="P2275" s="183"/>
      <c r="Q2275" s="183"/>
      <c r="R2275" s="183"/>
      <c r="S2275" s="183"/>
      <c r="T2275" s="183"/>
      <c r="U2275" s="183"/>
      <c r="V2275" s="183"/>
      <c r="W2275" s="183"/>
      <c r="X2275" s="183"/>
      <c r="Y2275" s="183"/>
      <c r="Z2275" s="183"/>
      <c r="AA2275" s="183"/>
      <c r="AB2275" s="183"/>
      <c r="AC2275" s="183"/>
    </row>
    <row r="2276" spans="2:29">
      <c r="B2276" s="191"/>
      <c r="D2276" s="183"/>
      <c r="G2276" s="183"/>
      <c r="H2276" s="183"/>
      <c r="J2276" s="907"/>
      <c r="K2276" s="907"/>
      <c r="L2276" s="907"/>
      <c r="M2276" s="907"/>
      <c r="N2276" s="183"/>
      <c r="O2276" s="183"/>
      <c r="P2276" s="183"/>
      <c r="Q2276" s="183"/>
      <c r="R2276" s="183"/>
      <c r="S2276" s="183"/>
      <c r="T2276" s="183"/>
      <c r="U2276" s="183"/>
      <c r="V2276" s="183"/>
      <c r="W2276" s="183"/>
      <c r="X2276" s="183"/>
      <c r="Y2276" s="183"/>
      <c r="Z2276" s="183"/>
      <c r="AA2276" s="183"/>
      <c r="AB2276" s="183"/>
      <c r="AC2276" s="183"/>
    </row>
    <row r="2277" spans="2:29">
      <c r="B2277" s="191"/>
      <c r="D2277" s="183"/>
      <c r="G2277" s="183"/>
      <c r="H2277" s="183"/>
      <c r="J2277" s="907"/>
      <c r="K2277" s="907"/>
      <c r="L2277" s="907"/>
      <c r="M2277" s="907"/>
      <c r="N2277" s="183"/>
      <c r="O2277" s="183"/>
      <c r="P2277" s="183"/>
      <c r="Q2277" s="183"/>
      <c r="R2277" s="183"/>
      <c r="S2277" s="183"/>
      <c r="T2277" s="183"/>
      <c r="U2277" s="183"/>
      <c r="V2277" s="183"/>
      <c r="W2277" s="183"/>
      <c r="X2277" s="183"/>
      <c r="Y2277" s="183"/>
      <c r="Z2277" s="183"/>
      <c r="AA2277" s="183"/>
      <c r="AB2277" s="183"/>
      <c r="AC2277" s="183"/>
    </row>
    <row r="2278" spans="2:29">
      <c r="B2278" s="191"/>
      <c r="D2278" s="183"/>
      <c r="G2278" s="183"/>
      <c r="H2278" s="183"/>
      <c r="J2278" s="907"/>
      <c r="K2278" s="907"/>
      <c r="L2278" s="907"/>
      <c r="M2278" s="907"/>
      <c r="N2278" s="183"/>
      <c r="O2278" s="183"/>
      <c r="P2278" s="183"/>
      <c r="Q2278" s="183"/>
      <c r="R2278" s="183"/>
      <c r="S2278" s="183"/>
      <c r="T2278" s="183"/>
      <c r="U2278" s="183"/>
      <c r="V2278" s="183"/>
      <c r="W2278" s="183"/>
      <c r="X2278" s="183"/>
      <c r="Y2278" s="183"/>
      <c r="Z2278" s="183"/>
      <c r="AA2278" s="183"/>
      <c r="AB2278" s="183"/>
      <c r="AC2278" s="183"/>
    </row>
    <row r="2279" spans="2:29">
      <c r="B2279" s="191"/>
      <c r="D2279" s="183"/>
      <c r="G2279" s="183"/>
      <c r="H2279" s="183"/>
      <c r="J2279" s="907"/>
      <c r="K2279" s="907"/>
      <c r="L2279" s="907"/>
      <c r="M2279" s="907"/>
      <c r="N2279" s="183"/>
      <c r="O2279" s="183"/>
      <c r="P2279" s="183"/>
      <c r="Q2279" s="183"/>
      <c r="R2279" s="183"/>
      <c r="S2279" s="183"/>
      <c r="T2279" s="183"/>
      <c r="U2279" s="183"/>
      <c r="V2279" s="183"/>
      <c r="W2279" s="183"/>
      <c r="X2279" s="183"/>
      <c r="Y2279" s="183"/>
      <c r="Z2279" s="183"/>
      <c r="AA2279" s="183"/>
      <c r="AB2279" s="183"/>
      <c r="AC2279" s="183"/>
    </row>
    <row r="2280" spans="2:29">
      <c r="B2280" s="191"/>
      <c r="D2280" s="183"/>
      <c r="G2280" s="183"/>
      <c r="H2280" s="183"/>
      <c r="J2280" s="907"/>
      <c r="K2280" s="907"/>
      <c r="L2280" s="907"/>
      <c r="M2280" s="907"/>
      <c r="N2280" s="183"/>
      <c r="O2280" s="183"/>
      <c r="P2280" s="183"/>
      <c r="Q2280" s="183"/>
      <c r="R2280" s="183"/>
      <c r="S2280" s="183"/>
      <c r="T2280" s="183"/>
      <c r="U2280" s="183"/>
      <c r="V2280" s="183"/>
      <c r="W2280" s="183"/>
      <c r="X2280" s="183"/>
      <c r="Y2280" s="183"/>
      <c r="Z2280" s="183"/>
      <c r="AA2280" s="183"/>
      <c r="AB2280" s="183"/>
      <c r="AC2280" s="183"/>
    </row>
    <row r="2281" spans="2:29">
      <c r="B2281" s="191"/>
      <c r="D2281" s="183"/>
      <c r="G2281" s="183"/>
      <c r="H2281" s="183"/>
      <c r="J2281" s="907"/>
      <c r="K2281" s="907"/>
      <c r="L2281" s="907"/>
      <c r="M2281" s="907"/>
      <c r="N2281" s="183"/>
      <c r="O2281" s="183"/>
      <c r="P2281" s="183"/>
      <c r="Q2281" s="183"/>
      <c r="R2281" s="183"/>
      <c r="S2281" s="183"/>
      <c r="T2281" s="183"/>
      <c r="U2281" s="183"/>
      <c r="V2281" s="183"/>
      <c r="W2281" s="183"/>
      <c r="X2281" s="183"/>
      <c r="Y2281" s="183"/>
      <c r="Z2281" s="183"/>
      <c r="AA2281" s="183"/>
      <c r="AB2281" s="183"/>
      <c r="AC2281" s="183"/>
    </row>
    <row r="2282" spans="2:29">
      <c r="B2282" s="191"/>
      <c r="D2282" s="183"/>
      <c r="G2282" s="183"/>
      <c r="H2282" s="183"/>
      <c r="J2282" s="907"/>
      <c r="K2282" s="907"/>
      <c r="L2282" s="907"/>
      <c r="M2282" s="907"/>
      <c r="N2282" s="183"/>
      <c r="O2282" s="183"/>
      <c r="P2282" s="183"/>
      <c r="Q2282" s="183"/>
      <c r="R2282" s="183"/>
      <c r="S2282" s="183"/>
      <c r="T2282" s="183"/>
      <c r="U2282" s="183"/>
      <c r="V2282" s="183"/>
      <c r="W2282" s="183"/>
      <c r="X2282" s="183"/>
      <c r="Y2282" s="183"/>
      <c r="Z2282" s="183"/>
      <c r="AA2282" s="183"/>
      <c r="AB2282" s="183"/>
      <c r="AC2282" s="183"/>
    </row>
    <row r="2283" spans="2:29">
      <c r="B2283" s="191"/>
      <c r="D2283" s="183"/>
      <c r="G2283" s="183"/>
      <c r="H2283" s="183"/>
      <c r="J2283" s="907"/>
      <c r="K2283" s="907"/>
      <c r="L2283" s="907"/>
      <c r="M2283" s="907"/>
      <c r="N2283" s="183"/>
      <c r="O2283" s="183"/>
      <c r="P2283" s="183"/>
      <c r="Q2283" s="183"/>
      <c r="R2283" s="183"/>
      <c r="S2283" s="183"/>
      <c r="T2283" s="183"/>
      <c r="U2283" s="183"/>
      <c r="V2283" s="183"/>
      <c r="W2283" s="183"/>
      <c r="X2283" s="183"/>
      <c r="Y2283" s="183"/>
      <c r="Z2283" s="183"/>
      <c r="AA2283" s="183"/>
      <c r="AB2283" s="183"/>
      <c r="AC2283" s="183"/>
    </row>
    <row r="2284" spans="2:29">
      <c r="B2284" s="191"/>
      <c r="D2284" s="183"/>
      <c r="G2284" s="183"/>
      <c r="H2284" s="183"/>
      <c r="J2284" s="907"/>
      <c r="K2284" s="907"/>
      <c r="L2284" s="907"/>
      <c r="M2284" s="907"/>
      <c r="N2284" s="183"/>
      <c r="O2284" s="183"/>
      <c r="P2284" s="183"/>
      <c r="Q2284" s="183"/>
      <c r="R2284" s="183"/>
      <c r="S2284" s="183"/>
      <c r="T2284" s="183"/>
      <c r="U2284" s="183"/>
      <c r="V2284" s="183"/>
      <c r="W2284" s="183"/>
      <c r="X2284" s="183"/>
      <c r="Y2284" s="183"/>
      <c r="Z2284" s="183"/>
      <c r="AA2284" s="183"/>
      <c r="AB2284" s="183"/>
      <c r="AC2284" s="183"/>
    </row>
    <row r="2285" spans="2:29">
      <c r="B2285" s="191"/>
      <c r="D2285" s="183"/>
      <c r="G2285" s="183"/>
      <c r="H2285" s="183"/>
      <c r="J2285" s="907"/>
      <c r="K2285" s="907"/>
      <c r="L2285" s="907"/>
      <c r="M2285" s="907"/>
      <c r="N2285" s="183"/>
      <c r="O2285" s="183"/>
      <c r="P2285" s="183"/>
      <c r="Q2285" s="183"/>
      <c r="R2285" s="183"/>
      <c r="S2285" s="183"/>
      <c r="T2285" s="183"/>
      <c r="U2285" s="183"/>
      <c r="V2285" s="183"/>
      <c r="W2285" s="183"/>
      <c r="X2285" s="183"/>
      <c r="Y2285" s="183"/>
      <c r="Z2285" s="183"/>
      <c r="AA2285" s="183"/>
      <c r="AB2285" s="183"/>
      <c r="AC2285" s="183"/>
    </row>
    <row r="2286" spans="2:29">
      <c r="B2286" s="191"/>
      <c r="D2286" s="183"/>
      <c r="G2286" s="183"/>
      <c r="H2286" s="183"/>
      <c r="J2286" s="907"/>
      <c r="K2286" s="907"/>
      <c r="L2286" s="907"/>
      <c r="M2286" s="907"/>
      <c r="N2286" s="183"/>
      <c r="O2286" s="183"/>
      <c r="P2286" s="183"/>
      <c r="Q2286" s="183"/>
      <c r="R2286" s="183"/>
      <c r="S2286" s="183"/>
      <c r="T2286" s="183"/>
      <c r="U2286" s="183"/>
      <c r="V2286" s="183"/>
      <c r="W2286" s="183"/>
      <c r="X2286" s="183"/>
      <c r="Y2286" s="183"/>
      <c r="Z2286" s="183"/>
      <c r="AA2286" s="183"/>
      <c r="AB2286" s="183"/>
      <c r="AC2286" s="183"/>
    </row>
    <row r="2287" spans="2:29">
      <c r="B2287" s="191"/>
      <c r="D2287" s="183"/>
      <c r="G2287" s="183"/>
      <c r="H2287" s="183"/>
      <c r="J2287" s="907"/>
      <c r="K2287" s="907"/>
      <c r="L2287" s="907"/>
      <c r="M2287" s="907"/>
      <c r="N2287" s="183"/>
      <c r="O2287" s="183"/>
      <c r="P2287" s="183"/>
      <c r="Q2287" s="183"/>
      <c r="R2287" s="183"/>
      <c r="S2287" s="183"/>
      <c r="T2287" s="183"/>
      <c r="U2287" s="183"/>
      <c r="V2287" s="183"/>
      <c r="W2287" s="183"/>
      <c r="X2287" s="183"/>
      <c r="Y2287" s="183"/>
      <c r="Z2287" s="183"/>
      <c r="AA2287" s="183"/>
      <c r="AB2287" s="183"/>
      <c r="AC2287" s="183"/>
    </row>
    <row r="2288" spans="2:29">
      <c r="B2288" s="191"/>
      <c r="D2288" s="183"/>
      <c r="G2288" s="183"/>
      <c r="H2288" s="183"/>
      <c r="J2288" s="907"/>
      <c r="K2288" s="907"/>
      <c r="L2288" s="907"/>
      <c r="M2288" s="907"/>
      <c r="N2288" s="183"/>
      <c r="O2288" s="183"/>
      <c r="P2288" s="183"/>
      <c r="Q2288" s="183"/>
      <c r="R2288" s="183"/>
      <c r="S2288" s="183"/>
      <c r="T2288" s="183"/>
      <c r="U2288" s="183"/>
      <c r="V2288" s="183"/>
      <c r="W2288" s="183"/>
      <c r="X2288" s="183"/>
      <c r="Y2288" s="183"/>
      <c r="Z2288" s="183"/>
      <c r="AA2288" s="183"/>
      <c r="AB2288" s="183"/>
      <c r="AC2288" s="183"/>
    </row>
    <row r="2289" spans="2:29">
      <c r="B2289" s="191"/>
      <c r="D2289" s="183"/>
      <c r="G2289" s="183"/>
      <c r="H2289" s="183"/>
      <c r="J2289" s="907"/>
      <c r="K2289" s="907"/>
      <c r="L2289" s="907"/>
      <c r="M2289" s="907"/>
      <c r="N2289" s="183"/>
      <c r="O2289" s="183"/>
      <c r="P2289" s="183"/>
      <c r="Q2289" s="183"/>
      <c r="R2289" s="183"/>
      <c r="S2289" s="183"/>
      <c r="T2289" s="183"/>
      <c r="U2289" s="183"/>
      <c r="V2289" s="183"/>
      <c r="W2289" s="183"/>
      <c r="X2289" s="183"/>
      <c r="Y2289" s="183"/>
      <c r="Z2289" s="183"/>
      <c r="AA2289" s="183"/>
      <c r="AB2289" s="183"/>
      <c r="AC2289" s="183"/>
    </row>
    <row r="2290" spans="2:29">
      <c r="B2290" s="191"/>
      <c r="D2290" s="183"/>
      <c r="G2290" s="183"/>
      <c r="H2290" s="183"/>
      <c r="J2290" s="907"/>
      <c r="K2290" s="907"/>
      <c r="L2290" s="907"/>
      <c r="M2290" s="907"/>
      <c r="N2290" s="183"/>
      <c r="O2290" s="183"/>
      <c r="P2290" s="183"/>
      <c r="Q2290" s="183"/>
      <c r="R2290" s="183"/>
      <c r="S2290" s="183"/>
      <c r="T2290" s="183"/>
      <c r="U2290" s="183"/>
      <c r="V2290" s="183"/>
      <c r="W2290" s="183"/>
      <c r="X2290" s="183"/>
      <c r="Y2290" s="183"/>
      <c r="Z2290" s="183"/>
      <c r="AA2290" s="183"/>
      <c r="AB2290" s="183"/>
      <c r="AC2290" s="183"/>
    </row>
    <row r="2291" spans="2:29">
      <c r="B2291" s="191"/>
      <c r="D2291" s="183"/>
      <c r="G2291" s="183"/>
      <c r="H2291" s="183"/>
      <c r="J2291" s="907"/>
      <c r="K2291" s="907"/>
      <c r="L2291" s="907"/>
      <c r="M2291" s="907"/>
      <c r="N2291" s="183"/>
      <c r="O2291" s="183"/>
      <c r="P2291" s="183"/>
      <c r="Q2291" s="183"/>
      <c r="R2291" s="183"/>
      <c r="S2291" s="183"/>
      <c r="T2291" s="183"/>
      <c r="U2291" s="183"/>
      <c r="V2291" s="183"/>
      <c r="W2291" s="183"/>
      <c r="X2291" s="183"/>
      <c r="Y2291" s="183"/>
      <c r="Z2291" s="183"/>
      <c r="AA2291" s="183"/>
      <c r="AB2291" s="183"/>
      <c r="AC2291" s="183"/>
    </row>
    <row r="2292" spans="2:29">
      <c r="B2292" s="191"/>
      <c r="D2292" s="183"/>
      <c r="G2292" s="183"/>
      <c r="H2292" s="183"/>
      <c r="J2292" s="907"/>
      <c r="K2292" s="907"/>
      <c r="L2292" s="907"/>
      <c r="M2292" s="907"/>
      <c r="N2292" s="183"/>
      <c r="O2292" s="183"/>
      <c r="P2292" s="183"/>
      <c r="Q2292" s="183"/>
      <c r="R2292" s="183"/>
      <c r="S2292" s="183"/>
      <c r="T2292" s="183"/>
      <c r="U2292" s="183"/>
      <c r="V2292" s="183"/>
      <c r="W2292" s="183"/>
      <c r="X2292" s="183"/>
      <c r="Y2292" s="183"/>
      <c r="Z2292" s="183"/>
      <c r="AA2292" s="183"/>
      <c r="AB2292" s="183"/>
      <c r="AC2292" s="183"/>
    </row>
    <row r="2293" spans="2:29">
      <c r="B2293" s="191"/>
      <c r="D2293" s="183"/>
      <c r="G2293" s="183"/>
      <c r="H2293" s="183"/>
      <c r="J2293" s="907"/>
      <c r="K2293" s="907"/>
      <c r="L2293" s="907"/>
      <c r="M2293" s="907"/>
      <c r="N2293" s="183"/>
      <c r="O2293" s="183"/>
      <c r="P2293" s="183"/>
      <c r="Q2293" s="183"/>
      <c r="R2293" s="183"/>
      <c r="S2293" s="183"/>
      <c r="T2293" s="183"/>
      <c r="U2293" s="183"/>
      <c r="V2293" s="183"/>
      <c r="W2293" s="183"/>
      <c r="X2293" s="183"/>
      <c r="Y2293" s="183"/>
      <c r="Z2293" s="183"/>
      <c r="AA2293" s="183"/>
      <c r="AB2293" s="183"/>
      <c r="AC2293" s="183"/>
    </row>
    <row r="2294" spans="2:29">
      <c r="B2294" s="191"/>
      <c r="D2294" s="183"/>
      <c r="G2294" s="183"/>
      <c r="H2294" s="183"/>
      <c r="J2294" s="907"/>
      <c r="K2294" s="907"/>
      <c r="L2294" s="907"/>
      <c r="M2294" s="907"/>
      <c r="N2294" s="183"/>
      <c r="O2294" s="183"/>
      <c r="P2294" s="183"/>
      <c r="Q2294" s="183"/>
      <c r="R2294" s="183"/>
      <c r="S2294" s="183"/>
      <c r="T2294" s="183"/>
      <c r="U2294" s="183"/>
      <c r="V2294" s="183"/>
      <c r="W2294" s="183"/>
      <c r="X2294" s="183"/>
      <c r="Y2294" s="183"/>
      <c r="Z2294" s="183"/>
      <c r="AA2294" s="183"/>
      <c r="AB2294" s="183"/>
      <c r="AC2294" s="183"/>
    </row>
    <row r="2295" spans="2:29">
      <c r="B2295" s="191"/>
      <c r="D2295" s="183"/>
      <c r="G2295" s="183"/>
      <c r="H2295" s="183"/>
      <c r="J2295" s="907"/>
      <c r="K2295" s="907"/>
      <c r="L2295" s="907"/>
      <c r="M2295" s="907"/>
      <c r="N2295" s="183"/>
      <c r="O2295" s="183"/>
      <c r="P2295" s="183"/>
      <c r="Q2295" s="183"/>
      <c r="R2295" s="183"/>
      <c r="S2295" s="183"/>
      <c r="T2295" s="183"/>
      <c r="U2295" s="183"/>
      <c r="V2295" s="183"/>
      <c r="W2295" s="183"/>
      <c r="X2295" s="183"/>
      <c r="Y2295" s="183"/>
      <c r="Z2295" s="183"/>
      <c r="AA2295" s="183"/>
      <c r="AB2295" s="183"/>
      <c r="AC2295" s="183"/>
    </row>
    <row r="2296" spans="2:29">
      <c r="B2296" s="191"/>
      <c r="D2296" s="183"/>
      <c r="G2296" s="183"/>
      <c r="H2296" s="183"/>
      <c r="J2296" s="907"/>
      <c r="K2296" s="907"/>
      <c r="L2296" s="907"/>
      <c r="M2296" s="907"/>
      <c r="N2296" s="183"/>
      <c r="O2296" s="183"/>
      <c r="P2296" s="183"/>
      <c r="Q2296" s="183"/>
      <c r="R2296" s="183"/>
      <c r="S2296" s="183"/>
      <c r="T2296" s="183"/>
      <c r="U2296" s="183"/>
      <c r="V2296" s="183"/>
      <c r="W2296" s="183"/>
      <c r="X2296" s="183"/>
      <c r="Y2296" s="183"/>
      <c r="Z2296" s="183"/>
      <c r="AA2296" s="183"/>
      <c r="AB2296" s="183"/>
      <c r="AC2296" s="183"/>
    </row>
    <row r="2297" spans="2:29">
      <c r="B2297" s="191"/>
      <c r="D2297" s="183"/>
      <c r="G2297" s="183"/>
      <c r="H2297" s="183"/>
      <c r="J2297" s="907"/>
      <c r="K2297" s="907"/>
      <c r="L2297" s="907"/>
      <c r="M2297" s="907"/>
      <c r="N2297" s="183"/>
      <c r="O2297" s="183"/>
      <c r="P2297" s="183"/>
      <c r="Q2297" s="183"/>
      <c r="R2297" s="183"/>
      <c r="S2297" s="183"/>
      <c r="T2297" s="183"/>
      <c r="U2297" s="183"/>
      <c r="V2297" s="183"/>
      <c r="W2297" s="183"/>
      <c r="X2297" s="183"/>
      <c r="Y2297" s="183"/>
      <c r="Z2297" s="183"/>
      <c r="AA2297" s="183"/>
      <c r="AB2297" s="183"/>
      <c r="AC2297" s="183"/>
    </row>
    <row r="2298" spans="2:29">
      <c r="B2298" s="191"/>
      <c r="D2298" s="183"/>
      <c r="G2298" s="183"/>
      <c r="H2298" s="183"/>
      <c r="J2298" s="907"/>
      <c r="K2298" s="907"/>
      <c r="L2298" s="907"/>
      <c r="M2298" s="907"/>
      <c r="N2298" s="183"/>
      <c r="O2298" s="183"/>
      <c r="P2298" s="183"/>
      <c r="Q2298" s="183"/>
      <c r="R2298" s="183"/>
      <c r="S2298" s="183"/>
      <c r="T2298" s="183"/>
      <c r="U2298" s="183"/>
      <c r="V2298" s="183"/>
      <c r="W2298" s="183"/>
      <c r="X2298" s="183"/>
      <c r="Y2298" s="183"/>
      <c r="Z2298" s="183"/>
      <c r="AA2298" s="183"/>
      <c r="AB2298" s="183"/>
      <c r="AC2298" s="183"/>
    </row>
    <row r="2299" spans="2:29">
      <c r="B2299" s="191"/>
      <c r="D2299" s="183"/>
      <c r="G2299" s="183"/>
      <c r="H2299" s="183"/>
      <c r="J2299" s="907"/>
      <c r="K2299" s="907"/>
      <c r="L2299" s="907"/>
      <c r="M2299" s="907"/>
      <c r="N2299" s="183"/>
      <c r="O2299" s="183"/>
      <c r="P2299" s="183"/>
      <c r="Q2299" s="183"/>
      <c r="R2299" s="183"/>
      <c r="S2299" s="183"/>
      <c r="T2299" s="183"/>
      <c r="U2299" s="183"/>
      <c r="V2299" s="183"/>
      <c r="W2299" s="183"/>
      <c r="X2299" s="183"/>
      <c r="Y2299" s="183"/>
      <c r="Z2299" s="183"/>
      <c r="AA2299" s="183"/>
      <c r="AB2299" s="183"/>
      <c r="AC2299" s="183"/>
    </row>
    <row r="2300" spans="2:29">
      <c r="B2300" s="191"/>
      <c r="D2300" s="183"/>
      <c r="G2300" s="183"/>
      <c r="H2300" s="183"/>
      <c r="J2300" s="907"/>
      <c r="K2300" s="907"/>
      <c r="L2300" s="907"/>
      <c r="M2300" s="907"/>
      <c r="N2300" s="183"/>
      <c r="O2300" s="183"/>
      <c r="P2300" s="183"/>
      <c r="Q2300" s="183"/>
      <c r="R2300" s="183"/>
      <c r="S2300" s="183"/>
      <c r="T2300" s="183"/>
      <c r="U2300" s="183"/>
      <c r="V2300" s="183"/>
      <c r="W2300" s="183"/>
      <c r="X2300" s="183"/>
      <c r="Y2300" s="183"/>
      <c r="Z2300" s="183"/>
      <c r="AA2300" s="183"/>
      <c r="AB2300" s="183"/>
      <c r="AC2300" s="183"/>
    </row>
    <row r="2301" spans="2:29">
      <c r="B2301" s="191"/>
      <c r="D2301" s="183"/>
      <c r="G2301" s="183"/>
      <c r="H2301" s="183"/>
      <c r="J2301" s="907"/>
      <c r="K2301" s="907"/>
      <c r="L2301" s="907"/>
      <c r="M2301" s="907"/>
      <c r="N2301" s="183"/>
      <c r="O2301" s="183"/>
      <c r="P2301" s="183"/>
      <c r="Q2301" s="183"/>
      <c r="R2301" s="183"/>
      <c r="S2301" s="183"/>
      <c r="T2301" s="183"/>
      <c r="U2301" s="183"/>
      <c r="V2301" s="183"/>
      <c r="W2301" s="183"/>
      <c r="X2301" s="183"/>
      <c r="Y2301" s="183"/>
      <c r="Z2301" s="183"/>
      <c r="AA2301" s="183"/>
      <c r="AB2301" s="183"/>
      <c r="AC2301" s="183"/>
    </row>
    <row r="2302" spans="2:29">
      <c r="B2302" s="191"/>
      <c r="D2302" s="183"/>
      <c r="G2302" s="183"/>
      <c r="H2302" s="183"/>
      <c r="J2302" s="907"/>
      <c r="K2302" s="907"/>
      <c r="L2302" s="907"/>
      <c r="M2302" s="907"/>
      <c r="N2302" s="183"/>
      <c r="O2302" s="183"/>
      <c r="P2302" s="183"/>
      <c r="Q2302" s="183"/>
      <c r="R2302" s="183"/>
      <c r="S2302" s="183"/>
      <c r="T2302" s="183"/>
      <c r="U2302" s="183"/>
      <c r="V2302" s="183"/>
      <c r="W2302" s="183"/>
      <c r="X2302" s="183"/>
      <c r="Y2302" s="183"/>
      <c r="Z2302" s="183"/>
      <c r="AA2302" s="183"/>
      <c r="AB2302" s="183"/>
      <c r="AC2302" s="183"/>
    </row>
    <row r="2303" spans="2:29">
      <c r="B2303" s="191"/>
      <c r="D2303" s="183"/>
      <c r="G2303" s="183"/>
      <c r="H2303" s="183"/>
      <c r="J2303" s="907"/>
      <c r="K2303" s="907"/>
      <c r="L2303" s="907"/>
      <c r="M2303" s="907"/>
      <c r="N2303" s="183"/>
      <c r="O2303" s="183"/>
      <c r="P2303" s="183"/>
      <c r="Q2303" s="183"/>
      <c r="R2303" s="183"/>
      <c r="S2303" s="183"/>
      <c r="T2303" s="183"/>
      <c r="U2303" s="183"/>
      <c r="V2303" s="183"/>
      <c r="W2303" s="183"/>
      <c r="X2303" s="183"/>
      <c r="Y2303" s="183"/>
      <c r="Z2303" s="183"/>
      <c r="AA2303" s="183"/>
      <c r="AB2303" s="183"/>
      <c r="AC2303" s="183"/>
    </row>
    <row r="2304" spans="2:29">
      <c r="B2304" s="191"/>
      <c r="D2304" s="183"/>
      <c r="G2304" s="183"/>
      <c r="H2304" s="183"/>
      <c r="J2304" s="907"/>
      <c r="K2304" s="907"/>
      <c r="L2304" s="907"/>
      <c r="M2304" s="907"/>
      <c r="N2304" s="183"/>
      <c r="O2304" s="183"/>
      <c r="P2304" s="183"/>
      <c r="Q2304" s="183"/>
      <c r="R2304" s="183"/>
      <c r="S2304" s="183"/>
      <c r="T2304" s="183"/>
      <c r="U2304" s="183"/>
      <c r="V2304" s="183"/>
      <c r="W2304" s="183"/>
      <c r="X2304" s="183"/>
      <c r="Y2304" s="183"/>
      <c r="Z2304" s="183"/>
      <c r="AA2304" s="183"/>
      <c r="AB2304" s="183"/>
      <c r="AC2304" s="183"/>
    </row>
    <row r="2305" spans="2:29">
      <c r="B2305" s="191"/>
      <c r="D2305" s="183"/>
      <c r="G2305" s="183"/>
      <c r="H2305" s="183"/>
      <c r="J2305" s="907"/>
      <c r="K2305" s="907"/>
      <c r="L2305" s="907"/>
      <c r="M2305" s="907"/>
      <c r="N2305" s="183"/>
      <c r="O2305" s="183"/>
      <c r="P2305" s="183"/>
      <c r="Q2305" s="183"/>
      <c r="R2305" s="183"/>
      <c r="S2305" s="183"/>
      <c r="T2305" s="183"/>
      <c r="U2305" s="183"/>
      <c r="V2305" s="183"/>
      <c r="W2305" s="183"/>
      <c r="X2305" s="183"/>
      <c r="Y2305" s="183"/>
      <c r="Z2305" s="183"/>
      <c r="AA2305" s="183"/>
      <c r="AB2305" s="183"/>
      <c r="AC2305" s="183"/>
    </row>
    <row r="2306" spans="2:29">
      <c r="B2306" s="191"/>
      <c r="D2306" s="183"/>
      <c r="G2306" s="183"/>
      <c r="H2306" s="183"/>
      <c r="J2306" s="907"/>
      <c r="K2306" s="907"/>
      <c r="L2306" s="907"/>
      <c r="M2306" s="907"/>
      <c r="N2306" s="183"/>
      <c r="O2306" s="183"/>
      <c r="P2306" s="183"/>
      <c r="Q2306" s="183"/>
      <c r="R2306" s="183"/>
      <c r="S2306" s="183"/>
      <c r="T2306" s="183"/>
      <c r="U2306" s="183"/>
      <c r="V2306" s="183"/>
      <c r="W2306" s="183"/>
      <c r="X2306" s="183"/>
      <c r="Y2306" s="183"/>
      <c r="Z2306" s="183"/>
      <c r="AA2306" s="183"/>
      <c r="AB2306" s="183"/>
      <c r="AC2306" s="183"/>
    </row>
    <row r="2307" spans="2:29">
      <c r="B2307" s="191"/>
      <c r="D2307" s="183"/>
      <c r="G2307" s="183"/>
      <c r="H2307" s="183"/>
      <c r="J2307" s="907"/>
      <c r="K2307" s="907"/>
      <c r="L2307" s="907"/>
      <c r="M2307" s="907"/>
      <c r="N2307" s="183"/>
      <c r="O2307" s="183"/>
      <c r="P2307" s="183"/>
      <c r="Q2307" s="183"/>
      <c r="R2307" s="183"/>
      <c r="S2307" s="183"/>
      <c r="T2307" s="183"/>
      <c r="U2307" s="183"/>
      <c r="V2307" s="183"/>
      <c r="W2307" s="183"/>
      <c r="X2307" s="183"/>
      <c r="Y2307" s="183"/>
      <c r="Z2307" s="183"/>
      <c r="AA2307" s="183"/>
      <c r="AB2307" s="183"/>
      <c r="AC2307" s="183"/>
    </row>
    <row r="2308" spans="2:29">
      <c r="B2308" s="191"/>
      <c r="D2308" s="183"/>
      <c r="G2308" s="183"/>
      <c r="H2308" s="183"/>
      <c r="J2308" s="907"/>
      <c r="K2308" s="907"/>
      <c r="L2308" s="907"/>
      <c r="M2308" s="907"/>
      <c r="N2308" s="183"/>
      <c r="O2308" s="183"/>
      <c r="P2308" s="183"/>
      <c r="Q2308" s="183"/>
      <c r="R2308" s="183"/>
      <c r="S2308" s="183"/>
      <c r="T2308" s="183"/>
      <c r="U2308" s="183"/>
      <c r="V2308" s="183"/>
      <c r="W2308" s="183"/>
      <c r="X2308" s="183"/>
      <c r="Y2308" s="183"/>
      <c r="Z2308" s="183"/>
      <c r="AA2308" s="183"/>
      <c r="AB2308" s="183"/>
      <c r="AC2308" s="183"/>
    </row>
    <row r="2309" spans="2:29">
      <c r="B2309" s="191"/>
      <c r="D2309" s="183"/>
      <c r="G2309" s="183"/>
      <c r="H2309" s="183"/>
      <c r="J2309" s="907"/>
      <c r="K2309" s="907"/>
      <c r="L2309" s="907"/>
      <c r="M2309" s="907"/>
      <c r="N2309" s="183"/>
      <c r="O2309" s="183"/>
      <c r="P2309" s="183"/>
      <c r="Q2309" s="183"/>
      <c r="R2309" s="183"/>
      <c r="S2309" s="183"/>
      <c r="T2309" s="183"/>
      <c r="U2309" s="183"/>
      <c r="V2309" s="183"/>
      <c r="W2309" s="183"/>
      <c r="X2309" s="183"/>
      <c r="Y2309" s="183"/>
      <c r="Z2309" s="183"/>
      <c r="AA2309" s="183"/>
      <c r="AB2309" s="183"/>
      <c r="AC2309" s="183"/>
    </row>
    <row r="2310" spans="2:29">
      <c r="B2310" s="191"/>
      <c r="D2310" s="183"/>
      <c r="G2310" s="183"/>
      <c r="H2310" s="183"/>
      <c r="J2310" s="907"/>
      <c r="K2310" s="907"/>
      <c r="L2310" s="907"/>
      <c r="M2310" s="907"/>
      <c r="N2310" s="183"/>
      <c r="O2310" s="183"/>
      <c r="P2310" s="183"/>
      <c r="Q2310" s="183"/>
      <c r="R2310" s="183"/>
      <c r="S2310" s="183"/>
      <c r="T2310" s="183"/>
      <c r="U2310" s="183"/>
      <c r="V2310" s="183"/>
      <c r="W2310" s="183"/>
      <c r="X2310" s="183"/>
      <c r="Y2310" s="183"/>
      <c r="Z2310" s="183"/>
      <c r="AA2310" s="183"/>
      <c r="AB2310" s="183"/>
      <c r="AC2310" s="183"/>
    </row>
    <row r="2311" spans="2:29">
      <c r="B2311" s="191"/>
      <c r="D2311" s="183"/>
      <c r="G2311" s="183"/>
      <c r="H2311" s="183"/>
      <c r="J2311" s="907"/>
      <c r="K2311" s="907"/>
      <c r="L2311" s="907"/>
      <c r="M2311" s="907"/>
      <c r="N2311" s="183"/>
      <c r="O2311" s="183"/>
      <c r="P2311" s="183"/>
      <c r="Q2311" s="183"/>
      <c r="R2311" s="183"/>
      <c r="S2311" s="183"/>
      <c r="T2311" s="183"/>
      <c r="U2311" s="183"/>
      <c r="V2311" s="183"/>
      <c r="W2311" s="183"/>
      <c r="X2311" s="183"/>
      <c r="Y2311" s="183"/>
      <c r="Z2311" s="183"/>
      <c r="AA2311" s="183"/>
      <c r="AB2311" s="183"/>
      <c r="AC2311" s="183"/>
    </row>
    <row r="2312" spans="2:29">
      <c r="B2312" s="191"/>
      <c r="D2312" s="183"/>
      <c r="G2312" s="183"/>
      <c r="H2312" s="183"/>
      <c r="J2312" s="907"/>
      <c r="K2312" s="907"/>
      <c r="L2312" s="907"/>
      <c r="M2312" s="907"/>
      <c r="N2312" s="183"/>
      <c r="O2312" s="183"/>
      <c r="P2312" s="183"/>
      <c r="Q2312" s="183"/>
      <c r="R2312" s="183"/>
      <c r="S2312" s="183"/>
      <c r="T2312" s="183"/>
      <c r="U2312" s="183"/>
      <c r="V2312" s="183"/>
      <c r="W2312" s="183"/>
      <c r="X2312" s="183"/>
      <c r="Y2312" s="183"/>
      <c r="Z2312" s="183"/>
      <c r="AA2312" s="183"/>
      <c r="AB2312" s="183"/>
      <c r="AC2312" s="183"/>
    </row>
    <row r="2313" spans="2:29">
      <c r="B2313" s="191"/>
      <c r="D2313" s="183"/>
      <c r="G2313" s="183"/>
      <c r="H2313" s="183"/>
      <c r="J2313" s="907"/>
      <c r="K2313" s="907"/>
      <c r="L2313" s="907"/>
      <c r="M2313" s="907"/>
      <c r="N2313" s="183"/>
      <c r="O2313" s="183"/>
      <c r="P2313" s="183"/>
      <c r="Q2313" s="183"/>
      <c r="R2313" s="183"/>
      <c r="S2313" s="183"/>
      <c r="T2313" s="183"/>
      <c r="U2313" s="183"/>
      <c r="V2313" s="183"/>
      <c r="W2313" s="183"/>
      <c r="X2313" s="183"/>
      <c r="Y2313" s="183"/>
      <c r="Z2313" s="183"/>
      <c r="AA2313" s="183"/>
      <c r="AB2313" s="183"/>
      <c r="AC2313" s="183"/>
    </row>
    <row r="2314" spans="2:29">
      <c r="B2314" s="191"/>
      <c r="D2314" s="183"/>
      <c r="G2314" s="183"/>
      <c r="H2314" s="183"/>
      <c r="J2314" s="907"/>
      <c r="K2314" s="907"/>
      <c r="L2314" s="907"/>
      <c r="M2314" s="907"/>
      <c r="N2314" s="183"/>
      <c r="O2314" s="183"/>
      <c r="P2314" s="183"/>
      <c r="Q2314" s="183"/>
      <c r="R2314" s="183"/>
      <c r="S2314" s="183"/>
      <c r="T2314" s="183"/>
      <c r="U2314" s="183"/>
      <c r="V2314" s="183"/>
      <c r="W2314" s="183"/>
      <c r="X2314" s="183"/>
      <c r="Y2314" s="183"/>
      <c r="Z2314" s="183"/>
      <c r="AA2314" s="183"/>
      <c r="AB2314" s="183"/>
      <c r="AC2314" s="183"/>
    </row>
    <row r="2315" spans="2:29">
      <c r="B2315" s="191"/>
      <c r="D2315" s="183"/>
      <c r="G2315" s="183"/>
      <c r="H2315" s="183"/>
      <c r="J2315" s="907"/>
      <c r="K2315" s="907"/>
      <c r="L2315" s="907"/>
      <c r="M2315" s="907"/>
      <c r="N2315" s="183"/>
      <c r="O2315" s="183"/>
      <c r="P2315" s="183"/>
      <c r="Q2315" s="183"/>
      <c r="R2315" s="183"/>
      <c r="S2315" s="183"/>
      <c r="T2315" s="183"/>
      <c r="U2315" s="183"/>
      <c r="V2315" s="183"/>
      <c r="W2315" s="183"/>
      <c r="X2315" s="183"/>
      <c r="Y2315" s="183"/>
      <c r="Z2315" s="183"/>
      <c r="AA2315" s="183"/>
      <c r="AB2315" s="183"/>
      <c r="AC2315" s="183"/>
    </row>
    <row r="2316" spans="2:29">
      <c r="B2316" s="191"/>
      <c r="D2316" s="183"/>
      <c r="G2316" s="183"/>
      <c r="H2316" s="183"/>
      <c r="J2316" s="907"/>
      <c r="K2316" s="907"/>
      <c r="L2316" s="907"/>
      <c r="M2316" s="907"/>
      <c r="N2316" s="183"/>
      <c r="O2316" s="183"/>
      <c r="P2316" s="183"/>
      <c r="Q2316" s="183"/>
      <c r="R2316" s="183"/>
      <c r="S2316" s="183"/>
      <c r="T2316" s="183"/>
      <c r="U2316" s="183"/>
      <c r="V2316" s="183"/>
      <c r="W2316" s="183"/>
      <c r="X2316" s="183"/>
      <c r="Y2316" s="183"/>
      <c r="Z2316" s="183"/>
      <c r="AA2316" s="183"/>
      <c r="AB2316" s="183"/>
      <c r="AC2316" s="183"/>
    </row>
    <row r="2317" spans="2:29">
      <c r="B2317" s="191"/>
      <c r="D2317" s="183"/>
      <c r="G2317" s="183"/>
      <c r="H2317" s="183"/>
      <c r="J2317" s="907"/>
      <c r="K2317" s="907"/>
      <c r="L2317" s="907"/>
      <c r="M2317" s="907"/>
      <c r="N2317" s="183"/>
      <c r="O2317" s="183"/>
      <c r="P2317" s="183"/>
      <c r="Q2317" s="183"/>
      <c r="R2317" s="183"/>
      <c r="S2317" s="183"/>
      <c r="T2317" s="183"/>
      <c r="U2317" s="183"/>
      <c r="V2317" s="183"/>
      <c r="W2317" s="183"/>
      <c r="X2317" s="183"/>
      <c r="Y2317" s="183"/>
      <c r="Z2317" s="183"/>
      <c r="AA2317" s="183"/>
      <c r="AB2317" s="183"/>
      <c r="AC2317" s="183"/>
    </row>
    <row r="2318" spans="2:29">
      <c r="B2318" s="191"/>
      <c r="D2318" s="183"/>
      <c r="G2318" s="183"/>
      <c r="H2318" s="183"/>
      <c r="J2318" s="907"/>
      <c r="K2318" s="907"/>
      <c r="L2318" s="907"/>
      <c r="M2318" s="907"/>
      <c r="N2318" s="183"/>
      <c r="O2318" s="183"/>
      <c r="P2318" s="183"/>
      <c r="Q2318" s="183"/>
      <c r="R2318" s="183"/>
      <c r="S2318" s="183"/>
      <c r="T2318" s="183"/>
      <c r="U2318" s="183"/>
      <c r="V2318" s="183"/>
      <c r="W2318" s="183"/>
      <c r="X2318" s="183"/>
      <c r="Y2318" s="183"/>
      <c r="Z2318" s="183"/>
      <c r="AA2318" s="183"/>
      <c r="AB2318" s="183"/>
      <c r="AC2318" s="183"/>
    </row>
    <row r="2319" spans="2:29">
      <c r="B2319" s="191"/>
      <c r="D2319" s="183"/>
      <c r="G2319" s="183"/>
      <c r="H2319" s="183"/>
      <c r="J2319" s="907"/>
      <c r="K2319" s="907"/>
      <c r="L2319" s="907"/>
      <c r="M2319" s="907"/>
      <c r="N2319" s="183"/>
      <c r="O2319" s="183"/>
      <c r="P2319" s="183"/>
      <c r="Q2319" s="183"/>
      <c r="R2319" s="183"/>
      <c r="S2319" s="183"/>
      <c r="T2319" s="183"/>
      <c r="U2319" s="183"/>
      <c r="V2319" s="183"/>
      <c r="W2319" s="183"/>
      <c r="X2319" s="183"/>
      <c r="Y2319" s="183"/>
      <c r="Z2319" s="183"/>
      <c r="AA2319" s="183"/>
      <c r="AB2319" s="183"/>
      <c r="AC2319" s="183"/>
    </row>
    <row r="2320" spans="2:29">
      <c r="B2320" s="191"/>
      <c r="D2320" s="183"/>
      <c r="G2320" s="183"/>
      <c r="H2320" s="183"/>
      <c r="J2320" s="907"/>
      <c r="K2320" s="907"/>
      <c r="L2320" s="907"/>
      <c r="M2320" s="907"/>
      <c r="N2320" s="183"/>
      <c r="O2320" s="183"/>
      <c r="P2320" s="183"/>
      <c r="Q2320" s="183"/>
      <c r="R2320" s="183"/>
      <c r="S2320" s="183"/>
      <c r="T2320" s="183"/>
      <c r="U2320" s="183"/>
      <c r="V2320" s="183"/>
      <c r="W2320" s="183"/>
      <c r="X2320" s="183"/>
      <c r="Y2320" s="183"/>
      <c r="Z2320" s="183"/>
      <c r="AA2320" s="183"/>
      <c r="AB2320" s="183"/>
      <c r="AC2320" s="183"/>
    </row>
    <row r="2321" spans="2:29">
      <c r="B2321" s="191"/>
      <c r="D2321" s="183"/>
      <c r="G2321" s="183"/>
      <c r="H2321" s="183"/>
      <c r="J2321" s="907"/>
      <c r="K2321" s="907"/>
      <c r="L2321" s="907"/>
      <c r="M2321" s="907"/>
      <c r="N2321" s="183"/>
      <c r="O2321" s="183"/>
      <c r="P2321" s="183"/>
      <c r="Q2321" s="183"/>
      <c r="R2321" s="183"/>
      <c r="S2321" s="183"/>
      <c r="T2321" s="183"/>
      <c r="U2321" s="183"/>
      <c r="V2321" s="183"/>
      <c r="W2321" s="183"/>
      <c r="X2321" s="183"/>
      <c r="Y2321" s="183"/>
      <c r="Z2321" s="183"/>
      <c r="AA2321" s="183"/>
      <c r="AB2321" s="183"/>
      <c r="AC2321" s="183"/>
    </row>
    <row r="2322" spans="2:29">
      <c r="B2322" s="191"/>
      <c r="D2322" s="183"/>
      <c r="G2322" s="183"/>
      <c r="H2322" s="183"/>
      <c r="J2322" s="907"/>
      <c r="K2322" s="907"/>
      <c r="L2322" s="907"/>
      <c r="M2322" s="907"/>
      <c r="N2322" s="183"/>
      <c r="O2322" s="183"/>
      <c r="P2322" s="183"/>
      <c r="Q2322" s="183"/>
      <c r="R2322" s="183"/>
      <c r="S2322" s="183"/>
      <c r="T2322" s="183"/>
      <c r="U2322" s="183"/>
      <c r="V2322" s="183"/>
      <c r="W2322" s="183"/>
      <c r="X2322" s="183"/>
      <c r="Y2322" s="183"/>
      <c r="Z2322" s="183"/>
      <c r="AA2322" s="183"/>
      <c r="AB2322" s="183"/>
      <c r="AC2322" s="183"/>
    </row>
    <row r="2323" spans="2:29">
      <c r="B2323" s="191"/>
      <c r="D2323" s="183"/>
      <c r="G2323" s="183"/>
      <c r="H2323" s="183"/>
      <c r="J2323" s="907"/>
      <c r="K2323" s="907"/>
      <c r="L2323" s="907"/>
      <c r="M2323" s="907"/>
      <c r="N2323" s="183"/>
      <c r="O2323" s="183"/>
      <c r="P2323" s="183"/>
      <c r="Q2323" s="183"/>
      <c r="R2323" s="183"/>
      <c r="S2323" s="183"/>
      <c r="T2323" s="183"/>
      <c r="U2323" s="183"/>
      <c r="V2323" s="183"/>
      <c r="W2323" s="183"/>
      <c r="X2323" s="183"/>
      <c r="Y2323" s="183"/>
      <c r="Z2323" s="183"/>
      <c r="AA2323" s="183"/>
      <c r="AB2323" s="183"/>
      <c r="AC2323" s="183"/>
    </row>
    <row r="2324" spans="2:29">
      <c r="B2324" s="191"/>
      <c r="D2324" s="183"/>
      <c r="G2324" s="183"/>
      <c r="H2324" s="183"/>
      <c r="J2324" s="907"/>
      <c r="K2324" s="907"/>
      <c r="L2324" s="907"/>
      <c r="M2324" s="907"/>
      <c r="N2324" s="183"/>
      <c r="O2324" s="183"/>
      <c r="P2324" s="183"/>
      <c r="Q2324" s="183"/>
      <c r="R2324" s="183"/>
      <c r="S2324" s="183"/>
      <c r="T2324" s="183"/>
      <c r="U2324" s="183"/>
      <c r="V2324" s="183"/>
      <c r="W2324" s="183"/>
      <c r="X2324" s="183"/>
      <c r="Y2324" s="183"/>
      <c r="Z2324" s="183"/>
      <c r="AA2324" s="183"/>
      <c r="AB2324" s="183"/>
      <c r="AC2324" s="183"/>
    </row>
    <row r="2325" spans="2:29">
      <c r="B2325" s="191"/>
      <c r="D2325" s="183"/>
      <c r="G2325" s="183"/>
      <c r="H2325" s="183"/>
      <c r="J2325" s="907"/>
      <c r="K2325" s="907"/>
      <c r="L2325" s="907"/>
      <c r="M2325" s="907"/>
      <c r="N2325" s="183"/>
      <c r="O2325" s="183"/>
      <c r="P2325" s="183"/>
      <c r="Q2325" s="183"/>
      <c r="R2325" s="183"/>
      <c r="S2325" s="183"/>
      <c r="T2325" s="183"/>
      <c r="U2325" s="183"/>
      <c r="V2325" s="183"/>
      <c r="W2325" s="183"/>
      <c r="X2325" s="183"/>
      <c r="Y2325" s="183"/>
      <c r="Z2325" s="183"/>
      <c r="AA2325" s="183"/>
      <c r="AB2325" s="183"/>
      <c r="AC2325" s="183"/>
    </row>
    <row r="2326" spans="2:29">
      <c r="B2326" s="191"/>
      <c r="D2326" s="183"/>
      <c r="G2326" s="183"/>
      <c r="H2326" s="183"/>
      <c r="J2326" s="907"/>
      <c r="K2326" s="907"/>
      <c r="L2326" s="907"/>
      <c r="M2326" s="907"/>
      <c r="N2326" s="183"/>
      <c r="O2326" s="183"/>
      <c r="P2326" s="183"/>
      <c r="Q2326" s="183"/>
      <c r="R2326" s="183"/>
      <c r="S2326" s="183"/>
      <c r="T2326" s="183"/>
      <c r="U2326" s="183"/>
      <c r="V2326" s="183"/>
      <c r="W2326" s="183"/>
      <c r="X2326" s="183"/>
      <c r="Y2326" s="183"/>
      <c r="Z2326" s="183"/>
      <c r="AA2326" s="183"/>
      <c r="AB2326" s="183"/>
      <c r="AC2326" s="183"/>
    </row>
    <row r="2327" spans="2:29">
      <c r="B2327" s="191"/>
      <c r="D2327" s="183"/>
      <c r="G2327" s="183"/>
      <c r="H2327" s="183"/>
      <c r="J2327" s="907"/>
      <c r="K2327" s="907"/>
      <c r="L2327" s="907"/>
      <c r="M2327" s="907"/>
      <c r="N2327" s="183"/>
      <c r="O2327" s="183"/>
      <c r="P2327" s="183"/>
      <c r="Q2327" s="183"/>
      <c r="R2327" s="183"/>
      <c r="S2327" s="183"/>
      <c r="T2327" s="183"/>
      <c r="U2327" s="183"/>
      <c r="V2327" s="183"/>
      <c r="W2327" s="183"/>
      <c r="X2327" s="183"/>
      <c r="Y2327" s="183"/>
      <c r="Z2327" s="183"/>
      <c r="AA2327" s="183"/>
      <c r="AB2327" s="183"/>
      <c r="AC2327" s="183"/>
    </row>
    <row r="2328" spans="2:29">
      <c r="B2328" s="191"/>
      <c r="D2328" s="183"/>
      <c r="G2328" s="183"/>
      <c r="H2328" s="183"/>
      <c r="J2328" s="907"/>
      <c r="K2328" s="907"/>
      <c r="L2328" s="907"/>
      <c r="M2328" s="907"/>
      <c r="N2328" s="183"/>
      <c r="O2328" s="183"/>
      <c r="P2328" s="183"/>
      <c r="Q2328" s="183"/>
      <c r="R2328" s="183"/>
      <c r="S2328" s="183"/>
      <c r="T2328" s="183"/>
      <c r="U2328" s="183"/>
      <c r="V2328" s="183"/>
      <c r="W2328" s="183"/>
      <c r="X2328" s="183"/>
      <c r="Y2328" s="183"/>
      <c r="Z2328" s="183"/>
      <c r="AA2328" s="183"/>
      <c r="AB2328" s="183"/>
      <c r="AC2328" s="183"/>
    </row>
    <row r="2329" spans="2:29">
      <c r="B2329" s="191"/>
      <c r="D2329" s="183"/>
      <c r="G2329" s="183"/>
      <c r="H2329" s="183"/>
      <c r="J2329" s="907"/>
      <c r="K2329" s="907"/>
      <c r="L2329" s="907"/>
      <c r="M2329" s="907"/>
      <c r="N2329" s="183"/>
      <c r="O2329" s="183"/>
      <c r="P2329" s="183"/>
      <c r="Q2329" s="183"/>
      <c r="R2329" s="183"/>
      <c r="S2329" s="183"/>
      <c r="T2329" s="183"/>
      <c r="U2329" s="183"/>
      <c r="V2329" s="183"/>
      <c r="W2329" s="183"/>
      <c r="X2329" s="183"/>
      <c r="Y2329" s="183"/>
      <c r="Z2329" s="183"/>
      <c r="AA2329" s="183"/>
      <c r="AB2329" s="183"/>
      <c r="AC2329" s="183"/>
    </row>
    <row r="2330" spans="2:29">
      <c r="B2330" s="191"/>
      <c r="D2330" s="183"/>
      <c r="G2330" s="183"/>
      <c r="H2330" s="183"/>
      <c r="J2330" s="907"/>
      <c r="K2330" s="907"/>
      <c r="L2330" s="907"/>
      <c r="M2330" s="907"/>
      <c r="N2330" s="183"/>
      <c r="O2330" s="183"/>
      <c r="P2330" s="183"/>
      <c r="Q2330" s="183"/>
      <c r="R2330" s="183"/>
      <c r="S2330" s="183"/>
      <c r="T2330" s="183"/>
      <c r="U2330" s="183"/>
      <c r="V2330" s="183"/>
      <c r="W2330" s="183"/>
      <c r="X2330" s="183"/>
      <c r="Y2330" s="183"/>
      <c r="Z2330" s="183"/>
      <c r="AA2330" s="183"/>
      <c r="AB2330" s="183"/>
      <c r="AC2330" s="183"/>
    </row>
    <row r="2331" spans="2:29">
      <c r="B2331" s="191"/>
      <c r="D2331" s="183"/>
      <c r="G2331" s="183"/>
      <c r="H2331" s="183"/>
      <c r="J2331" s="907"/>
      <c r="K2331" s="907"/>
      <c r="L2331" s="907"/>
      <c r="M2331" s="907"/>
      <c r="N2331" s="183"/>
      <c r="O2331" s="183"/>
      <c r="P2331" s="183"/>
      <c r="Q2331" s="183"/>
      <c r="R2331" s="183"/>
      <c r="S2331" s="183"/>
      <c r="T2331" s="183"/>
      <c r="U2331" s="183"/>
      <c r="V2331" s="183"/>
      <c r="W2331" s="183"/>
      <c r="X2331" s="183"/>
      <c r="Y2331" s="183"/>
      <c r="Z2331" s="183"/>
      <c r="AA2331" s="183"/>
      <c r="AB2331" s="183"/>
      <c r="AC2331" s="183"/>
    </row>
    <row r="2332" spans="2:29">
      <c r="B2332" s="191"/>
      <c r="D2332" s="183"/>
      <c r="G2332" s="183"/>
      <c r="H2332" s="183"/>
      <c r="J2332" s="907"/>
      <c r="K2332" s="907"/>
      <c r="L2332" s="907"/>
      <c r="M2332" s="907"/>
      <c r="N2332" s="183"/>
      <c r="O2332" s="183"/>
      <c r="P2332" s="183"/>
      <c r="Q2332" s="183"/>
      <c r="R2332" s="183"/>
      <c r="S2332" s="183"/>
      <c r="T2332" s="183"/>
      <c r="U2332" s="183"/>
      <c r="V2332" s="183"/>
      <c r="W2332" s="183"/>
      <c r="X2332" s="183"/>
      <c r="Y2332" s="183"/>
      <c r="Z2332" s="183"/>
      <c r="AA2332" s="183"/>
      <c r="AB2332" s="183"/>
      <c r="AC2332" s="183"/>
    </row>
    <row r="2333" spans="2:29">
      <c r="B2333" s="191"/>
      <c r="D2333" s="183"/>
      <c r="G2333" s="183"/>
      <c r="H2333" s="183"/>
      <c r="J2333" s="907"/>
      <c r="K2333" s="907"/>
      <c r="L2333" s="907"/>
      <c r="M2333" s="907"/>
      <c r="N2333" s="183"/>
      <c r="O2333" s="183"/>
      <c r="P2333" s="183"/>
      <c r="Q2333" s="183"/>
      <c r="R2333" s="183"/>
      <c r="S2333" s="183"/>
      <c r="T2333" s="183"/>
      <c r="U2333" s="183"/>
      <c r="V2333" s="183"/>
      <c r="W2333" s="183"/>
      <c r="X2333" s="183"/>
      <c r="Y2333" s="183"/>
      <c r="Z2333" s="183"/>
      <c r="AA2333" s="183"/>
      <c r="AB2333" s="183"/>
      <c r="AC2333" s="183"/>
    </row>
    <row r="2334" spans="2:29">
      <c r="B2334" s="191"/>
      <c r="D2334" s="183"/>
      <c r="G2334" s="183"/>
      <c r="H2334" s="183"/>
      <c r="J2334" s="907"/>
      <c r="K2334" s="907"/>
      <c r="L2334" s="907"/>
      <c r="M2334" s="907"/>
      <c r="N2334" s="183"/>
      <c r="O2334" s="183"/>
      <c r="P2334" s="183"/>
      <c r="Q2334" s="183"/>
      <c r="R2334" s="183"/>
      <c r="S2334" s="183"/>
      <c r="T2334" s="183"/>
      <c r="U2334" s="183"/>
      <c r="V2334" s="183"/>
      <c r="W2334" s="183"/>
      <c r="X2334" s="183"/>
      <c r="Y2334" s="183"/>
      <c r="Z2334" s="183"/>
      <c r="AA2334" s="183"/>
      <c r="AB2334" s="183"/>
      <c r="AC2334" s="183"/>
    </row>
    <row r="2335" spans="2:29">
      <c r="B2335" s="191"/>
      <c r="D2335" s="183"/>
      <c r="G2335" s="183"/>
      <c r="H2335" s="183"/>
      <c r="J2335" s="907"/>
      <c r="K2335" s="907"/>
      <c r="L2335" s="907"/>
      <c r="M2335" s="907"/>
      <c r="N2335" s="183"/>
      <c r="O2335" s="183"/>
      <c r="P2335" s="183"/>
      <c r="Q2335" s="183"/>
      <c r="R2335" s="183"/>
      <c r="S2335" s="183"/>
      <c r="T2335" s="183"/>
      <c r="U2335" s="183"/>
      <c r="V2335" s="183"/>
      <c r="W2335" s="183"/>
      <c r="X2335" s="183"/>
      <c r="Y2335" s="183"/>
      <c r="Z2335" s="183"/>
      <c r="AA2335" s="183"/>
      <c r="AB2335" s="183"/>
      <c r="AC2335" s="183"/>
    </row>
    <row r="2336" spans="2:29">
      <c r="B2336" s="191"/>
      <c r="D2336" s="183"/>
      <c r="G2336" s="183"/>
      <c r="H2336" s="183"/>
      <c r="J2336" s="907"/>
      <c r="K2336" s="907"/>
      <c r="L2336" s="907"/>
      <c r="M2336" s="907"/>
      <c r="N2336" s="183"/>
      <c r="O2336" s="183"/>
      <c r="P2336" s="183"/>
      <c r="Q2336" s="183"/>
      <c r="R2336" s="183"/>
      <c r="S2336" s="183"/>
      <c r="T2336" s="183"/>
      <c r="U2336" s="183"/>
      <c r="V2336" s="183"/>
      <c r="W2336" s="183"/>
      <c r="X2336" s="183"/>
      <c r="Y2336" s="183"/>
      <c r="Z2336" s="183"/>
      <c r="AA2336" s="183"/>
      <c r="AB2336" s="183"/>
      <c r="AC2336" s="183"/>
    </row>
    <row r="2337" spans="2:29">
      <c r="B2337" s="191"/>
      <c r="D2337" s="183"/>
      <c r="G2337" s="183"/>
      <c r="H2337" s="183"/>
      <c r="J2337" s="907"/>
      <c r="K2337" s="907"/>
      <c r="L2337" s="907"/>
      <c r="M2337" s="907"/>
      <c r="N2337" s="183"/>
      <c r="O2337" s="183"/>
      <c r="P2337" s="183"/>
      <c r="Q2337" s="183"/>
      <c r="R2337" s="183"/>
      <c r="S2337" s="183"/>
      <c r="T2337" s="183"/>
      <c r="U2337" s="183"/>
      <c r="V2337" s="183"/>
      <c r="W2337" s="183"/>
      <c r="X2337" s="183"/>
      <c r="Y2337" s="183"/>
      <c r="Z2337" s="183"/>
      <c r="AA2337" s="183"/>
      <c r="AB2337" s="183"/>
      <c r="AC2337" s="183"/>
    </row>
    <row r="2338" spans="2:29">
      <c r="B2338" s="191"/>
      <c r="D2338" s="183"/>
      <c r="G2338" s="183"/>
      <c r="H2338" s="183"/>
      <c r="J2338" s="907"/>
      <c r="K2338" s="907"/>
      <c r="L2338" s="907"/>
      <c r="M2338" s="907"/>
      <c r="N2338" s="183"/>
      <c r="O2338" s="183"/>
      <c r="P2338" s="183"/>
      <c r="Q2338" s="183"/>
      <c r="R2338" s="183"/>
      <c r="S2338" s="183"/>
      <c r="T2338" s="183"/>
      <c r="U2338" s="183"/>
      <c r="V2338" s="183"/>
      <c r="W2338" s="183"/>
      <c r="X2338" s="183"/>
      <c r="Y2338" s="183"/>
      <c r="Z2338" s="183"/>
      <c r="AA2338" s="183"/>
      <c r="AB2338" s="183"/>
      <c r="AC2338" s="183"/>
    </row>
    <row r="2339" spans="2:29">
      <c r="B2339" s="191"/>
      <c r="D2339" s="183"/>
      <c r="G2339" s="183"/>
      <c r="H2339" s="183"/>
      <c r="J2339" s="907"/>
      <c r="K2339" s="907"/>
      <c r="L2339" s="907"/>
      <c r="M2339" s="907"/>
      <c r="N2339" s="183"/>
      <c r="O2339" s="183"/>
      <c r="P2339" s="183"/>
      <c r="Q2339" s="183"/>
      <c r="R2339" s="183"/>
      <c r="S2339" s="183"/>
      <c r="T2339" s="183"/>
      <c r="U2339" s="183"/>
      <c r="V2339" s="183"/>
      <c r="W2339" s="183"/>
      <c r="X2339" s="183"/>
      <c r="Y2339" s="183"/>
      <c r="Z2339" s="183"/>
      <c r="AA2339" s="183"/>
      <c r="AB2339" s="183"/>
      <c r="AC2339" s="183"/>
    </row>
    <row r="2340" spans="2:29">
      <c r="B2340" s="191"/>
      <c r="D2340" s="183"/>
      <c r="G2340" s="183"/>
      <c r="H2340" s="183"/>
      <c r="J2340" s="907"/>
      <c r="K2340" s="907"/>
      <c r="L2340" s="907"/>
      <c r="M2340" s="907"/>
      <c r="N2340" s="183"/>
      <c r="O2340" s="183"/>
      <c r="P2340" s="183"/>
      <c r="Q2340" s="183"/>
      <c r="R2340" s="183"/>
      <c r="S2340" s="183"/>
      <c r="T2340" s="183"/>
      <c r="U2340" s="183"/>
      <c r="V2340" s="183"/>
      <c r="W2340" s="183"/>
      <c r="X2340" s="183"/>
      <c r="Y2340" s="183"/>
      <c r="Z2340" s="183"/>
      <c r="AA2340" s="183"/>
      <c r="AB2340" s="183"/>
      <c r="AC2340" s="183"/>
    </row>
    <row r="2341" spans="2:29">
      <c r="B2341" s="191"/>
      <c r="D2341" s="183"/>
      <c r="G2341" s="183"/>
      <c r="H2341" s="183"/>
      <c r="J2341" s="907"/>
      <c r="K2341" s="907"/>
      <c r="L2341" s="907"/>
      <c r="M2341" s="907"/>
      <c r="N2341" s="183"/>
      <c r="O2341" s="183"/>
      <c r="P2341" s="183"/>
      <c r="Q2341" s="183"/>
      <c r="R2341" s="183"/>
      <c r="S2341" s="183"/>
      <c r="T2341" s="183"/>
      <c r="U2341" s="183"/>
      <c r="V2341" s="183"/>
      <c r="W2341" s="183"/>
      <c r="X2341" s="183"/>
      <c r="Y2341" s="183"/>
      <c r="Z2341" s="183"/>
      <c r="AA2341" s="183"/>
      <c r="AB2341" s="183"/>
      <c r="AC2341" s="183"/>
    </row>
    <row r="2342" spans="2:29">
      <c r="B2342" s="191"/>
      <c r="D2342" s="183"/>
      <c r="G2342" s="183"/>
      <c r="H2342" s="183"/>
      <c r="J2342" s="907"/>
      <c r="K2342" s="907"/>
      <c r="L2342" s="907"/>
      <c r="M2342" s="907"/>
      <c r="N2342" s="183"/>
      <c r="O2342" s="183"/>
      <c r="P2342" s="183"/>
      <c r="Q2342" s="183"/>
      <c r="R2342" s="183"/>
      <c r="S2342" s="183"/>
      <c r="T2342" s="183"/>
      <c r="U2342" s="183"/>
      <c r="V2342" s="183"/>
      <c r="W2342" s="183"/>
      <c r="X2342" s="183"/>
      <c r="Y2342" s="183"/>
      <c r="Z2342" s="183"/>
      <c r="AA2342" s="183"/>
      <c r="AB2342" s="183"/>
      <c r="AC2342" s="183"/>
    </row>
    <row r="2343" spans="2:29">
      <c r="B2343" s="191"/>
      <c r="D2343" s="183"/>
      <c r="G2343" s="183"/>
      <c r="H2343" s="183"/>
      <c r="J2343" s="907"/>
      <c r="K2343" s="907"/>
      <c r="L2343" s="907"/>
      <c r="M2343" s="907"/>
      <c r="N2343" s="183"/>
      <c r="O2343" s="183"/>
      <c r="P2343" s="183"/>
      <c r="Q2343" s="183"/>
      <c r="R2343" s="183"/>
      <c r="S2343" s="183"/>
      <c r="T2343" s="183"/>
      <c r="U2343" s="183"/>
      <c r="V2343" s="183"/>
      <c r="W2343" s="183"/>
      <c r="X2343" s="183"/>
      <c r="Y2343" s="183"/>
      <c r="Z2343" s="183"/>
      <c r="AA2343" s="183"/>
      <c r="AB2343" s="183"/>
      <c r="AC2343" s="183"/>
    </row>
    <row r="2344" spans="2:29">
      <c r="B2344" s="191"/>
      <c r="D2344" s="183"/>
      <c r="G2344" s="183"/>
      <c r="H2344" s="183"/>
      <c r="J2344" s="907"/>
      <c r="K2344" s="907"/>
      <c r="L2344" s="907"/>
      <c r="M2344" s="907"/>
      <c r="N2344" s="183"/>
      <c r="O2344" s="183"/>
      <c r="P2344" s="183"/>
      <c r="Q2344" s="183"/>
      <c r="R2344" s="183"/>
      <c r="S2344" s="183"/>
      <c r="T2344" s="183"/>
      <c r="U2344" s="183"/>
      <c r="V2344" s="183"/>
      <c r="W2344" s="183"/>
      <c r="X2344" s="183"/>
      <c r="Y2344" s="183"/>
      <c r="Z2344" s="183"/>
      <c r="AA2344" s="183"/>
      <c r="AB2344" s="183"/>
      <c r="AC2344" s="183"/>
    </row>
    <row r="2345" spans="2:29">
      <c r="B2345" s="191"/>
      <c r="D2345" s="183"/>
      <c r="G2345" s="183"/>
      <c r="H2345" s="183"/>
      <c r="J2345" s="907"/>
      <c r="K2345" s="907"/>
      <c r="L2345" s="907"/>
      <c r="M2345" s="907"/>
      <c r="N2345" s="183"/>
      <c r="O2345" s="183"/>
      <c r="P2345" s="183"/>
      <c r="Q2345" s="183"/>
      <c r="R2345" s="183"/>
      <c r="S2345" s="183"/>
      <c r="T2345" s="183"/>
      <c r="U2345" s="183"/>
      <c r="V2345" s="183"/>
      <c r="W2345" s="183"/>
      <c r="X2345" s="183"/>
      <c r="Y2345" s="183"/>
      <c r="Z2345" s="183"/>
      <c r="AA2345" s="183"/>
      <c r="AB2345" s="183"/>
      <c r="AC2345" s="183"/>
    </row>
    <row r="2346" spans="2:29">
      <c r="B2346" s="191"/>
      <c r="D2346" s="183"/>
      <c r="G2346" s="183"/>
      <c r="H2346" s="183"/>
      <c r="J2346" s="907"/>
      <c r="K2346" s="907"/>
      <c r="L2346" s="907"/>
      <c r="M2346" s="907"/>
      <c r="N2346" s="183"/>
      <c r="O2346" s="183"/>
      <c r="P2346" s="183"/>
      <c r="Q2346" s="183"/>
      <c r="R2346" s="183"/>
      <c r="S2346" s="183"/>
      <c r="T2346" s="183"/>
      <c r="U2346" s="183"/>
      <c r="V2346" s="183"/>
      <c r="W2346" s="183"/>
      <c r="X2346" s="183"/>
      <c r="Y2346" s="183"/>
      <c r="Z2346" s="183"/>
      <c r="AA2346" s="183"/>
      <c r="AB2346" s="183"/>
      <c r="AC2346" s="183"/>
    </row>
    <row r="2347" spans="2:29">
      <c r="B2347" s="191"/>
      <c r="D2347" s="183"/>
      <c r="G2347" s="183"/>
      <c r="H2347" s="183"/>
      <c r="J2347" s="907"/>
      <c r="K2347" s="907"/>
      <c r="L2347" s="907"/>
      <c r="M2347" s="907"/>
      <c r="N2347" s="183"/>
      <c r="O2347" s="183"/>
      <c r="P2347" s="183"/>
      <c r="Q2347" s="183"/>
      <c r="R2347" s="183"/>
      <c r="S2347" s="183"/>
      <c r="T2347" s="183"/>
      <c r="U2347" s="183"/>
      <c r="V2347" s="183"/>
      <c r="W2347" s="183"/>
      <c r="X2347" s="183"/>
      <c r="Y2347" s="183"/>
      <c r="Z2347" s="183"/>
      <c r="AA2347" s="183"/>
      <c r="AB2347" s="183"/>
      <c r="AC2347" s="183"/>
    </row>
    <row r="2348" spans="2:29">
      <c r="B2348" s="191"/>
      <c r="D2348" s="183"/>
      <c r="G2348" s="183"/>
      <c r="H2348" s="183"/>
      <c r="J2348" s="907"/>
      <c r="K2348" s="907"/>
      <c r="L2348" s="907"/>
      <c r="M2348" s="907"/>
      <c r="N2348" s="183"/>
      <c r="O2348" s="183"/>
      <c r="P2348" s="183"/>
      <c r="Q2348" s="183"/>
      <c r="R2348" s="183"/>
      <c r="S2348" s="183"/>
      <c r="T2348" s="183"/>
      <c r="U2348" s="183"/>
      <c r="V2348" s="183"/>
      <c r="W2348" s="183"/>
      <c r="X2348" s="183"/>
      <c r="Y2348" s="183"/>
      <c r="Z2348" s="183"/>
      <c r="AA2348" s="183"/>
      <c r="AB2348" s="183"/>
      <c r="AC2348" s="183"/>
    </row>
    <row r="2349" spans="2:29">
      <c r="B2349" s="191"/>
      <c r="D2349" s="183"/>
      <c r="G2349" s="183"/>
      <c r="H2349" s="183"/>
      <c r="J2349" s="907"/>
      <c r="K2349" s="907"/>
      <c r="L2349" s="907"/>
      <c r="M2349" s="907"/>
      <c r="N2349" s="183"/>
      <c r="O2349" s="183"/>
      <c r="P2349" s="183"/>
      <c r="Q2349" s="183"/>
      <c r="R2349" s="183"/>
      <c r="S2349" s="183"/>
      <c r="T2349" s="183"/>
      <c r="U2349" s="183"/>
      <c r="V2349" s="183"/>
      <c r="W2349" s="183"/>
      <c r="X2349" s="183"/>
      <c r="Y2349" s="183"/>
      <c r="Z2349" s="183"/>
      <c r="AA2349" s="183"/>
      <c r="AB2349" s="183"/>
      <c r="AC2349" s="183"/>
    </row>
    <row r="2350" spans="2:29">
      <c r="B2350" s="191"/>
      <c r="D2350" s="183"/>
      <c r="G2350" s="183"/>
      <c r="H2350" s="183"/>
      <c r="J2350" s="907"/>
      <c r="K2350" s="907"/>
      <c r="L2350" s="907"/>
      <c r="M2350" s="907"/>
      <c r="N2350" s="183"/>
      <c r="O2350" s="183"/>
      <c r="P2350" s="183"/>
      <c r="Q2350" s="183"/>
      <c r="R2350" s="183"/>
      <c r="S2350" s="183"/>
      <c r="T2350" s="183"/>
      <c r="U2350" s="183"/>
      <c r="V2350" s="183"/>
      <c r="W2350" s="183"/>
      <c r="X2350" s="183"/>
      <c r="Y2350" s="183"/>
      <c r="Z2350" s="183"/>
      <c r="AA2350" s="183"/>
      <c r="AB2350" s="183"/>
      <c r="AC2350" s="183"/>
    </row>
    <row r="2351" spans="2:29">
      <c r="B2351" s="191"/>
      <c r="D2351" s="183"/>
      <c r="G2351" s="183"/>
      <c r="H2351" s="183"/>
      <c r="J2351" s="907"/>
      <c r="K2351" s="907"/>
      <c r="L2351" s="907"/>
      <c r="M2351" s="907"/>
      <c r="N2351" s="183"/>
      <c r="O2351" s="183"/>
      <c r="P2351" s="183"/>
      <c r="Q2351" s="183"/>
      <c r="R2351" s="183"/>
      <c r="S2351" s="183"/>
      <c r="T2351" s="183"/>
      <c r="U2351" s="183"/>
      <c r="V2351" s="183"/>
      <c r="W2351" s="183"/>
      <c r="X2351" s="183"/>
      <c r="Y2351" s="183"/>
      <c r="Z2351" s="183"/>
      <c r="AA2351" s="183"/>
      <c r="AB2351" s="183"/>
      <c r="AC2351" s="183"/>
    </row>
    <row r="2352" spans="2:29">
      <c r="B2352" s="191"/>
      <c r="D2352" s="183"/>
      <c r="G2352" s="183"/>
      <c r="H2352" s="183"/>
      <c r="J2352" s="907"/>
      <c r="K2352" s="907"/>
      <c r="L2352" s="907"/>
      <c r="M2352" s="907"/>
      <c r="N2352" s="183"/>
      <c r="O2352" s="183"/>
      <c r="P2352" s="183"/>
      <c r="Q2352" s="183"/>
      <c r="R2352" s="183"/>
      <c r="S2352" s="183"/>
      <c r="T2352" s="183"/>
      <c r="U2352" s="183"/>
      <c r="V2352" s="183"/>
      <c r="W2352" s="183"/>
      <c r="X2352" s="183"/>
      <c r="Y2352" s="183"/>
      <c r="Z2352" s="183"/>
      <c r="AA2352" s="183"/>
      <c r="AB2352" s="183"/>
      <c r="AC2352" s="183"/>
    </row>
    <row r="2353" spans="2:29">
      <c r="B2353" s="191"/>
      <c r="D2353" s="183"/>
      <c r="G2353" s="183"/>
      <c r="H2353" s="183"/>
      <c r="J2353" s="907"/>
      <c r="K2353" s="907"/>
      <c r="L2353" s="907"/>
      <c r="M2353" s="907"/>
      <c r="N2353" s="183"/>
      <c r="O2353" s="183"/>
      <c r="P2353" s="183"/>
      <c r="Q2353" s="183"/>
      <c r="R2353" s="183"/>
      <c r="S2353" s="183"/>
      <c r="T2353" s="183"/>
      <c r="U2353" s="183"/>
      <c r="V2353" s="183"/>
      <c r="W2353" s="183"/>
      <c r="X2353" s="183"/>
      <c r="Y2353" s="183"/>
      <c r="Z2353" s="183"/>
      <c r="AA2353" s="183"/>
      <c r="AB2353" s="183"/>
      <c r="AC2353" s="183"/>
    </row>
    <row r="2354" spans="2:29">
      <c r="B2354" s="191"/>
      <c r="D2354" s="183"/>
      <c r="G2354" s="183"/>
      <c r="H2354" s="183"/>
      <c r="J2354" s="907"/>
      <c r="K2354" s="907"/>
      <c r="L2354" s="907"/>
      <c r="M2354" s="907"/>
      <c r="N2354" s="183"/>
      <c r="O2354" s="183"/>
      <c r="P2354" s="183"/>
      <c r="Q2354" s="183"/>
      <c r="R2354" s="183"/>
      <c r="S2354" s="183"/>
      <c r="T2354" s="183"/>
      <c r="U2354" s="183"/>
      <c r="V2354" s="183"/>
      <c r="W2354" s="183"/>
      <c r="X2354" s="183"/>
      <c r="Y2354" s="183"/>
      <c r="Z2354" s="183"/>
      <c r="AA2354" s="183"/>
      <c r="AB2354" s="183"/>
      <c r="AC2354" s="183"/>
    </row>
    <row r="2355" spans="2:29">
      <c r="B2355" s="191"/>
      <c r="D2355" s="183"/>
      <c r="G2355" s="183"/>
      <c r="H2355" s="183"/>
      <c r="J2355" s="907"/>
      <c r="K2355" s="907"/>
      <c r="L2355" s="907"/>
      <c r="M2355" s="907"/>
      <c r="N2355" s="183"/>
      <c r="O2355" s="183"/>
      <c r="P2355" s="183"/>
      <c r="Q2355" s="183"/>
      <c r="R2355" s="183"/>
      <c r="S2355" s="183"/>
      <c r="T2355" s="183"/>
      <c r="U2355" s="183"/>
      <c r="V2355" s="183"/>
      <c r="W2355" s="183"/>
      <c r="X2355" s="183"/>
      <c r="Y2355" s="183"/>
      <c r="Z2355" s="183"/>
      <c r="AA2355" s="183"/>
      <c r="AB2355" s="183"/>
      <c r="AC2355" s="183"/>
    </row>
    <row r="2356" spans="2:29">
      <c r="B2356" s="191"/>
      <c r="D2356" s="183"/>
      <c r="G2356" s="183"/>
      <c r="H2356" s="183"/>
      <c r="J2356" s="907"/>
      <c r="K2356" s="907"/>
      <c r="L2356" s="907"/>
      <c r="M2356" s="907"/>
      <c r="N2356" s="183"/>
      <c r="O2356" s="183"/>
      <c r="P2356" s="183"/>
      <c r="Q2356" s="183"/>
      <c r="R2356" s="183"/>
      <c r="S2356" s="183"/>
      <c r="T2356" s="183"/>
      <c r="U2356" s="183"/>
      <c r="V2356" s="183"/>
      <c r="W2356" s="183"/>
      <c r="X2356" s="183"/>
      <c r="Y2356" s="183"/>
      <c r="Z2356" s="183"/>
      <c r="AA2356" s="183"/>
      <c r="AB2356" s="183"/>
      <c r="AC2356" s="183"/>
    </row>
    <row r="2357" spans="2:29">
      <c r="B2357" s="191"/>
      <c r="D2357" s="183"/>
      <c r="G2357" s="183"/>
      <c r="H2357" s="183"/>
      <c r="J2357" s="907"/>
      <c r="K2357" s="907"/>
      <c r="L2357" s="907"/>
      <c r="M2357" s="907"/>
      <c r="N2357" s="183"/>
      <c r="O2357" s="183"/>
      <c r="P2357" s="183"/>
      <c r="Q2357" s="183"/>
      <c r="R2357" s="183"/>
      <c r="S2357" s="183"/>
      <c r="T2357" s="183"/>
      <c r="U2357" s="183"/>
      <c r="V2357" s="183"/>
      <c r="W2357" s="183"/>
      <c r="X2357" s="183"/>
      <c r="Y2357" s="183"/>
      <c r="Z2357" s="183"/>
      <c r="AA2357" s="183"/>
      <c r="AB2357" s="183"/>
      <c r="AC2357" s="183"/>
    </row>
    <row r="2358" spans="2:29">
      <c r="B2358" s="191"/>
      <c r="D2358" s="183"/>
      <c r="G2358" s="183"/>
      <c r="H2358" s="183"/>
      <c r="J2358" s="907"/>
      <c r="K2358" s="907"/>
      <c r="L2358" s="907"/>
      <c r="M2358" s="907"/>
      <c r="N2358" s="183"/>
      <c r="O2358" s="183"/>
      <c r="P2358" s="183"/>
      <c r="Q2358" s="183"/>
      <c r="R2358" s="183"/>
      <c r="S2358" s="183"/>
      <c r="T2358" s="183"/>
      <c r="U2358" s="183"/>
      <c r="V2358" s="183"/>
      <c r="W2358" s="183"/>
      <c r="X2358" s="183"/>
      <c r="Y2358" s="183"/>
      <c r="Z2358" s="183"/>
      <c r="AA2358" s="183"/>
      <c r="AB2358" s="183"/>
      <c r="AC2358" s="183"/>
    </row>
    <row r="2359" spans="2:29">
      <c r="B2359" s="191"/>
      <c r="D2359" s="183"/>
      <c r="G2359" s="183"/>
      <c r="H2359" s="183"/>
      <c r="J2359" s="907"/>
      <c r="K2359" s="907"/>
      <c r="L2359" s="907"/>
      <c r="M2359" s="907"/>
      <c r="N2359" s="183"/>
      <c r="O2359" s="183"/>
      <c r="P2359" s="183"/>
      <c r="Q2359" s="183"/>
      <c r="R2359" s="183"/>
      <c r="S2359" s="183"/>
      <c r="T2359" s="183"/>
      <c r="U2359" s="183"/>
      <c r="V2359" s="183"/>
      <c r="W2359" s="183"/>
      <c r="X2359" s="183"/>
      <c r="Y2359" s="183"/>
      <c r="Z2359" s="183"/>
      <c r="AA2359" s="183"/>
      <c r="AB2359" s="183"/>
      <c r="AC2359" s="183"/>
    </row>
    <row r="2360" spans="2:29">
      <c r="B2360" s="191"/>
      <c r="D2360" s="183"/>
      <c r="G2360" s="183"/>
      <c r="H2360" s="183"/>
      <c r="J2360" s="907"/>
      <c r="K2360" s="907"/>
      <c r="L2360" s="907"/>
      <c r="M2360" s="907"/>
      <c r="N2360" s="183"/>
      <c r="O2360" s="183"/>
      <c r="P2360" s="183"/>
      <c r="Q2360" s="183"/>
      <c r="R2360" s="183"/>
      <c r="S2360" s="183"/>
      <c r="T2360" s="183"/>
      <c r="U2360" s="183"/>
      <c r="V2360" s="183"/>
      <c r="W2360" s="183"/>
      <c r="X2360" s="183"/>
      <c r="Y2360" s="183"/>
      <c r="Z2360" s="183"/>
      <c r="AA2360" s="183"/>
      <c r="AB2360" s="183"/>
      <c r="AC2360" s="183"/>
    </row>
    <row r="2361" spans="2:29">
      <c r="B2361" s="191"/>
      <c r="D2361" s="183"/>
      <c r="G2361" s="183"/>
      <c r="H2361" s="183"/>
      <c r="J2361" s="907"/>
      <c r="K2361" s="907"/>
      <c r="L2361" s="907"/>
      <c r="M2361" s="907"/>
      <c r="N2361" s="183"/>
      <c r="O2361" s="183"/>
      <c r="P2361" s="183"/>
      <c r="Q2361" s="183"/>
      <c r="R2361" s="183"/>
      <c r="S2361" s="183"/>
      <c r="T2361" s="183"/>
      <c r="U2361" s="183"/>
      <c r="V2361" s="183"/>
      <c r="W2361" s="183"/>
      <c r="X2361" s="183"/>
      <c r="Y2361" s="183"/>
      <c r="Z2361" s="183"/>
      <c r="AA2361" s="183"/>
      <c r="AB2361" s="183"/>
      <c r="AC2361" s="183"/>
    </row>
    <row r="2362" spans="2:29">
      <c r="B2362" s="191"/>
      <c r="D2362" s="183"/>
      <c r="G2362" s="183"/>
      <c r="H2362" s="183"/>
      <c r="J2362" s="907"/>
      <c r="K2362" s="907"/>
      <c r="L2362" s="907"/>
      <c r="M2362" s="907"/>
      <c r="N2362" s="183"/>
      <c r="O2362" s="183"/>
      <c r="P2362" s="183"/>
      <c r="Q2362" s="183"/>
      <c r="R2362" s="183"/>
      <c r="S2362" s="183"/>
      <c r="T2362" s="183"/>
      <c r="U2362" s="183"/>
      <c r="V2362" s="183"/>
      <c r="W2362" s="183"/>
      <c r="X2362" s="183"/>
      <c r="Y2362" s="183"/>
      <c r="Z2362" s="183"/>
      <c r="AA2362" s="183"/>
      <c r="AB2362" s="183"/>
      <c r="AC2362" s="183"/>
    </row>
    <row r="2363" spans="2:29">
      <c r="B2363" s="191"/>
      <c r="D2363" s="183"/>
      <c r="G2363" s="183"/>
      <c r="H2363" s="183"/>
      <c r="J2363" s="907"/>
      <c r="K2363" s="907"/>
      <c r="L2363" s="907"/>
      <c r="M2363" s="907"/>
      <c r="N2363" s="183"/>
      <c r="O2363" s="183"/>
      <c r="P2363" s="183"/>
      <c r="Q2363" s="183"/>
      <c r="R2363" s="183"/>
      <c r="S2363" s="183"/>
      <c r="T2363" s="183"/>
      <c r="U2363" s="183"/>
      <c r="V2363" s="183"/>
      <c r="W2363" s="183"/>
      <c r="X2363" s="183"/>
      <c r="Y2363" s="183"/>
      <c r="Z2363" s="183"/>
      <c r="AA2363" s="183"/>
      <c r="AB2363" s="183"/>
      <c r="AC2363" s="183"/>
    </row>
    <row r="2364" spans="2:29">
      <c r="B2364" s="191"/>
      <c r="D2364" s="183"/>
      <c r="G2364" s="183"/>
      <c r="H2364" s="183"/>
      <c r="J2364" s="907"/>
      <c r="K2364" s="907"/>
      <c r="L2364" s="907"/>
      <c r="M2364" s="907"/>
      <c r="N2364" s="183"/>
      <c r="O2364" s="183"/>
      <c r="P2364" s="183"/>
      <c r="Q2364" s="183"/>
      <c r="R2364" s="183"/>
      <c r="S2364" s="183"/>
      <c r="T2364" s="183"/>
      <c r="U2364" s="183"/>
      <c r="V2364" s="183"/>
      <c r="W2364" s="183"/>
      <c r="X2364" s="183"/>
      <c r="Y2364" s="183"/>
      <c r="Z2364" s="183"/>
      <c r="AA2364" s="183"/>
      <c r="AB2364" s="183"/>
      <c r="AC2364" s="183"/>
    </row>
    <row r="2365" spans="2:29">
      <c r="B2365" s="191"/>
      <c r="D2365" s="183"/>
      <c r="G2365" s="183"/>
      <c r="H2365" s="183"/>
      <c r="J2365" s="907"/>
      <c r="K2365" s="907"/>
      <c r="L2365" s="907"/>
      <c r="M2365" s="907"/>
      <c r="N2365" s="183"/>
      <c r="O2365" s="183"/>
      <c r="P2365" s="183"/>
      <c r="Q2365" s="183"/>
      <c r="R2365" s="183"/>
      <c r="S2365" s="183"/>
      <c r="T2365" s="183"/>
      <c r="U2365" s="183"/>
      <c r="V2365" s="183"/>
      <c r="W2365" s="183"/>
      <c r="X2365" s="183"/>
      <c r="Y2365" s="183"/>
      <c r="Z2365" s="183"/>
      <c r="AA2365" s="183"/>
      <c r="AB2365" s="183"/>
      <c r="AC2365" s="183"/>
    </row>
    <row r="2366" spans="2:29">
      <c r="B2366" s="191"/>
      <c r="D2366" s="183"/>
      <c r="G2366" s="183"/>
      <c r="H2366" s="183"/>
      <c r="J2366" s="907"/>
      <c r="K2366" s="907"/>
      <c r="L2366" s="907"/>
      <c r="M2366" s="907"/>
      <c r="N2366" s="183"/>
      <c r="O2366" s="183"/>
      <c r="P2366" s="183"/>
      <c r="Q2366" s="183"/>
      <c r="R2366" s="183"/>
      <c r="S2366" s="183"/>
      <c r="T2366" s="183"/>
      <c r="U2366" s="183"/>
      <c r="V2366" s="183"/>
      <c r="W2366" s="183"/>
      <c r="X2366" s="183"/>
      <c r="Y2366" s="183"/>
      <c r="Z2366" s="183"/>
      <c r="AA2366" s="183"/>
      <c r="AB2366" s="183"/>
      <c r="AC2366" s="183"/>
    </row>
    <row r="2367" spans="2:29">
      <c r="B2367" s="191"/>
      <c r="D2367" s="183"/>
      <c r="G2367" s="183"/>
      <c r="H2367" s="183"/>
      <c r="J2367" s="907"/>
      <c r="K2367" s="907"/>
      <c r="L2367" s="907"/>
      <c r="M2367" s="907"/>
      <c r="N2367" s="183"/>
      <c r="O2367" s="183"/>
      <c r="P2367" s="183"/>
      <c r="Q2367" s="183"/>
      <c r="R2367" s="183"/>
      <c r="S2367" s="183"/>
      <c r="T2367" s="183"/>
      <c r="U2367" s="183"/>
      <c r="V2367" s="183"/>
      <c r="W2367" s="183"/>
      <c r="X2367" s="183"/>
      <c r="Y2367" s="183"/>
      <c r="Z2367" s="183"/>
      <c r="AA2367" s="183"/>
      <c r="AB2367" s="183"/>
      <c r="AC2367" s="183"/>
    </row>
    <row r="2368" spans="2:29">
      <c r="B2368" s="191"/>
      <c r="D2368" s="183"/>
      <c r="G2368" s="183"/>
      <c r="H2368" s="183"/>
      <c r="J2368" s="907"/>
      <c r="K2368" s="907"/>
      <c r="L2368" s="907"/>
      <c r="M2368" s="907"/>
      <c r="N2368" s="183"/>
      <c r="O2368" s="183"/>
      <c r="P2368" s="183"/>
      <c r="Q2368" s="183"/>
      <c r="R2368" s="183"/>
      <c r="S2368" s="183"/>
      <c r="T2368" s="183"/>
      <c r="U2368" s="183"/>
      <c r="V2368" s="183"/>
      <c r="W2368" s="183"/>
      <c r="X2368" s="183"/>
      <c r="Y2368" s="183"/>
      <c r="Z2368" s="183"/>
      <c r="AA2368" s="183"/>
      <c r="AB2368" s="183"/>
      <c r="AC2368" s="183"/>
    </row>
    <row r="2369" spans="2:29">
      <c r="B2369" s="191"/>
      <c r="D2369" s="183"/>
      <c r="G2369" s="183"/>
      <c r="H2369" s="183"/>
      <c r="J2369" s="907"/>
      <c r="K2369" s="907"/>
      <c r="L2369" s="907"/>
      <c r="M2369" s="907"/>
      <c r="N2369" s="183"/>
      <c r="O2369" s="183"/>
      <c r="P2369" s="183"/>
      <c r="Q2369" s="183"/>
      <c r="R2369" s="183"/>
      <c r="S2369" s="183"/>
      <c r="T2369" s="183"/>
      <c r="U2369" s="183"/>
      <c r="V2369" s="183"/>
      <c r="W2369" s="183"/>
      <c r="X2369" s="183"/>
      <c r="Y2369" s="183"/>
      <c r="Z2369" s="183"/>
      <c r="AA2369" s="183"/>
      <c r="AB2369" s="183"/>
      <c r="AC2369" s="183"/>
    </row>
    <row r="2370" spans="2:29">
      <c r="B2370" s="191"/>
      <c r="D2370" s="183"/>
      <c r="G2370" s="183"/>
      <c r="H2370" s="183"/>
      <c r="J2370" s="907"/>
      <c r="K2370" s="907"/>
      <c r="L2370" s="907"/>
      <c r="M2370" s="907"/>
      <c r="N2370" s="183"/>
      <c r="O2370" s="183"/>
      <c r="P2370" s="183"/>
      <c r="Q2370" s="183"/>
      <c r="R2370" s="183"/>
      <c r="S2370" s="183"/>
      <c r="T2370" s="183"/>
      <c r="U2370" s="183"/>
      <c r="V2370" s="183"/>
      <c r="W2370" s="183"/>
      <c r="X2370" s="183"/>
      <c r="Y2370" s="183"/>
      <c r="Z2370" s="183"/>
      <c r="AA2370" s="183"/>
      <c r="AB2370" s="183"/>
      <c r="AC2370" s="183"/>
    </row>
    <row r="2371" spans="2:29">
      <c r="B2371" s="191"/>
      <c r="D2371" s="183"/>
      <c r="G2371" s="183"/>
      <c r="H2371" s="183"/>
      <c r="J2371" s="907"/>
      <c r="K2371" s="907"/>
      <c r="L2371" s="907"/>
      <c r="M2371" s="907"/>
      <c r="N2371" s="183"/>
      <c r="O2371" s="183"/>
      <c r="P2371" s="183"/>
      <c r="Q2371" s="183"/>
      <c r="R2371" s="183"/>
      <c r="S2371" s="183"/>
      <c r="T2371" s="183"/>
      <c r="U2371" s="183"/>
      <c r="V2371" s="183"/>
      <c r="W2371" s="183"/>
      <c r="X2371" s="183"/>
      <c r="Y2371" s="183"/>
      <c r="Z2371" s="183"/>
      <c r="AA2371" s="183"/>
      <c r="AB2371" s="183"/>
      <c r="AC2371" s="183"/>
    </row>
    <row r="2372" spans="2:29">
      <c r="B2372" s="191"/>
      <c r="D2372" s="183"/>
      <c r="G2372" s="183"/>
      <c r="H2372" s="183"/>
      <c r="J2372" s="907"/>
      <c r="K2372" s="907"/>
      <c r="L2372" s="907"/>
      <c r="M2372" s="907"/>
      <c r="N2372" s="183"/>
      <c r="O2372" s="183"/>
      <c r="P2372" s="183"/>
      <c r="Q2372" s="183"/>
      <c r="R2372" s="183"/>
      <c r="S2372" s="183"/>
      <c r="T2372" s="183"/>
      <c r="U2372" s="183"/>
      <c r="V2372" s="183"/>
      <c r="W2372" s="183"/>
      <c r="X2372" s="183"/>
      <c r="Y2372" s="183"/>
      <c r="Z2372" s="183"/>
      <c r="AA2372" s="183"/>
      <c r="AB2372" s="183"/>
      <c r="AC2372" s="183"/>
    </row>
    <row r="2373" spans="2:29">
      <c r="B2373" s="191"/>
      <c r="D2373" s="183"/>
      <c r="G2373" s="183"/>
      <c r="H2373" s="183"/>
      <c r="J2373" s="907"/>
      <c r="K2373" s="907"/>
      <c r="L2373" s="907"/>
      <c r="M2373" s="907"/>
      <c r="N2373" s="183"/>
      <c r="O2373" s="183"/>
      <c r="P2373" s="183"/>
      <c r="Q2373" s="183"/>
      <c r="R2373" s="183"/>
      <c r="S2373" s="183"/>
      <c r="T2373" s="183"/>
      <c r="U2373" s="183"/>
      <c r="V2373" s="183"/>
      <c r="W2373" s="183"/>
      <c r="X2373" s="183"/>
      <c r="Y2373" s="183"/>
      <c r="Z2373" s="183"/>
      <c r="AA2373" s="183"/>
      <c r="AB2373" s="183"/>
      <c r="AC2373" s="183"/>
    </row>
    <row r="2374" spans="2:29">
      <c r="B2374" s="191"/>
      <c r="D2374" s="183"/>
      <c r="G2374" s="183"/>
      <c r="H2374" s="183"/>
      <c r="J2374" s="907"/>
      <c r="K2374" s="907"/>
      <c r="L2374" s="907"/>
      <c r="M2374" s="907"/>
      <c r="N2374" s="183"/>
      <c r="O2374" s="183"/>
      <c r="P2374" s="183"/>
      <c r="Q2374" s="183"/>
      <c r="R2374" s="183"/>
      <c r="S2374" s="183"/>
      <c r="T2374" s="183"/>
      <c r="U2374" s="183"/>
      <c r="V2374" s="183"/>
      <c r="W2374" s="183"/>
      <c r="X2374" s="183"/>
      <c r="Y2374" s="183"/>
      <c r="Z2374" s="183"/>
      <c r="AA2374" s="183"/>
      <c r="AB2374" s="183"/>
      <c r="AC2374" s="183"/>
    </row>
    <row r="2375" spans="2:29">
      <c r="B2375" s="191"/>
      <c r="D2375" s="183"/>
      <c r="G2375" s="183"/>
      <c r="H2375" s="183"/>
      <c r="J2375" s="907"/>
      <c r="K2375" s="907"/>
      <c r="L2375" s="907"/>
      <c r="M2375" s="907"/>
      <c r="N2375" s="183"/>
      <c r="O2375" s="183"/>
      <c r="P2375" s="183"/>
      <c r="Q2375" s="183"/>
      <c r="R2375" s="183"/>
      <c r="S2375" s="183"/>
      <c r="T2375" s="183"/>
      <c r="U2375" s="183"/>
      <c r="V2375" s="183"/>
      <c r="W2375" s="183"/>
      <c r="X2375" s="183"/>
      <c r="Y2375" s="183"/>
      <c r="Z2375" s="183"/>
      <c r="AA2375" s="183"/>
      <c r="AB2375" s="183"/>
      <c r="AC2375" s="183"/>
    </row>
    <row r="2376" spans="2:29">
      <c r="B2376" s="191"/>
      <c r="D2376" s="183"/>
      <c r="G2376" s="183"/>
      <c r="H2376" s="183"/>
      <c r="J2376" s="907"/>
      <c r="K2376" s="907"/>
      <c r="L2376" s="907"/>
      <c r="M2376" s="907"/>
      <c r="N2376" s="183"/>
      <c r="O2376" s="183"/>
      <c r="P2376" s="183"/>
      <c r="Q2376" s="183"/>
      <c r="R2376" s="183"/>
      <c r="S2376" s="183"/>
      <c r="T2376" s="183"/>
      <c r="U2376" s="183"/>
      <c r="V2376" s="183"/>
      <c r="W2376" s="183"/>
      <c r="X2376" s="183"/>
      <c r="Y2376" s="183"/>
      <c r="Z2376" s="183"/>
      <c r="AA2376" s="183"/>
      <c r="AB2376" s="183"/>
      <c r="AC2376" s="183"/>
    </row>
    <row r="2377" spans="2:29">
      <c r="B2377" s="191"/>
      <c r="D2377" s="183"/>
      <c r="G2377" s="183"/>
      <c r="H2377" s="183"/>
      <c r="J2377" s="907"/>
      <c r="K2377" s="907"/>
      <c r="L2377" s="907"/>
      <c r="M2377" s="907"/>
      <c r="N2377" s="183"/>
      <c r="O2377" s="183"/>
      <c r="P2377" s="183"/>
      <c r="Q2377" s="183"/>
      <c r="R2377" s="183"/>
      <c r="S2377" s="183"/>
      <c r="T2377" s="183"/>
      <c r="U2377" s="183"/>
      <c r="V2377" s="183"/>
      <c r="W2377" s="183"/>
      <c r="X2377" s="183"/>
      <c r="Y2377" s="183"/>
      <c r="Z2377" s="183"/>
      <c r="AA2377" s="183"/>
      <c r="AB2377" s="183"/>
      <c r="AC2377" s="183"/>
    </row>
    <row r="2378" spans="2:29">
      <c r="B2378" s="191"/>
      <c r="D2378" s="183"/>
      <c r="G2378" s="183"/>
      <c r="H2378" s="183"/>
      <c r="J2378" s="907"/>
      <c r="K2378" s="907"/>
      <c r="L2378" s="907"/>
      <c r="M2378" s="907"/>
      <c r="N2378" s="183"/>
      <c r="O2378" s="183"/>
      <c r="P2378" s="183"/>
      <c r="Q2378" s="183"/>
      <c r="R2378" s="183"/>
      <c r="S2378" s="183"/>
      <c r="T2378" s="183"/>
      <c r="U2378" s="183"/>
      <c r="V2378" s="183"/>
      <c r="W2378" s="183"/>
      <c r="X2378" s="183"/>
      <c r="Y2378" s="183"/>
      <c r="Z2378" s="183"/>
      <c r="AA2378" s="183"/>
      <c r="AB2378" s="183"/>
      <c r="AC2378" s="183"/>
    </row>
    <row r="2379" spans="2:29">
      <c r="B2379" s="191"/>
      <c r="D2379" s="183"/>
      <c r="G2379" s="183"/>
      <c r="H2379" s="183"/>
      <c r="J2379" s="907"/>
      <c r="K2379" s="907"/>
      <c r="L2379" s="907"/>
      <c r="M2379" s="907"/>
      <c r="N2379" s="183"/>
      <c r="O2379" s="183"/>
      <c r="P2379" s="183"/>
      <c r="Q2379" s="183"/>
      <c r="R2379" s="183"/>
      <c r="S2379" s="183"/>
      <c r="T2379" s="183"/>
      <c r="U2379" s="183"/>
      <c r="V2379" s="183"/>
      <c r="W2379" s="183"/>
      <c r="X2379" s="183"/>
      <c r="Y2379" s="183"/>
      <c r="Z2379" s="183"/>
      <c r="AA2379" s="183"/>
      <c r="AB2379" s="183"/>
      <c r="AC2379" s="183"/>
    </row>
    <row r="2380" spans="2:29">
      <c r="B2380" s="191"/>
      <c r="D2380" s="183"/>
      <c r="G2380" s="183"/>
      <c r="H2380" s="183"/>
      <c r="J2380" s="907"/>
      <c r="K2380" s="907"/>
      <c r="L2380" s="907"/>
      <c r="M2380" s="907"/>
      <c r="N2380" s="183"/>
      <c r="O2380" s="183"/>
      <c r="P2380" s="183"/>
      <c r="Q2380" s="183"/>
      <c r="R2380" s="183"/>
      <c r="S2380" s="183"/>
      <c r="T2380" s="183"/>
      <c r="U2380" s="183"/>
      <c r="V2380" s="183"/>
      <c r="W2380" s="183"/>
      <c r="X2380" s="183"/>
      <c r="Y2380" s="183"/>
      <c r="Z2380" s="183"/>
      <c r="AA2380" s="183"/>
      <c r="AB2380" s="183"/>
      <c r="AC2380" s="183"/>
    </row>
    <row r="2381" spans="2:29">
      <c r="B2381" s="191"/>
      <c r="D2381" s="183"/>
      <c r="G2381" s="183"/>
      <c r="H2381" s="183"/>
      <c r="J2381" s="907"/>
      <c r="K2381" s="907"/>
      <c r="L2381" s="907"/>
      <c r="M2381" s="907"/>
      <c r="N2381" s="183"/>
      <c r="O2381" s="183"/>
      <c r="P2381" s="183"/>
      <c r="Q2381" s="183"/>
      <c r="R2381" s="183"/>
      <c r="S2381" s="183"/>
      <c r="T2381" s="183"/>
      <c r="U2381" s="183"/>
      <c r="V2381" s="183"/>
      <c r="W2381" s="183"/>
      <c r="X2381" s="183"/>
      <c r="Y2381" s="183"/>
      <c r="Z2381" s="183"/>
      <c r="AA2381" s="183"/>
      <c r="AB2381" s="183"/>
      <c r="AC2381" s="183"/>
    </row>
    <row r="2382" spans="2:29">
      <c r="B2382" s="191"/>
      <c r="D2382" s="183"/>
      <c r="G2382" s="183"/>
      <c r="H2382" s="183"/>
      <c r="J2382" s="907"/>
      <c r="K2382" s="907"/>
      <c r="L2382" s="907"/>
      <c r="M2382" s="907"/>
      <c r="N2382" s="183"/>
      <c r="O2382" s="183"/>
      <c r="P2382" s="183"/>
      <c r="Q2382" s="183"/>
      <c r="R2382" s="183"/>
      <c r="S2382" s="183"/>
      <c r="T2382" s="183"/>
      <c r="U2382" s="183"/>
      <c r="V2382" s="183"/>
      <c r="W2382" s="183"/>
      <c r="X2382" s="183"/>
      <c r="Y2382" s="183"/>
      <c r="Z2382" s="183"/>
      <c r="AA2382" s="183"/>
      <c r="AB2382" s="183"/>
      <c r="AC2382" s="183"/>
    </row>
    <row r="2383" spans="2:29">
      <c r="B2383" s="191"/>
      <c r="D2383" s="183"/>
      <c r="G2383" s="183"/>
      <c r="H2383" s="183"/>
      <c r="J2383" s="907"/>
      <c r="K2383" s="907"/>
      <c r="L2383" s="907"/>
      <c r="M2383" s="907"/>
      <c r="N2383" s="183"/>
      <c r="O2383" s="183"/>
      <c r="P2383" s="183"/>
      <c r="Q2383" s="183"/>
      <c r="R2383" s="183"/>
      <c r="S2383" s="183"/>
      <c r="T2383" s="183"/>
      <c r="U2383" s="183"/>
      <c r="V2383" s="183"/>
      <c r="W2383" s="183"/>
      <c r="X2383" s="183"/>
      <c r="Y2383" s="183"/>
      <c r="Z2383" s="183"/>
      <c r="AA2383" s="183"/>
      <c r="AB2383" s="183"/>
      <c r="AC2383" s="183"/>
    </row>
    <row r="2384" spans="2:29">
      <c r="B2384" s="191"/>
      <c r="D2384" s="183"/>
      <c r="G2384" s="183"/>
      <c r="H2384" s="183"/>
      <c r="J2384" s="907"/>
      <c r="K2384" s="907"/>
      <c r="L2384" s="907"/>
      <c r="M2384" s="907"/>
      <c r="N2384" s="183"/>
      <c r="O2384" s="183"/>
      <c r="P2384" s="183"/>
      <c r="Q2384" s="183"/>
      <c r="R2384" s="183"/>
      <c r="S2384" s="183"/>
      <c r="T2384" s="183"/>
      <c r="U2384" s="183"/>
      <c r="V2384" s="183"/>
      <c r="W2384" s="183"/>
      <c r="X2384" s="183"/>
      <c r="Y2384" s="183"/>
      <c r="Z2384" s="183"/>
      <c r="AA2384" s="183"/>
      <c r="AB2384" s="183"/>
      <c r="AC2384" s="183"/>
    </row>
    <row r="2385" spans="2:29">
      <c r="B2385" s="191"/>
      <c r="D2385" s="183"/>
      <c r="G2385" s="183"/>
      <c r="H2385" s="183"/>
      <c r="J2385" s="907"/>
      <c r="K2385" s="907"/>
      <c r="L2385" s="907"/>
      <c r="M2385" s="907"/>
      <c r="N2385" s="183"/>
      <c r="O2385" s="183"/>
      <c r="P2385" s="183"/>
      <c r="Q2385" s="183"/>
      <c r="R2385" s="183"/>
      <c r="S2385" s="183"/>
      <c r="T2385" s="183"/>
      <c r="U2385" s="183"/>
      <c r="V2385" s="183"/>
      <c r="W2385" s="183"/>
      <c r="X2385" s="183"/>
      <c r="Y2385" s="183"/>
      <c r="Z2385" s="183"/>
      <c r="AA2385" s="183"/>
      <c r="AB2385" s="183"/>
      <c r="AC2385" s="183"/>
    </row>
    <row r="2386" spans="2:29">
      <c r="B2386" s="191"/>
      <c r="D2386" s="183"/>
      <c r="G2386" s="183"/>
      <c r="H2386" s="183"/>
      <c r="J2386" s="907"/>
      <c r="K2386" s="907"/>
      <c r="L2386" s="907"/>
      <c r="M2386" s="907"/>
      <c r="N2386" s="183"/>
      <c r="O2386" s="183"/>
      <c r="P2386" s="183"/>
      <c r="Q2386" s="183"/>
      <c r="R2386" s="183"/>
      <c r="S2386" s="183"/>
      <c r="T2386" s="183"/>
      <c r="U2386" s="183"/>
      <c r="V2386" s="183"/>
      <c r="W2386" s="183"/>
      <c r="X2386" s="183"/>
      <c r="Y2386" s="183"/>
      <c r="Z2386" s="183"/>
      <c r="AA2386" s="183"/>
      <c r="AB2386" s="183"/>
      <c r="AC2386" s="183"/>
    </row>
    <row r="2387" spans="2:29">
      <c r="B2387" s="191"/>
      <c r="D2387" s="183"/>
      <c r="G2387" s="183"/>
      <c r="H2387" s="183"/>
      <c r="J2387" s="907"/>
      <c r="K2387" s="907"/>
      <c r="L2387" s="907"/>
      <c r="M2387" s="907"/>
      <c r="N2387" s="183"/>
      <c r="O2387" s="183"/>
      <c r="P2387" s="183"/>
      <c r="Q2387" s="183"/>
      <c r="R2387" s="183"/>
      <c r="S2387" s="183"/>
      <c r="T2387" s="183"/>
      <c r="U2387" s="183"/>
      <c r="V2387" s="183"/>
      <c r="W2387" s="183"/>
      <c r="X2387" s="183"/>
      <c r="Y2387" s="183"/>
      <c r="Z2387" s="183"/>
      <c r="AA2387" s="183"/>
      <c r="AB2387" s="183"/>
      <c r="AC2387" s="183"/>
    </row>
    <row r="2388" spans="2:29">
      <c r="B2388" s="191"/>
      <c r="D2388" s="183"/>
      <c r="G2388" s="183"/>
      <c r="H2388" s="183"/>
      <c r="J2388" s="907"/>
      <c r="K2388" s="907"/>
      <c r="L2388" s="907"/>
      <c r="M2388" s="907"/>
      <c r="N2388" s="183"/>
      <c r="O2388" s="183"/>
      <c r="P2388" s="183"/>
      <c r="Q2388" s="183"/>
      <c r="R2388" s="183"/>
      <c r="S2388" s="183"/>
      <c r="T2388" s="183"/>
      <c r="U2388" s="183"/>
      <c r="V2388" s="183"/>
      <c r="W2388" s="183"/>
      <c r="X2388" s="183"/>
      <c r="Y2388" s="183"/>
      <c r="Z2388" s="183"/>
      <c r="AA2388" s="183"/>
      <c r="AB2388" s="183"/>
      <c r="AC2388" s="183"/>
    </row>
    <row r="2389" spans="2:29">
      <c r="B2389" s="191"/>
      <c r="D2389" s="183"/>
      <c r="G2389" s="183"/>
      <c r="H2389" s="183"/>
      <c r="J2389" s="907"/>
      <c r="K2389" s="907"/>
      <c r="L2389" s="907"/>
      <c r="M2389" s="907"/>
      <c r="N2389" s="183"/>
      <c r="O2389" s="183"/>
      <c r="P2389" s="183"/>
      <c r="Q2389" s="183"/>
      <c r="R2389" s="183"/>
      <c r="S2389" s="183"/>
      <c r="T2389" s="183"/>
      <c r="U2389" s="183"/>
      <c r="V2389" s="183"/>
      <c r="W2389" s="183"/>
      <c r="X2389" s="183"/>
      <c r="Y2389" s="183"/>
      <c r="Z2389" s="183"/>
      <c r="AA2389" s="183"/>
      <c r="AB2389" s="183"/>
      <c r="AC2389" s="183"/>
    </row>
    <row r="2390" spans="2:29">
      <c r="B2390" s="191"/>
      <c r="D2390" s="183"/>
      <c r="G2390" s="183"/>
      <c r="H2390" s="183"/>
      <c r="J2390" s="907"/>
      <c r="K2390" s="907"/>
      <c r="L2390" s="907"/>
      <c r="M2390" s="907"/>
      <c r="N2390" s="183"/>
      <c r="O2390" s="183"/>
      <c r="P2390" s="183"/>
      <c r="Q2390" s="183"/>
      <c r="R2390" s="183"/>
      <c r="S2390" s="183"/>
      <c r="T2390" s="183"/>
      <c r="U2390" s="183"/>
      <c r="V2390" s="183"/>
      <c r="W2390" s="183"/>
      <c r="X2390" s="183"/>
      <c r="Y2390" s="183"/>
      <c r="Z2390" s="183"/>
      <c r="AA2390" s="183"/>
      <c r="AB2390" s="183"/>
      <c r="AC2390" s="183"/>
    </row>
    <row r="2391" spans="2:29">
      <c r="B2391" s="191"/>
      <c r="D2391" s="183"/>
      <c r="G2391" s="183"/>
      <c r="H2391" s="183"/>
      <c r="J2391" s="907"/>
      <c r="K2391" s="907"/>
      <c r="L2391" s="907"/>
      <c r="M2391" s="907"/>
      <c r="N2391" s="183"/>
      <c r="O2391" s="183"/>
      <c r="P2391" s="183"/>
      <c r="Q2391" s="183"/>
      <c r="R2391" s="183"/>
      <c r="S2391" s="183"/>
      <c r="T2391" s="183"/>
      <c r="U2391" s="183"/>
      <c r="V2391" s="183"/>
      <c r="W2391" s="183"/>
      <c r="X2391" s="183"/>
      <c r="Y2391" s="183"/>
      <c r="Z2391" s="183"/>
      <c r="AA2391" s="183"/>
      <c r="AB2391" s="183"/>
      <c r="AC2391" s="183"/>
    </row>
    <row r="2392" spans="2:29">
      <c r="B2392" s="191"/>
      <c r="D2392" s="183"/>
      <c r="G2392" s="183"/>
      <c r="H2392" s="183"/>
      <c r="J2392" s="907"/>
      <c r="K2392" s="907"/>
      <c r="L2392" s="907"/>
      <c r="M2392" s="907"/>
      <c r="N2392" s="183"/>
      <c r="O2392" s="183"/>
      <c r="P2392" s="183"/>
      <c r="Q2392" s="183"/>
      <c r="R2392" s="183"/>
      <c r="S2392" s="183"/>
      <c r="T2392" s="183"/>
      <c r="U2392" s="183"/>
      <c r="V2392" s="183"/>
      <c r="W2392" s="183"/>
      <c r="X2392" s="183"/>
      <c r="Y2392" s="183"/>
      <c r="Z2392" s="183"/>
      <c r="AA2392" s="183"/>
      <c r="AB2392" s="183"/>
      <c r="AC2392" s="183"/>
    </row>
    <row r="2393" spans="2:29">
      <c r="B2393" s="191"/>
      <c r="D2393" s="183"/>
      <c r="G2393" s="183"/>
      <c r="H2393" s="183"/>
      <c r="J2393" s="907"/>
      <c r="K2393" s="907"/>
      <c r="L2393" s="907"/>
      <c r="M2393" s="907"/>
      <c r="N2393" s="183"/>
      <c r="O2393" s="183"/>
      <c r="P2393" s="183"/>
      <c r="Q2393" s="183"/>
      <c r="R2393" s="183"/>
      <c r="S2393" s="183"/>
      <c r="T2393" s="183"/>
      <c r="U2393" s="183"/>
      <c r="V2393" s="183"/>
      <c r="W2393" s="183"/>
      <c r="X2393" s="183"/>
      <c r="Y2393" s="183"/>
      <c r="Z2393" s="183"/>
      <c r="AA2393" s="183"/>
      <c r="AB2393" s="183"/>
      <c r="AC2393" s="183"/>
    </row>
    <row r="2394" spans="2:29">
      <c r="B2394" s="191"/>
      <c r="D2394" s="183"/>
      <c r="G2394" s="183"/>
      <c r="H2394" s="183"/>
      <c r="J2394" s="907"/>
      <c r="K2394" s="907"/>
      <c r="L2394" s="907"/>
      <c r="M2394" s="907"/>
      <c r="N2394" s="183"/>
      <c r="O2394" s="183"/>
      <c r="P2394" s="183"/>
      <c r="Q2394" s="183"/>
      <c r="R2394" s="183"/>
      <c r="S2394" s="183"/>
      <c r="T2394" s="183"/>
      <c r="U2394" s="183"/>
      <c r="V2394" s="183"/>
      <c r="W2394" s="183"/>
      <c r="X2394" s="183"/>
      <c r="Y2394" s="183"/>
      <c r="Z2394" s="183"/>
      <c r="AA2394" s="183"/>
      <c r="AB2394" s="183"/>
      <c r="AC2394" s="183"/>
    </row>
    <row r="2395" spans="2:29">
      <c r="B2395" s="191"/>
      <c r="D2395" s="183"/>
      <c r="G2395" s="183"/>
      <c r="H2395" s="183"/>
      <c r="J2395" s="907"/>
      <c r="K2395" s="907"/>
      <c r="L2395" s="907"/>
      <c r="M2395" s="907"/>
      <c r="N2395" s="183"/>
      <c r="O2395" s="183"/>
      <c r="P2395" s="183"/>
      <c r="Q2395" s="183"/>
      <c r="R2395" s="183"/>
      <c r="S2395" s="183"/>
      <c r="T2395" s="183"/>
      <c r="U2395" s="183"/>
      <c r="V2395" s="183"/>
      <c r="W2395" s="183"/>
      <c r="X2395" s="183"/>
      <c r="Y2395" s="183"/>
      <c r="Z2395" s="183"/>
      <c r="AA2395" s="183"/>
      <c r="AB2395" s="183"/>
      <c r="AC2395" s="183"/>
    </row>
    <row r="2396" spans="2:29">
      <c r="B2396" s="191"/>
      <c r="D2396" s="183"/>
      <c r="G2396" s="183"/>
      <c r="H2396" s="183"/>
      <c r="J2396" s="907"/>
      <c r="K2396" s="907"/>
      <c r="L2396" s="907"/>
      <c r="M2396" s="907"/>
      <c r="N2396" s="183"/>
      <c r="O2396" s="183"/>
      <c r="P2396" s="183"/>
      <c r="Q2396" s="183"/>
      <c r="R2396" s="183"/>
      <c r="S2396" s="183"/>
      <c r="T2396" s="183"/>
      <c r="U2396" s="183"/>
      <c r="V2396" s="183"/>
      <c r="W2396" s="183"/>
      <c r="X2396" s="183"/>
      <c r="Y2396" s="183"/>
      <c r="Z2396" s="183"/>
      <c r="AA2396" s="183"/>
      <c r="AB2396" s="183"/>
      <c r="AC2396" s="183"/>
    </row>
    <row r="2397" spans="2:29">
      <c r="B2397" s="191"/>
      <c r="D2397" s="183"/>
      <c r="G2397" s="183"/>
      <c r="H2397" s="183"/>
      <c r="J2397" s="907"/>
      <c r="K2397" s="907"/>
      <c r="L2397" s="907"/>
      <c r="M2397" s="907"/>
      <c r="N2397" s="183"/>
      <c r="O2397" s="183"/>
      <c r="P2397" s="183"/>
      <c r="Q2397" s="183"/>
      <c r="R2397" s="183"/>
      <c r="S2397" s="183"/>
      <c r="T2397" s="183"/>
      <c r="U2397" s="183"/>
      <c r="V2397" s="183"/>
      <c r="W2397" s="183"/>
      <c r="X2397" s="183"/>
      <c r="Y2397" s="183"/>
      <c r="Z2397" s="183"/>
      <c r="AA2397" s="183"/>
      <c r="AB2397" s="183"/>
      <c r="AC2397" s="183"/>
    </row>
    <row r="2398" spans="2:29">
      <c r="B2398" s="191"/>
      <c r="D2398" s="183"/>
      <c r="G2398" s="183"/>
      <c r="H2398" s="183"/>
      <c r="J2398" s="907"/>
      <c r="K2398" s="907"/>
      <c r="L2398" s="907"/>
      <c r="M2398" s="907"/>
      <c r="N2398" s="183"/>
      <c r="O2398" s="183"/>
      <c r="P2398" s="183"/>
      <c r="Q2398" s="183"/>
      <c r="R2398" s="183"/>
      <c r="S2398" s="183"/>
      <c r="T2398" s="183"/>
      <c r="U2398" s="183"/>
      <c r="V2398" s="183"/>
      <c r="W2398" s="183"/>
      <c r="X2398" s="183"/>
      <c r="Y2398" s="183"/>
      <c r="Z2398" s="183"/>
      <c r="AA2398" s="183"/>
      <c r="AB2398" s="183"/>
      <c r="AC2398" s="183"/>
    </row>
    <row r="2399" spans="2:29">
      <c r="B2399" s="191"/>
      <c r="D2399" s="183"/>
      <c r="G2399" s="183"/>
      <c r="H2399" s="183"/>
      <c r="J2399" s="907"/>
      <c r="K2399" s="907"/>
      <c r="L2399" s="907"/>
      <c r="M2399" s="907"/>
      <c r="N2399" s="183"/>
      <c r="O2399" s="183"/>
      <c r="P2399" s="183"/>
      <c r="Q2399" s="183"/>
      <c r="R2399" s="183"/>
      <c r="S2399" s="183"/>
      <c r="T2399" s="183"/>
      <c r="U2399" s="183"/>
      <c r="V2399" s="183"/>
      <c r="W2399" s="183"/>
      <c r="X2399" s="183"/>
      <c r="Y2399" s="183"/>
      <c r="Z2399" s="183"/>
      <c r="AA2399" s="183"/>
      <c r="AB2399" s="183"/>
      <c r="AC2399" s="183"/>
    </row>
    <row r="2400" spans="2:29">
      <c r="B2400" s="191"/>
      <c r="D2400" s="183"/>
      <c r="G2400" s="183"/>
      <c r="H2400" s="183"/>
      <c r="J2400" s="907"/>
      <c r="K2400" s="907"/>
      <c r="L2400" s="907"/>
      <c r="M2400" s="907"/>
      <c r="N2400" s="183"/>
      <c r="O2400" s="183"/>
      <c r="P2400" s="183"/>
      <c r="Q2400" s="183"/>
      <c r="R2400" s="183"/>
      <c r="S2400" s="183"/>
      <c r="T2400" s="183"/>
      <c r="U2400" s="183"/>
      <c r="V2400" s="183"/>
      <c r="W2400" s="183"/>
      <c r="X2400" s="183"/>
      <c r="Y2400" s="183"/>
      <c r="Z2400" s="183"/>
      <c r="AA2400" s="183"/>
      <c r="AB2400" s="183"/>
      <c r="AC2400" s="183"/>
    </row>
    <row r="2401" spans="2:29">
      <c r="B2401" s="191"/>
      <c r="D2401" s="183"/>
      <c r="G2401" s="183"/>
      <c r="H2401" s="183"/>
      <c r="J2401" s="907"/>
      <c r="K2401" s="907"/>
      <c r="L2401" s="907"/>
      <c r="M2401" s="907"/>
      <c r="N2401" s="183"/>
      <c r="O2401" s="183"/>
      <c r="P2401" s="183"/>
      <c r="Q2401" s="183"/>
      <c r="R2401" s="183"/>
      <c r="S2401" s="183"/>
      <c r="T2401" s="183"/>
      <c r="U2401" s="183"/>
      <c r="V2401" s="183"/>
      <c r="W2401" s="183"/>
      <c r="X2401" s="183"/>
      <c r="Y2401" s="183"/>
      <c r="Z2401" s="183"/>
      <c r="AA2401" s="183"/>
      <c r="AB2401" s="183"/>
      <c r="AC2401" s="183"/>
    </row>
    <row r="2402" spans="2:29">
      <c r="B2402" s="191"/>
      <c r="D2402" s="183"/>
      <c r="G2402" s="183"/>
      <c r="H2402" s="183"/>
      <c r="J2402" s="907"/>
      <c r="K2402" s="907"/>
      <c r="L2402" s="907"/>
      <c r="M2402" s="907"/>
      <c r="N2402" s="183"/>
      <c r="O2402" s="183"/>
      <c r="P2402" s="183"/>
      <c r="Q2402" s="183"/>
      <c r="R2402" s="183"/>
      <c r="S2402" s="183"/>
      <c r="T2402" s="183"/>
      <c r="U2402" s="183"/>
      <c r="V2402" s="183"/>
      <c r="W2402" s="183"/>
      <c r="X2402" s="183"/>
      <c r="Y2402" s="183"/>
      <c r="Z2402" s="183"/>
      <c r="AA2402" s="183"/>
      <c r="AB2402" s="183"/>
      <c r="AC2402" s="183"/>
    </row>
    <row r="2403" spans="2:29">
      <c r="B2403" s="191"/>
      <c r="D2403" s="183"/>
      <c r="G2403" s="183"/>
      <c r="H2403" s="183"/>
      <c r="J2403" s="907"/>
      <c r="K2403" s="907"/>
      <c r="L2403" s="907"/>
      <c r="M2403" s="907"/>
      <c r="N2403" s="183"/>
      <c r="O2403" s="183"/>
      <c r="P2403" s="183"/>
      <c r="Q2403" s="183"/>
      <c r="R2403" s="183"/>
      <c r="S2403" s="183"/>
      <c r="T2403" s="183"/>
      <c r="U2403" s="183"/>
      <c r="V2403" s="183"/>
      <c r="W2403" s="183"/>
      <c r="X2403" s="183"/>
      <c r="Y2403" s="183"/>
      <c r="Z2403" s="183"/>
      <c r="AA2403" s="183"/>
      <c r="AB2403" s="183"/>
      <c r="AC2403" s="183"/>
    </row>
    <row r="2404" spans="2:29">
      <c r="B2404" s="191"/>
      <c r="D2404" s="183"/>
      <c r="G2404" s="183"/>
      <c r="H2404" s="183"/>
      <c r="J2404" s="907"/>
      <c r="K2404" s="907"/>
      <c r="L2404" s="907"/>
      <c r="M2404" s="907"/>
      <c r="N2404" s="183"/>
      <c r="O2404" s="183"/>
      <c r="P2404" s="183"/>
      <c r="Q2404" s="183"/>
      <c r="R2404" s="183"/>
      <c r="S2404" s="183"/>
      <c r="T2404" s="183"/>
      <c r="U2404" s="183"/>
      <c r="V2404" s="183"/>
      <c r="W2404" s="183"/>
      <c r="X2404" s="183"/>
      <c r="Y2404" s="183"/>
      <c r="Z2404" s="183"/>
      <c r="AA2404" s="183"/>
      <c r="AB2404" s="183"/>
      <c r="AC2404" s="183"/>
    </row>
    <row r="2405" spans="2:29">
      <c r="B2405" s="191"/>
      <c r="D2405" s="183"/>
      <c r="G2405" s="183"/>
      <c r="H2405" s="183"/>
      <c r="J2405" s="907"/>
      <c r="K2405" s="907"/>
      <c r="L2405" s="907"/>
      <c r="M2405" s="907"/>
      <c r="N2405" s="183"/>
      <c r="O2405" s="183"/>
      <c r="P2405" s="183"/>
      <c r="Q2405" s="183"/>
      <c r="R2405" s="183"/>
      <c r="S2405" s="183"/>
      <c r="T2405" s="183"/>
      <c r="U2405" s="183"/>
      <c r="V2405" s="183"/>
      <c r="W2405" s="183"/>
      <c r="X2405" s="183"/>
      <c r="Y2405" s="183"/>
      <c r="Z2405" s="183"/>
      <c r="AA2405" s="183"/>
      <c r="AB2405" s="183"/>
      <c r="AC2405" s="183"/>
    </row>
    <row r="2406" spans="2:29">
      <c r="B2406" s="191"/>
      <c r="D2406" s="183"/>
      <c r="G2406" s="183"/>
      <c r="H2406" s="183"/>
      <c r="J2406" s="907"/>
      <c r="K2406" s="907"/>
      <c r="L2406" s="907"/>
      <c r="M2406" s="907"/>
      <c r="N2406" s="183"/>
      <c r="O2406" s="183"/>
      <c r="P2406" s="183"/>
      <c r="Q2406" s="183"/>
      <c r="R2406" s="183"/>
      <c r="S2406" s="183"/>
      <c r="T2406" s="183"/>
      <c r="U2406" s="183"/>
      <c r="V2406" s="183"/>
      <c r="W2406" s="183"/>
      <c r="X2406" s="183"/>
      <c r="Y2406" s="183"/>
      <c r="Z2406" s="183"/>
      <c r="AA2406" s="183"/>
      <c r="AB2406" s="183"/>
      <c r="AC2406" s="183"/>
    </row>
    <row r="2407" spans="2:29">
      <c r="B2407" s="191"/>
      <c r="D2407" s="183"/>
      <c r="G2407" s="183"/>
      <c r="H2407" s="183"/>
      <c r="J2407" s="907"/>
      <c r="K2407" s="907"/>
      <c r="L2407" s="907"/>
      <c r="M2407" s="907"/>
      <c r="N2407" s="183"/>
      <c r="O2407" s="183"/>
      <c r="P2407" s="183"/>
      <c r="Q2407" s="183"/>
      <c r="R2407" s="183"/>
      <c r="S2407" s="183"/>
      <c r="T2407" s="183"/>
      <c r="U2407" s="183"/>
      <c r="V2407" s="183"/>
      <c r="W2407" s="183"/>
      <c r="X2407" s="183"/>
      <c r="Y2407" s="183"/>
      <c r="Z2407" s="183"/>
      <c r="AA2407" s="183"/>
      <c r="AB2407" s="183"/>
      <c r="AC2407" s="183"/>
    </row>
    <row r="2408" spans="2:29">
      <c r="B2408" s="191"/>
      <c r="D2408" s="183"/>
      <c r="G2408" s="183"/>
      <c r="H2408" s="183"/>
      <c r="J2408" s="907"/>
      <c r="K2408" s="907"/>
      <c r="L2408" s="907"/>
      <c r="M2408" s="907"/>
      <c r="N2408" s="183"/>
      <c r="O2408" s="183"/>
      <c r="P2408" s="183"/>
      <c r="Q2408" s="183"/>
      <c r="R2408" s="183"/>
      <c r="S2408" s="183"/>
      <c r="T2408" s="183"/>
      <c r="U2408" s="183"/>
      <c r="V2408" s="183"/>
      <c r="W2408" s="183"/>
      <c r="X2408" s="183"/>
      <c r="Y2408" s="183"/>
      <c r="Z2408" s="183"/>
      <c r="AA2408" s="183"/>
      <c r="AB2408" s="183"/>
      <c r="AC2408" s="183"/>
    </row>
    <row r="2409" spans="2:29">
      <c r="B2409" s="191"/>
      <c r="D2409" s="183"/>
      <c r="G2409" s="183"/>
      <c r="H2409" s="183"/>
      <c r="J2409" s="907"/>
      <c r="K2409" s="907"/>
      <c r="L2409" s="907"/>
      <c r="M2409" s="907"/>
      <c r="N2409" s="183"/>
      <c r="O2409" s="183"/>
      <c r="P2409" s="183"/>
      <c r="Q2409" s="183"/>
      <c r="R2409" s="183"/>
      <c r="S2409" s="183"/>
      <c r="T2409" s="183"/>
      <c r="U2409" s="183"/>
      <c r="V2409" s="183"/>
      <c r="W2409" s="183"/>
      <c r="X2409" s="183"/>
      <c r="Y2409" s="183"/>
      <c r="Z2409" s="183"/>
      <c r="AA2409" s="183"/>
      <c r="AB2409" s="183"/>
      <c r="AC2409" s="183"/>
    </row>
    <row r="2410" spans="2:29">
      <c r="B2410" s="191"/>
      <c r="D2410" s="183"/>
      <c r="G2410" s="183"/>
      <c r="H2410" s="183"/>
      <c r="J2410" s="907"/>
      <c r="K2410" s="907"/>
      <c r="L2410" s="907"/>
      <c r="M2410" s="907"/>
      <c r="N2410" s="183"/>
      <c r="O2410" s="183"/>
      <c r="P2410" s="183"/>
      <c r="Q2410" s="183"/>
      <c r="R2410" s="183"/>
      <c r="S2410" s="183"/>
      <c r="T2410" s="183"/>
      <c r="U2410" s="183"/>
      <c r="V2410" s="183"/>
      <c r="W2410" s="183"/>
      <c r="X2410" s="183"/>
      <c r="Y2410" s="183"/>
      <c r="Z2410" s="183"/>
      <c r="AA2410" s="183"/>
      <c r="AB2410" s="183"/>
      <c r="AC2410" s="183"/>
    </row>
    <row r="2411" spans="2:29">
      <c r="B2411" s="191"/>
      <c r="D2411" s="183"/>
      <c r="G2411" s="183"/>
      <c r="H2411" s="183"/>
      <c r="J2411" s="907"/>
      <c r="K2411" s="907"/>
      <c r="L2411" s="907"/>
      <c r="M2411" s="907"/>
      <c r="N2411" s="183"/>
      <c r="O2411" s="183"/>
      <c r="P2411" s="183"/>
      <c r="Q2411" s="183"/>
      <c r="R2411" s="183"/>
      <c r="S2411" s="183"/>
      <c r="T2411" s="183"/>
      <c r="U2411" s="183"/>
      <c r="V2411" s="183"/>
      <c r="W2411" s="183"/>
      <c r="X2411" s="183"/>
      <c r="Y2411" s="183"/>
      <c r="Z2411" s="183"/>
      <c r="AA2411" s="183"/>
      <c r="AB2411" s="183"/>
      <c r="AC2411" s="183"/>
    </row>
    <row r="2412" spans="2:29">
      <c r="B2412" s="191"/>
      <c r="D2412" s="183"/>
      <c r="G2412" s="183"/>
      <c r="H2412" s="183"/>
      <c r="J2412" s="907"/>
      <c r="K2412" s="907"/>
      <c r="L2412" s="907"/>
      <c r="M2412" s="907"/>
      <c r="N2412" s="183"/>
      <c r="O2412" s="183"/>
      <c r="P2412" s="183"/>
      <c r="Q2412" s="183"/>
      <c r="R2412" s="183"/>
      <c r="S2412" s="183"/>
      <c r="T2412" s="183"/>
      <c r="U2412" s="183"/>
      <c r="V2412" s="183"/>
      <c r="W2412" s="183"/>
      <c r="X2412" s="183"/>
      <c r="Y2412" s="183"/>
      <c r="Z2412" s="183"/>
      <c r="AA2412" s="183"/>
      <c r="AB2412" s="183"/>
      <c r="AC2412" s="183"/>
    </row>
    <row r="2413" spans="2:29">
      <c r="B2413" s="191"/>
      <c r="D2413" s="183"/>
      <c r="G2413" s="183"/>
      <c r="H2413" s="183"/>
      <c r="J2413" s="907"/>
      <c r="K2413" s="907"/>
      <c r="L2413" s="907"/>
      <c r="M2413" s="907"/>
      <c r="N2413" s="183"/>
      <c r="O2413" s="183"/>
      <c r="P2413" s="183"/>
      <c r="Q2413" s="183"/>
      <c r="R2413" s="183"/>
      <c r="S2413" s="183"/>
      <c r="T2413" s="183"/>
      <c r="U2413" s="183"/>
      <c r="V2413" s="183"/>
      <c r="W2413" s="183"/>
      <c r="X2413" s="183"/>
      <c r="Y2413" s="183"/>
      <c r="Z2413" s="183"/>
      <c r="AA2413" s="183"/>
      <c r="AB2413" s="183"/>
      <c r="AC2413" s="183"/>
    </row>
    <row r="2414" spans="2:29">
      <c r="B2414" s="191"/>
      <c r="D2414" s="183"/>
      <c r="G2414" s="183"/>
      <c r="H2414" s="183"/>
      <c r="J2414" s="907"/>
      <c r="K2414" s="907"/>
      <c r="L2414" s="907"/>
      <c r="M2414" s="907"/>
      <c r="N2414" s="183"/>
      <c r="O2414" s="183"/>
      <c r="P2414" s="183"/>
      <c r="Q2414" s="183"/>
      <c r="R2414" s="183"/>
      <c r="S2414" s="183"/>
      <c r="T2414" s="183"/>
      <c r="U2414" s="183"/>
      <c r="V2414" s="183"/>
      <c r="W2414" s="183"/>
      <c r="X2414" s="183"/>
      <c r="Y2414" s="183"/>
      <c r="Z2414" s="183"/>
      <c r="AA2414" s="183"/>
      <c r="AB2414" s="183"/>
      <c r="AC2414" s="183"/>
    </row>
    <row r="2415" spans="2:29">
      <c r="B2415" s="191"/>
      <c r="D2415" s="183"/>
      <c r="G2415" s="183"/>
      <c r="H2415" s="183"/>
      <c r="J2415" s="907"/>
      <c r="K2415" s="907"/>
      <c r="L2415" s="907"/>
      <c r="M2415" s="907"/>
      <c r="N2415" s="183"/>
      <c r="O2415" s="183"/>
      <c r="P2415" s="183"/>
      <c r="Q2415" s="183"/>
      <c r="R2415" s="183"/>
      <c r="S2415" s="183"/>
      <c r="T2415" s="183"/>
      <c r="U2415" s="183"/>
      <c r="V2415" s="183"/>
      <c r="W2415" s="183"/>
      <c r="X2415" s="183"/>
      <c r="Y2415" s="183"/>
      <c r="Z2415" s="183"/>
      <c r="AA2415" s="183"/>
      <c r="AB2415" s="183"/>
      <c r="AC2415" s="183"/>
    </row>
    <row r="2416" spans="2:29">
      <c r="B2416" s="191"/>
      <c r="D2416" s="183"/>
      <c r="G2416" s="183"/>
      <c r="H2416" s="183"/>
      <c r="J2416" s="907"/>
      <c r="K2416" s="907"/>
      <c r="L2416" s="907"/>
      <c r="M2416" s="907"/>
      <c r="N2416" s="183"/>
      <c r="O2416" s="183"/>
      <c r="P2416" s="183"/>
      <c r="Q2416" s="183"/>
      <c r="R2416" s="183"/>
      <c r="S2416" s="183"/>
      <c r="T2416" s="183"/>
      <c r="U2416" s="183"/>
      <c r="V2416" s="183"/>
      <c r="W2416" s="183"/>
      <c r="X2416" s="183"/>
      <c r="Y2416" s="183"/>
      <c r="Z2416" s="183"/>
      <c r="AA2416" s="183"/>
      <c r="AB2416" s="183"/>
      <c r="AC2416" s="183"/>
    </row>
    <row r="2417" spans="2:29">
      <c r="B2417" s="191"/>
      <c r="D2417" s="183"/>
      <c r="G2417" s="183"/>
      <c r="H2417" s="183"/>
      <c r="J2417" s="907"/>
      <c r="K2417" s="907"/>
      <c r="L2417" s="907"/>
      <c r="M2417" s="907"/>
      <c r="N2417" s="183"/>
      <c r="O2417" s="183"/>
      <c r="P2417" s="183"/>
      <c r="Q2417" s="183"/>
      <c r="R2417" s="183"/>
      <c r="S2417" s="183"/>
      <c r="T2417" s="183"/>
      <c r="U2417" s="183"/>
      <c r="V2417" s="183"/>
      <c r="W2417" s="183"/>
      <c r="X2417" s="183"/>
      <c r="Y2417" s="183"/>
      <c r="Z2417" s="183"/>
      <c r="AA2417" s="183"/>
      <c r="AB2417" s="183"/>
      <c r="AC2417" s="183"/>
    </row>
    <row r="2418" spans="2:29">
      <c r="B2418" s="191"/>
      <c r="D2418" s="183"/>
      <c r="G2418" s="183"/>
      <c r="H2418" s="183"/>
      <c r="J2418" s="907"/>
      <c r="K2418" s="907"/>
      <c r="L2418" s="907"/>
      <c r="M2418" s="907"/>
      <c r="N2418" s="183"/>
      <c r="O2418" s="183"/>
      <c r="P2418" s="183"/>
      <c r="Q2418" s="183"/>
      <c r="R2418" s="183"/>
      <c r="S2418" s="183"/>
      <c r="T2418" s="183"/>
      <c r="U2418" s="183"/>
      <c r="V2418" s="183"/>
      <c r="W2418" s="183"/>
      <c r="X2418" s="183"/>
      <c r="Y2418" s="183"/>
      <c r="Z2418" s="183"/>
      <c r="AA2418" s="183"/>
      <c r="AB2418" s="183"/>
      <c r="AC2418" s="183"/>
    </row>
    <row r="2419" spans="2:29">
      <c r="B2419" s="191"/>
      <c r="D2419" s="183"/>
      <c r="G2419" s="183"/>
      <c r="H2419" s="183"/>
      <c r="J2419" s="907"/>
      <c r="K2419" s="907"/>
      <c r="L2419" s="907"/>
      <c r="M2419" s="907"/>
      <c r="N2419" s="183"/>
      <c r="O2419" s="183"/>
      <c r="P2419" s="183"/>
      <c r="Q2419" s="183"/>
      <c r="R2419" s="183"/>
      <c r="S2419" s="183"/>
      <c r="T2419" s="183"/>
      <c r="U2419" s="183"/>
      <c r="V2419" s="183"/>
      <c r="W2419" s="183"/>
      <c r="X2419" s="183"/>
      <c r="Y2419" s="183"/>
      <c r="Z2419" s="183"/>
      <c r="AA2419" s="183"/>
      <c r="AB2419" s="183"/>
      <c r="AC2419" s="183"/>
    </row>
    <row r="2420" spans="2:29">
      <c r="B2420" s="191"/>
      <c r="D2420" s="183"/>
      <c r="G2420" s="183"/>
      <c r="H2420" s="183"/>
      <c r="J2420" s="907"/>
      <c r="K2420" s="907"/>
      <c r="L2420" s="907"/>
      <c r="M2420" s="907"/>
      <c r="N2420" s="183"/>
      <c r="O2420" s="183"/>
      <c r="P2420" s="183"/>
      <c r="Q2420" s="183"/>
      <c r="R2420" s="183"/>
      <c r="S2420" s="183"/>
      <c r="T2420" s="183"/>
      <c r="U2420" s="183"/>
      <c r="V2420" s="183"/>
      <c r="W2420" s="183"/>
      <c r="X2420" s="183"/>
      <c r="Y2420" s="183"/>
      <c r="Z2420" s="183"/>
      <c r="AA2420" s="183"/>
      <c r="AB2420" s="183"/>
      <c r="AC2420" s="183"/>
    </row>
    <row r="2421" spans="2:29">
      <c r="B2421" s="191"/>
      <c r="D2421" s="183"/>
      <c r="G2421" s="183"/>
      <c r="H2421" s="183"/>
      <c r="J2421" s="907"/>
      <c r="K2421" s="907"/>
      <c r="L2421" s="907"/>
      <c r="M2421" s="907"/>
      <c r="N2421" s="183"/>
      <c r="O2421" s="183"/>
      <c r="P2421" s="183"/>
      <c r="Q2421" s="183"/>
      <c r="R2421" s="183"/>
      <c r="S2421" s="183"/>
      <c r="T2421" s="183"/>
      <c r="U2421" s="183"/>
      <c r="V2421" s="183"/>
      <c r="W2421" s="183"/>
      <c r="X2421" s="183"/>
      <c r="Y2421" s="183"/>
      <c r="Z2421" s="183"/>
      <c r="AA2421" s="183"/>
      <c r="AB2421" s="183"/>
      <c r="AC2421" s="183"/>
    </row>
    <row r="2422" spans="2:29">
      <c r="B2422" s="191"/>
      <c r="D2422" s="183"/>
      <c r="G2422" s="183"/>
      <c r="H2422" s="183"/>
      <c r="J2422" s="907"/>
      <c r="K2422" s="907"/>
      <c r="L2422" s="907"/>
      <c r="M2422" s="907"/>
      <c r="N2422" s="183"/>
      <c r="O2422" s="183"/>
      <c r="P2422" s="183"/>
      <c r="Q2422" s="183"/>
      <c r="R2422" s="183"/>
      <c r="S2422" s="183"/>
      <c r="T2422" s="183"/>
      <c r="U2422" s="183"/>
      <c r="V2422" s="183"/>
      <c r="W2422" s="183"/>
      <c r="X2422" s="183"/>
      <c r="Y2422" s="183"/>
      <c r="Z2422" s="183"/>
      <c r="AA2422" s="183"/>
      <c r="AB2422" s="183"/>
      <c r="AC2422" s="183"/>
    </row>
    <row r="2423" spans="2:29">
      <c r="B2423" s="191"/>
      <c r="D2423" s="183"/>
      <c r="G2423" s="183"/>
      <c r="H2423" s="183"/>
      <c r="J2423" s="907"/>
      <c r="K2423" s="907"/>
      <c r="L2423" s="907"/>
      <c r="M2423" s="907"/>
      <c r="N2423" s="183"/>
      <c r="O2423" s="183"/>
      <c r="P2423" s="183"/>
      <c r="Q2423" s="183"/>
      <c r="R2423" s="183"/>
      <c r="S2423" s="183"/>
      <c r="T2423" s="183"/>
      <c r="U2423" s="183"/>
      <c r="V2423" s="183"/>
      <c r="W2423" s="183"/>
      <c r="X2423" s="183"/>
      <c r="Y2423" s="183"/>
      <c r="Z2423" s="183"/>
      <c r="AA2423" s="183"/>
      <c r="AB2423" s="183"/>
      <c r="AC2423" s="183"/>
    </row>
    <row r="2424" spans="2:29">
      <c r="B2424" s="191"/>
      <c r="D2424" s="183"/>
      <c r="G2424" s="183"/>
      <c r="H2424" s="183"/>
      <c r="J2424" s="907"/>
      <c r="K2424" s="907"/>
      <c r="L2424" s="907"/>
      <c r="M2424" s="907"/>
      <c r="N2424" s="183"/>
      <c r="O2424" s="183"/>
      <c r="P2424" s="183"/>
      <c r="Q2424" s="183"/>
      <c r="R2424" s="183"/>
      <c r="S2424" s="183"/>
      <c r="T2424" s="183"/>
      <c r="U2424" s="183"/>
      <c r="V2424" s="183"/>
      <c r="W2424" s="183"/>
      <c r="X2424" s="183"/>
      <c r="Y2424" s="183"/>
      <c r="Z2424" s="183"/>
      <c r="AA2424" s="183"/>
      <c r="AB2424" s="183"/>
      <c r="AC2424" s="183"/>
    </row>
    <row r="2425" spans="2:29">
      <c r="B2425" s="191"/>
      <c r="D2425" s="183"/>
      <c r="G2425" s="183"/>
      <c r="H2425" s="183"/>
      <c r="J2425" s="907"/>
      <c r="K2425" s="907"/>
      <c r="L2425" s="907"/>
      <c r="M2425" s="907"/>
      <c r="N2425" s="183"/>
      <c r="O2425" s="183"/>
      <c r="P2425" s="183"/>
      <c r="Q2425" s="183"/>
      <c r="R2425" s="183"/>
      <c r="S2425" s="183"/>
      <c r="T2425" s="183"/>
      <c r="U2425" s="183"/>
      <c r="V2425" s="183"/>
      <c r="W2425" s="183"/>
      <c r="X2425" s="183"/>
      <c r="Y2425" s="183"/>
      <c r="Z2425" s="183"/>
      <c r="AA2425" s="183"/>
      <c r="AB2425" s="183"/>
      <c r="AC2425" s="183"/>
    </row>
    <row r="2426" spans="2:29">
      <c r="B2426" s="191"/>
      <c r="D2426" s="183"/>
      <c r="G2426" s="183"/>
      <c r="H2426" s="183"/>
      <c r="J2426" s="907"/>
      <c r="K2426" s="907"/>
      <c r="L2426" s="907"/>
      <c r="M2426" s="907"/>
      <c r="N2426" s="183"/>
      <c r="O2426" s="183"/>
      <c r="P2426" s="183"/>
      <c r="Q2426" s="183"/>
      <c r="R2426" s="183"/>
      <c r="S2426" s="183"/>
      <c r="T2426" s="183"/>
      <c r="U2426" s="183"/>
      <c r="V2426" s="183"/>
      <c r="W2426" s="183"/>
      <c r="X2426" s="183"/>
      <c r="Y2426" s="183"/>
      <c r="Z2426" s="183"/>
      <c r="AA2426" s="183"/>
      <c r="AB2426" s="183"/>
      <c r="AC2426" s="183"/>
    </row>
    <row r="2427" spans="2:29">
      <c r="B2427" s="191"/>
      <c r="D2427" s="183"/>
      <c r="G2427" s="183"/>
      <c r="H2427" s="183"/>
      <c r="J2427" s="907"/>
      <c r="K2427" s="907"/>
      <c r="L2427" s="907"/>
      <c r="M2427" s="907"/>
      <c r="N2427" s="183"/>
      <c r="O2427" s="183"/>
      <c r="P2427" s="183"/>
      <c r="Q2427" s="183"/>
      <c r="R2427" s="183"/>
      <c r="S2427" s="183"/>
      <c r="T2427" s="183"/>
      <c r="U2427" s="183"/>
      <c r="V2427" s="183"/>
      <c r="W2427" s="183"/>
      <c r="X2427" s="183"/>
      <c r="Y2427" s="183"/>
      <c r="Z2427" s="183"/>
      <c r="AA2427" s="183"/>
      <c r="AB2427" s="183"/>
      <c r="AC2427" s="183"/>
    </row>
    <row r="2428" spans="2:29">
      <c r="B2428" s="191"/>
      <c r="D2428" s="183"/>
      <c r="G2428" s="183"/>
      <c r="H2428" s="183"/>
      <c r="J2428" s="907"/>
      <c r="K2428" s="907"/>
      <c r="L2428" s="907"/>
      <c r="M2428" s="907"/>
      <c r="N2428" s="183"/>
      <c r="O2428" s="183"/>
      <c r="P2428" s="183"/>
      <c r="Q2428" s="183"/>
      <c r="R2428" s="183"/>
      <c r="S2428" s="183"/>
      <c r="T2428" s="183"/>
      <c r="U2428" s="183"/>
      <c r="V2428" s="183"/>
      <c r="W2428" s="183"/>
      <c r="X2428" s="183"/>
      <c r="Y2428" s="183"/>
      <c r="Z2428" s="183"/>
      <c r="AA2428" s="183"/>
      <c r="AB2428" s="183"/>
      <c r="AC2428" s="183"/>
    </row>
    <row r="2429" spans="2:29">
      <c r="B2429" s="191"/>
      <c r="D2429" s="183"/>
      <c r="G2429" s="183"/>
      <c r="H2429" s="183"/>
      <c r="J2429" s="907"/>
      <c r="K2429" s="907"/>
      <c r="L2429" s="907"/>
      <c r="M2429" s="907"/>
      <c r="N2429" s="183"/>
      <c r="O2429" s="183"/>
      <c r="P2429" s="183"/>
      <c r="Q2429" s="183"/>
      <c r="R2429" s="183"/>
      <c r="S2429" s="183"/>
      <c r="T2429" s="183"/>
      <c r="U2429" s="183"/>
      <c r="V2429" s="183"/>
      <c r="W2429" s="183"/>
      <c r="X2429" s="183"/>
      <c r="Y2429" s="183"/>
      <c r="Z2429" s="183"/>
      <c r="AA2429" s="183"/>
      <c r="AB2429" s="183"/>
      <c r="AC2429" s="183"/>
    </row>
    <row r="2430" spans="2:29">
      <c r="B2430" s="191"/>
      <c r="D2430" s="183"/>
      <c r="G2430" s="183"/>
      <c r="H2430" s="183"/>
      <c r="J2430" s="907"/>
      <c r="K2430" s="907"/>
      <c r="L2430" s="907"/>
      <c r="M2430" s="907"/>
      <c r="N2430" s="183"/>
      <c r="O2430" s="183"/>
      <c r="P2430" s="183"/>
      <c r="Q2430" s="183"/>
      <c r="R2430" s="183"/>
      <c r="S2430" s="183"/>
      <c r="T2430" s="183"/>
      <c r="U2430" s="183"/>
      <c r="V2430" s="183"/>
      <c r="W2430" s="183"/>
      <c r="X2430" s="183"/>
      <c r="Y2430" s="183"/>
      <c r="Z2430" s="183"/>
      <c r="AA2430" s="183"/>
      <c r="AB2430" s="183"/>
      <c r="AC2430" s="183"/>
    </row>
    <row r="2431" spans="2:29">
      <c r="B2431" s="191"/>
      <c r="D2431" s="183"/>
      <c r="G2431" s="183"/>
      <c r="H2431" s="183"/>
      <c r="J2431" s="907"/>
      <c r="K2431" s="907"/>
      <c r="L2431" s="907"/>
      <c r="M2431" s="907"/>
      <c r="N2431" s="183"/>
      <c r="O2431" s="183"/>
      <c r="P2431" s="183"/>
      <c r="Q2431" s="183"/>
      <c r="R2431" s="183"/>
      <c r="S2431" s="183"/>
      <c r="T2431" s="183"/>
      <c r="U2431" s="183"/>
      <c r="V2431" s="183"/>
      <c r="W2431" s="183"/>
      <c r="X2431" s="183"/>
      <c r="Y2431" s="183"/>
      <c r="Z2431" s="183"/>
      <c r="AA2431" s="183"/>
      <c r="AB2431" s="183"/>
      <c r="AC2431" s="183"/>
    </row>
    <row r="2432" spans="2:29">
      <c r="B2432" s="191"/>
      <c r="D2432" s="183"/>
      <c r="G2432" s="183"/>
      <c r="H2432" s="183"/>
      <c r="J2432" s="907"/>
      <c r="K2432" s="907"/>
      <c r="L2432" s="907"/>
      <c r="M2432" s="907"/>
      <c r="N2432" s="183"/>
      <c r="O2432" s="183"/>
      <c r="P2432" s="183"/>
      <c r="Q2432" s="183"/>
      <c r="R2432" s="183"/>
      <c r="S2432" s="183"/>
      <c r="T2432" s="183"/>
      <c r="U2432" s="183"/>
      <c r="V2432" s="183"/>
      <c r="W2432" s="183"/>
      <c r="X2432" s="183"/>
      <c r="Y2432" s="183"/>
      <c r="Z2432" s="183"/>
      <c r="AA2432" s="183"/>
      <c r="AB2432" s="183"/>
      <c r="AC2432" s="183"/>
    </row>
    <row r="2433" spans="2:29">
      <c r="B2433" s="191"/>
      <c r="D2433" s="183"/>
      <c r="G2433" s="183"/>
      <c r="H2433" s="183"/>
      <c r="J2433" s="907"/>
      <c r="K2433" s="907"/>
      <c r="L2433" s="907"/>
      <c r="M2433" s="907"/>
      <c r="N2433" s="183"/>
      <c r="O2433" s="183"/>
      <c r="P2433" s="183"/>
      <c r="Q2433" s="183"/>
      <c r="R2433" s="183"/>
      <c r="S2433" s="183"/>
      <c r="T2433" s="183"/>
      <c r="U2433" s="183"/>
      <c r="V2433" s="183"/>
      <c r="W2433" s="183"/>
      <c r="X2433" s="183"/>
      <c r="Y2433" s="183"/>
      <c r="Z2433" s="183"/>
      <c r="AA2433" s="183"/>
      <c r="AB2433" s="183"/>
      <c r="AC2433" s="183"/>
    </row>
    <row r="2434" spans="2:29">
      <c r="B2434" s="191"/>
      <c r="D2434" s="183"/>
      <c r="G2434" s="183"/>
      <c r="H2434" s="183"/>
      <c r="J2434" s="907"/>
      <c r="K2434" s="907"/>
      <c r="L2434" s="907"/>
      <c r="M2434" s="907"/>
      <c r="N2434" s="183"/>
      <c r="O2434" s="183"/>
      <c r="P2434" s="183"/>
      <c r="Q2434" s="183"/>
      <c r="R2434" s="183"/>
      <c r="S2434" s="183"/>
      <c r="T2434" s="183"/>
      <c r="U2434" s="183"/>
      <c r="V2434" s="183"/>
      <c r="W2434" s="183"/>
      <c r="X2434" s="183"/>
      <c r="Y2434" s="183"/>
      <c r="Z2434" s="183"/>
      <c r="AA2434" s="183"/>
      <c r="AB2434" s="183"/>
      <c r="AC2434" s="183"/>
    </row>
    <row r="2435" spans="2:29">
      <c r="B2435" s="191"/>
      <c r="D2435" s="183"/>
      <c r="G2435" s="183"/>
      <c r="H2435" s="183"/>
      <c r="J2435" s="907"/>
      <c r="K2435" s="907"/>
      <c r="L2435" s="907"/>
      <c r="M2435" s="907"/>
      <c r="N2435" s="183"/>
      <c r="O2435" s="183"/>
      <c r="P2435" s="183"/>
      <c r="Q2435" s="183"/>
      <c r="R2435" s="183"/>
      <c r="S2435" s="183"/>
      <c r="T2435" s="183"/>
      <c r="U2435" s="183"/>
      <c r="V2435" s="183"/>
      <c r="W2435" s="183"/>
      <c r="X2435" s="183"/>
      <c r="Y2435" s="183"/>
      <c r="Z2435" s="183"/>
      <c r="AA2435" s="183"/>
      <c r="AB2435" s="183"/>
      <c r="AC2435" s="183"/>
    </row>
    <row r="2436" spans="2:29">
      <c r="B2436" s="191"/>
      <c r="D2436" s="183"/>
      <c r="G2436" s="183"/>
      <c r="H2436" s="183"/>
      <c r="J2436" s="907"/>
      <c r="K2436" s="907"/>
      <c r="L2436" s="907"/>
      <c r="M2436" s="907"/>
      <c r="N2436" s="183"/>
      <c r="O2436" s="183"/>
      <c r="P2436" s="183"/>
      <c r="Q2436" s="183"/>
      <c r="R2436" s="183"/>
      <c r="S2436" s="183"/>
      <c r="T2436" s="183"/>
      <c r="U2436" s="183"/>
      <c r="V2436" s="183"/>
      <c r="W2436" s="183"/>
      <c r="X2436" s="183"/>
      <c r="Y2436" s="183"/>
      <c r="Z2436" s="183"/>
      <c r="AA2436" s="183"/>
      <c r="AB2436" s="183"/>
      <c r="AC2436" s="183"/>
    </row>
    <row r="2437" spans="2:29">
      <c r="B2437" s="191"/>
      <c r="D2437" s="183"/>
      <c r="G2437" s="183"/>
      <c r="H2437" s="183"/>
      <c r="J2437" s="907"/>
      <c r="K2437" s="907"/>
      <c r="L2437" s="907"/>
      <c r="M2437" s="907"/>
      <c r="N2437" s="183"/>
      <c r="O2437" s="183"/>
      <c r="P2437" s="183"/>
      <c r="Q2437" s="183"/>
      <c r="R2437" s="183"/>
      <c r="S2437" s="183"/>
      <c r="T2437" s="183"/>
      <c r="U2437" s="183"/>
      <c r="V2437" s="183"/>
      <c r="W2437" s="183"/>
      <c r="X2437" s="183"/>
      <c r="Y2437" s="183"/>
      <c r="Z2437" s="183"/>
      <c r="AA2437" s="183"/>
      <c r="AB2437" s="183"/>
      <c r="AC2437" s="183"/>
    </row>
    <row r="2438" spans="2:29">
      <c r="B2438" s="191"/>
      <c r="D2438" s="183"/>
      <c r="G2438" s="183"/>
      <c r="H2438" s="183"/>
      <c r="J2438" s="907"/>
      <c r="K2438" s="907"/>
      <c r="L2438" s="907"/>
      <c r="M2438" s="907"/>
      <c r="N2438" s="183"/>
      <c r="O2438" s="183"/>
      <c r="P2438" s="183"/>
      <c r="Q2438" s="183"/>
      <c r="R2438" s="183"/>
      <c r="S2438" s="183"/>
      <c r="T2438" s="183"/>
      <c r="U2438" s="183"/>
      <c r="V2438" s="183"/>
      <c r="W2438" s="183"/>
      <c r="X2438" s="183"/>
      <c r="Y2438" s="183"/>
      <c r="Z2438" s="183"/>
      <c r="AA2438" s="183"/>
      <c r="AB2438" s="183"/>
      <c r="AC2438" s="183"/>
    </row>
    <row r="2439" spans="2:29">
      <c r="B2439" s="191"/>
      <c r="D2439" s="183"/>
      <c r="G2439" s="183"/>
      <c r="H2439" s="183"/>
      <c r="J2439" s="907"/>
      <c r="K2439" s="907"/>
      <c r="L2439" s="907"/>
      <c r="M2439" s="907"/>
      <c r="N2439" s="183"/>
      <c r="O2439" s="183"/>
      <c r="P2439" s="183"/>
      <c r="Q2439" s="183"/>
      <c r="R2439" s="183"/>
      <c r="S2439" s="183"/>
      <c r="T2439" s="183"/>
      <c r="U2439" s="183"/>
      <c r="V2439" s="183"/>
      <c r="W2439" s="183"/>
      <c r="X2439" s="183"/>
      <c r="Y2439" s="183"/>
      <c r="Z2439" s="183"/>
      <c r="AA2439" s="183"/>
      <c r="AB2439" s="183"/>
      <c r="AC2439" s="183"/>
    </row>
    <row r="2440" spans="2:29">
      <c r="B2440" s="191"/>
      <c r="D2440" s="183"/>
      <c r="G2440" s="183"/>
      <c r="H2440" s="183"/>
      <c r="J2440" s="907"/>
      <c r="K2440" s="907"/>
      <c r="L2440" s="907"/>
      <c r="M2440" s="907"/>
      <c r="N2440" s="183"/>
      <c r="O2440" s="183"/>
      <c r="P2440" s="183"/>
      <c r="Q2440" s="183"/>
      <c r="R2440" s="183"/>
      <c r="S2440" s="183"/>
      <c r="T2440" s="183"/>
      <c r="U2440" s="183"/>
      <c r="V2440" s="183"/>
      <c r="W2440" s="183"/>
      <c r="X2440" s="183"/>
      <c r="Y2440" s="183"/>
      <c r="Z2440" s="183"/>
      <c r="AA2440" s="183"/>
      <c r="AB2440" s="183"/>
      <c r="AC2440" s="183"/>
    </row>
    <row r="2441" spans="2:29">
      <c r="B2441" s="191"/>
      <c r="D2441" s="183"/>
      <c r="G2441" s="183"/>
      <c r="H2441" s="183"/>
      <c r="J2441" s="907"/>
      <c r="K2441" s="907"/>
      <c r="L2441" s="907"/>
      <c r="M2441" s="907"/>
      <c r="N2441" s="183"/>
      <c r="O2441" s="183"/>
      <c r="P2441" s="183"/>
      <c r="Q2441" s="183"/>
      <c r="R2441" s="183"/>
      <c r="S2441" s="183"/>
      <c r="T2441" s="183"/>
      <c r="U2441" s="183"/>
      <c r="V2441" s="183"/>
      <c r="W2441" s="183"/>
      <c r="X2441" s="183"/>
      <c r="Y2441" s="183"/>
      <c r="Z2441" s="183"/>
      <c r="AA2441" s="183"/>
      <c r="AB2441" s="183"/>
      <c r="AC2441" s="183"/>
    </row>
    <row r="2442" spans="2:29">
      <c r="B2442" s="191"/>
      <c r="D2442" s="183"/>
      <c r="G2442" s="183"/>
      <c r="H2442" s="183"/>
      <c r="J2442" s="907"/>
      <c r="K2442" s="907"/>
      <c r="L2442" s="907"/>
      <c r="M2442" s="907"/>
      <c r="N2442" s="183"/>
      <c r="O2442" s="183"/>
      <c r="P2442" s="183"/>
      <c r="Q2442" s="183"/>
      <c r="R2442" s="183"/>
      <c r="S2442" s="183"/>
      <c r="T2442" s="183"/>
      <c r="U2442" s="183"/>
      <c r="V2442" s="183"/>
      <c r="W2442" s="183"/>
      <c r="X2442" s="183"/>
      <c r="Y2442" s="183"/>
      <c r="Z2442" s="183"/>
      <c r="AA2442" s="183"/>
      <c r="AB2442" s="183"/>
      <c r="AC2442" s="183"/>
    </row>
    <row r="2443" spans="2:29">
      <c r="B2443" s="191"/>
      <c r="D2443" s="183"/>
      <c r="G2443" s="183"/>
      <c r="H2443" s="183"/>
      <c r="J2443" s="907"/>
      <c r="K2443" s="907"/>
      <c r="L2443" s="907"/>
      <c r="M2443" s="907"/>
      <c r="N2443" s="183"/>
      <c r="O2443" s="183"/>
      <c r="P2443" s="183"/>
      <c r="Q2443" s="183"/>
      <c r="R2443" s="183"/>
      <c r="S2443" s="183"/>
      <c r="T2443" s="183"/>
      <c r="U2443" s="183"/>
      <c r="V2443" s="183"/>
      <c r="W2443" s="183"/>
      <c r="X2443" s="183"/>
      <c r="Y2443" s="183"/>
      <c r="Z2443" s="183"/>
      <c r="AA2443" s="183"/>
      <c r="AB2443" s="183"/>
      <c r="AC2443" s="183"/>
    </row>
    <row r="2444" spans="2:29">
      <c r="B2444" s="191"/>
      <c r="D2444" s="183"/>
      <c r="G2444" s="183"/>
      <c r="H2444" s="183"/>
      <c r="J2444" s="907"/>
      <c r="K2444" s="907"/>
      <c r="L2444" s="907"/>
      <c r="M2444" s="907"/>
      <c r="N2444" s="183"/>
      <c r="O2444" s="183"/>
      <c r="P2444" s="183"/>
      <c r="Q2444" s="183"/>
      <c r="R2444" s="183"/>
      <c r="S2444" s="183"/>
      <c r="T2444" s="183"/>
      <c r="U2444" s="183"/>
      <c r="V2444" s="183"/>
      <c r="W2444" s="183"/>
      <c r="X2444" s="183"/>
      <c r="Y2444" s="183"/>
      <c r="Z2444" s="183"/>
      <c r="AA2444" s="183"/>
      <c r="AB2444" s="183"/>
      <c r="AC2444" s="183"/>
    </row>
    <row r="2445" spans="2:29">
      <c r="B2445" s="191"/>
      <c r="D2445" s="183"/>
      <c r="G2445" s="183"/>
      <c r="H2445" s="183"/>
      <c r="J2445" s="907"/>
      <c r="K2445" s="907"/>
      <c r="L2445" s="907"/>
      <c r="M2445" s="907"/>
      <c r="N2445" s="183"/>
      <c r="O2445" s="183"/>
      <c r="P2445" s="183"/>
      <c r="Q2445" s="183"/>
      <c r="R2445" s="183"/>
      <c r="S2445" s="183"/>
      <c r="T2445" s="183"/>
      <c r="U2445" s="183"/>
      <c r="V2445" s="183"/>
      <c r="W2445" s="183"/>
      <c r="X2445" s="183"/>
      <c r="Y2445" s="183"/>
      <c r="Z2445" s="183"/>
      <c r="AA2445" s="183"/>
      <c r="AB2445" s="183"/>
      <c r="AC2445" s="183"/>
    </row>
    <row r="2446" spans="2:29">
      <c r="B2446" s="191"/>
      <c r="D2446" s="183"/>
      <c r="G2446" s="183"/>
      <c r="H2446" s="183"/>
      <c r="J2446" s="907"/>
      <c r="K2446" s="907"/>
      <c r="L2446" s="907"/>
      <c r="M2446" s="907"/>
      <c r="N2446" s="183"/>
      <c r="O2446" s="183"/>
      <c r="P2446" s="183"/>
      <c r="Q2446" s="183"/>
      <c r="R2446" s="183"/>
      <c r="S2446" s="183"/>
      <c r="T2446" s="183"/>
      <c r="U2446" s="183"/>
      <c r="V2446" s="183"/>
      <c r="W2446" s="183"/>
      <c r="X2446" s="183"/>
      <c r="Y2446" s="183"/>
      <c r="Z2446" s="183"/>
      <c r="AA2446" s="183"/>
      <c r="AB2446" s="183"/>
      <c r="AC2446" s="183"/>
    </row>
    <row r="2447" spans="2:29">
      <c r="B2447" s="191"/>
      <c r="D2447" s="183"/>
      <c r="G2447" s="183"/>
      <c r="H2447" s="183"/>
      <c r="J2447" s="907"/>
      <c r="K2447" s="907"/>
      <c r="L2447" s="907"/>
      <c r="M2447" s="907"/>
      <c r="N2447" s="183"/>
      <c r="O2447" s="183"/>
      <c r="P2447" s="183"/>
      <c r="Q2447" s="183"/>
      <c r="R2447" s="183"/>
      <c r="S2447" s="183"/>
      <c r="T2447" s="183"/>
      <c r="U2447" s="183"/>
      <c r="V2447" s="183"/>
      <c r="W2447" s="183"/>
      <c r="X2447" s="183"/>
      <c r="Y2447" s="183"/>
      <c r="Z2447" s="183"/>
      <c r="AA2447" s="183"/>
      <c r="AB2447" s="183"/>
      <c r="AC2447" s="183"/>
    </row>
    <row r="2448" spans="2:29">
      <c r="B2448" s="191"/>
      <c r="D2448" s="183"/>
      <c r="G2448" s="183"/>
      <c r="H2448" s="183"/>
      <c r="J2448" s="907"/>
      <c r="K2448" s="907"/>
      <c r="L2448" s="907"/>
      <c r="M2448" s="907"/>
      <c r="N2448" s="183"/>
      <c r="O2448" s="183"/>
      <c r="P2448" s="183"/>
      <c r="Q2448" s="183"/>
      <c r="R2448" s="183"/>
      <c r="S2448" s="183"/>
      <c r="T2448" s="183"/>
      <c r="U2448" s="183"/>
      <c r="V2448" s="183"/>
      <c r="W2448" s="183"/>
      <c r="X2448" s="183"/>
      <c r="Y2448" s="183"/>
      <c r="Z2448" s="183"/>
      <c r="AA2448" s="183"/>
      <c r="AB2448" s="183"/>
      <c r="AC2448" s="183"/>
    </row>
    <row r="2449" spans="2:29">
      <c r="B2449" s="191"/>
      <c r="D2449" s="183"/>
      <c r="G2449" s="183"/>
      <c r="H2449" s="183"/>
      <c r="J2449" s="907"/>
      <c r="K2449" s="907"/>
      <c r="L2449" s="907"/>
      <c r="M2449" s="907"/>
      <c r="N2449" s="183"/>
      <c r="O2449" s="183"/>
      <c r="P2449" s="183"/>
      <c r="Q2449" s="183"/>
      <c r="R2449" s="183"/>
      <c r="S2449" s="183"/>
      <c r="T2449" s="183"/>
      <c r="U2449" s="183"/>
      <c r="V2449" s="183"/>
      <c r="W2449" s="183"/>
      <c r="X2449" s="183"/>
      <c r="Y2449" s="183"/>
      <c r="Z2449" s="183"/>
      <c r="AA2449" s="183"/>
      <c r="AB2449" s="183"/>
      <c r="AC2449" s="183"/>
    </row>
    <row r="2450" spans="2:29">
      <c r="B2450" s="191"/>
      <c r="D2450" s="183"/>
      <c r="G2450" s="183"/>
      <c r="H2450" s="183"/>
      <c r="J2450" s="907"/>
      <c r="K2450" s="907"/>
      <c r="L2450" s="907"/>
      <c r="M2450" s="907"/>
      <c r="N2450" s="183"/>
      <c r="O2450" s="183"/>
      <c r="P2450" s="183"/>
      <c r="Q2450" s="183"/>
      <c r="R2450" s="183"/>
      <c r="S2450" s="183"/>
      <c r="T2450" s="183"/>
      <c r="U2450" s="183"/>
      <c r="V2450" s="183"/>
      <c r="W2450" s="183"/>
      <c r="X2450" s="183"/>
      <c r="Y2450" s="183"/>
      <c r="Z2450" s="183"/>
      <c r="AA2450" s="183"/>
      <c r="AB2450" s="183"/>
      <c r="AC2450" s="183"/>
    </row>
    <row r="2451" spans="2:29">
      <c r="B2451" s="191"/>
      <c r="D2451" s="183"/>
      <c r="G2451" s="183"/>
      <c r="H2451" s="183"/>
      <c r="J2451" s="907"/>
      <c r="K2451" s="907"/>
      <c r="L2451" s="907"/>
      <c r="M2451" s="907"/>
      <c r="N2451" s="183"/>
      <c r="O2451" s="183"/>
      <c r="P2451" s="183"/>
      <c r="Q2451" s="183"/>
      <c r="R2451" s="183"/>
      <c r="S2451" s="183"/>
      <c r="T2451" s="183"/>
      <c r="U2451" s="183"/>
      <c r="V2451" s="183"/>
      <c r="W2451" s="183"/>
      <c r="X2451" s="183"/>
      <c r="Y2451" s="183"/>
      <c r="Z2451" s="183"/>
      <c r="AA2451" s="183"/>
      <c r="AB2451" s="183"/>
      <c r="AC2451" s="183"/>
    </row>
    <row r="2452" spans="2:29">
      <c r="B2452" s="191"/>
      <c r="D2452" s="183"/>
      <c r="G2452" s="183"/>
      <c r="H2452" s="183"/>
      <c r="J2452" s="907"/>
      <c r="K2452" s="907"/>
      <c r="L2452" s="907"/>
      <c r="M2452" s="907"/>
      <c r="N2452" s="183"/>
      <c r="O2452" s="183"/>
      <c r="P2452" s="183"/>
      <c r="Q2452" s="183"/>
      <c r="R2452" s="183"/>
      <c r="S2452" s="183"/>
      <c r="T2452" s="183"/>
      <c r="U2452" s="183"/>
      <c r="V2452" s="183"/>
      <c r="W2452" s="183"/>
      <c r="X2452" s="183"/>
      <c r="Y2452" s="183"/>
      <c r="Z2452" s="183"/>
      <c r="AA2452" s="183"/>
      <c r="AB2452" s="183"/>
      <c r="AC2452" s="183"/>
    </row>
    <row r="2453" spans="2:29">
      <c r="B2453" s="191"/>
      <c r="D2453" s="183"/>
      <c r="G2453" s="183"/>
      <c r="H2453" s="183"/>
      <c r="J2453" s="907"/>
      <c r="K2453" s="907"/>
      <c r="L2453" s="907"/>
      <c r="M2453" s="907"/>
      <c r="N2453" s="183"/>
      <c r="O2453" s="183"/>
      <c r="P2453" s="183"/>
      <c r="Q2453" s="183"/>
      <c r="R2453" s="183"/>
      <c r="S2453" s="183"/>
      <c r="T2453" s="183"/>
      <c r="U2453" s="183"/>
      <c r="V2453" s="183"/>
      <c r="W2453" s="183"/>
      <c r="X2453" s="183"/>
      <c r="Y2453" s="183"/>
      <c r="Z2453" s="183"/>
      <c r="AA2453" s="183"/>
      <c r="AB2453" s="183"/>
      <c r="AC2453" s="183"/>
    </row>
    <row r="2454" spans="2:29">
      <c r="B2454" s="191"/>
      <c r="D2454" s="183"/>
      <c r="G2454" s="183"/>
      <c r="H2454" s="183"/>
      <c r="J2454" s="907"/>
      <c r="K2454" s="907"/>
      <c r="L2454" s="907"/>
      <c r="M2454" s="907"/>
      <c r="N2454" s="183"/>
      <c r="O2454" s="183"/>
      <c r="P2454" s="183"/>
      <c r="Q2454" s="183"/>
      <c r="R2454" s="183"/>
      <c r="S2454" s="183"/>
      <c r="T2454" s="183"/>
      <c r="U2454" s="183"/>
      <c r="V2454" s="183"/>
      <c r="W2454" s="183"/>
      <c r="X2454" s="183"/>
      <c r="Y2454" s="183"/>
      <c r="Z2454" s="183"/>
      <c r="AA2454" s="183"/>
      <c r="AB2454" s="183"/>
      <c r="AC2454" s="183"/>
    </row>
    <row r="2455" spans="2:29">
      <c r="B2455" s="191"/>
      <c r="D2455" s="183"/>
      <c r="G2455" s="183"/>
      <c r="H2455" s="183"/>
      <c r="J2455" s="907"/>
      <c r="K2455" s="907"/>
      <c r="L2455" s="907"/>
      <c r="M2455" s="907"/>
      <c r="N2455" s="183"/>
      <c r="O2455" s="183"/>
      <c r="P2455" s="183"/>
      <c r="Q2455" s="183"/>
      <c r="R2455" s="183"/>
      <c r="S2455" s="183"/>
      <c r="T2455" s="183"/>
      <c r="U2455" s="183"/>
      <c r="V2455" s="183"/>
      <c r="W2455" s="183"/>
      <c r="X2455" s="183"/>
      <c r="Y2455" s="183"/>
      <c r="Z2455" s="183"/>
      <c r="AA2455" s="183"/>
      <c r="AB2455" s="183"/>
      <c r="AC2455" s="183"/>
    </row>
    <row r="2456" spans="2:29">
      <c r="B2456" s="191"/>
      <c r="D2456" s="183"/>
      <c r="G2456" s="183"/>
      <c r="H2456" s="183"/>
      <c r="J2456" s="907"/>
      <c r="K2456" s="907"/>
      <c r="L2456" s="907"/>
      <c r="M2456" s="907"/>
      <c r="N2456" s="183"/>
      <c r="O2456" s="183"/>
      <c r="P2456" s="183"/>
      <c r="Q2456" s="183"/>
      <c r="R2456" s="183"/>
      <c r="S2456" s="183"/>
      <c r="T2456" s="183"/>
      <c r="U2456" s="183"/>
      <c r="V2456" s="183"/>
      <c r="W2456" s="183"/>
      <c r="X2456" s="183"/>
      <c r="Y2456" s="183"/>
      <c r="Z2456" s="183"/>
      <c r="AA2456" s="183"/>
      <c r="AB2456" s="183"/>
      <c r="AC2456" s="183"/>
    </row>
    <row r="2457" spans="2:29">
      <c r="B2457" s="191"/>
      <c r="D2457" s="183"/>
      <c r="G2457" s="183"/>
      <c r="H2457" s="183"/>
      <c r="J2457" s="907"/>
      <c r="K2457" s="907"/>
      <c r="L2457" s="907"/>
      <c r="M2457" s="907"/>
      <c r="N2457" s="183"/>
      <c r="O2457" s="183"/>
      <c r="P2457" s="183"/>
      <c r="Q2457" s="183"/>
      <c r="R2457" s="183"/>
      <c r="S2457" s="183"/>
      <c r="T2457" s="183"/>
      <c r="U2457" s="183"/>
      <c r="V2457" s="183"/>
      <c r="W2457" s="183"/>
      <c r="X2457" s="183"/>
      <c r="Y2457" s="183"/>
      <c r="Z2457" s="183"/>
      <c r="AA2457" s="183"/>
      <c r="AB2457" s="183"/>
      <c r="AC2457" s="183"/>
    </row>
    <row r="2458" spans="2:29">
      <c r="B2458" s="191"/>
      <c r="D2458" s="183"/>
      <c r="G2458" s="183"/>
      <c r="H2458" s="183"/>
      <c r="J2458" s="907"/>
      <c r="K2458" s="907"/>
      <c r="L2458" s="907"/>
      <c r="M2458" s="907"/>
      <c r="N2458" s="183"/>
      <c r="O2458" s="183"/>
      <c r="P2458" s="183"/>
      <c r="Q2458" s="183"/>
      <c r="R2458" s="183"/>
      <c r="S2458" s="183"/>
      <c r="T2458" s="183"/>
      <c r="U2458" s="183"/>
      <c r="V2458" s="183"/>
      <c r="W2458" s="183"/>
      <c r="X2458" s="183"/>
      <c r="Y2458" s="183"/>
      <c r="Z2458" s="183"/>
      <c r="AA2458" s="183"/>
      <c r="AB2458" s="183"/>
      <c r="AC2458" s="183"/>
    </row>
    <row r="2459" spans="2:29">
      <c r="B2459" s="191"/>
      <c r="D2459" s="183"/>
      <c r="G2459" s="183"/>
      <c r="H2459" s="183"/>
      <c r="J2459" s="907"/>
      <c r="K2459" s="907"/>
      <c r="L2459" s="907"/>
      <c r="M2459" s="907"/>
      <c r="N2459" s="183"/>
      <c r="O2459" s="183"/>
      <c r="P2459" s="183"/>
      <c r="Q2459" s="183"/>
      <c r="R2459" s="183"/>
      <c r="S2459" s="183"/>
      <c r="T2459" s="183"/>
      <c r="U2459" s="183"/>
      <c r="V2459" s="183"/>
      <c r="W2459" s="183"/>
      <c r="X2459" s="183"/>
      <c r="Y2459" s="183"/>
      <c r="Z2459" s="183"/>
      <c r="AA2459" s="183"/>
      <c r="AB2459" s="183"/>
      <c r="AC2459" s="183"/>
    </row>
    <row r="2460" spans="2:29">
      <c r="B2460" s="191"/>
      <c r="D2460" s="183"/>
      <c r="G2460" s="183"/>
      <c r="H2460" s="183"/>
      <c r="J2460" s="907"/>
      <c r="K2460" s="907"/>
      <c r="L2460" s="907"/>
      <c r="M2460" s="907"/>
      <c r="N2460" s="183"/>
      <c r="O2460" s="183"/>
      <c r="P2460" s="183"/>
      <c r="Q2460" s="183"/>
      <c r="R2460" s="183"/>
      <c r="S2460" s="183"/>
      <c r="T2460" s="183"/>
      <c r="U2460" s="183"/>
      <c r="V2460" s="183"/>
      <c r="W2460" s="183"/>
      <c r="X2460" s="183"/>
      <c r="Y2460" s="183"/>
      <c r="Z2460" s="183"/>
      <c r="AA2460" s="183"/>
      <c r="AB2460" s="183"/>
      <c r="AC2460" s="183"/>
    </row>
    <row r="2461" spans="2:29">
      <c r="B2461" s="191"/>
      <c r="D2461" s="183"/>
      <c r="G2461" s="183"/>
      <c r="H2461" s="183"/>
      <c r="J2461" s="907"/>
      <c r="K2461" s="907"/>
      <c r="L2461" s="907"/>
      <c r="M2461" s="907"/>
      <c r="N2461" s="183"/>
      <c r="O2461" s="183"/>
      <c r="P2461" s="183"/>
      <c r="Q2461" s="183"/>
      <c r="R2461" s="183"/>
      <c r="S2461" s="183"/>
      <c r="T2461" s="183"/>
      <c r="U2461" s="183"/>
      <c r="V2461" s="183"/>
      <c r="W2461" s="183"/>
      <c r="X2461" s="183"/>
      <c r="Y2461" s="183"/>
      <c r="Z2461" s="183"/>
      <c r="AA2461" s="183"/>
      <c r="AB2461" s="183"/>
      <c r="AC2461" s="183"/>
    </row>
    <row r="2462" spans="2:29">
      <c r="B2462" s="191"/>
      <c r="D2462" s="183"/>
      <c r="G2462" s="183"/>
      <c r="H2462" s="183"/>
      <c r="J2462" s="907"/>
      <c r="K2462" s="907"/>
      <c r="L2462" s="907"/>
      <c r="M2462" s="907"/>
      <c r="N2462" s="183"/>
      <c r="O2462" s="183"/>
      <c r="P2462" s="183"/>
      <c r="Q2462" s="183"/>
      <c r="R2462" s="183"/>
      <c r="S2462" s="183"/>
      <c r="T2462" s="183"/>
      <c r="U2462" s="183"/>
      <c r="V2462" s="183"/>
      <c r="W2462" s="183"/>
      <c r="X2462" s="183"/>
      <c r="Y2462" s="183"/>
      <c r="Z2462" s="183"/>
      <c r="AA2462" s="183"/>
      <c r="AB2462" s="183"/>
      <c r="AC2462" s="183"/>
    </row>
    <row r="2463" spans="2:29">
      <c r="B2463" s="191"/>
      <c r="D2463" s="183"/>
      <c r="G2463" s="183"/>
      <c r="H2463" s="183"/>
      <c r="J2463" s="907"/>
      <c r="K2463" s="907"/>
      <c r="L2463" s="907"/>
      <c r="M2463" s="907"/>
      <c r="N2463" s="183"/>
      <c r="O2463" s="183"/>
      <c r="P2463" s="183"/>
      <c r="Q2463" s="183"/>
      <c r="R2463" s="183"/>
      <c r="S2463" s="183"/>
      <c r="T2463" s="183"/>
      <c r="U2463" s="183"/>
      <c r="V2463" s="183"/>
      <c r="W2463" s="183"/>
      <c r="X2463" s="183"/>
      <c r="Y2463" s="183"/>
      <c r="Z2463" s="183"/>
      <c r="AA2463" s="183"/>
      <c r="AB2463" s="183"/>
      <c r="AC2463" s="183"/>
    </row>
    <row r="2464" spans="2:29">
      <c r="B2464" s="191"/>
      <c r="D2464" s="183"/>
      <c r="G2464" s="183"/>
      <c r="H2464" s="183"/>
      <c r="J2464" s="907"/>
      <c r="K2464" s="907"/>
      <c r="L2464" s="907"/>
      <c r="M2464" s="907"/>
      <c r="N2464" s="183"/>
      <c r="O2464" s="183"/>
      <c r="P2464" s="183"/>
      <c r="Q2464" s="183"/>
      <c r="R2464" s="183"/>
      <c r="S2464" s="183"/>
      <c r="T2464" s="183"/>
      <c r="U2464" s="183"/>
      <c r="V2464" s="183"/>
      <c r="W2464" s="183"/>
      <c r="X2464" s="183"/>
      <c r="Y2464" s="183"/>
      <c r="Z2464" s="183"/>
      <c r="AA2464" s="183"/>
      <c r="AB2464" s="183"/>
      <c r="AC2464" s="183"/>
    </row>
    <row r="2465" spans="2:29">
      <c r="B2465" s="191"/>
      <c r="D2465" s="183"/>
      <c r="G2465" s="183"/>
      <c r="H2465" s="183"/>
      <c r="J2465" s="907"/>
      <c r="K2465" s="907"/>
      <c r="L2465" s="907"/>
      <c r="M2465" s="907"/>
      <c r="N2465" s="183"/>
      <c r="O2465" s="183"/>
      <c r="P2465" s="183"/>
      <c r="Q2465" s="183"/>
      <c r="R2465" s="183"/>
      <c r="S2465" s="183"/>
      <c r="T2465" s="183"/>
      <c r="U2465" s="183"/>
      <c r="V2465" s="183"/>
      <c r="W2465" s="183"/>
      <c r="X2465" s="183"/>
      <c r="Y2465" s="183"/>
      <c r="Z2465" s="183"/>
      <c r="AA2465" s="183"/>
      <c r="AB2465" s="183"/>
      <c r="AC2465" s="183"/>
    </row>
    <row r="2466" spans="2:29">
      <c r="B2466" s="191"/>
      <c r="D2466" s="183"/>
      <c r="G2466" s="183"/>
      <c r="H2466" s="183"/>
      <c r="J2466" s="907"/>
      <c r="K2466" s="907"/>
      <c r="L2466" s="907"/>
      <c r="M2466" s="907"/>
      <c r="N2466" s="183"/>
      <c r="O2466" s="183"/>
      <c r="P2466" s="183"/>
      <c r="Q2466" s="183"/>
      <c r="R2466" s="183"/>
      <c r="S2466" s="183"/>
      <c r="T2466" s="183"/>
      <c r="U2466" s="183"/>
      <c r="V2466" s="183"/>
      <c r="W2466" s="183"/>
      <c r="X2466" s="183"/>
      <c r="Y2466" s="183"/>
      <c r="Z2466" s="183"/>
      <c r="AA2466" s="183"/>
      <c r="AB2466" s="183"/>
      <c r="AC2466" s="183"/>
    </row>
    <row r="2467" spans="2:29">
      <c r="B2467" s="191"/>
      <c r="D2467" s="183"/>
      <c r="G2467" s="183"/>
      <c r="H2467" s="183"/>
      <c r="J2467" s="907"/>
      <c r="K2467" s="907"/>
      <c r="L2467" s="907"/>
      <c r="M2467" s="907"/>
      <c r="N2467" s="183"/>
      <c r="O2467" s="183"/>
      <c r="P2467" s="183"/>
      <c r="Q2467" s="183"/>
      <c r="R2467" s="183"/>
      <c r="S2467" s="183"/>
      <c r="T2467" s="183"/>
      <c r="U2467" s="183"/>
      <c r="V2467" s="183"/>
      <c r="W2467" s="183"/>
      <c r="X2467" s="183"/>
      <c r="Y2467" s="183"/>
      <c r="Z2467" s="183"/>
      <c r="AA2467" s="183"/>
      <c r="AB2467" s="183"/>
      <c r="AC2467" s="183"/>
    </row>
    <row r="2468" spans="2:29">
      <c r="B2468" s="191"/>
      <c r="D2468" s="183"/>
      <c r="G2468" s="183"/>
      <c r="H2468" s="183"/>
      <c r="J2468" s="907"/>
      <c r="K2468" s="907"/>
      <c r="L2468" s="907"/>
      <c r="M2468" s="907"/>
      <c r="N2468" s="183"/>
      <c r="O2468" s="183"/>
      <c r="P2468" s="183"/>
      <c r="Q2468" s="183"/>
      <c r="R2468" s="183"/>
      <c r="S2468" s="183"/>
      <c r="T2468" s="183"/>
      <c r="U2468" s="183"/>
      <c r="V2468" s="183"/>
      <c r="W2468" s="183"/>
      <c r="X2468" s="183"/>
      <c r="Y2468" s="183"/>
      <c r="Z2468" s="183"/>
      <c r="AA2468" s="183"/>
      <c r="AB2468" s="183"/>
      <c r="AC2468" s="183"/>
    </row>
    <row r="2469" spans="2:29">
      <c r="B2469" s="191"/>
      <c r="D2469" s="183"/>
      <c r="G2469" s="183"/>
      <c r="H2469" s="183"/>
      <c r="J2469" s="907"/>
      <c r="K2469" s="907"/>
      <c r="L2469" s="907"/>
      <c r="M2469" s="907"/>
      <c r="N2469" s="183"/>
      <c r="O2469" s="183"/>
      <c r="P2469" s="183"/>
      <c r="Q2469" s="183"/>
      <c r="R2469" s="183"/>
      <c r="S2469" s="183"/>
      <c r="T2469" s="183"/>
      <c r="U2469" s="183"/>
      <c r="V2469" s="183"/>
      <c r="W2469" s="183"/>
      <c r="X2469" s="183"/>
      <c r="Y2469" s="183"/>
      <c r="Z2469" s="183"/>
      <c r="AA2469" s="183"/>
      <c r="AB2469" s="183"/>
      <c r="AC2469" s="183"/>
    </row>
    <row r="2470" spans="2:29">
      <c r="B2470" s="191"/>
      <c r="D2470" s="183"/>
      <c r="G2470" s="183"/>
      <c r="H2470" s="183"/>
      <c r="J2470" s="907"/>
      <c r="K2470" s="907"/>
      <c r="L2470" s="907"/>
      <c r="M2470" s="907"/>
      <c r="N2470" s="183"/>
      <c r="O2470" s="183"/>
      <c r="P2470" s="183"/>
      <c r="Q2470" s="183"/>
      <c r="R2470" s="183"/>
      <c r="S2470" s="183"/>
      <c r="T2470" s="183"/>
      <c r="U2470" s="183"/>
      <c r="V2470" s="183"/>
      <c r="W2470" s="183"/>
      <c r="X2470" s="183"/>
      <c r="Y2470" s="183"/>
      <c r="Z2470" s="183"/>
      <c r="AA2470" s="183"/>
      <c r="AB2470" s="183"/>
      <c r="AC2470" s="183"/>
    </row>
    <row r="2471" spans="2:29">
      <c r="B2471" s="191"/>
      <c r="D2471" s="183"/>
      <c r="G2471" s="183"/>
      <c r="H2471" s="183"/>
      <c r="J2471" s="907"/>
      <c r="K2471" s="907"/>
      <c r="L2471" s="907"/>
      <c r="M2471" s="907"/>
      <c r="N2471" s="183"/>
      <c r="O2471" s="183"/>
      <c r="P2471" s="183"/>
      <c r="Q2471" s="183"/>
      <c r="R2471" s="183"/>
      <c r="S2471" s="183"/>
      <c r="T2471" s="183"/>
      <c r="U2471" s="183"/>
      <c r="V2471" s="183"/>
      <c r="W2471" s="183"/>
      <c r="X2471" s="183"/>
      <c r="Y2471" s="183"/>
      <c r="Z2471" s="183"/>
      <c r="AA2471" s="183"/>
      <c r="AB2471" s="183"/>
      <c r="AC2471" s="183"/>
    </row>
    <row r="2472" spans="2:29">
      <c r="B2472" s="191"/>
      <c r="D2472" s="183"/>
      <c r="G2472" s="183"/>
      <c r="H2472" s="183"/>
      <c r="J2472" s="907"/>
      <c r="K2472" s="907"/>
      <c r="L2472" s="907"/>
      <c r="M2472" s="907"/>
      <c r="N2472" s="183"/>
      <c r="O2472" s="183"/>
      <c r="P2472" s="183"/>
      <c r="Q2472" s="183"/>
      <c r="R2472" s="183"/>
      <c r="S2472" s="183"/>
      <c r="T2472" s="183"/>
      <c r="U2472" s="183"/>
      <c r="V2472" s="183"/>
      <c r="W2472" s="183"/>
      <c r="X2472" s="183"/>
      <c r="Y2472" s="183"/>
      <c r="Z2472" s="183"/>
      <c r="AA2472" s="183"/>
      <c r="AB2472" s="183"/>
      <c r="AC2472" s="183"/>
    </row>
    <row r="2473" spans="2:29">
      <c r="B2473" s="191"/>
      <c r="D2473" s="183"/>
      <c r="G2473" s="183"/>
      <c r="H2473" s="183"/>
      <c r="J2473" s="907"/>
      <c r="K2473" s="907"/>
      <c r="L2473" s="907"/>
      <c r="M2473" s="907"/>
      <c r="N2473" s="183"/>
      <c r="O2473" s="183"/>
      <c r="P2473" s="183"/>
      <c r="Q2473" s="183"/>
      <c r="R2473" s="183"/>
      <c r="S2473" s="183"/>
      <c r="T2473" s="183"/>
      <c r="U2473" s="183"/>
      <c r="V2473" s="183"/>
      <c r="W2473" s="183"/>
      <c r="X2473" s="183"/>
      <c r="Y2473" s="183"/>
      <c r="Z2473" s="183"/>
      <c r="AA2473" s="183"/>
      <c r="AB2473" s="183"/>
      <c r="AC2473" s="183"/>
    </row>
    <row r="2474" spans="2:29">
      <c r="B2474" s="191"/>
      <c r="D2474" s="183"/>
      <c r="G2474" s="183"/>
      <c r="H2474" s="183"/>
      <c r="J2474" s="907"/>
      <c r="K2474" s="907"/>
      <c r="L2474" s="907"/>
      <c r="M2474" s="907"/>
      <c r="N2474" s="183"/>
      <c r="O2474" s="183"/>
      <c r="P2474" s="183"/>
      <c r="Q2474" s="183"/>
      <c r="R2474" s="183"/>
      <c r="S2474" s="183"/>
      <c r="T2474" s="183"/>
      <c r="U2474" s="183"/>
      <c r="V2474" s="183"/>
      <c r="W2474" s="183"/>
      <c r="X2474" s="183"/>
      <c r="Y2474" s="183"/>
      <c r="Z2474" s="183"/>
      <c r="AA2474" s="183"/>
      <c r="AB2474" s="183"/>
      <c r="AC2474" s="183"/>
    </row>
    <row r="2475" spans="2:29">
      <c r="B2475" s="191"/>
      <c r="D2475" s="183"/>
      <c r="G2475" s="183"/>
      <c r="H2475" s="183"/>
      <c r="J2475" s="907"/>
      <c r="K2475" s="907"/>
      <c r="L2475" s="907"/>
      <c r="M2475" s="907"/>
      <c r="N2475" s="183"/>
      <c r="O2475" s="183"/>
      <c r="P2475" s="183"/>
      <c r="Q2475" s="183"/>
      <c r="R2475" s="183"/>
      <c r="S2475" s="183"/>
      <c r="T2475" s="183"/>
      <c r="U2475" s="183"/>
      <c r="V2475" s="183"/>
      <c r="W2475" s="183"/>
      <c r="X2475" s="183"/>
      <c r="Y2475" s="183"/>
      <c r="Z2475" s="183"/>
      <c r="AA2475" s="183"/>
      <c r="AB2475" s="183"/>
      <c r="AC2475" s="183"/>
    </row>
    <row r="2476" spans="2:29">
      <c r="B2476" s="191"/>
      <c r="D2476" s="183"/>
      <c r="G2476" s="183"/>
      <c r="H2476" s="183"/>
      <c r="J2476" s="907"/>
      <c r="K2476" s="907"/>
      <c r="L2476" s="907"/>
      <c r="M2476" s="907"/>
      <c r="N2476" s="183"/>
      <c r="O2476" s="183"/>
      <c r="P2476" s="183"/>
      <c r="Q2476" s="183"/>
      <c r="R2476" s="183"/>
      <c r="S2476" s="183"/>
      <c r="T2476" s="183"/>
      <c r="U2476" s="183"/>
      <c r="V2476" s="183"/>
      <c r="W2476" s="183"/>
      <c r="X2476" s="183"/>
      <c r="Y2476" s="183"/>
      <c r="Z2476" s="183"/>
      <c r="AA2476" s="183"/>
      <c r="AB2476" s="183"/>
      <c r="AC2476" s="183"/>
    </row>
    <row r="2477" spans="2:29">
      <c r="B2477" s="191"/>
      <c r="D2477" s="183"/>
      <c r="G2477" s="183"/>
      <c r="H2477" s="183"/>
      <c r="J2477" s="907"/>
      <c r="K2477" s="907"/>
      <c r="L2477" s="907"/>
      <c r="M2477" s="907"/>
      <c r="N2477" s="183"/>
      <c r="O2477" s="183"/>
      <c r="P2477" s="183"/>
      <c r="Q2477" s="183"/>
      <c r="R2477" s="183"/>
      <c r="S2477" s="183"/>
      <c r="T2477" s="183"/>
      <c r="U2477" s="183"/>
      <c r="V2477" s="183"/>
      <c r="W2477" s="183"/>
      <c r="X2477" s="183"/>
      <c r="Y2477" s="183"/>
      <c r="Z2477" s="183"/>
      <c r="AA2477" s="183"/>
      <c r="AB2477" s="183"/>
      <c r="AC2477" s="183"/>
    </row>
    <row r="2478" spans="2:29">
      <c r="B2478" s="191"/>
      <c r="D2478" s="183"/>
      <c r="G2478" s="183"/>
      <c r="H2478" s="183"/>
      <c r="J2478" s="907"/>
      <c r="K2478" s="907"/>
      <c r="L2478" s="907"/>
      <c r="M2478" s="907"/>
      <c r="N2478" s="183"/>
      <c r="O2478" s="183"/>
      <c r="P2478" s="183"/>
      <c r="Q2478" s="183"/>
      <c r="R2478" s="183"/>
      <c r="S2478" s="183"/>
      <c r="T2478" s="183"/>
      <c r="U2478" s="183"/>
      <c r="V2478" s="183"/>
      <c r="W2478" s="183"/>
      <c r="X2478" s="183"/>
      <c r="Y2478" s="183"/>
      <c r="Z2478" s="183"/>
      <c r="AA2478" s="183"/>
      <c r="AB2478" s="183"/>
      <c r="AC2478" s="183"/>
    </row>
    <row r="2479" spans="2:29">
      <c r="B2479" s="191"/>
      <c r="D2479" s="183"/>
      <c r="G2479" s="183"/>
      <c r="H2479" s="183"/>
      <c r="J2479" s="907"/>
      <c r="K2479" s="907"/>
      <c r="L2479" s="907"/>
      <c r="M2479" s="907"/>
      <c r="N2479" s="183"/>
      <c r="O2479" s="183"/>
      <c r="P2479" s="183"/>
      <c r="Q2479" s="183"/>
      <c r="R2479" s="183"/>
      <c r="S2479" s="183"/>
      <c r="T2479" s="183"/>
      <c r="U2479" s="183"/>
      <c r="V2479" s="183"/>
      <c r="W2479" s="183"/>
      <c r="X2479" s="183"/>
      <c r="Y2479" s="183"/>
      <c r="Z2479" s="183"/>
      <c r="AA2479" s="183"/>
      <c r="AB2479" s="183"/>
      <c r="AC2479" s="183"/>
    </row>
    <row r="2480" spans="2:29">
      <c r="B2480" s="191"/>
      <c r="D2480" s="183"/>
      <c r="G2480" s="183"/>
      <c r="H2480" s="183"/>
      <c r="J2480" s="907"/>
      <c r="K2480" s="907"/>
      <c r="L2480" s="907"/>
      <c r="M2480" s="907"/>
      <c r="N2480" s="183"/>
      <c r="O2480" s="183"/>
      <c r="P2480" s="183"/>
      <c r="Q2480" s="183"/>
      <c r="R2480" s="183"/>
      <c r="S2480" s="183"/>
      <c r="T2480" s="183"/>
      <c r="U2480" s="183"/>
      <c r="V2480" s="183"/>
      <c r="W2480" s="183"/>
      <c r="X2480" s="183"/>
      <c r="Y2480" s="183"/>
      <c r="Z2480" s="183"/>
      <c r="AA2480" s="183"/>
      <c r="AB2480" s="183"/>
      <c r="AC2480" s="183"/>
    </row>
    <row r="2481" spans="2:29">
      <c r="B2481" s="191"/>
      <c r="D2481" s="183"/>
      <c r="G2481" s="183"/>
      <c r="H2481" s="183"/>
      <c r="J2481" s="907"/>
      <c r="K2481" s="907"/>
      <c r="L2481" s="907"/>
      <c r="M2481" s="907"/>
      <c r="N2481" s="183"/>
      <c r="O2481" s="183"/>
      <c r="P2481" s="183"/>
      <c r="Q2481" s="183"/>
      <c r="R2481" s="183"/>
      <c r="S2481" s="183"/>
      <c r="T2481" s="183"/>
      <c r="U2481" s="183"/>
      <c r="V2481" s="183"/>
      <c r="W2481" s="183"/>
      <c r="X2481" s="183"/>
      <c r="Y2481" s="183"/>
      <c r="Z2481" s="183"/>
      <c r="AA2481" s="183"/>
      <c r="AB2481" s="183"/>
      <c r="AC2481" s="183"/>
    </row>
    <row r="2482" spans="2:29">
      <c r="B2482" s="191"/>
      <c r="D2482" s="183"/>
      <c r="G2482" s="183"/>
      <c r="H2482" s="183"/>
      <c r="J2482" s="907"/>
      <c r="K2482" s="907"/>
      <c r="L2482" s="907"/>
      <c r="M2482" s="907"/>
      <c r="N2482" s="183"/>
      <c r="O2482" s="183"/>
      <c r="P2482" s="183"/>
      <c r="Q2482" s="183"/>
      <c r="R2482" s="183"/>
      <c r="S2482" s="183"/>
      <c r="T2482" s="183"/>
      <c r="U2482" s="183"/>
      <c r="V2482" s="183"/>
      <c r="W2482" s="183"/>
      <c r="X2482" s="183"/>
      <c r="Y2482" s="183"/>
      <c r="Z2482" s="183"/>
      <c r="AA2482" s="183"/>
      <c r="AB2482" s="183"/>
      <c r="AC2482" s="183"/>
    </row>
    <row r="2483" spans="2:29">
      <c r="B2483" s="191"/>
      <c r="D2483" s="183"/>
      <c r="G2483" s="183"/>
      <c r="H2483" s="183"/>
      <c r="J2483" s="907"/>
      <c r="K2483" s="907"/>
      <c r="L2483" s="907"/>
      <c r="M2483" s="907"/>
      <c r="N2483" s="183"/>
      <c r="O2483" s="183"/>
      <c r="P2483" s="183"/>
      <c r="Q2483" s="183"/>
      <c r="R2483" s="183"/>
      <c r="S2483" s="183"/>
      <c r="T2483" s="183"/>
      <c r="U2483" s="183"/>
      <c r="V2483" s="183"/>
      <c r="W2483" s="183"/>
      <c r="X2483" s="183"/>
      <c r="Y2483" s="183"/>
      <c r="Z2483" s="183"/>
      <c r="AA2483" s="183"/>
      <c r="AB2483" s="183"/>
      <c r="AC2483" s="183"/>
    </row>
    <row r="2484" spans="2:29">
      <c r="B2484" s="191"/>
      <c r="D2484" s="183"/>
      <c r="G2484" s="183"/>
      <c r="H2484" s="183"/>
      <c r="J2484" s="907"/>
      <c r="K2484" s="907"/>
      <c r="L2484" s="907"/>
      <c r="M2484" s="907"/>
      <c r="N2484" s="183"/>
      <c r="O2484" s="183"/>
      <c r="P2484" s="183"/>
      <c r="Q2484" s="183"/>
      <c r="R2484" s="183"/>
      <c r="S2484" s="183"/>
      <c r="T2484" s="183"/>
      <c r="U2484" s="183"/>
      <c r="V2484" s="183"/>
      <c r="W2484" s="183"/>
      <c r="X2484" s="183"/>
      <c r="Y2484" s="183"/>
      <c r="Z2484" s="183"/>
      <c r="AA2484" s="183"/>
      <c r="AB2484" s="183"/>
      <c r="AC2484" s="183"/>
    </row>
    <row r="2485" spans="2:29">
      <c r="B2485" s="191"/>
      <c r="D2485" s="183"/>
      <c r="G2485" s="183"/>
      <c r="H2485" s="183"/>
      <c r="J2485" s="907"/>
      <c r="K2485" s="907"/>
      <c r="L2485" s="907"/>
      <c r="M2485" s="907"/>
      <c r="N2485" s="183"/>
      <c r="O2485" s="183"/>
      <c r="P2485" s="183"/>
      <c r="Q2485" s="183"/>
      <c r="R2485" s="183"/>
      <c r="S2485" s="183"/>
      <c r="T2485" s="183"/>
      <c r="U2485" s="183"/>
      <c r="V2485" s="183"/>
      <c r="W2485" s="183"/>
      <c r="X2485" s="183"/>
      <c r="Y2485" s="183"/>
      <c r="Z2485" s="183"/>
      <c r="AA2485" s="183"/>
      <c r="AB2485" s="183"/>
      <c r="AC2485" s="183"/>
    </row>
    <row r="2486" spans="2:29">
      <c r="B2486" s="191"/>
      <c r="D2486" s="183"/>
      <c r="G2486" s="183"/>
      <c r="H2486" s="183"/>
      <c r="J2486" s="907"/>
      <c r="K2486" s="907"/>
      <c r="L2486" s="907"/>
      <c r="M2486" s="907"/>
      <c r="N2486" s="183"/>
      <c r="O2486" s="183"/>
      <c r="P2486" s="183"/>
      <c r="Q2486" s="183"/>
      <c r="R2486" s="183"/>
      <c r="S2486" s="183"/>
      <c r="T2486" s="183"/>
      <c r="U2486" s="183"/>
      <c r="V2486" s="183"/>
      <c r="W2486" s="183"/>
      <c r="X2486" s="183"/>
      <c r="Y2486" s="183"/>
      <c r="Z2486" s="183"/>
      <c r="AA2486" s="183"/>
      <c r="AB2486" s="183"/>
      <c r="AC2486" s="183"/>
    </row>
    <row r="2487" spans="2:29">
      <c r="B2487" s="191"/>
      <c r="D2487" s="183"/>
      <c r="G2487" s="183"/>
      <c r="H2487" s="183"/>
      <c r="J2487" s="907"/>
      <c r="K2487" s="907"/>
      <c r="L2487" s="907"/>
      <c r="M2487" s="907"/>
      <c r="N2487" s="183"/>
      <c r="O2487" s="183"/>
      <c r="P2487" s="183"/>
      <c r="Q2487" s="183"/>
      <c r="R2487" s="183"/>
      <c r="S2487" s="183"/>
      <c r="T2487" s="183"/>
      <c r="U2487" s="183"/>
      <c r="V2487" s="183"/>
      <c r="W2487" s="183"/>
      <c r="X2487" s="183"/>
      <c r="Y2487" s="183"/>
      <c r="Z2487" s="183"/>
      <c r="AA2487" s="183"/>
      <c r="AB2487" s="183"/>
      <c r="AC2487" s="183"/>
    </row>
    <row r="2488" spans="2:29">
      <c r="B2488" s="191"/>
      <c r="D2488" s="183"/>
      <c r="G2488" s="183"/>
      <c r="H2488" s="183"/>
      <c r="J2488" s="907"/>
      <c r="K2488" s="907"/>
      <c r="L2488" s="907"/>
      <c r="M2488" s="907"/>
      <c r="N2488" s="183"/>
      <c r="O2488" s="183"/>
      <c r="P2488" s="183"/>
      <c r="Q2488" s="183"/>
      <c r="R2488" s="183"/>
      <c r="S2488" s="183"/>
      <c r="T2488" s="183"/>
      <c r="U2488" s="183"/>
      <c r="V2488" s="183"/>
      <c r="W2488" s="183"/>
      <c r="X2488" s="183"/>
      <c r="Y2488" s="183"/>
      <c r="Z2488" s="183"/>
      <c r="AA2488" s="183"/>
      <c r="AB2488" s="183"/>
      <c r="AC2488" s="183"/>
    </row>
    <row r="2489" spans="2:29">
      <c r="B2489" s="191"/>
      <c r="D2489" s="183"/>
      <c r="G2489" s="183"/>
      <c r="H2489" s="183"/>
      <c r="J2489" s="907"/>
      <c r="K2489" s="907"/>
      <c r="L2489" s="907"/>
      <c r="M2489" s="907"/>
      <c r="N2489" s="183"/>
      <c r="O2489" s="183"/>
      <c r="P2489" s="183"/>
      <c r="Q2489" s="183"/>
      <c r="R2489" s="183"/>
      <c r="S2489" s="183"/>
      <c r="T2489" s="183"/>
      <c r="U2489" s="183"/>
      <c r="V2489" s="183"/>
      <c r="W2489" s="183"/>
      <c r="X2489" s="183"/>
      <c r="Y2489" s="183"/>
      <c r="Z2489" s="183"/>
      <c r="AA2489" s="183"/>
      <c r="AB2489" s="183"/>
      <c r="AC2489" s="183"/>
    </row>
    <row r="2490" spans="2:29">
      <c r="B2490" s="191"/>
      <c r="D2490" s="183"/>
      <c r="G2490" s="183"/>
      <c r="H2490" s="183"/>
      <c r="J2490" s="907"/>
      <c r="K2490" s="907"/>
      <c r="L2490" s="907"/>
      <c r="M2490" s="907"/>
      <c r="N2490" s="183"/>
      <c r="O2490" s="183"/>
      <c r="P2490" s="183"/>
      <c r="Q2490" s="183"/>
      <c r="R2490" s="183"/>
      <c r="S2490" s="183"/>
      <c r="T2490" s="183"/>
      <c r="U2490" s="183"/>
      <c r="V2490" s="183"/>
      <c r="W2490" s="183"/>
      <c r="X2490" s="183"/>
      <c r="Y2490" s="183"/>
      <c r="Z2490" s="183"/>
      <c r="AA2490" s="183"/>
      <c r="AB2490" s="183"/>
      <c r="AC2490" s="183"/>
    </row>
    <row r="2491" spans="2:29">
      <c r="B2491" s="191"/>
      <c r="D2491" s="183"/>
      <c r="G2491" s="183"/>
      <c r="H2491" s="183"/>
      <c r="J2491" s="907"/>
      <c r="K2491" s="907"/>
      <c r="L2491" s="907"/>
      <c r="M2491" s="907"/>
      <c r="N2491" s="183"/>
      <c r="O2491" s="183"/>
      <c r="P2491" s="183"/>
      <c r="Q2491" s="183"/>
      <c r="R2491" s="183"/>
      <c r="S2491" s="183"/>
      <c r="T2491" s="183"/>
      <c r="U2491" s="183"/>
      <c r="V2491" s="183"/>
      <c r="W2491" s="183"/>
      <c r="X2491" s="183"/>
      <c r="Y2491" s="183"/>
      <c r="Z2491" s="183"/>
      <c r="AA2491" s="183"/>
      <c r="AB2491" s="183"/>
      <c r="AC2491" s="183"/>
    </row>
    <row r="2492" spans="2:29">
      <c r="B2492" s="191"/>
      <c r="D2492" s="183"/>
      <c r="G2492" s="183"/>
      <c r="H2492" s="183"/>
      <c r="J2492" s="907"/>
      <c r="K2492" s="907"/>
      <c r="L2492" s="907"/>
      <c r="M2492" s="907"/>
      <c r="N2492" s="183"/>
      <c r="O2492" s="183"/>
      <c r="P2492" s="183"/>
      <c r="Q2492" s="183"/>
      <c r="R2492" s="183"/>
      <c r="S2492" s="183"/>
      <c r="T2492" s="183"/>
      <c r="U2492" s="183"/>
      <c r="V2492" s="183"/>
      <c r="W2492" s="183"/>
      <c r="X2492" s="183"/>
      <c r="Y2492" s="183"/>
      <c r="Z2492" s="183"/>
      <c r="AA2492" s="183"/>
      <c r="AB2492" s="183"/>
      <c r="AC2492" s="183"/>
    </row>
    <row r="2493" spans="2:29">
      <c r="B2493" s="191"/>
      <c r="D2493" s="183"/>
      <c r="G2493" s="183"/>
      <c r="H2493" s="183"/>
      <c r="J2493" s="907"/>
      <c r="K2493" s="907"/>
      <c r="L2493" s="907"/>
      <c r="M2493" s="907"/>
      <c r="N2493" s="183"/>
      <c r="O2493" s="183"/>
      <c r="P2493" s="183"/>
      <c r="Q2493" s="183"/>
      <c r="R2493" s="183"/>
      <c r="S2493" s="183"/>
      <c r="T2493" s="183"/>
      <c r="U2493" s="183"/>
      <c r="V2493" s="183"/>
      <c r="W2493" s="183"/>
      <c r="X2493" s="183"/>
      <c r="Y2493" s="183"/>
      <c r="Z2493" s="183"/>
      <c r="AA2493" s="183"/>
      <c r="AB2493" s="183"/>
      <c r="AC2493" s="183"/>
    </row>
    <row r="2494" spans="2:29">
      <c r="B2494" s="191"/>
      <c r="D2494" s="183"/>
      <c r="G2494" s="183"/>
      <c r="H2494" s="183"/>
      <c r="J2494" s="907"/>
      <c r="K2494" s="907"/>
      <c r="L2494" s="907"/>
      <c r="M2494" s="907"/>
      <c r="N2494" s="183"/>
      <c r="O2494" s="183"/>
      <c r="P2494" s="183"/>
      <c r="Q2494" s="183"/>
      <c r="R2494" s="183"/>
      <c r="S2494" s="183"/>
      <c r="T2494" s="183"/>
      <c r="U2494" s="183"/>
      <c r="V2494" s="183"/>
      <c r="W2494" s="183"/>
      <c r="X2494" s="183"/>
      <c r="Y2494" s="183"/>
      <c r="Z2494" s="183"/>
      <c r="AA2494" s="183"/>
      <c r="AB2494" s="183"/>
      <c r="AC2494" s="183"/>
    </row>
    <row r="2495" spans="2:29">
      <c r="B2495" s="191"/>
      <c r="D2495" s="183"/>
      <c r="G2495" s="183"/>
      <c r="H2495" s="183"/>
      <c r="J2495" s="907"/>
      <c r="K2495" s="907"/>
      <c r="L2495" s="907"/>
      <c r="M2495" s="907"/>
      <c r="N2495" s="183"/>
      <c r="O2495" s="183"/>
      <c r="P2495" s="183"/>
      <c r="Q2495" s="183"/>
      <c r="R2495" s="183"/>
      <c r="S2495" s="183"/>
      <c r="T2495" s="183"/>
      <c r="U2495" s="183"/>
      <c r="V2495" s="183"/>
      <c r="W2495" s="183"/>
      <c r="X2495" s="183"/>
      <c r="Y2495" s="183"/>
      <c r="Z2495" s="183"/>
      <c r="AA2495" s="183"/>
      <c r="AB2495" s="183"/>
      <c r="AC2495" s="183"/>
    </row>
    <row r="2496" spans="2:29">
      <c r="B2496" s="191"/>
      <c r="D2496" s="183"/>
      <c r="G2496" s="183"/>
      <c r="H2496" s="183"/>
      <c r="J2496" s="907"/>
      <c r="K2496" s="907"/>
      <c r="L2496" s="907"/>
      <c r="M2496" s="907"/>
      <c r="N2496" s="183"/>
      <c r="O2496" s="183"/>
      <c r="P2496" s="183"/>
      <c r="Q2496" s="183"/>
      <c r="R2496" s="183"/>
      <c r="S2496" s="183"/>
      <c r="T2496" s="183"/>
      <c r="U2496" s="183"/>
      <c r="V2496" s="183"/>
      <c r="W2496" s="183"/>
      <c r="X2496" s="183"/>
      <c r="Y2496" s="183"/>
      <c r="Z2496" s="183"/>
      <c r="AA2496" s="183"/>
      <c r="AB2496" s="183"/>
      <c r="AC2496" s="183"/>
    </row>
    <row r="2497" spans="2:29">
      <c r="B2497" s="191"/>
      <c r="D2497" s="183"/>
      <c r="G2497" s="183"/>
      <c r="H2497" s="183"/>
      <c r="J2497" s="907"/>
      <c r="K2497" s="907"/>
      <c r="L2497" s="907"/>
      <c r="M2497" s="907"/>
      <c r="N2497" s="183"/>
      <c r="O2497" s="183"/>
      <c r="P2497" s="183"/>
      <c r="Q2497" s="183"/>
      <c r="R2497" s="183"/>
      <c r="S2497" s="183"/>
      <c r="T2497" s="183"/>
      <c r="U2497" s="183"/>
      <c r="V2497" s="183"/>
      <c r="W2497" s="183"/>
      <c r="X2497" s="183"/>
      <c r="Y2497" s="183"/>
      <c r="Z2497" s="183"/>
      <c r="AA2497" s="183"/>
      <c r="AB2497" s="183"/>
      <c r="AC2497" s="183"/>
    </row>
    <row r="2498" spans="2:29">
      <c r="B2498" s="191"/>
      <c r="D2498" s="183"/>
      <c r="G2498" s="183"/>
      <c r="H2498" s="183"/>
      <c r="J2498" s="907"/>
      <c r="K2498" s="907"/>
      <c r="L2498" s="907"/>
      <c r="M2498" s="907"/>
      <c r="N2498" s="183"/>
      <c r="O2498" s="183"/>
      <c r="P2498" s="183"/>
      <c r="Q2498" s="183"/>
      <c r="R2498" s="183"/>
      <c r="S2498" s="183"/>
      <c r="T2498" s="183"/>
      <c r="U2498" s="183"/>
      <c r="V2498" s="183"/>
      <c r="W2498" s="183"/>
      <c r="X2498" s="183"/>
      <c r="Y2498" s="183"/>
      <c r="Z2498" s="183"/>
      <c r="AA2498" s="183"/>
      <c r="AB2498" s="183"/>
      <c r="AC2498" s="183"/>
    </row>
    <row r="2499" spans="2:29">
      <c r="B2499" s="191"/>
      <c r="D2499" s="183"/>
      <c r="G2499" s="183"/>
      <c r="H2499" s="183"/>
      <c r="J2499" s="907"/>
      <c r="K2499" s="907"/>
      <c r="L2499" s="907"/>
      <c r="M2499" s="907"/>
      <c r="N2499" s="183"/>
      <c r="O2499" s="183"/>
      <c r="P2499" s="183"/>
      <c r="Q2499" s="183"/>
      <c r="R2499" s="183"/>
      <c r="S2499" s="183"/>
      <c r="T2499" s="183"/>
      <c r="U2499" s="183"/>
      <c r="V2499" s="183"/>
      <c r="W2499" s="183"/>
      <c r="X2499" s="183"/>
      <c r="Y2499" s="183"/>
      <c r="Z2499" s="183"/>
      <c r="AA2499" s="183"/>
      <c r="AB2499" s="183"/>
      <c r="AC2499" s="183"/>
    </row>
    <row r="2500" spans="2:29">
      <c r="B2500" s="191"/>
      <c r="D2500" s="183"/>
      <c r="G2500" s="183"/>
      <c r="H2500" s="183"/>
      <c r="J2500" s="907"/>
      <c r="K2500" s="907"/>
      <c r="L2500" s="907"/>
      <c r="M2500" s="907"/>
      <c r="N2500" s="183"/>
      <c r="O2500" s="183"/>
      <c r="P2500" s="183"/>
      <c r="Q2500" s="183"/>
      <c r="R2500" s="183"/>
      <c r="S2500" s="183"/>
      <c r="T2500" s="183"/>
      <c r="U2500" s="183"/>
      <c r="V2500" s="183"/>
      <c r="W2500" s="183"/>
      <c r="X2500" s="183"/>
      <c r="Y2500" s="183"/>
      <c r="Z2500" s="183"/>
      <c r="AA2500" s="183"/>
      <c r="AB2500" s="183"/>
      <c r="AC2500" s="183"/>
    </row>
    <row r="2501" spans="2:29">
      <c r="B2501" s="191"/>
      <c r="D2501" s="183"/>
      <c r="G2501" s="183"/>
      <c r="H2501" s="183"/>
      <c r="J2501" s="907"/>
      <c r="K2501" s="907"/>
      <c r="L2501" s="907"/>
      <c r="M2501" s="907"/>
      <c r="N2501" s="183"/>
      <c r="O2501" s="183"/>
      <c r="P2501" s="183"/>
      <c r="Q2501" s="183"/>
      <c r="R2501" s="183"/>
      <c r="S2501" s="183"/>
      <c r="T2501" s="183"/>
      <c r="U2501" s="183"/>
      <c r="V2501" s="183"/>
      <c r="W2501" s="183"/>
      <c r="X2501" s="183"/>
      <c r="Y2501" s="183"/>
      <c r="Z2501" s="183"/>
      <c r="AA2501" s="183"/>
      <c r="AB2501" s="183"/>
      <c r="AC2501" s="183"/>
    </row>
    <row r="2502" spans="2:29">
      <c r="B2502" s="191"/>
      <c r="D2502" s="183"/>
      <c r="G2502" s="183"/>
      <c r="H2502" s="183"/>
      <c r="J2502" s="907"/>
      <c r="K2502" s="907"/>
      <c r="L2502" s="907"/>
      <c r="M2502" s="907"/>
      <c r="N2502" s="183"/>
      <c r="O2502" s="183"/>
      <c r="P2502" s="183"/>
      <c r="Q2502" s="183"/>
      <c r="R2502" s="183"/>
      <c r="S2502" s="183"/>
      <c r="T2502" s="183"/>
      <c r="U2502" s="183"/>
      <c r="V2502" s="183"/>
      <c r="W2502" s="183"/>
      <c r="X2502" s="183"/>
      <c r="Y2502" s="183"/>
      <c r="Z2502" s="183"/>
      <c r="AA2502" s="183"/>
      <c r="AB2502" s="183"/>
      <c r="AC2502" s="183"/>
    </row>
    <row r="2503" spans="2:29">
      <c r="B2503" s="191"/>
      <c r="D2503" s="183"/>
      <c r="G2503" s="183"/>
      <c r="H2503" s="183"/>
      <c r="J2503" s="907"/>
      <c r="K2503" s="907"/>
      <c r="L2503" s="907"/>
      <c r="M2503" s="907"/>
      <c r="N2503" s="183"/>
      <c r="O2503" s="183"/>
      <c r="P2503" s="183"/>
      <c r="Q2503" s="183"/>
      <c r="R2503" s="183"/>
      <c r="S2503" s="183"/>
      <c r="T2503" s="183"/>
      <c r="U2503" s="183"/>
      <c r="V2503" s="183"/>
      <c r="W2503" s="183"/>
      <c r="X2503" s="183"/>
      <c r="Y2503" s="183"/>
      <c r="Z2503" s="183"/>
      <c r="AA2503" s="183"/>
      <c r="AB2503" s="183"/>
      <c r="AC2503" s="183"/>
    </row>
    <row r="2504" spans="2:29">
      <c r="B2504" s="191"/>
      <c r="D2504" s="183"/>
      <c r="G2504" s="183"/>
      <c r="H2504" s="183"/>
      <c r="J2504" s="907"/>
      <c r="K2504" s="907"/>
      <c r="L2504" s="907"/>
      <c r="M2504" s="907"/>
      <c r="N2504" s="183"/>
      <c r="O2504" s="183"/>
      <c r="P2504" s="183"/>
      <c r="Q2504" s="183"/>
      <c r="R2504" s="183"/>
      <c r="S2504" s="183"/>
      <c r="T2504" s="183"/>
      <c r="U2504" s="183"/>
      <c r="V2504" s="183"/>
      <c r="W2504" s="183"/>
      <c r="X2504" s="183"/>
      <c r="Y2504" s="183"/>
      <c r="Z2504" s="183"/>
      <c r="AA2504" s="183"/>
      <c r="AB2504" s="183"/>
      <c r="AC2504" s="183"/>
    </row>
    <row r="2505" spans="2:29">
      <c r="B2505" s="191"/>
      <c r="D2505" s="183"/>
      <c r="G2505" s="183"/>
      <c r="H2505" s="183"/>
      <c r="J2505" s="907"/>
      <c r="K2505" s="907"/>
      <c r="L2505" s="907"/>
      <c r="M2505" s="907"/>
      <c r="N2505" s="183"/>
      <c r="O2505" s="183"/>
      <c r="P2505" s="183"/>
      <c r="Q2505" s="183"/>
      <c r="R2505" s="183"/>
      <c r="S2505" s="183"/>
      <c r="T2505" s="183"/>
      <c r="U2505" s="183"/>
      <c r="V2505" s="183"/>
      <c r="W2505" s="183"/>
      <c r="X2505" s="183"/>
      <c r="Y2505" s="183"/>
      <c r="Z2505" s="183"/>
      <c r="AA2505" s="183"/>
      <c r="AB2505" s="183"/>
      <c r="AC2505" s="183"/>
    </row>
    <row r="2506" spans="2:29">
      <c r="D2506" s="191"/>
      <c r="F2506" s="183"/>
      <c r="H2506" s="183"/>
      <c r="N2506" s="183"/>
      <c r="O2506" s="183"/>
      <c r="P2506" s="183"/>
      <c r="Q2506" s="183"/>
      <c r="R2506" s="183"/>
      <c r="S2506" s="183"/>
      <c r="T2506" s="183"/>
      <c r="U2506" s="183"/>
      <c r="V2506" s="183"/>
      <c r="W2506" s="183"/>
      <c r="X2506" s="183"/>
      <c r="Y2506" s="183"/>
      <c r="Z2506" s="183"/>
      <c r="AA2506" s="183"/>
      <c r="AB2506" s="183"/>
      <c r="AC2506" s="183"/>
    </row>
    <row r="2507" spans="2:29">
      <c r="D2507" s="191"/>
      <c r="F2507" s="183"/>
      <c r="H2507" s="183"/>
      <c r="N2507" s="183"/>
      <c r="O2507" s="183"/>
      <c r="P2507" s="183"/>
      <c r="Q2507" s="183"/>
      <c r="R2507" s="183"/>
      <c r="S2507" s="183"/>
      <c r="T2507" s="183"/>
      <c r="U2507" s="183"/>
      <c r="V2507" s="183"/>
      <c r="W2507" s="183"/>
      <c r="X2507" s="183"/>
      <c r="Y2507" s="183"/>
      <c r="Z2507" s="183"/>
      <c r="AA2507" s="183"/>
      <c r="AB2507" s="183"/>
      <c r="AC2507" s="183"/>
    </row>
    <row r="2508" spans="2:29">
      <c r="D2508" s="191"/>
      <c r="F2508" s="183"/>
      <c r="H2508" s="183"/>
      <c r="N2508" s="183"/>
      <c r="O2508" s="183"/>
      <c r="P2508" s="183"/>
      <c r="Q2508" s="183"/>
      <c r="R2508" s="183"/>
      <c r="S2508" s="183"/>
      <c r="T2508" s="183"/>
      <c r="U2508" s="183"/>
      <c r="V2508" s="183"/>
      <c r="W2508" s="183"/>
      <c r="X2508" s="183"/>
      <c r="Y2508" s="183"/>
      <c r="Z2508" s="183"/>
      <c r="AA2508" s="183"/>
      <c r="AB2508" s="183"/>
      <c r="AC2508" s="183"/>
    </row>
    <row r="2509" spans="2:29">
      <c r="D2509" s="191"/>
      <c r="F2509" s="183"/>
      <c r="H2509" s="183"/>
      <c r="N2509" s="183"/>
      <c r="O2509" s="183"/>
      <c r="P2509" s="183"/>
      <c r="Q2509" s="183"/>
      <c r="R2509" s="183"/>
      <c r="S2509" s="183"/>
      <c r="T2509" s="183"/>
      <c r="U2509" s="183"/>
      <c r="V2509" s="183"/>
      <c r="W2509" s="183"/>
      <c r="X2509" s="183"/>
      <c r="Y2509" s="183"/>
      <c r="Z2509" s="183"/>
      <c r="AA2509" s="183"/>
      <c r="AB2509" s="183"/>
      <c r="AC2509" s="183"/>
    </row>
    <row r="2510" spans="2:29">
      <c r="D2510" s="191"/>
      <c r="F2510" s="183"/>
      <c r="H2510" s="183"/>
      <c r="N2510" s="183"/>
      <c r="O2510" s="183"/>
      <c r="P2510" s="183"/>
      <c r="Q2510" s="183"/>
      <c r="R2510" s="183"/>
      <c r="S2510" s="183"/>
      <c r="T2510" s="183"/>
      <c r="U2510" s="183"/>
      <c r="V2510" s="183"/>
      <c r="W2510" s="183"/>
      <c r="X2510" s="183"/>
      <c r="Y2510" s="183"/>
      <c r="Z2510" s="183"/>
      <c r="AA2510" s="183"/>
      <c r="AB2510" s="183"/>
      <c r="AC2510" s="183"/>
    </row>
    <row r="2511" spans="2:29">
      <c r="D2511" s="191"/>
      <c r="F2511" s="183"/>
      <c r="H2511" s="183"/>
      <c r="N2511" s="183"/>
      <c r="O2511" s="183"/>
      <c r="P2511" s="183"/>
      <c r="Q2511" s="183"/>
      <c r="R2511" s="183"/>
      <c r="S2511" s="183"/>
      <c r="T2511" s="183"/>
      <c r="U2511" s="183"/>
      <c r="V2511" s="183"/>
      <c r="W2511" s="183"/>
      <c r="X2511" s="183"/>
      <c r="Y2511" s="183"/>
      <c r="Z2511" s="183"/>
      <c r="AA2511" s="183"/>
      <c r="AB2511" s="183"/>
      <c r="AC2511" s="183"/>
    </row>
    <row r="2512" spans="2:29">
      <c r="D2512" s="191"/>
      <c r="F2512" s="183"/>
      <c r="H2512" s="183"/>
      <c r="N2512" s="183"/>
      <c r="O2512" s="183"/>
      <c r="P2512" s="183"/>
      <c r="Q2512" s="183"/>
      <c r="R2512" s="183"/>
      <c r="S2512" s="183"/>
      <c r="T2512" s="183"/>
      <c r="U2512" s="183"/>
      <c r="V2512" s="183"/>
      <c r="W2512" s="183"/>
      <c r="X2512" s="183"/>
      <c r="Y2512" s="183"/>
      <c r="Z2512" s="183"/>
      <c r="AA2512" s="183"/>
      <c r="AB2512" s="183"/>
      <c r="AC2512" s="183"/>
    </row>
    <row r="2513" spans="4:29">
      <c r="D2513" s="191"/>
      <c r="F2513" s="183"/>
      <c r="H2513" s="183"/>
      <c r="N2513" s="183"/>
      <c r="O2513" s="183"/>
      <c r="P2513" s="183"/>
      <c r="Q2513" s="183"/>
      <c r="R2513" s="183"/>
      <c r="S2513" s="183"/>
      <c r="T2513" s="183"/>
      <c r="U2513" s="183"/>
      <c r="V2513" s="183"/>
      <c r="W2513" s="183"/>
      <c r="X2513" s="183"/>
      <c r="Y2513" s="183"/>
      <c r="Z2513" s="183"/>
      <c r="AA2513" s="183"/>
      <c r="AB2513" s="183"/>
      <c r="AC2513" s="183"/>
    </row>
    <row r="2514" spans="4:29">
      <c r="D2514" s="191"/>
      <c r="F2514" s="183"/>
      <c r="H2514" s="183"/>
      <c r="N2514" s="183"/>
      <c r="O2514" s="183"/>
      <c r="P2514" s="183"/>
      <c r="Q2514" s="183"/>
      <c r="R2514" s="183"/>
      <c r="S2514" s="183"/>
      <c r="T2514" s="183"/>
      <c r="U2514" s="183"/>
      <c r="V2514" s="183"/>
      <c r="W2514" s="183"/>
      <c r="X2514" s="183"/>
      <c r="Y2514" s="183"/>
      <c r="Z2514" s="183"/>
      <c r="AA2514" s="183"/>
      <c r="AB2514" s="183"/>
      <c r="AC2514" s="183"/>
    </row>
    <row r="2515" spans="4:29">
      <c r="D2515" s="191"/>
      <c r="F2515" s="183"/>
      <c r="H2515" s="183"/>
      <c r="N2515" s="183"/>
      <c r="O2515" s="183"/>
      <c r="P2515" s="183"/>
      <c r="Q2515" s="183"/>
      <c r="R2515" s="183"/>
      <c r="S2515" s="183"/>
      <c r="T2515" s="183"/>
      <c r="U2515" s="183"/>
      <c r="V2515" s="183"/>
      <c r="W2515" s="183"/>
      <c r="X2515" s="183"/>
      <c r="Y2515" s="183"/>
      <c r="Z2515" s="183"/>
      <c r="AA2515" s="183"/>
      <c r="AB2515" s="183"/>
      <c r="AC2515" s="183"/>
    </row>
    <row r="2516" spans="4:29">
      <c r="D2516" s="191"/>
      <c r="F2516" s="183"/>
      <c r="H2516" s="183"/>
      <c r="N2516" s="183"/>
      <c r="O2516" s="183"/>
      <c r="P2516" s="183"/>
      <c r="Q2516" s="183"/>
      <c r="R2516" s="183"/>
      <c r="S2516" s="183"/>
      <c r="T2516" s="183"/>
      <c r="U2516" s="183"/>
      <c r="V2516" s="183"/>
      <c r="W2516" s="183"/>
      <c r="X2516" s="183"/>
      <c r="Y2516" s="183"/>
      <c r="Z2516" s="183"/>
      <c r="AA2516" s="183"/>
      <c r="AB2516" s="183"/>
      <c r="AC2516" s="183"/>
    </row>
    <row r="2517" spans="4:29">
      <c r="D2517" s="191"/>
      <c r="F2517" s="183"/>
      <c r="H2517" s="183"/>
      <c r="N2517" s="183"/>
      <c r="O2517" s="183"/>
      <c r="P2517" s="183"/>
      <c r="Q2517" s="183"/>
      <c r="R2517" s="183"/>
      <c r="S2517" s="183"/>
      <c r="T2517" s="183"/>
      <c r="U2517" s="183"/>
      <c r="V2517" s="183"/>
      <c r="W2517" s="183"/>
      <c r="X2517" s="183"/>
      <c r="Y2517" s="183"/>
      <c r="Z2517" s="183"/>
      <c r="AA2517" s="183"/>
      <c r="AB2517" s="183"/>
      <c r="AC2517" s="183"/>
    </row>
    <row r="2518" spans="4:29">
      <c r="D2518" s="191"/>
      <c r="F2518" s="183"/>
      <c r="H2518" s="183"/>
      <c r="N2518" s="183"/>
      <c r="O2518" s="183"/>
      <c r="P2518" s="183"/>
      <c r="Q2518" s="183"/>
      <c r="R2518" s="183"/>
      <c r="S2518" s="183"/>
      <c r="T2518" s="183"/>
      <c r="U2518" s="183"/>
      <c r="V2518" s="183"/>
      <c r="W2518" s="183"/>
      <c r="X2518" s="183"/>
      <c r="Y2518" s="183"/>
      <c r="Z2518" s="183"/>
      <c r="AA2518" s="183"/>
      <c r="AB2518" s="183"/>
      <c r="AC2518" s="183"/>
    </row>
    <row r="2519" spans="4:29">
      <c r="D2519" s="191"/>
      <c r="F2519" s="183"/>
      <c r="H2519" s="183"/>
      <c r="N2519" s="183"/>
      <c r="O2519" s="183"/>
      <c r="P2519" s="183"/>
      <c r="Q2519" s="183"/>
      <c r="R2519" s="183"/>
      <c r="S2519" s="183"/>
      <c r="T2519" s="183"/>
      <c r="U2519" s="183"/>
      <c r="V2519" s="183"/>
      <c r="W2519" s="183"/>
      <c r="X2519" s="183"/>
      <c r="Y2519" s="183"/>
      <c r="Z2519" s="183"/>
      <c r="AA2519" s="183"/>
      <c r="AB2519" s="183"/>
      <c r="AC2519" s="183"/>
    </row>
    <row r="2520" spans="4:29">
      <c r="D2520" s="191"/>
      <c r="F2520" s="183"/>
      <c r="H2520" s="183"/>
      <c r="N2520" s="183"/>
      <c r="O2520" s="183"/>
      <c r="P2520" s="183"/>
      <c r="Q2520" s="183"/>
      <c r="R2520" s="183"/>
      <c r="S2520" s="183"/>
      <c r="T2520" s="183"/>
      <c r="U2520" s="183"/>
      <c r="V2520" s="183"/>
      <c r="W2520" s="183"/>
      <c r="X2520" s="183"/>
      <c r="Y2520" s="183"/>
      <c r="Z2520" s="183"/>
      <c r="AA2520" s="183"/>
      <c r="AB2520" s="183"/>
      <c r="AC2520" s="183"/>
    </row>
    <row r="2521" spans="4:29">
      <c r="D2521" s="191"/>
      <c r="F2521" s="183"/>
      <c r="H2521" s="183"/>
      <c r="N2521" s="183"/>
      <c r="O2521" s="183"/>
      <c r="P2521" s="183"/>
      <c r="Q2521" s="183"/>
      <c r="R2521" s="183"/>
      <c r="S2521" s="183"/>
      <c r="T2521" s="183"/>
      <c r="U2521" s="183"/>
      <c r="V2521" s="183"/>
      <c r="W2521" s="183"/>
      <c r="X2521" s="183"/>
      <c r="Y2521" s="183"/>
      <c r="Z2521" s="183"/>
      <c r="AA2521" s="183"/>
      <c r="AB2521" s="183"/>
      <c r="AC2521" s="183"/>
    </row>
    <row r="2522" spans="4:29">
      <c r="D2522" s="191"/>
      <c r="F2522" s="183"/>
      <c r="H2522" s="183"/>
      <c r="N2522" s="183"/>
      <c r="O2522" s="183"/>
      <c r="P2522" s="183"/>
      <c r="Q2522" s="183"/>
      <c r="R2522" s="183"/>
      <c r="S2522" s="183"/>
      <c r="T2522" s="183"/>
      <c r="U2522" s="183"/>
      <c r="V2522" s="183"/>
      <c r="W2522" s="183"/>
      <c r="X2522" s="183"/>
      <c r="Y2522" s="183"/>
      <c r="Z2522" s="183"/>
      <c r="AA2522" s="183"/>
      <c r="AB2522" s="183"/>
      <c r="AC2522" s="183"/>
    </row>
    <row r="2523" spans="4:29">
      <c r="D2523" s="191"/>
      <c r="F2523" s="183"/>
      <c r="H2523" s="183"/>
      <c r="N2523" s="183"/>
      <c r="O2523" s="183"/>
      <c r="P2523" s="183"/>
      <c r="Q2523" s="183"/>
      <c r="R2523" s="183"/>
      <c r="S2523" s="183"/>
      <c r="T2523" s="183"/>
      <c r="U2523" s="183"/>
      <c r="V2523" s="183"/>
      <c r="W2523" s="183"/>
      <c r="X2523" s="183"/>
      <c r="Y2523" s="183"/>
      <c r="Z2523" s="183"/>
      <c r="AA2523" s="183"/>
      <c r="AB2523" s="183"/>
      <c r="AC2523" s="183"/>
    </row>
    <row r="2524" spans="4:29">
      <c r="D2524" s="191"/>
      <c r="F2524" s="183"/>
      <c r="H2524" s="183"/>
      <c r="N2524" s="183"/>
      <c r="O2524" s="183"/>
      <c r="P2524" s="183"/>
      <c r="Q2524" s="183"/>
      <c r="R2524" s="183"/>
      <c r="S2524" s="183"/>
      <c r="T2524" s="183"/>
      <c r="U2524" s="183"/>
      <c r="V2524" s="183"/>
      <c r="W2524" s="183"/>
      <c r="X2524" s="183"/>
      <c r="Y2524" s="183"/>
      <c r="Z2524" s="183"/>
      <c r="AA2524" s="183"/>
      <c r="AB2524" s="183"/>
      <c r="AC2524" s="183"/>
    </row>
    <row r="2525" spans="4:29">
      <c r="D2525" s="191"/>
      <c r="F2525" s="183"/>
      <c r="H2525" s="183"/>
      <c r="N2525" s="183"/>
      <c r="O2525" s="183"/>
      <c r="P2525" s="183"/>
      <c r="Q2525" s="183"/>
      <c r="R2525" s="183"/>
      <c r="S2525" s="183"/>
      <c r="T2525" s="183"/>
      <c r="U2525" s="183"/>
      <c r="V2525" s="183"/>
      <c r="W2525" s="183"/>
      <c r="X2525" s="183"/>
      <c r="Y2525" s="183"/>
      <c r="Z2525" s="183"/>
      <c r="AA2525" s="183"/>
      <c r="AB2525" s="183"/>
      <c r="AC2525" s="183"/>
    </row>
    <row r="2526" spans="4:29">
      <c r="D2526" s="191"/>
      <c r="F2526" s="183"/>
      <c r="H2526" s="183"/>
      <c r="N2526" s="183"/>
      <c r="O2526" s="183"/>
      <c r="P2526" s="183"/>
      <c r="Q2526" s="183"/>
      <c r="R2526" s="183"/>
      <c r="S2526" s="183"/>
      <c r="T2526" s="183"/>
      <c r="U2526" s="183"/>
      <c r="V2526" s="183"/>
      <c r="W2526" s="183"/>
      <c r="X2526" s="183"/>
      <c r="Y2526" s="183"/>
      <c r="Z2526" s="183"/>
      <c r="AA2526" s="183"/>
      <c r="AB2526" s="183"/>
      <c r="AC2526" s="183"/>
    </row>
    <row r="2527" spans="4:29">
      <c r="D2527" s="191"/>
      <c r="F2527" s="183"/>
      <c r="H2527" s="183"/>
      <c r="N2527" s="183"/>
      <c r="O2527" s="183"/>
      <c r="P2527" s="183"/>
      <c r="Q2527" s="183"/>
      <c r="R2527" s="183"/>
      <c r="S2527" s="183"/>
      <c r="T2527" s="183"/>
      <c r="U2527" s="183"/>
      <c r="V2527" s="183"/>
      <c r="W2527" s="183"/>
      <c r="X2527" s="183"/>
      <c r="Y2527" s="183"/>
      <c r="Z2527" s="183"/>
      <c r="AA2527" s="183"/>
      <c r="AB2527" s="183"/>
      <c r="AC2527" s="183"/>
    </row>
    <row r="2528" spans="4:29">
      <c r="D2528" s="191"/>
      <c r="F2528" s="183"/>
      <c r="H2528" s="183"/>
      <c r="N2528" s="183"/>
      <c r="O2528" s="183"/>
      <c r="P2528" s="183"/>
      <c r="Q2528" s="183"/>
      <c r="R2528" s="183"/>
      <c r="S2528" s="183"/>
      <c r="T2528" s="183"/>
      <c r="U2528" s="183"/>
      <c r="V2528" s="183"/>
      <c r="W2528" s="183"/>
      <c r="X2528" s="183"/>
      <c r="Y2528" s="183"/>
      <c r="Z2528" s="183"/>
      <c r="AA2528" s="183"/>
      <c r="AB2528" s="183"/>
      <c r="AC2528" s="183"/>
    </row>
    <row r="2529" spans="4:29">
      <c r="D2529" s="191"/>
      <c r="F2529" s="183"/>
      <c r="H2529" s="183"/>
      <c r="N2529" s="183"/>
      <c r="O2529" s="183"/>
      <c r="P2529" s="183"/>
      <c r="Q2529" s="183"/>
      <c r="R2529" s="183"/>
      <c r="S2529" s="183"/>
      <c r="T2529" s="183"/>
      <c r="U2529" s="183"/>
      <c r="V2529" s="183"/>
      <c r="W2529" s="183"/>
      <c r="X2529" s="183"/>
      <c r="Y2529" s="183"/>
      <c r="Z2529" s="183"/>
      <c r="AA2529" s="183"/>
      <c r="AB2529" s="183"/>
      <c r="AC2529" s="183"/>
    </row>
    <row r="2530" spans="4:29">
      <c r="D2530" s="191"/>
      <c r="F2530" s="183"/>
      <c r="H2530" s="183"/>
      <c r="N2530" s="183"/>
      <c r="O2530" s="183"/>
      <c r="P2530" s="183"/>
      <c r="Q2530" s="183"/>
      <c r="R2530" s="183"/>
      <c r="S2530" s="183"/>
      <c r="T2530" s="183"/>
      <c r="U2530" s="183"/>
      <c r="V2530" s="183"/>
      <c r="W2530" s="183"/>
      <c r="X2530" s="183"/>
      <c r="Y2530" s="183"/>
      <c r="Z2530" s="183"/>
      <c r="AA2530" s="183"/>
      <c r="AB2530" s="183"/>
      <c r="AC2530" s="183"/>
    </row>
    <row r="2531" spans="4:29">
      <c r="D2531" s="191"/>
      <c r="F2531" s="183"/>
      <c r="H2531" s="183"/>
      <c r="N2531" s="183"/>
      <c r="O2531" s="183"/>
      <c r="P2531" s="183"/>
      <c r="Q2531" s="183"/>
      <c r="R2531" s="183"/>
      <c r="S2531" s="183"/>
      <c r="T2531" s="183"/>
      <c r="U2531" s="183"/>
      <c r="V2531" s="183"/>
      <c r="W2531" s="183"/>
      <c r="X2531" s="183"/>
      <c r="Y2531" s="183"/>
      <c r="Z2531" s="183"/>
      <c r="AA2531" s="183"/>
      <c r="AB2531" s="183"/>
      <c r="AC2531" s="183"/>
    </row>
    <row r="2532" spans="4:29">
      <c r="D2532" s="191"/>
      <c r="F2532" s="183"/>
      <c r="H2532" s="183"/>
      <c r="N2532" s="183"/>
      <c r="O2532" s="183"/>
      <c r="P2532" s="183"/>
      <c r="Q2532" s="183"/>
      <c r="R2532" s="183"/>
      <c r="S2532" s="183"/>
      <c r="T2532" s="183"/>
      <c r="U2532" s="183"/>
      <c r="V2532" s="183"/>
      <c r="W2532" s="183"/>
      <c r="X2532" s="183"/>
      <c r="Y2532" s="183"/>
      <c r="Z2532" s="183"/>
      <c r="AA2532" s="183"/>
      <c r="AB2532" s="183"/>
      <c r="AC2532" s="183"/>
    </row>
    <row r="2533" spans="4:29">
      <c r="D2533" s="191"/>
      <c r="F2533" s="183"/>
      <c r="H2533" s="183"/>
      <c r="N2533" s="183"/>
      <c r="O2533" s="183"/>
      <c r="P2533" s="183"/>
      <c r="Q2533" s="183"/>
      <c r="R2533" s="183"/>
      <c r="S2533" s="183"/>
      <c r="T2533" s="183"/>
      <c r="U2533" s="183"/>
      <c r="V2533" s="183"/>
      <c r="W2533" s="183"/>
      <c r="X2533" s="183"/>
      <c r="Y2533" s="183"/>
      <c r="Z2533" s="183"/>
      <c r="AA2533" s="183"/>
      <c r="AB2533" s="183"/>
      <c r="AC2533" s="183"/>
    </row>
    <row r="2534" spans="4:29">
      <c r="D2534" s="191"/>
      <c r="F2534" s="183"/>
      <c r="H2534" s="183"/>
      <c r="N2534" s="183"/>
      <c r="O2534" s="183"/>
      <c r="P2534" s="183"/>
      <c r="Q2534" s="183"/>
      <c r="R2534" s="183"/>
      <c r="S2534" s="183"/>
      <c r="T2534" s="183"/>
      <c r="U2534" s="183"/>
      <c r="V2534" s="183"/>
      <c r="W2534" s="183"/>
      <c r="X2534" s="183"/>
      <c r="Y2534" s="183"/>
      <c r="Z2534" s="183"/>
      <c r="AA2534" s="183"/>
      <c r="AB2534" s="183"/>
      <c r="AC2534" s="183"/>
    </row>
    <row r="2535" spans="4:29">
      <c r="D2535" s="191"/>
      <c r="F2535" s="183"/>
      <c r="H2535" s="183"/>
      <c r="N2535" s="183"/>
      <c r="O2535" s="183"/>
      <c r="P2535" s="183"/>
      <c r="Q2535" s="183"/>
      <c r="R2535" s="183"/>
      <c r="S2535" s="183"/>
      <c r="T2535" s="183"/>
      <c r="U2535" s="183"/>
      <c r="V2535" s="183"/>
      <c r="W2535" s="183"/>
      <c r="X2535" s="183"/>
      <c r="Y2535" s="183"/>
      <c r="Z2535" s="183"/>
      <c r="AA2535" s="183"/>
      <c r="AB2535" s="183"/>
      <c r="AC2535" s="183"/>
    </row>
    <row r="2536" spans="4:29">
      <c r="D2536" s="191"/>
      <c r="F2536" s="183"/>
      <c r="H2536" s="183"/>
      <c r="N2536" s="183"/>
      <c r="O2536" s="183"/>
      <c r="P2536" s="183"/>
      <c r="Q2536" s="183"/>
      <c r="R2536" s="183"/>
      <c r="S2536" s="183"/>
      <c r="T2536" s="183"/>
      <c r="U2536" s="183"/>
      <c r="V2536" s="183"/>
      <c r="W2536" s="183"/>
      <c r="X2536" s="183"/>
      <c r="Y2536" s="183"/>
      <c r="Z2536" s="183"/>
      <c r="AA2536" s="183"/>
      <c r="AB2536" s="183"/>
      <c r="AC2536" s="183"/>
    </row>
    <row r="2537" spans="4:29">
      <c r="D2537" s="191"/>
      <c r="F2537" s="183"/>
      <c r="H2537" s="183"/>
      <c r="N2537" s="183"/>
      <c r="O2537" s="183"/>
      <c r="P2537" s="183"/>
      <c r="Q2537" s="183"/>
      <c r="R2537" s="183"/>
      <c r="S2537" s="183"/>
      <c r="T2537" s="183"/>
      <c r="U2537" s="183"/>
      <c r="V2537" s="183"/>
      <c r="W2537" s="183"/>
      <c r="X2537" s="183"/>
      <c r="Y2537" s="183"/>
      <c r="Z2537" s="183"/>
      <c r="AA2537" s="183"/>
      <c r="AB2537" s="183"/>
      <c r="AC2537" s="183"/>
    </row>
    <row r="2538" spans="4:29">
      <c r="D2538" s="191"/>
      <c r="F2538" s="183"/>
      <c r="H2538" s="183"/>
      <c r="N2538" s="183"/>
      <c r="O2538" s="183"/>
      <c r="P2538" s="183"/>
      <c r="Q2538" s="183"/>
      <c r="R2538" s="183"/>
      <c r="S2538" s="183"/>
      <c r="T2538" s="183"/>
      <c r="U2538" s="183"/>
      <c r="V2538" s="183"/>
      <c r="W2538" s="183"/>
      <c r="X2538" s="183"/>
      <c r="Y2538" s="183"/>
      <c r="Z2538" s="183"/>
      <c r="AA2538" s="183"/>
      <c r="AB2538" s="183"/>
      <c r="AC2538" s="183"/>
    </row>
    <row r="2539" spans="4:29">
      <c r="D2539" s="191"/>
      <c r="F2539" s="183"/>
      <c r="H2539" s="183"/>
      <c r="N2539" s="183"/>
      <c r="O2539" s="183"/>
      <c r="P2539" s="183"/>
      <c r="Q2539" s="183"/>
      <c r="R2539" s="183"/>
      <c r="S2539" s="183"/>
      <c r="T2539" s="183"/>
      <c r="U2539" s="183"/>
      <c r="V2539" s="183"/>
      <c r="W2539" s="183"/>
      <c r="X2539" s="183"/>
      <c r="Y2539" s="183"/>
      <c r="Z2539" s="183"/>
      <c r="AA2539" s="183"/>
      <c r="AB2539" s="183"/>
      <c r="AC2539" s="183"/>
    </row>
    <row r="2540" spans="4:29">
      <c r="D2540" s="191"/>
      <c r="F2540" s="183"/>
      <c r="H2540" s="183"/>
      <c r="N2540" s="183"/>
      <c r="O2540" s="183"/>
      <c r="P2540" s="183"/>
      <c r="Q2540" s="183"/>
      <c r="R2540" s="183"/>
      <c r="S2540" s="183"/>
      <c r="T2540" s="183"/>
      <c r="U2540" s="183"/>
      <c r="V2540" s="183"/>
      <c r="W2540" s="183"/>
      <c r="X2540" s="183"/>
      <c r="Y2540" s="183"/>
      <c r="Z2540" s="183"/>
      <c r="AA2540" s="183"/>
      <c r="AB2540" s="183"/>
      <c r="AC2540" s="183"/>
    </row>
    <row r="2541" spans="4:29">
      <c r="D2541" s="191"/>
      <c r="F2541" s="183"/>
      <c r="H2541" s="183"/>
      <c r="N2541" s="183"/>
      <c r="O2541" s="183"/>
      <c r="P2541" s="183"/>
      <c r="Q2541" s="183"/>
      <c r="R2541" s="183"/>
      <c r="S2541" s="183"/>
      <c r="T2541" s="183"/>
      <c r="U2541" s="183"/>
      <c r="V2541" s="183"/>
      <c r="W2541" s="183"/>
      <c r="X2541" s="183"/>
      <c r="Y2541" s="183"/>
      <c r="Z2541" s="183"/>
      <c r="AA2541" s="183"/>
      <c r="AB2541" s="183"/>
      <c r="AC2541" s="183"/>
    </row>
    <row r="2542" spans="4:29">
      <c r="D2542" s="191"/>
      <c r="F2542" s="183"/>
      <c r="H2542" s="183"/>
      <c r="N2542" s="183"/>
      <c r="O2542" s="183"/>
      <c r="P2542" s="183"/>
      <c r="Q2542" s="183"/>
      <c r="R2542" s="183"/>
      <c r="S2542" s="183"/>
      <c r="T2542" s="183"/>
      <c r="U2542" s="183"/>
      <c r="V2542" s="183"/>
      <c r="W2542" s="183"/>
      <c r="X2542" s="183"/>
      <c r="Y2542" s="183"/>
      <c r="Z2542" s="183"/>
      <c r="AA2542" s="183"/>
      <c r="AB2542" s="183"/>
      <c r="AC2542" s="183"/>
    </row>
    <row r="2543" spans="4:29">
      <c r="D2543" s="191"/>
      <c r="F2543" s="183"/>
      <c r="H2543" s="183"/>
      <c r="N2543" s="183"/>
      <c r="O2543" s="183"/>
      <c r="P2543" s="183"/>
      <c r="Q2543" s="183"/>
      <c r="R2543" s="183"/>
      <c r="S2543" s="183"/>
      <c r="T2543" s="183"/>
      <c r="U2543" s="183"/>
      <c r="V2543" s="183"/>
      <c r="W2543" s="183"/>
      <c r="X2543" s="183"/>
      <c r="Y2543" s="183"/>
      <c r="Z2543" s="183"/>
      <c r="AA2543" s="183"/>
      <c r="AB2543" s="183"/>
      <c r="AC2543" s="183"/>
    </row>
    <row r="2544" spans="4:29">
      <c r="D2544" s="191"/>
      <c r="F2544" s="183"/>
      <c r="H2544" s="183"/>
      <c r="N2544" s="183"/>
      <c r="O2544" s="183"/>
      <c r="P2544" s="183"/>
      <c r="Q2544" s="183"/>
      <c r="R2544" s="183"/>
      <c r="S2544" s="183"/>
      <c r="T2544" s="183"/>
      <c r="U2544" s="183"/>
      <c r="V2544" s="183"/>
      <c r="W2544" s="183"/>
      <c r="X2544" s="183"/>
      <c r="Y2544" s="183"/>
      <c r="Z2544" s="183"/>
      <c r="AA2544" s="183"/>
      <c r="AB2544" s="183"/>
      <c r="AC2544" s="183"/>
    </row>
    <row r="2545" spans="4:29">
      <c r="D2545" s="191"/>
      <c r="F2545" s="183"/>
      <c r="H2545" s="183"/>
      <c r="N2545" s="183"/>
      <c r="O2545" s="183"/>
      <c r="P2545" s="183"/>
      <c r="Q2545" s="183"/>
      <c r="R2545" s="183"/>
      <c r="S2545" s="183"/>
      <c r="T2545" s="183"/>
      <c r="U2545" s="183"/>
      <c r="V2545" s="183"/>
      <c r="W2545" s="183"/>
      <c r="X2545" s="183"/>
      <c r="Y2545" s="183"/>
      <c r="Z2545" s="183"/>
      <c r="AA2545" s="183"/>
      <c r="AB2545" s="183"/>
      <c r="AC2545" s="183"/>
    </row>
    <row r="2546" spans="4:29">
      <c r="D2546" s="191"/>
      <c r="F2546" s="183"/>
      <c r="H2546" s="183"/>
      <c r="N2546" s="183"/>
      <c r="O2546" s="183"/>
      <c r="P2546" s="183"/>
      <c r="Q2546" s="183"/>
      <c r="R2546" s="183"/>
      <c r="S2546" s="183"/>
      <c r="T2546" s="183"/>
      <c r="U2546" s="183"/>
      <c r="V2546" s="183"/>
      <c r="W2546" s="183"/>
      <c r="X2546" s="183"/>
      <c r="Y2546" s="183"/>
      <c r="Z2546" s="183"/>
      <c r="AA2546" s="183"/>
      <c r="AB2546" s="183"/>
      <c r="AC2546" s="183"/>
    </row>
    <row r="2547" spans="4:29">
      <c r="D2547" s="191"/>
      <c r="F2547" s="183"/>
      <c r="H2547" s="183"/>
      <c r="N2547" s="183"/>
      <c r="O2547" s="183"/>
      <c r="P2547" s="183"/>
      <c r="Q2547" s="183"/>
      <c r="R2547" s="183"/>
      <c r="S2547" s="183"/>
      <c r="T2547" s="183"/>
      <c r="U2547" s="183"/>
      <c r="V2547" s="183"/>
      <c r="W2547" s="183"/>
      <c r="X2547" s="183"/>
      <c r="Y2547" s="183"/>
      <c r="Z2547" s="183"/>
      <c r="AA2547" s="183"/>
      <c r="AB2547" s="183"/>
      <c r="AC2547" s="183"/>
    </row>
    <row r="2548" spans="4:29">
      <c r="D2548" s="191"/>
      <c r="F2548" s="183"/>
      <c r="H2548" s="183"/>
      <c r="N2548" s="183"/>
      <c r="O2548" s="183"/>
      <c r="P2548" s="183"/>
      <c r="Q2548" s="183"/>
      <c r="R2548" s="183"/>
      <c r="S2548" s="183"/>
      <c r="T2548" s="183"/>
      <c r="U2548" s="183"/>
      <c r="V2548" s="183"/>
      <c r="W2548" s="183"/>
      <c r="X2548" s="183"/>
      <c r="Y2548" s="183"/>
      <c r="Z2548" s="183"/>
      <c r="AA2548" s="183"/>
      <c r="AB2548" s="183"/>
      <c r="AC2548" s="183"/>
    </row>
    <row r="2549" spans="4:29">
      <c r="D2549" s="191"/>
      <c r="F2549" s="183"/>
      <c r="H2549" s="183"/>
      <c r="N2549" s="183"/>
      <c r="O2549" s="183"/>
      <c r="P2549" s="183"/>
      <c r="Q2549" s="183"/>
      <c r="R2549" s="183"/>
      <c r="S2549" s="183"/>
      <c r="T2549" s="183"/>
      <c r="U2549" s="183"/>
      <c r="V2549" s="183"/>
      <c r="W2549" s="183"/>
      <c r="X2549" s="183"/>
      <c r="Y2549" s="183"/>
      <c r="Z2549" s="183"/>
      <c r="AA2549" s="183"/>
      <c r="AB2549" s="183"/>
      <c r="AC2549" s="183"/>
    </row>
    <row r="2550" spans="4:29">
      <c r="D2550" s="191"/>
      <c r="F2550" s="183"/>
      <c r="H2550" s="183"/>
      <c r="N2550" s="183"/>
      <c r="O2550" s="183"/>
      <c r="P2550" s="183"/>
      <c r="Q2550" s="183"/>
      <c r="R2550" s="183"/>
      <c r="S2550" s="183"/>
      <c r="T2550" s="183"/>
      <c r="U2550" s="183"/>
      <c r="V2550" s="183"/>
      <c r="W2550" s="183"/>
      <c r="X2550" s="183"/>
      <c r="Y2550" s="183"/>
      <c r="Z2550" s="183"/>
      <c r="AA2550" s="183"/>
      <c r="AB2550" s="183"/>
      <c r="AC2550" s="183"/>
    </row>
    <row r="2551" spans="4:29">
      <c r="D2551" s="191"/>
      <c r="F2551" s="183"/>
      <c r="H2551" s="183"/>
      <c r="N2551" s="183"/>
      <c r="O2551" s="183"/>
      <c r="P2551" s="183"/>
      <c r="Q2551" s="183"/>
      <c r="R2551" s="183"/>
      <c r="S2551" s="183"/>
      <c r="T2551" s="183"/>
      <c r="U2551" s="183"/>
      <c r="V2551" s="183"/>
      <c r="W2551" s="183"/>
      <c r="X2551" s="183"/>
      <c r="Y2551" s="183"/>
      <c r="Z2551" s="183"/>
      <c r="AA2551" s="183"/>
      <c r="AB2551" s="183"/>
      <c r="AC2551" s="183"/>
    </row>
    <row r="2552" spans="4:29">
      <c r="D2552" s="191"/>
      <c r="F2552" s="183"/>
      <c r="H2552" s="183"/>
      <c r="N2552" s="183"/>
      <c r="O2552" s="183"/>
      <c r="P2552" s="183"/>
      <c r="Q2552" s="183"/>
      <c r="R2552" s="183"/>
      <c r="S2552" s="183"/>
      <c r="T2552" s="183"/>
      <c r="U2552" s="183"/>
      <c r="V2552" s="183"/>
      <c r="W2552" s="183"/>
      <c r="X2552" s="183"/>
      <c r="Y2552" s="183"/>
      <c r="Z2552" s="183"/>
      <c r="AA2552" s="183"/>
      <c r="AB2552" s="183"/>
      <c r="AC2552" s="183"/>
    </row>
    <row r="2553" spans="4:29">
      <c r="D2553" s="191"/>
      <c r="F2553" s="183"/>
      <c r="H2553" s="183"/>
      <c r="N2553" s="183"/>
      <c r="O2553" s="183"/>
      <c r="P2553" s="183"/>
      <c r="Q2553" s="183"/>
      <c r="R2553" s="183"/>
      <c r="S2553" s="183"/>
      <c r="T2553" s="183"/>
      <c r="U2553" s="183"/>
      <c r="V2553" s="183"/>
      <c r="W2553" s="183"/>
      <c r="X2553" s="183"/>
      <c r="Y2553" s="183"/>
      <c r="Z2553" s="183"/>
      <c r="AA2553" s="183"/>
      <c r="AB2553" s="183"/>
      <c r="AC2553" s="183"/>
    </row>
    <row r="2554" spans="4:29">
      <c r="D2554" s="191"/>
      <c r="F2554" s="183"/>
      <c r="H2554" s="183"/>
      <c r="N2554" s="183"/>
      <c r="O2554" s="183"/>
      <c r="P2554" s="183"/>
      <c r="Q2554" s="183"/>
      <c r="R2554" s="183"/>
      <c r="S2554" s="183"/>
      <c r="T2554" s="183"/>
      <c r="U2554" s="183"/>
      <c r="V2554" s="183"/>
      <c r="W2554" s="183"/>
      <c r="X2554" s="183"/>
      <c r="Y2554" s="183"/>
      <c r="Z2554" s="183"/>
      <c r="AA2554" s="183"/>
      <c r="AB2554" s="183"/>
      <c r="AC2554" s="183"/>
    </row>
    <row r="2555" spans="4:29">
      <c r="D2555" s="191"/>
      <c r="F2555" s="183"/>
      <c r="H2555" s="183"/>
      <c r="N2555" s="183"/>
      <c r="O2555" s="183"/>
      <c r="P2555" s="183"/>
      <c r="Q2555" s="183"/>
      <c r="R2555" s="183"/>
      <c r="S2555" s="183"/>
      <c r="T2555" s="183"/>
      <c r="U2555" s="183"/>
      <c r="V2555" s="183"/>
      <c r="W2555" s="183"/>
      <c r="X2555" s="183"/>
      <c r="Y2555" s="183"/>
      <c r="Z2555" s="183"/>
      <c r="AA2555" s="183"/>
      <c r="AB2555" s="183"/>
      <c r="AC2555" s="183"/>
    </row>
    <row r="2556" spans="4:29">
      <c r="D2556" s="191"/>
      <c r="F2556" s="183"/>
      <c r="H2556" s="183"/>
      <c r="N2556" s="183"/>
      <c r="O2556" s="183"/>
      <c r="P2556" s="183"/>
      <c r="Q2556" s="183"/>
      <c r="R2556" s="183"/>
      <c r="S2556" s="183"/>
      <c r="T2556" s="183"/>
      <c r="U2556" s="183"/>
      <c r="V2556" s="183"/>
      <c r="W2556" s="183"/>
      <c r="X2556" s="183"/>
      <c r="Y2556" s="183"/>
      <c r="Z2556" s="183"/>
      <c r="AA2556" s="183"/>
      <c r="AB2556" s="183"/>
      <c r="AC2556" s="183"/>
    </row>
    <row r="2557" spans="4:29">
      <c r="D2557" s="191"/>
      <c r="F2557" s="183"/>
      <c r="H2557" s="183"/>
      <c r="N2557" s="183"/>
      <c r="O2557" s="183"/>
      <c r="P2557" s="183"/>
      <c r="Q2557" s="183"/>
      <c r="R2557" s="183"/>
      <c r="S2557" s="183"/>
      <c r="T2557" s="183"/>
      <c r="U2557" s="183"/>
      <c r="V2557" s="183"/>
      <c r="W2557" s="183"/>
      <c r="X2557" s="183"/>
      <c r="Y2557" s="183"/>
      <c r="Z2557" s="183"/>
      <c r="AA2557" s="183"/>
      <c r="AB2557" s="183"/>
      <c r="AC2557" s="183"/>
    </row>
    <row r="2558" spans="4:29">
      <c r="D2558" s="191"/>
      <c r="F2558" s="183"/>
      <c r="H2558" s="183"/>
      <c r="N2558" s="183"/>
      <c r="O2558" s="183"/>
      <c r="P2558" s="183"/>
      <c r="Q2558" s="183"/>
      <c r="R2558" s="183"/>
      <c r="S2558" s="183"/>
      <c r="T2558" s="183"/>
      <c r="U2558" s="183"/>
      <c r="V2558" s="183"/>
      <c r="W2558" s="183"/>
      <c r="X2558" s="183"/>
      <c r="Y2558" s="183"/>
      <c r="Z2558" s="183"/>
      <c r="AA2558" s="183"/>
      <c r="AB2558" s="183"/>
      <c r="AC2558" s="183"/>
    </row>
    <row r="2559" spans="4:29">
      <c r="D2559" s="191"/>
      <c r="F2559" s="183"/>
      <c r="H2559" s="183"/>
      <c r="N2559" s="183"/>
      <c r="O2559" s="183"/>
      <c r="P2559" s="183"/>
      <c r="Q2559" s="183"/>
      <c r="R2559" s="183"/>
      <c r="S2559" s="183"/>
      <c r="T2559" s="183"/>
      <c r="U2559" s="183"/>
      <c r="V2559" s="183"/>
      <c r="W2559" s="183"/>
      <c r="X2559" s="183"/>
      <c r="Y2559" s="183"/>
      <c r="Z2559" s="183"/>
      <c r="AA2559" s="183"/>
      <c r="AB2559" s="183"/>
      <c r="AC2559" s="183"/>
    </row>
    <row r="2560" spans="4:29">
      <c r="D2560" s="191"/>
      <c r="F2560" s="183"/>
      <c r="H2560" s="183"/>
      <c r="N2560" s="183"/>
      <c r="O2560" s="183"/>
      <c r="P2560" s="183"/>
      <c r="Q2560" s="183"/>
      <c r="R2560" s="183"/>
      <c r="S2560" s="183"/>
      <c r="T2560" s="183"/>
      <c r="U2560" s="183"/>
      <c r="V2560" s="183"/>
      <c r="W2560" s="183"/>
      <c r="X2560" s="183"/>
      <c r="Y2560" s="183"/>
      <c r="Z2560" s="183"/>
      <c r="AA2560" s="183"/>
      <c r="AB2560" s="183"/>
      <c r="AC2560" s="183"/>
    </row>
    <row r="2561" spans="4:29">
      <c r="D2561" s="191"/>
      <c r="F2561" s="183"/>
      <c r="H2561" s="183"/>
      <c r="N2561" s="183"/>
      <c r="O2561" s="183"/>
      <c r="P2561" s="183"/>
      <c r="Q2561" s="183"/>
      <c r="R2561" s="183"/>
      <c r="S2561" s="183"/>
      <c r="T2561" s="183"/>
      <c r="U2561" s="183"/>
      <c r="V2561" s="183"/>
      <c r="W2561" s="183"/>
      <c r="X2561" s="183"/>
      <c r="Y2561" s="183"/>
      <c r="Z2561" s="183"/>
      <c r="AA2561" s="183"/>
      <c r="AB2561" s="183"/>
      <c r="AC2561" s="183"/>
    </row>
    <row r="2562" spans="4:29">
      <c r="D2562" s="191"/>
      <c r="F2562" s="183"/>
      <c r="H2562" s="183"/>
      <c r="N2562" s="183"/>
      <c r="O2562" s="183"/>
      <c r="P2562" s="183"/>
      <c r="Q2562" s="183"/>
      <c r="R2562" s="183"/>
      <c r="S2562" s="183"/>
      <c r="T2562" s="183"/>
      <c r="U2562" s="183"/>
      <c r="V2562" s="183"/>
      <c r="W2562" s="183"/>
      <c r="X2562" s="183"/>
      <c r="Y2562" s="183"/>
      <c r="Z2562" s="183"/>
      <c r="AA2562" s="183"/>
      <c r="AB2562" s="183"/>
      <c r="AC2562" s="183"/>
    </row>
    <row r="2563" spans="4:29">
      <c r="D2563" s="191"/>
      <c r="F2563" s="183"/>
      <c r="H2563" s="183"/>
      <c r="N2563" s="183"/>
      <c r="O2563" s="183"/>
      <c r="P2563" s="183"/>
      <c r="Q2563" s="183"/>
      <c r="R2563" s="183"/>
      <c r="S2563" s="183"/>
      <c r="T2563" s="183"/>
      <c r="U2563" s="183"/>
      <c r="V2563" s="183"/>
      <c r="W2563" s="183"/>
      <c r="X2563" s="183"/>
      <c r="Y2563" s="183"/>
      <c r="Z2563" s="183"/>
      <c r="AA2563" s="183"/>
      <c r="AB2563" s="183"/>
      <c r="AC2563" s="183"/>
    </row>
    <row r="2564" spans="4:29">
      <c r="D2564" s="191"/>
      <c r="F2564" s="183"/>
      <c r="H2564" s="183"/>
      <c r="N2564" s="183"/>
      <c r="O2564" s="183"/>
      <c r="P2564" s="183"/>
      <c r="Q2564" s="183"/>
      <c r="R2564" s="183"/>
      <c r="S2564" s="183"/>
      <c r="T2564" s="183"/>
      <c r="U2564" s="183"/>
      <c r="V2564" s="183"/>
      <c r="W2564" s="183"/>
      <c r="X2564" s="183"/>
      <c r="Y2564" s="183"/>
      <c r="Z2564" s="183"/>
      <c r="AA2564" s="183"/>
      <c r="AB2564" s="183"/>
      <c r="AC2564" s="183"/>
    </row>
    <row r="2565" spans="4:29">
      <c r="D2565" s="191"/>
      <c r="F2565" s="183"/>
      <c r="H2565" s="183"/>
      <c r="N2565" s="183"/>
      <c r="O2565" s="183"/>
      <c r="P2565" s="183"/>
      <c r="Q2565" s="183"/>
      <c r="R2565" s="183"/>
      <c r="S2565" s="183"/>
      <c r="T2565" s="183"/>
      <c r="U2565" s="183"/>
      <c r="V2565" s="183"/>
      <c r="W2565" s="183"/>
      <c r="X2565" s="183"/>
      <c r="Y2565" s="183"/>
      <c r="Z2565" s="183"/>
      <c r="AA2565" s="183"/>
      <c r="AB2565" s="183"/>
      <c r="AC2565" s="183"/>
    </row>
    <row r="2566" spans="4:29">
      <c r="D2566" s="191"/>
      <c r="F2566" s="183"/>
      <c r="H2566" s="183"/>
      <c r="N2566" s="183"/>
      <c r="O2566" s="183"/>
      <c r="P2566" s="183"/>
      <c r="Q2566" s="183"/>
      <c r="R2566" s="183"/>
      <c r="S2566" s="183"/>
      <c r="T2566" s="183"/>
      <c r="U2566" s="183"/>
      <c r="V2566" s="183"/>
      <c r="W2566" s="183"/>
      <c r="X2566" s="183"/>
      <c r="Y2566" s="183"/>
      <c r="Z2566" s="183"/>
      <c r="AA2566" s="183"/>
      <c r="AB2566" s="183"/>
      <c r="AC2566" s="183"/>
    </row>
    <row r="2567" spans="4:29">
      <c r="D2567" s="191"/>
      <c r="F2567" s="183"/>
      <c r="H2567" s="183"/>
      <c r="N2567" s="183"/>
      <c r="O2567" s="183"/>
      <c r="P2567" s="183"/>
      <c r="Q2567" s="183"/>
      <c r="R2567" s="183"/>
      <c r="S2567" s="183"/>
      <c r="T2567" s="183"/>
      <c r="U2567" s="183"/>
      <c r="V2567" s="183"/>
      <c r="W2567" s="183"/>
      <c r="X2567" s="183"/>
      <c r="Y2567" s="183"/>
      <c r="Z2567" s="183"/>
      <c r="AA2567" s="183"/>
      <c r="AB2567" s="183"/>
      <c r="AC2567" s="183"/>
    </row>
    <row r="2568" spans="4:29">
      <c r="D2568" s="191"/>
      <c r="F2568" s="183"/>
      <c r="H2568" s="183"/>
      <c r="N2568" s="183"/>
      <c r="O2568" s="183"/>
      <c r="P2568" s="183"/>
      <c r="Q2568" s="183"/>
      <c r="R2568" s="183"/>
      <c r="S2568" s="183"/>
      <c r="T2568" s="183"/>
      <c r="U2568" s="183"/>
      <c r="V2568" s="183"/>
      <c r="W2568" s="183"/>
      <c r="X2568" s="183"/>
      <c r="Y2568" s="183"/>
      <c r="Z2568" s="183"/>
      <c r="AA2568" s="183"/>
      <c r="AB2568" s="183"/>
      <c r="AC2568" s="183"/>
    </row>
    <row r="2569" spans="4:29">
      <c r="D2569" s="191"/>
      <c r="F2569" s="183"/>
      <c r="H2569" s="183"/>
      <c r="N2569" s="183"/>
      <c r="O2569" s="183"/>
      <c r="P2569" s="183"/>
      <c r="Q2569" s="183"/>
      <c r="R2569" s="183"/>
      <c r="S2569" s="183"/>
      <c r="T2569" s="183"/>
      <c r="U2569" s="183"/>
      <c r="V2569" s="183"/>
      <c r="W2569" s="183"/>
      <c r="X2569" s="183"/>
      <c r="Y2569" s="183"/>
      <c r="Z2569" s="183"/>
      <c r="AA2569" s="183"/>
      <c r="AB2569" s="183"/>
      <c r="AC2569" s="183"/>
    </row>
    <row r="2570" spans="4:29">
      <c r="D2570" s="191"/>
      <c r="F2570" s="183"/>
      <c r="H2570" s="183"/>
      <c r="N2570" s="183"/>
      <c r="O2570" s="183"/>
      <c r="P2570" s="183"/>
      <c r="Q2570" s="183"/>
      <c r="R2570" s="183"/>
      <c r="S2570" s="183"/>
      <c r="T2570" s="183"/>
      <c r="U2570" s="183"/>
      <c r="V2570" s="183"/>
      <c r="W2570" s="183"/>
      <c r="X2570" s="183"/>
      <c r="Y2570" s="183"/>
      <c r="Z2570" s="183"/>
      <c r="AA2570" s="183"/>
      <c r="AB2570" s="183"/>
      <c r="AC2570" s="183"/>
    </row>
    <row r="2571" spans="4:29">
      <c r="D2571" s="191"/>
      <c r="F2571" s="183"/>
      <c r="H2571" s="183"/>
      <c r="N2571" s="183"/>
      <c r="O2571" s="183"/>
      <c r="P2571" s="183"/>
      <c r="Q2571" s="183"/>
      <c r="R2571" s="183"/>
      <c r="S2571" s="183"/>
      <c r="T2571" s="183"/>
      <c r="U2571" s="183"/>
      <c r="V2571" s="183"/>
      <c r="W2571" s="183"/>
      <c r="X2571" s="183"/>
      <c r="Y2571" s="183"/>
      <c r="Z2571" s="183"/>
      <c r="AA2571" s="183"/>
      <c r="AB2571" s="183"/>
      <c r="AC2571" s="183"/>
    </row>
    <row r="2572" spans="4:29">
      <c r="D2572" s="191"/>
      <c r="F2572" s="183"/>
      <c r="H2572" s="183"/>
      <c r="N2572" s="183"/>
      <c r="O2572" s="183"/>
      <c r="P2572" s="183"/>
      <c r="Q2572" s="183"/>
      <c r="R2572" s="183"/>
      <c r="S2572" s="183"/>
      <c r="T2572" s="183"/>
      <c r="U2572" s="183"/>
      <c r="V2572" s="183"/>
      <c r="W2572" s="183"/>
      <c r="X2572" s="183"/>
      <c r="Y2572" s="183"/>
      <c r="Z2572" s="183"/>
      <c r="AA2572" s="183"/>
      <c r="AB2572" s="183"/>
      <c r="AC2572" s="183"/>
    </row>
    <row r="2573" spans="4:29">
      <c r="D2573" s="191"/>
      <c r="F2573" s="183"/>
      <c r="H2573" s="183"/>
      <c r="N2573" s="183"/>
      <c r="O2573" s="183"/>
      <c r="P2573" s="183"/>
      <c r="Q2573" s="183"/>
      <c r="R2573" s="183"/>
      <c r="S2573" s="183"/>
      <c r="T2573" s="183"/>
      <c r="U2573" s="183"/>
      <c r="V2573" s="183"/>
      <c r="W2573" s="183"/>
      <c r="X2573" s="183"/>
      <c r="Y2573" s="183"/>
      <c r="Z2573" s="183"/>
      <c r="AA2573" s="183"/>
      <c r="AB2573" s="183"/>
      <c r="AC2573" s="183"/>
    </row>
    <row r="2574" spans="4:29">
      <c r="D2574" s="191"/>
      <c r="F2574" s="183"/>
      <c r="H2574" s="183"/>
      <c r="N2574" s="183"/>
      <c r="O2574" s="183"/>
      <c r="P2574" s="183"/>
      <c r="Q2574" s="183"/>
      <c r="R2574" s="183"/>
      <c r="S2574" s="183"/>
      <c r="T2574" s="183"/>
      <c r="U2574" s="183"/>
      <c r="V2574" s="183"/>
      <c r="W2574" s="183"/>
      <c r="X2574" s="183"/>
      <c r="Y2574" s="183"/>
      <c r="Z2574" s="183"/>
      <c r="AA2574" s="183"/>
      <c r="AB2574" s="183"/>
      <c r="AC2574" s="183"/>
    </row>
    <row r="2575" spans="4:29">
      <c r="D2575" s="191"/>
      <c r="F2575" s="183"/>
      <c r="H2575" s="183"/>
      <c r="N2575" s="183"/>
      <c r="O2575" s="183"/>
      <c r="P2575" s="183"/>
      <c r="Q2575" s="183"/>
      <c r="R2575" s="183"/>
      <c r="S2575" s="183"/>
      <c r="T2575" s="183"/>
      <c r="U2575" s="183"/>
      <c r="V2575" s="183"/>
      <c r="W2575" s="183"/>
      <c r="X2575" s="183"/>
      <c r="Y2575" s="183"/>
      <c r="Z2575" s="183"/>
      <c r="AA2575" s="183"/>
      <c r="AB2575" s="183"/>
      <c r="AC2575" s="183"/>
    </row>
    <row r="2576" spans="4:29">
      <c r="D2576" s="191"/>
      <c r="F2576" s="183"/>
      <c r="H2576" s="183"/>
      <c r="N2576" s="183"/>
      <c r="O2576" s="183"/>
      <c r="P2576" s="183"/>
      <c r="Q2576" s="183"/>
      <c r="R2576" s="183"/>
      <c r="S2576" s="183"/>
      <c r="T2576" s="183"/>
      <c r="U2576" s="183"/>
      <c r="V2576" s="183"/>
      <c r="W2576" s="183"/>
      <c r="X2576" s="183"/>
      <c r="Y2576" s="183"/>
      <c r="Z2576" s="183"/>
      <c r="AA2576" s="183"/>
      <c r="AB2576" s="183"/>
      <c r="AC2576" s="183"/>
    </row>
    <row r="2577" spans="4:29">
      <c r="D2577" s="191"/>
      <c r="F2577" s="183"/>
      <c r="H2577" s="183"/>
      <c r="N2577" s="183"/>
      <c r="O2577" s="183"/>
      <c r="P2577" s="183"/>
      <c r="Q2577" s="183"/>
      <c r="R2577" s="183"/>
      <c r="S2577" s="183"/>
      <c r="T2577" s="183"/>
      <c r="U2577" s="183"/>
      <c r="V2577" s="183"/>
      <c r="W2577" s="183"/>
      <c r="X2577" s="183"/>
      <c r="Y2577" s="183"/>
      <c r="Z2577" s="183"/>
      <c r="AA2577" s="183"/>
      <c r="AB2577" s="183"/>
      <c r="AC2577" s="183"/>
    </row>
    <row r="2578" spans="4:29">
      <c r="D2578" s="191"/>
      <c r="F2578" s="183"/>
      <c r="H2578" s="183"/>
      <c r="N2578" s="183"/>
      <c r="O2578" s="183"/>
      <c r="P2578" s="183"/>
      <c r="Q2578" s="183"/>
      <c r="R2578" s="183"/>
      <c r="S2578" s="183"/>
      <c r="T2578" s="183"/>
      <c r="U2578" s="183"/>
      <c r="V2578" s="183"/>
      <c r="W2578" s="183"/>
      <c r="X2578" s="183"/>
      <c r="Y2578" s="183"/>
      <c r="Z2578" s="183"/>
      <c r="AA2578" s="183"/>
      <c r="AB2578" s="183"/>
      <c r="AC2578" s="183"/>
    </row>
    <row r="2579" spans="4:29">
      <c r="D2579" s="191"/>
      <c r="F2579" s="183"/>
      <c r="H2579" s="183"/>
      <c r="N2579" s="183"/>
      <c r="O2579" s="183"/>
      <c r="P2579" s="183"/>
      <c r="Q2579" s="183"/>
      <c r="R2579" s="183"/>
      <c r="S2579" s="183"/>
      <c r="T2579" s="183"/>
      <c r="U2579" s="183"/>
      <c r="V2579" s="183"/>
      <c r="W2579" s="183"/>
      <c r="X2579" s="183"/>
      <c r="Y2579" s="183"/>
      <c r="Z2579" s="183"/>
      <c r="AA2579" s="183"/>
      <c r="AB2579" s="183"/>
      <c r="AC2579" s="183"/>
    </row>
    <row r="2580" spans="4:29">
      <c r="D2580" s="191"/>
      <c r="F2580" s="183"/>
      <c r="H2580" s="183"/>
      <c r="N2580" s="183"/>
      <c r="O2580" s="183"/>
      <c r="P2580" s="183"/>
      <c r="Q2580" s="183"/>
      <c r="R2580" s="183"/>
      <c r="S2580" s="183"/>
      <c r="T2580" s="183"/>
      <c r="U2580" s="183"/>
      <c r="V2580" s="183"/>
      <c r="W2580" s="183"/>
      <c r="X2580" s="183"/>
      <c r="Y2580" s="183"/>
      <c r="Z2580" s="183"/>
      <c r="AA2580" s="183"/>
      <c r="AB2580" s="183"/>
      <c r="AC2580" s="183"/>
    </row>
    <row r="2581" spans="4:29">
      <c r="D2581" s="191"/>
      <c r="F2581" s="183"/>
      <c r="H2581" s="183"/>
      <c r="N2581" s="183"/>
      <c r="O2581" s="183"/>
      <c r="P2581" s="183"/>
      <c r="Q2581" s="183"/>
      <c r="R2581" s="183"/>
      <c r="S2581" s="183"/>
      <c r="T2581" s="183"/>
      <c r="U2581" s="183"/>
      <c r="V2581" s="183"/>
      <c r="W2581" s="183"/>
      <c r="X2581" s="183"/>
      <c r="Y2581" s="183"/>
      <c r="Z2581" s="183"/>
      <c r="AA2581" s="183"/>
      <c r="AB2581" s="183"/>
      <c r="AC2581" s="183"/>
    </row>
    <row r="2582" spans="4:29">
      <c r="D2582" s="191"/>
      <c r="F2582" s="183"/>
      <c r="H2582" s="183"/>
      <c r="N2582" s="183"/>
      <c r="O2582" s="183"/>
      <c r="P2582" s="183"/>
      <c r="Q2582" s="183"/>
      <c r="R2582" s="183"/>
      <c r="S2582" s="183"/>
      <c r="T2582" s="183"/>
      <c r="U2582" s="183"/>
      <c r="V2582" s="183"/>
      <c r="W2582" s="183"/>
      <c r="X2582" s="183"/>
      <c r="Y2582" s="183"/>
      <c r="Z2582" s="183"/>
      <c r="AA2582" s="183"/>
      <c r="AB2582" s="183"/>
      <c r="AC2582" s="183"/>
    </row>
    <row r="2583" spans="4:29">
      <c r="D2583" s="191"/>
      <c r="F2583" s="183"/>
      <c r="H2583" s="183"/>
      <c r="N2583" s="183"/>
      <c r="O2583" s="183"/>
      <c r="P2583" s="183"/>
      <c r="Q2583" s="183"/>
      <c r="R2583" s="183"/>
      <c r="S2583" s="183"/>
      <c r="T2583" s="183"/>
      <c r="U2583" s="183"/>
      <c r="V2583" s="183"/>
      <c r="W2583" s="183"/>
      <c r="X2583" s="183"/>
      <c r="Y2583" s="183"/>
      <c r="Z2583" s="183"/>
      <c r="AA2583" s="183"/>
      <c r="AB2583" s="183"/>
      <c r="AC2583" s="183"/>
    </row>
    <row r="2584" spans="4:29">
      <c r="D2584" s="191"/>
      <c r="F2584" s="183"/>
      <c r="H2584" s="183"/>
      <c r="N2584" s="183"/>
      <c r="O2584" s="183"/>
      <c r="P2584" s="183"/>
      <c r="Q2584" s="183"/>
      <c r="R2584" s="183"/>
      <c r="S2584" s="183"/>
      <c r="T2584" s="183"/>
      <c r="U2584" s="183"/>
      <c r="V2584" s="183"/>
      <c r="W2584" s="183"/>
      <c r="X2584" s="183"/>
      <c r="Y2584" s="183"/>
      <c r="Z2584" s="183"/>
      <c r="AA2584" s="183"/>
      <c r="AB2584" s="183"/>
      <c r="AC2584" s="183"/>
    </row>
    <row r="2585" spans="4:29">
      <c r="D2585" s="191"/>
      <c r="F2585" s="183"/>
      <c r="H2585" s="183"/>
      <c r="N2585" s="183"/>
      <c r="O2585" s="183"/>
      <c r="P2585" s="183"/>
      <c r="Q2585" s="183"/>
      <c r="R2585" s="183"/>
      <c r="S2585" s="183"/>
      <c r="T2585" s="183"/>
      <c r="U2585" s="183"/>
      <c r="V2585" s="183"/>
      <c r="W2585" s="183"/>
      <c r="X2585" s="183"/>
      <c r="Y2585" s="183"/>
      <c r="Z2585" s="183"/>
      <c r="AA2585" s="183"/>
      <c r="AB2585" s="183"/>
      <c r="AC2585" s="183"/>
    </row>
    <row r="2586" spans="4:29">
      <c r="D2586" s="191"/>
      <c r="F2586" s="183"/>
      <c r="H2586" s="183"/>
      <c r="N2586" s="183"/>
      <c r="O2586" s="183"/>
      <c r="P2586" s="183"/>
      <c r="Q2586" s="183"/>
      <c r="R2586" s="183"/>
      <c r="S2586" s="183"/>
      <c r="T2586" s="183"/>
      <c r="U2586" s="183"/>
      <c r="V2586" s="183"/>
      <c r="W2586" s="183"/>
      <c r="X2586" s="183"/>
      <c r="Y2586" s="183"/>
      <c r="Z2586" s="183"/>
      <c r="AA2586" s="183"/>
      <c r="AB2586" s="183"/>
      <c r="AC2586" s="183"/>
    </row>
    <row r="2587" spans="4:29">
      <c r="D2587" s="191"/>
      <c r="F2587" s="183"/>
      <c r="H2587" s="183"/>
      <c r="N2587" s="183"/>
      <c r="O2587" s="183"/>
      <c r="P2587" s="183"/>
      <c r="Q2587" s="183"/>
      <c r="R2587" s="183"/>
      <c r="S2587" s="183"/>
      <c r="T2587" s="183"/>
      <c r="U2587" s="183"/>
      <c r="V2587" s="183"/>
      <c r="W2587" s="183"/>
      <c r="X2587" s="183"/>
      <c r="Y2587" s="183"/>
      <c r="Z2587" s="183"/>
      <c r="AA2587" s="183"/>
      <c r="AB2587" s="183"/>
      <c r="AC2587" s="183"/>
    </row>
    <row r="2588" spans="4:29">
      <c r="D2588" s="191"/>
      <c r="F2588" s="183"/>
      <c r="H2588" s="183"/>
      <c r="N2588" s="183"/>
      <c r="O2588" s="183"/>
      <c r="P2588" s="183"/>
      <c r="Q2588" s="183"/>
      <c r="R2588" s="183"/>
      <c r="S2588" s="183"/>
      <c r="T2588" s="183"/>
      <c r="U2588" s="183"/>
      <c r="V2588" s="183"/>
      <c r="W2588" s="183"/>
      <c r="X2588" s="183"/>
      <c r="Y2588" s="183"/>
      <c r="Z2588" s="183"/>
      <c r="AA2588" s="183"/>
      <c r="AB2588" s="183"/>
      <c r="AC2588" s="183"/>
    </row>
    <row r="2589" spans="4:29">
      <c r="D2589" s="191"/>
      <c r="F2589" s="183"/>
      <c r="H2589" s="183"/>
      <c r="N2589" s="183"/>
      <c r="O2589" s="183"/>
      <c r="P2589" s="183"/>
      <c r="Q2589" s="183"/>
      <c r="R2589" s="183"/>
      <c r="S2589" s="183"/>
      <c r="T2589" s="183"/>
      <c r="U2589" s="183"/>
      <c r="V2589" s="183"/>
      <c r="W2589" s="183"/>
      <c r="X2589" s="183"/>
      <c r="Y2589" s="183"/>
      <c r="Z2589" s="183"/>
      <c r="AA2589" s="183"/>
      <c r="AB2589" s="183"/>
      <c r="AC2589" s="183"/>
    </row>
    <row r="2590" spans="4:29">
      <c r="D2590" s="191"/>
      <c r="F2590" s="183"/>
      <c r="H2590" s="183"/>
      <c r="N2590" s="183"/>
      <c r="O2590" s="183"/>
      <c r="P2590" s="183"/>
      <c r="Q2590" s="183"/>
      <c r="R2590" s="183"/>
      <c r="S2590" s="183"/>
      <c r="T2590" s="183"/>
      <c r="U2590" s="183"/>
      <c r="V2590" s="183"/>
      <c r="W2590" s="183"/>
      <c r="X2590" s="183"/>
      <c r="Y2590" s="183"/>
      <c r="Z2590" s="183"/>
      <c r="AA2590" s="183"/>
      <c r="AB2590" s="183"/>
      <c r="AC2590" s="183"/>
    </row>
    <row r="2591" spans="4:29">
      <c r="D2591" s="191"/>
      <c r="F2591" s="183"/>
      <c r="H2591" s="183"/>
      <c r="N2591" s="183"/>
      <c r="O2591" s="183"/>
      <c r="P2591" s="183"/>
      <c r="Q2591" s="183"/>
      <c r="R2591" s="183"/>
      <c r="S2591" s="183"/>
      <c r="T2591" s="183"/>
      <c r="U2591" s="183"/>
      <c r="V2591" s="183"/>
      <c r="W2591" s="183"/>
      <c r="X2591" s="183"/>
      <c r="Y2591" s="183"/>
      <c r="Z2591" s="183"/>
      <c r="AA2591" s="183"/>
      <c r="AB2591" s="183"/>
      <c r="AC2591" s="183"/>
    </row>
    <row r="2592" spans="4:29">
      <c r="D2592" s="191"/>
      <c r="F2592" s="183"/>
      <c r="H2592" s="183"/>
      <c r="N2592" s="183"/>
      <c r="O2592" s="183"/>
      <c r="P2592" s="183"/>
      <c r="Q2592" s="183"/>
      <c r="R2592" s="183"/>
      <c r="S2592" s="183"/>
      <c r="T2592" s="183"/>
      <c r="U2592" s="183"/>
      <c r="V2592" s="183"/>
      <c r="W2592" s="183"/>
      <c r="X2592" s="183"/>
      <c r="Y2592" s="183"/>
      <c r="Z2592" s="183"/>
      <c r="AA2592" s="183"/>
      <c r="AB2592" s="183"/>
      <c r="AC2592" s="183"/>
    </row>
    <row r="2593" spans="4:29">
      <c r="D2593" s="191"/>
      <c r="F2593" s="183"/>
      <c r="H2593" s="183"/>
      <c r="N2593" s="183"/>
      <c r="O2593" s="183"/>
      <c r="P2593" s="183"/>
      <c r="Q2593" s="183"/>
      <c r="R2593" s="183"/>
      <c r="S2593" s="183"/>
      <c r="T2593" s="183"/>
      <c r="U2593" s="183"/>
      <c r="V2593" s="183"/>
      <c r="W2593" s="183"/>
      <c r="X2593" s="183"/>
      <c r="Y2593" s="183"/>
      <c r="Z2593" s="183"/>
      <c r="AA2593" s="183"/>
      <c r="AB2593" s="183"/>
      <c r="AC2593" s="183"/>
    </row>
    <row r="2594" spans="4:29">
      <c r="D2594" s="191"/>
      <c r="F2594" s="183"/>
      <c r="H2594" s="183"/>
      <c r="N2594" s="183"/>
      <c r="O2594" s="183"/>
      <c r="P2594" s="183"/>
      <c r="Q2594" s="183"/>
      <c r="R2594" s="183"/>
      <c r="S2594" s="183"/>
      <c r="T2594" s="183"/>
      <c r="U2594" s="183"/>
      <c r="V2594" s="183"/>
      <c r="W2594" s="183"/>
      <c r="X2594" s="183"/>
      <c r="Y2594" s="183"/>
      <c r="Z2594" s="183"/>
      <c r="AA2594" s="183"/>
      <c r="AB2594" s="183"/>
      <c r="AC2594" s="183"/>
    </row>
    <row r="2595" spans="4:29">
      <c r="D2595" s="191"/>
      <c r="F2595" s="183"/>
      <c r="H2595" s="183"/>
      <c r="N2595" s="183"/>
      <c r="O2595" s="183"/>
      <c r="P2595" s="183"/>
      <c r="Q2595" s="183"/>
      <c r="R2595" s="183"/>
      <c r="S2595" s="183"/>
      <c r="T2595" s="183"/>
      <c r="U2595" s="183"/>
      <c r="V2595" s="183"/>
      <c r="W2595" s="183"/>
      <c r="X2595" s="183"/>
      <c r="Y2595" s="183"/>
      <c r="Z2595" s="183"/>
      <c r="AA2595" s="183"/>
      <c r="AB2595" s="183"/>
      <c r="AC2595" s="183"/>
    </row>
    <row r="2596" spans="4:29">
      <c r="D2596" s="191"/>
      <c r="F2596" s="183"/>
      <c r="H2596" s="183"/>
      <c r="N2596" s="183"/>
      <c r="O2596" s="183"/>
      <c r="P2596" s="183"/>
      <c r="Q2596" s="183"/>
      <c r="R2596" s="183"/>
      <c r="S2596" s="183"/>
      <c r="T2596" s="183"/>
      <c r="U2596" s="183"/>
      <c r="V2596" s="183"/>
      <c r="W2596" s="183"/>
      <c r="X2596" s="183"/>
      <c r="Y2596" s="183"/>
      <c r="Z2596" s="183"/>
      <c r="AA2596" s="183"/>
      <c r="AB2596" s="183"/>
      <c r="AC2596" s="183"/>
    </row>
    <row r="2597" spans="4:29">
      <c r="D2597" s="191"/>
      <c r="F2597" s="183"/>
      <c r="H2597" s="183"/>
      <c r="N2597" s="183"/>
      <c r="O2597" s="183"/>
      <c r="P2597" s="183"/>
      <c r="Q2597" s="183"/>
      <c r="R2597" s="183"/>
      <c r="S2597" s="183"/>
      <c r="T2597" s="183"/>
      <c r="U2597" s="183"/>
      <c r="V2597" s="183"/>
      <c r="W2597" s="183"/>
      <c r="X2597" s="183"/>
      <c r="Y2597" s="183"/>
      <c r="Z2597" s="183"/>
      <c r="AA2597" s="183"/>
      <c r="AB2597" s="183"/>
      <c r="AC2597" s="183"/>
    </row>
    <row r="2598" spans="4:29">
      <c r="D2598" s="191"/>
      <c r="F2598" s="183"/>
      <c r="H2598" s="183"/>
      <c r="N2598" s="183"/>
      <c r="O2598" s="183"/>
      <c r="P2598" s="183"/>
      <c r="Q2598" s="183"/>
      <c r="R2598" s="183"/>
      <c r="S2598" s="183"/>
      <c r="T2598" s="183"/>
      <c r="U2598" s="183"/>
      <c r="V2598" s="183"/>
      <c r="W2598" s="183"/>
      <c r="X2598" s="183"/>
      <c r="Y2598" s="183"/>
      <c r="Z2598" s="183"/>
      <c r="AA2598" s="183"/>
      <c r="AB2598" s="183"/>
      <c r="AC2598" s="183"/>
    </row>
    <row r="2599" spans="4:29">
      <c r="D2599" s="191"/>
      <c r="F2599" s="183"/>
      <c r="H2599" s="183"/>
      <c r="N2599" s="183"/>
      <c r="O2599" s="183"/>
      <c r="P2599" s="183"/>
      <c r="Q2599" s="183"/>
      <c r="R2599" s="183"/>
      <c r="S2599" s="183"/>
      <c r="T2599" s="183"/>
      <c r="U2599" s="183"/>
      <c r="V2599" s="183"/>
      <c r="W2599" s="183"/>
      <c r="X2599" s="183"/>
      <c r="Y2599" s="183"/>
      <c r="Z2599" s="183"/>
      <c r="AA2599" s="183"/>
      <c r="AB2599" s="183"/>
      <c r="AC2599" s="183"/>
    </row>
    <row r="2600" spans="4:29">
      <c r="D2600" s="191"/>
      <c r="F2600" s="183"/>
      <c r="H2600" s="183"/>
      <c r="N2600" s="183"/>
      <c r="O2600" s="183"/>
      <c r="P2600" s="183"/>
      <c r="Q2600" s="183"/>
      <c r="R2600" s="183"/>
      <c r="S2600" s="183"/>
      <c r="T2600" s="183"/>
      <c r="U2600" s="183"/>
      <c r="V2600" s="183"/>
      <c r="W2600" s="183"/>
      <c r="X2600" s="183"/>
      <c r="Y2600" s="183"/>
      <c r="Z2600" s="183"/>
      <c r="AA2600" s="183"/>
      <c r="AB2600" s="183"/>
      <c r="AC2600" s="183"/>
    </row>
    <row r="2601" spans="4:29">
      <c r="D2601" s="191"/>
      <c r="F2601" s="183"/>
      <c r="H2601" s="183"/>
      <c r="N2601" s="183"/>
      <c r="O2601" s="183"/>
      <c r="P2601" s="183"/>
      <c r="Q2601" s="183"/>
      <c r="R2601" s="183"/>
      <c r="S2601" s="183"/>
      <c r="T2601" s="183"/>
      <c r="U2601" s="183"/>
      <c r="V2601" s="183"/>
      <c r="W2601" s="183"/>
      <c r="X2601" s="183"/>
      <c r="Y2601" s="183"/>
      <c r="Z2601" s="183"/>
      <c r="AA2601" s="183"/>
      <c r="AB2601" s="183"/>
      <c r="AC2601" s="183"/>
    </row>
    <row r="2602" spans="4:29">
      <c r="D2602" s="191"/>
      <c r="F2602" s="183"/>
      <c r="H2602" s="183"/>
      <c r="N2602" s="183"/>
      <c r="O2602" s="183"/>
      <c r="P2602" s="183"/>
      <c r="Q2602" s="183"/>
      <c r="R2602" s="183"/>
      <c r="S2602" s="183"/>
      <c r="T2602" s="183"/>
      <c r="U2602" s="183"/>
      <c r="V2602" s="183"/>
      <c r="W2602" s="183"/>
      <c r="X2602" s="183"/>
      <c r="Y2602" s="183"/>
      <c r="Z2602" s="183"/>
      <c r="AA2602" s="183"/>
      <c r="AB2602" s="183"/>
      <c r="AC2602" s="183"/>
    </row>
    <row r="2603" spans="4:29">
      <c r="D2603" s="191"/>
      <c r="F2603" s="183"/>
      <c r="G2603" s="183"/>
      <c r="H2603" s="183"/>
      <c r="J2603" s="907"/>
      <c r="K2603" s="907"/>
      <c r="L2603" s="907"/>
      <c r="M2603" s="907"/>
      <c r="N2603" s="183"/>
      <c r="O2603" s="183"/>
      <c r="P2603" s="183"/>
      <c r="Q2603" s="183"/>
      <c r="R2603" s="183"/>
      <c r="S2603" s="183"/>
      <c r="T2603" s="183"/>
      <c r="U2603" s="183"/>
      <c r="V2603" s="183"/>
      <c r="W2603" s="183"/>
      <c r="X2603" s="183"/>
      <c r="Y2603" s="183"/>
      <c r="Z2603" s="183"/>
      <c r="AA2603" s="183"/>
      <c r="AB2603" s="183"/>
      <c r="AC2603" s="183"/>
    </row>
    <row r="2604" spans="4:29">
      <c r="D2604" s="191"/>
      <c r="F2604" s="183"/>
      <c r="G2604" s="183"/>
      <c r="H2604" s="183"/>
      <c r="J2604" s="907"/>
      <c r="K2604" s="907"/>
      <c r="L2604" s="907"/>
      <c r="M2604" s="907"/>
      <c r="N2604" s="183"/>
      <c r="O2604" s="183"/>
      <c r="P2604" s="183"/>
      <c r="Q2604" s="183"/>
      <c r="R2604" s="183"/>
      <c r="S2604" s="183"/>
      <c r="T2604" s="183"/>
      <c r="U2604" s="183"/>
      <c r="V2604" s="183"/>
      <c r="W2604" s="183"/>
      <c r="X2604" s="183"/>
      <c r="Y2604" s="183"/>
      <c r="Z2604" s="183"/>
      <c r="AA2604" s="183"/>
      <c r="AB2604" s="183"/>
      <c r="AC2604" s="183"/>
    </row>
    <row r="2605" spans="4:29">
      <c r="D2605" s="191"/>
      <c r="F2605" s="183"/>
      <c r="G2605" s="183"/>
      <c r="H2605" s="183"/>
      <c r="J2605" s="907"/>
      <c r="K2605" s="907"/>
      <c r="L2605" s="907"/>
      <c r="M2605" s="907"/>
      <c r="N2605" s="183"/>
      <c r="O2605" s="183"/>
      <c r="P2605" s="183"/>
      <c r="Q2605" s="183"/>
      <c r="R2605" s="183"/>
      <c r="S2605" s="183"/>
      <c r="T2605" s="183"/>
      <c r="U2605" s="183"/>
      <c r="V2605" s="183"/>
      <c r="W2605" s="183"/>
      <c r="X2605" s="183"/>
      <c r="Y2605" s="183"/>
      <c r="Z2605" s="183"/>
      <c r="AA2605" s="183"/>
      <c r="AB2605" s="183"/>
      <c r="AC2605" s="183"/>
    </row>
    <row r="2606" spans="4:29">
      <c r="D2606" s="191"/>
      <c r="F2606" s="183"/>
      <c r="G2606" s="183"/>
      <c r="H2606" s="183"/>
      <c r="J2606" s="907"/>
      <c r="K2606" s="907"/>
      <c r="L2606" s="907"/>
      <c r="M2606" s="907"/>
      <c r="N2606" s="183"/>
      <c r="O2606" s="183"/>
      <c r="P2606" s="183"/>
      <c r="Q2606" s="183"/>
      <c r="R2606" s="183"/>
      <c r="S2606" s="183"/>
      <c r="T2606" s="183"/>
      <c r="U2606" s="183"/>
      <c r="V2606" s="183"/>
      <c r="W2606" s="183"/>
      <c r="X2606" s="183"/>
      <c r="Y2606" s="183"/>
      <c r="Z2606" s="183"/>
      <c r="AA2606" s="183"/>
      <c r="AB2606" s="183"/>
      <c r="AC2606" s="183"/>
    </row>
    <row r="2607" spans="4:29">
      <c r="D2607" s="191"/>
      <c r="F2607" s="183"/>
      <c r="G2607" s="183"/>
      <c r="H2607" s="183"/>
      <c r="J2607" s="907"/>
      <c r="K2607" s="907"/>
      <c r="L2607" s="907"/>
      <c r="M2607" s="907"/>
      <c r="N2607" s="183"/>
      <c r="O2607" s="183"/>
      <c r="P2607" s="183"/>
      <c r="Q2607" s="183"/>
      <c r="R2607" s="183"/>
      <c r="S2607" s="183"/>
      <c r="T2607" s="183"/>
      <c r="U2607" s="183"/>
      <c r="V2607" s="183"/>
      <c r="W2607" s="183"/>
      <c r="X2607" s="183"/>
      <c r="Y2607" s="183"/>
      <c r="Z2607" s="183"/>
      <c r="AA2607" s="183"/>
      <c r="AB2607" s="183"/>
      <c r="AC2607" s="183"/>
    </row>
    <row r="2608" spans="4:29">
      <c r="D2608" s="191"/>
      <c r="F2608" s="183"/>
      <c r="G2608" s="183"/>
      <c r="H2608" s="183"/>
      <c r="J2608" s="907"/>
      <c r="K2608" s="907"/>
      <c r="L2608" s="907"/>
      <c r="M2608" s="907"/>
      <c r="N2608" s="183"/>
      <c r="O2608" s="183"/>
      <c r="P2608" s="183"/>
      <c r="Q2608" s="183"/>
      <c r="R2608" s="183"/>
      <c r="S2608" s="183"/>
      <c r="T2608" s="183"/>
      <c r="U2608" s="183"/>
      <c r="V2608" s="183"/>
      <c r="W2608" s="183"/>
      <c r="X2608" s="183"/>
      <c r="Y2608" s="183"/>
      <c r="Z2608" s="183"/>
      <c r="AA2608" s="183"/>
      <c r="AB2608" s="183"/>
      <c r="AC2608" s="183"/>
    </row>
    <row r="2609" spans="4:29">
      <c r="D2609" s="191"/>
      <c r="F2609" s="183"/>
      <c r="G2609" s="183"/>
      <c r="H2609" s="183"/>
      <c r="J2609" s="907"/>
      <c r="K2609" s="907"/>
      <c r="L2609" s="907"/>
      <c r="M2609" s="907"/>
      <c r="N2609" s="183"/>
      <c r="O2609" s="183"/>
      <c r="P2609" s="183"/>
      <c r="Q2609" s="183"/>
      <c r="R2609" s="183"/>
      <c r="S2609" s="183"/>
      <c r="T2609" s="183"/>
      <c r="U2609" s="183"/>
      <c r="V2609" s="183"/>
      <c r="W2609" s="183"/>
      <c r="X2609" s="183"/>
      <c r="Y2609" s="183"/>
      <c r="Z2609" s="183"/>
      <c r="AA2609" s="183"/>
      <c r="AB2609" s="183"/>
      <c r="AC2609" s="183"/>
    </row>
    <row r="2610" spans="4:29">
      <c r="D2610" s="191"/>
      <c r="F2610" s="183"/>
      <c r="G2610" s="183"/>
      <c r="H2610" s="183"/>
      <c r="J2610" s="907"/>
      <c r="K2610" s="907"/>
      <c r="L2610" s="907"/>
      <c r="M2610" s="907"/>
      <c r="N2610" s="183"/>
      <c r="O2610" s="183"/>
      <c r="P2610" s="183"/>
      <c r="Q2610" s="183"/>
      <c r="R2610" s="183"/>
      <c r="S2610" s="183"/>
      <c r="T2610" s="183"/>
      <c r="U2610" s="183"/>
      <c r="V2610" s="183"/>
      <c r="W2610" s="183"/>
      <c r="X2610" s="183"/>
      <c r="Y2610" s="183"/>
      <c r="Z2610" s="183"/>
      <c r="AA2610" s="183"/>
      <c r="AB2610" s="183"/>
      <c r="AC2610" s="183"/>
    </row>
    <row r="2611" spans="4:29">
      <c r="D2611" s="191"/>
      <c r="F2611" s="183"/>
      <c r="G2611" s="183"/>
      <c r="H2611" s="183"/>
      <c r="J2611" s="907"/>
      <c r="K2611" s="907"/>
      <c r="L2611" s="907"/>
      <c r="M2611" s="907"/>
      <c r="N2611" s="183"/>
      <c r="O2611" s="183"/>
      <c r="P2611" s="183"/>
      <c r="Q2611" s="183"/>
      <c r="R2611" s="183"/>
      <c r="S2611" s="183"/>
      <c r="T2611" s="183"/>
      <c r="U2611" s="183"/>
      <c r="V2611" s="183"/>
      <c r="W2611" s="183"/>
      <c r="X2611" s="183"/>
      <c r="Y2611" s="183"/>
      <c r="Z2611" s="183"/>
      <c r="AA2611" s="183"/>
      <c r="AB2611" s="183"/>
      <c r="AC2611" s="183"/>
    </row>
    <row r="2612" spans="4:29">
      <c r="D2612" s="191"/>
      <c r="F2612" s="183"/>
      <c r="G2612" s="183"/>
      <c r="H2612" s="183"/>
      <c r="J2612" s="907"/>
      <c r="K2612" s="907"/>
      <c r="L2612" s="907"/>
      <c r="M2612" s="907"/>
      <c r="N2612" s="183"/>
      <c r="O2612" s="183"/>
      <c r="P2612" s="183"/>
      <c r="Q2612" s="183"/>
      <c r="R2612" s="183"/>
      <c r="S2612" s="183"/>
      <c r="T2612" s="183"/>
      <c r="U2612" s="183"/>
      <c r="V2612" s="183"/>
      <c r="W2612" s="183"/>
      <c r="X2612" s="183"/>
      <c r="Y2612" s="183"/>
      <c r="Z2612" s="183"/>
      <c r="AA2612" s="183"/>
      <c r="AB2612" s="183"/>
      <c r="AC2612" s="183"/>
    </row>
    <row r="2613" spans="4:29">
      <c r="D2613" s="191"/>
      <c r="F2613" s="183"/>
      <c r="G2613" s="183"/>
      <c r="H2613" s="183"/>
      <c r="J2613" s="907"/>
      <c r="K2613" s="907"/>
      <c r="L2613" s="907"/>
      <c r="M2613" s="907"/>
      <c r="N2613" s="183"/>
      <c r="O2613" s="183"/>
      <c r="P2613" s="183"/>
      <c r="Q2613" s="183"/>
      <c r="R2613" s="183"/>
      <c r="S2613" s="183"/>
      <c r="T2613" s="183"/>
      <c r="U2613" s="183"/>
      <c r="V2613" s="183"/>
      <c r="W2613" s="183"/>
      <c r="X2613" s="183"/>
      <c r="Y2613" s="183"/>
      <c r="Z2613" s="183"/>
      <c r="AA2613" s="183"/>
      <c r="AB2613" s="183"/>
      <c r="AC2613" s="183"/>
    </row>
    <row r="2614" spans="4:29">
      <c r="D2614" s="191"/>
      <c r="F2614" s="183"/>
      <c r="G2614" s="183"/>
      <c r="H2614" s="183"/>
      <c r="J2614" s="907"/>
      <c r="K2614" s="907"/>
      <c r="L2614" s="907"/>
      <c r="M2614" s="907"/>
      <c r="N2614" s="183"/>
      <c r="O2614" s="183"/>
      <c r="P2614" s="183"/>
      <c r="Q2614" s="183"/>
      <c r="R2614" s="183"/>
      <c r="S2614" s="183"/>
      <c r="T2614" s="183"/>
      <c r="U2614" s="183"/>
      <c r="V2614" s="183"/>
      <c r="W2614" s="183"/>
      <c r="X2614" s="183"/>
      <c r="Y2614" s="183"/>
      <c r="Z2614" s="183"/>
      <c r="AA2614" s="183"/>
      <c r="AB2614" s="183"/>
      <c r="AC2614" s="183"/>
    </row>
    <row r="2615" spans="4:29">
      <c r="D2615" s="191"/>
      <c r="F2615" s="183"/>
      <c r="G2615" s="183"/>
      <c r="H2615" s="183"/>
      <c r="J2615" s="907"/>
      <c r="K2615" s="907"/>
      <c r="L2615" s="907"/>
      <c r="M2615" s="907"/>
      <c r="N2615" s="183"/>
      <c r="O2615" s="183"/>
      <c r="P2615" s="183"/>
      <c r="Q2615" s="183"/>
      <c r="R2615" s="183"/>
      <c r="S2615" s="183"/>
      <c r="T2615" s="183"/>
      <c r="U2615" s="183"/>
      <c r="V2615" s="183"/>
      <c r="W2615" s="183"/>
      <c r="X2615" s="183"/>
      <c r="Y2615" s="183"/>
      <c r="Z2615" s="183"/>
      <c r="AA2615" s="183"/>
      <c r="AB2615" s="183"/>
      <c r="AC2615" s="183"/>
    </row>
    <row r="2616" spans="4:29">
      <c r="D2616" s="191"/>
      <c r="F2616" s="183"/>
      <c r="G2616" s="183"/>
      <c r="H2616" s="183"/>
      <c r="J2616" s="907"/>
      <c r="K2616" s="907"/>
      <c r="L2616" s="907"/>
      <c r="M2616" s="907"/>
      <c r="N2616" s="183"/>
      <c r="O2616" s="183"/>
      <c r="P2616" s="183"/>
      <c r="Q2616" s="183"/>
      <c r="R2616" s="183"/>
      <c r="S2616" s="183"/>
      <c r="T2616" s="183"/>
      <c r="U2616" s="183"/>
      <c r="V2616" s="183"/>
      <c r="W2616" s="183"/>
      <c r="X2616" s="183"/>
      <c r="Y2616" s="183"/>
      <c r="Z2616" s="183"/>
      <c r="AA2616" s="183"/>
      <c r="AB2616" s="183"/>
      <c r="AC2616" s="183"/>
    </row>
    <row r="2617" spans="4:29">
      <c r="D2617" s="191"/>
      <c r="F2617" s="183"/>
      <c r="G2617" s="183"/>
      <c r="H2617" s="183"/>
      <c r="J2617" s="907"/>
      <c r="K2617" s="907"/>
      <c r="L2617" s="907"/>
      <c r="M2617" s="907"/>
      <c r="N2617" s="183"/>
      <c r="O2617" s="183"/>
      <c r="P2617" s="183"/>
      <c r="Q2617" s="183"/>
      <c r="R2617" s="183"/>
      <c r="S2617" s="183"/>
      <c r="T2617" s="183"/>
      <c r="U2617" s="183"/>
      <c r="V2617" s="183"/>
      <c r="W2617" s="183"/>
      <c r="X2617" s="183"/>
      <c r="Y2617" s="183"/>
      <c r="Z2617" s="183"/>
      <c r="AA2617" s="183"/>
      <c r="AB2617" s="183"/>
      <c r="AC2617" s="183"/>
    </row>
    <row r="2618" spans="4:29">
      <c r="D2618" s="191"/>
      <c r="F2618" s="183"/>
      <c r="G2618" s="183"/>
      <c r="H2618" s="183"/>
      <c r="J2618" s="907"/>
      <c r="K2618" s="907"/>
      <c r="L2618" s="907"/>
      <c r="M2618" s="907"/>
      <c r="N2618" s="183"/>
      <c r="O2618" s="183"/>
      <c r="P2618" s="183"/>
      <c r="Q2618" s="183"/>
      <c r="R2618" s="183"/>
      <c r="S2618" s="183"/>
      <c r="T2618" s="183"/>
      <c r="U2618" s="183"/>
      <c r="V2618" s="183"/>
      <c r="W2618" s="183"/>
      <c r="X2618" s="183"/>
      <c r="Y2618" s="183"/>
      <c r="Z2618" s="183"/>
      <c r="AA2618" s="183"/>
      <c r="AB2618" s="183"/>
      <c r="AC2618" s="183"/>
    </row>
    <row r="2619" spans="4:29">
      <c r="D2619" s="191"/>
      <c r="F2619" s="183"/>
      <c r="G2619" s="183"/>
      <c r="H2619" s="183"/>
      <c r="J2619" s="907"/>
      <c r="K2619" s="907"/>
      <c r="L2619" s="907"/>
      <c r="M2619" s="907"/>
      <c r="N2619" s="183"/>
      <c r="O2619" s="183"/>
      <c r="P2619" s="183"/>
      <c r="Q2619" s="183"/>
      <c r="R2619" s="183"/>
      <c r="S2619" s="183"/>
      <c r="T2619" s="183"/>
      <c r="U2619" s="183"/>
      <c r="V2619" s="183"/>
      <c r="W2619" s="183"/>
      <c r="X2619" s="183"/>
      <c r="Y2619" s="183"/>
      <c r="Z2619" s="183"/>
      <c r="AA2619" s="183"/>
      <c r="AB2619" s="183"/>
      <c r="AC2619" s="183"/>
    </row>
    <row r="2620" spans="4:29">
      <c r="D2620" s="191"/>
      <c r="F2620" s="183"/>
      <c r="G2620" s="183"/>
      <c r="H2620" s="183"/>
      <c r="J2620" s="907"/>
      <c r="K2620" s="907"/>
      <c r="L2620" s="907"/>
      <c r="M2620" s="907"/>
      <c r="N2620" s="183"/>
      <c r="O2620" s="183"/>
      <c r="P2620" s="183"/>
      <c r="Q2620" s="183"/>
      <c r="R2620" s="183"/>
      <c r="S2620" s="183"/>
      <c r="T2620" s="183"/>
      <c r="U2620" s="183"/>
      <c r="V2620" s="183"/>
      <c r="W2620" s="183"/>
      <c r="X2620" s="183"/>
      <c r="Y2620" s="183"/>
      <c r="Z2620" s="183"/>
      <c r="AA2620" s="183"/>
      <c r="AB2620" s="183"/>
      <c r="AC2620" s="183"/>
    </row>
    <row r="2621" spans="4:29">
      <c r="D2621" s="191"/>
      <c r="F2621" s="183"/>
      <c r="G2621" s="183"/>
      <c r="H2621" s="183"/>
      <c r="J2621" s="907"/>
      <c r="K2621" s="907"/>
      <c r="L2621" s="907"/>
      <c r="M2621" s="907"/>
      <c r="N2621" s="183"/>
      <c r="O2621" s="183"/>
      <c r="P2621" s="183"/>
      <c r="Q2621" s="183"/>
      <c r="R2621" s="183"/>
      <c r="S2621" s="183"/>
      <c r="T2621" s="183"/>
      <c r="U2621" s="183"/>
      <c r="V2621" s="183"/>
      <c r="W2621" s="183"/>
      <c r="X2621" s="183"/>
      <c r="Y2621" s="183"/>
      <c r="Z2621" s="183"/>
      <c r="AA2621" s="183"/>
      <c r="AB2621" s="183"/>
      <c r="AC2621" s="183"/>
    </row>
    <row r="2622" spans="4:29">
      <c r="D2622" s="191"/>
      <c r="F2622" s="183"/>
      <c r="G2622" s="183"/>
      <c r="H2622" s="183"/>
      <c r="J2622" s="907"/>
      <c r="K2622" s="907"/>
      <c r="L2622" s="907"/>
      <c r="M2622" s="907"/>
      <c r="N2622" s="183"/>
      <c r="O2622" s="183"/>
      <c r="P2622" s="183"/>
      <c r="Q2622" s="183"/>
      <c r="R2622" s="183"/>
      <c r="S2622" s="183"/>
      <c r="T2622" s="183"/>
      <c r="U2622" s="183"/>
      <c r="V2622" s="183"/>
      <c r="W2622" s="183"/>
      <c r="X2622" s="183"/>
      <c r="Y2622" s="183"/>
      <c r="Z2622" s="183"/>
      <c r="AA2622" s="183"/>
      <c r="AB2622" s="183"/>
      <c r="AC2622" s="183"/>
    </row>
    <row r="2623" spans="4:29">
      <c r="D2623" s="191"/>
      <c r="F2623" s="183"/>
      <c r="G2623" s="183"/>
      <c r="H2623" s="183"/>
      <c r="J2623" s="907"/>
      <c r="K2623" s="907"/>
      <c r="L2623" s="907"/>
      <c r="M2623" s="907"/>
      <c r="N2623" s="183"/>
      <c r="O2623" s="183"/>
      <c r="P2623" s="183"/>
      <c r="Q2623" s="183"/>
      <c r="R2623" s="183"/>
      <c r="S2623" s="183"/>
      <c r="T2623" s="183"/>
      <c r="U2623" s="183"/>
      <c r="V2623" s="183"/>
      <c r="W2623" s="183"/>
      <c r="X2623" s="183"/>
      <c r="Y2623" s="183"/>
      <c r="Z2623" s="183"/>
      <c r="AA2623" s="183"/>
      <c r="AB2623" s="183"/>
      <c r="AC2623" s="183"/>
    </row>
    <row r="2624" spans="4:29">
      <c r="D2624" s="191"/>
      <c r="F2624" s="183"/>
      <c r="G2624" s="183"/>
      <c r="H2624" s="183"/>
      <c r="J2624" s="907"/>
      <c r="K2624" s="907"/>
      <c r="L2624" s="907"/>
      <c r="M2624" s="907"/>
      <c r="N2624" s="183"/>
      <c r="O2624" s="183"/>
      <c r="P2624" s="183"/>
      <c r="Q2624" s="183"/>
      <c r="R2624" s="183"/>
      <c r="S2624" s="183"/>
      <c r="T2624" s="183"/>
      <c r="U2624" s="183"/>
      <c r="V2624" s="183"/>
      <c r="W2624" s="183"/>
      <c r="X2624" s="183"/>
      <c r="Y2624" s="183"/>
      <c r="Z2624" s="183"/>
      <c r="AA2624" s="183"/>
      <c r="AB2624" s="183"/>
      <c r="AC2624" s="183"/>
    </row>
    <row r="2625" spans="4:29">
      <c r="D2625" s="191"/>
      <c r="F2625" s="183"/>
      <c r="G2625" s="183"/>
      <c r="H2625" s="183"/>
      <c r="J2625" s="907"/>
      <c r="K2625" s="907"/>
      <c r="L2625" s="907"/>
      <c r="M2625" s="907"/>
      <c r="N2625" s="183"/>
      <c r="O2625" s="183"/>
      <c r="P2625" s="183"/>
      <c r="Q2625" s="183"/>
      <c r="R2625" s="183"/>
      <c r="S2625" s="183"/>
      <c r="T2625" s="183"/>
      <c r="U2625" s="183"/>
      <c r="V2625" s="183"/>
      <c r="W2625" s="183"/>
      <c r="X2625" s="183"/>
      <c r="Y2625" s="183"/>
      <c r="Z2625" s="183"/>
      <c r="AA2625" s="183"/>
      <c r="AB2625" s="183"/>
      <c r="AC2625" s="183"/>
    </row>
    <row r="2626" spans="4:29">
      <c r="D2626" s="191"/>
      <c r="F2626" s="183"/>
      <c r="G2626" s="183"/>
      <c r="H2626" s="183"/>
      <c r="J2626" s="907"/>
      <c r="K2626" s="907"/>
      <c r="L2626" s="907"/>
      <c r="M2626" s="907"/>
      <c r="N2626" s="183"/>
      <c r="O2626" s="183"/>
      <c r="P2626" s="183"/>
      <c r="Q2626" s="183"/>
      <c r="R2626" s="183"/>
      <c r="S2626" s="183"/>
      <c r="T2626" s="183"/>
      <c r="U2626" s="183"/>
      <c r="V2626" s="183"/>
      <c r="W2626" s="183"/>
      <c r="X2626" s="183"/>
      <c r="Y2626" s="183"/>
      <c r="Z2626" s="183"/>
      <c r="AA2626" s="183"/>
      <c r="AB2626" s="183"/>
      <c r="AC2626" s="183"/>
    </row>
    <row r="2627" spans="4:29">
      <c r="D2627" s="191"/>
      <c r="F2627" s="183"/>
      <c r="G2627" s="183"/>
      <c r="H2627" s="183"/>
      <c r="J2627" s="907"/>
      <c r="K2627" s="907"/>
      <c r="L2627" s="907"/>
      <c r="M2627" s="907"/>
      <c r="N2627" s="183"/>
      <c r="O2627" s="183"/>
      <c r="P2627" s="183"/>
      <c r="Q2627" s="183"/>
      <c r="R2627" s="183"/>
      <c r="S2627" s="183"/>
      <c r="T2627" s="183"/>
      <c r="U2627" s="183"/>
      <c r="V2627" s="183"/>
      <c r="W2627" s="183"/>
      <c r="X2627" s="183"/>
      <c r="Y2627" s="183"/>
      <c r="Z2627" s="183"/>
      <c r="AA2627" s="183"/>
      <c r="AB2627" s="183"/>
      <c r="AC2627" s="183"/>
    </row>
    <row r="2628" spans="4:29">
      <c r="D2628" s="191"/>
      <c r="F2628" s="183"/>
      <c r="G2628" s="183"/>
      <c r="H2628" s="183"/>
      <c r="J2628" s="907"/>
      <c r="K2628" s="907"/>
      <c r="L2628" s="907"/>
      <c r="M2628" s="907"/>
      <c r="N2628" s="183"/>
      <c r="O2628" s="183"/>
      <c r="P2628" s="183"/>
      <c r="Q2628" s="183"/>
      <c r="R2628" s="183"/>
      <c r="S2628" s="183"/>
      <c r="T2628" s="183"/>
      <c r="U2628" s="183"/>
      <c r="V2628" s="183"/>
      <c r="W2628" s="183"/>
      <c r="X2628" s="183"/>
      <c r="Y2628" s="183"/>
      <c r="Z2628" s="183"/>
      <c r="AA2628" s="183"/>
      <c r="AB2628" s="183"/>
      <c r="AC2628" s="183"/>
    </row>
    <row r="2629" spans="4:29">
      <c r="D2629" s="191"/>
      <c r="F2629" s="183"/>
      <c r="G2629" s="183"/>
      <c r="H2629" s="183"/>
      <c r="J2629" s="907"/>
      <c r="K2629" s="907"/>
      <c r="L2629" s="907"/>
      <c r="M2629" s="907"/>
      <c r="N2629" s="183"/>
      <c r="O2629" s="183"/>
      <c r="P2629" s="183"/>
      <c r="Q2629" s="183"/>
      <c r="R2629" s="183"/>
      <c r="S2629" s="183"/>
      <c r="T2629" s="183"/>
      <c r="U2629" s="183"/>
      <c r="V2629" s="183"/>
      <c r="W2629" s="183"/>
      <c r="X2629" s="183"/>
      <c r="Y2629" s="183"/>
      <c r="Z2629" s="183"/>
      <c r="AA2629" s="183"/>
      <c r="AB2629" s="183"/>
      <c r="AC2629" s="183"/>
    </row>
    <row r="2630" spans="4:29">
      <c r="D2630" s="191"/>
      <c r="F2630" s="183"/>
      <c r="G2630" s="183"/>
      <c r="H2630" s="183"/>
      <c r="J2630" s="907"/>
      <c r="K2630" s="907"/>
      <c r="L2630" s="907"/>
      <c r="M2630" s="907"/>
      <c r="N2630" s="183"/>
      <c r="O2630" s="183"/>
      <c r="P2630" s="183"/>
      <c r="Q2630" s="183"/>
      <c r="R2630" s="183"/>
      <c r="S2630" s="183"/>
      <c r="T2630" s="183"/>
      <c r="U2630" s="183"/>
      <c r="V2630" s="183"/>
      <c r="W2630" s="183"/>
      <c r="X2630" s="183"/>
      <c r="Y2630" s="183"/>
      <c r="Z2630" s="183"/>
      <c r="AA2630" s="183"/>
      <c r="AB2630" s="183"/>
      <c r="AC2630" s="183"/>
    </row>
    <row r="2631" spans="4:29">
      <c r="D2631" s="191"/>
      <c r="F2631" s="183"/>
      <c r="G2631" s="183"/>
      <c r="H2631" s="183"/>
      <c r="J2631" s="907"/>
      <c r="K2631" s="907"/>
      <c r="L2631" s="907"/>
      <c r="M2631" s="907"/>
      <c r="N2631" s="183"/>
      <c r="O2631" s="183"/>
      <c r="P2631" s="183"/>
      <c r="Q2631" s="183"/>
      <c r="R2631" s="183"/>
      <c r="S2631" s="183"/>
      <c r="T2631" s="183"/>
      <c r="U2631" s="183"/>
      <c r="V2631" s="183"/>
      <c r="W2631" s="183"/>
      <c r="X2631" s="183"/>
      <c r="Y2631" s="183"/>
      <c r="Z2631" s="183"/>
      <c r="AA2631" s="183"/>
      <c r="AB2631" s="183"/>
      <c r="AC2631" s="183"/>
    </row>
    <row r="2632" spans="4:29">
      <c r="D2632" s="191"/>
      <c r="F2632" s="183"/>
      <c r="G2632" s="183"/>
      <c r="H2632" s="183"/>
      <c r="J2632" s="907"/>
      <c r="K2632" s="907"/>
      <c r="L2632" s="907"/>
      <c r="M2632" s="907"/>
      <c r="N2632" s="183"/>
      <c r="O2632" s="183"/>
      <c r="P2632" s="183"/>
      <c r="Q2632" s="183"/>
      <c r="R2632" s="183"/>
      <c r="S2632" s="183"/>
      <c r="T2632" s="183"/>
      <c r="U2632" s="183"/>
      <c r="V2632" s="183"/>
      <c r="W2632" s="183"/>
      <c r="X2632" s="183"/>
      <c r="Y2632" s="183"/>
      <c r="Z2632" s="183"/>
      <c r="AA2632" s="183"/>
      <c r="AB2632" s="183"/>
      <c r="AC2632" s="183"/>
    </row>
    <row r="2633" spans="4:29">
      <c r="D2633" s="191"/>
      <c r="F2633" s="183"/>
      <c r="G2633" s="183"/>
      <c r="H2633" s="183"/>
      <c r="J2633" s="907"/>
      <c r="K2633" s="907"/>
      <c r="L2633" s="907"/>
      <c r="M2633" s="907"/>
      <c r="N2633" s="183"/>
      <c r="O2633" s="183"/>
      <c r="P2633" s="183"/>
      <c r="Q2633" s="183"/>
      <c r="R2633" s="183"/>
      <c r="S2633" s="183"/>
      <c r="T2633" s="183"/>
      <c r="U2633" s="183"/>
      <c r="V2633" s="183"/>
      <c r="W2633" s="183"/>
      <c r="X2633" s="183"/>
      <c r="Y2633" s="183"/>
      <c r="Z2633" s="183"/>
      <c r="AA2633" s="183"/>
      <c r="AB2633" s="183"/>
      <c r="AC2633" s="183"/>
    </row>
    <row r="2634" spans="4:29">
      <c r="D2634" s="191"/>
      <c r="F2634" s="183"/>
      <c r="G2634" s="183"/>
      <c r="H2634" s="183"/>
      <c r="J2634" s="907"/>
      <c r="K2634" s="907"/>
      <c r="L2634" s="907"/>
      <c r="M2634" s="907"/>
      <c r="N2634" s="183"/>
      <c r="O2634" s="183"/>
      <c r="P2634" s="183"/>
      <c r="Q2634" s="183"/>
      <c r="R2634" s="183"/>
      <c r="S2634" s="183"/>
      <c r="T2634" s="183"/>
      <c r="U2634" s="183"/>
      <c r="V2634" s="183"/>
      <c r="W2634" s="183"/>
      <c r="X2634" s="183"/>
      <c r="Y2634" s="183"/>
      <c r="Z2634" s="183"/>
      <c r="AA2634" s="183"/>
      <c r="AB2634" s="183"/>
      <c r="AC2634" s="183"/>
    </row>
    <row r="2635" spans="4:29">
      <c r="D2635" s="191"/>
      <c r="F2635" s="183"/>
      <c r="G2635" s="183"/>
      <c r="H2635" s="183"/>
      <c r="J2635" s="907"/>
      <c r="K2635" s="907"/>
      <c r="L2635" s="907"/>
      <c r="M2635" s="907"/>
      <c r="N2635" s="183"/>
      <c r="O2635" s="183"/>
      <c r="P2635" s="183"/>
      <c r="Q2635" s="183"/>
      <c r="R2635" s="183"/>
      <c r="S2635" s="183"/>
      <c r="T2635" s="183"/>
      <c r="U2635" s="183"/>
      <c r="V2635" s="183"/>
      <c r="W2635" s="183"/>
      <c r="X2635" s="183"/>
      <c r="Y2635" s="183"/>
      <c r="Z2635" s="183"/>
      <c r="AA2635" s="183"/>
      <c r="AB2635" s="183"/>
      <c r="AC2635" s="183"/>
    </row>
    <row r="2636" spans="4:29">
      <c r="D2636" s="191"/>
      <c r="F2636" s="183"/>
      <c r="G2636" s="183"/>
      <c r="H2636" s="183"/>
      <c r="J2636" s="907"/>
      <c r="K2636" s="907"/>
      <c r="L2636" s="907"/>
      <c r="M2636" s="907"/>
      <c r="N2636" s="183"/>
      <c r="O2636" s="183"/>
      <c r="P2636" s="183"/>
      <c r="Q2636" s="183"/>
      <c r="R2636" s="183"/>
      <c r="S2636" s="183"/>
      <c r="T2636" s="183"/>
      <c r="U2636" s="183"/>
      <c r="V2636" s="183"/>
      <c r="W2636" s="183"/>
      <c r="X2636" s="183"/>
      <c r="Y2636" s="183"/>
      <c r="Z2636" s="183"/>
      <c r="AA2636" s="183"/>
      <c r="AB2636" s="183"/>
      <c r="AC2636" s="183"/>
    </row>
    <row r="2637" spans="4:29">
      <c r="D2637" s="191"/>
      <c r="F2637" s="183"/>
      <c r="G2637" s="183"/>
      <c r="H2637" s="183"/>
      <c r="J2637" s="907"/>
      <c r="K2637" s="907"/>
      <c r="L2637" s="907"/>
      <c r="M2637" s="907"/>
      <c r="N2637" s="183"/>
      <c r="O2637" s="183"/>
      <c r="P2637" s="183"/>
      <c r="Q2637" s="183"/>
      <c r="R2637" s="183"/>
      <c r="S2637" s="183"/>
      <c r="T2637" s="183"/>
      <c r="U2637" s="183"/>
      <c r="V2637" s="183"/>
      <c r="W2637" s="183"/>
      <c r="X2637" s="183"/>
      <c r="Y2637" s="183"/>
      <c r="Z2637" s="183"/>
      <c r="AA2637" s="183"/>
      <c r="AB2637" s="183"/>
      <c r="AC2637" s="183"/>
    </row>
    <row r="2638" spans="4:29">
      <c r="D2638" s="191"/>
      <c r="F2638" s="183"/>
      <c r="G2638" s="183"/>
      <c r="H2638" s="183"/>
      <c r="J2638" s="907"/>
      <c r="K2638" s="907"/>
      <c r="L2638" s="907"/>
      <c r="M2638" s="907"/>
      <c r="N2638" s="183"/>
      <c r="O2638" s="183"/>
      <c r="P2638" s="183"/>
      <c r="Q2638" s="183"/>
      <c r="R2638" s="183"/>
      <c r="S2638" s="183"/>
      <c r="T2638" s="183"/>
      <c r="U2638" s="183"/>
      <c r="V2638" s="183"/>
      <c r="W2638" s="183"/>
      <c r="X2638" s="183"/>
      <c r="Y2638" s="183"/>
      <c r="Z2638" s="183"/>
      <c r="AA2638" s="183"/>
      <c r="AB2638" s="183"/>
      <c r="AC2638" s="183"/>
    </row>
    <row r="2639" spans="4:29">
      <c r="D2639" s="191"/>
      <c r="F2639" s="183"/>
      <c r="G2639" s="183"/>
      <c r="H2639" s="183"/>
      <c r="J2639" s="907"/>
      <c r="K2639" s="907"/>
      <c r="L2639" s="907"/>
      <c r="M2639" s="907"/>
      <c r="N2639" s="183"/>
      <c r="O2639" s="183"/>
      <c r="P2639" s="183"/>
      <c r="Q2639" s="183"/>
      <c r="R2639" s="183"/>
      <c r="S2639" s="183"/>
      <c r="T2639" s="183"/>
      <c r="U2639" s="183"/>
      <c r="V2639" s="183"/>
      <c r="W2639" s="183"/>
      <c r="X2639" s="183"/>
      <c r="Y2639" s="183"/>
      <c r="Z2639" s="183"/>
      <c r="AA2639" s="183"/>
      <c r="AB2639" s="183"/>
      <c r="AC2639" s="183"/>
    </row>
    <row r="2640" spans="4:29">
      <c r="D2640" s="191"/>
      <c r="F2640" s="183"/>
      <c r="G2640" s="183"/>
      <c r="H2640" s="183"/>
      <c r="J2640" s="907"/>
      <c r="K2640" s="907"/>
      <c r="L2640" s="907"/>
      <c r="M2640" s="907"/>
      <c r="N2640" s="183"/>
      <c r="O2640" s="183"/>
      <c r="P2640" s="183"/>
      <c r="Q2640" s="183"/>
      <c r="R2640" s="183"/>
      <c r="S2640" s="183"/>
      <c r="T2640" s="183"/>
      <c r="U2640" s="183"/>
      <c r="V2640" s="183"/>
      <c r="W2640" s="183"/>
      <c r="X2640" s="183"/>
      <c r="Y2640" s="183"/>
      <c r="Z2640" s="183"/>
      <c r="AA2640" s="183"/>
      <c r="AB2640" s="183"/>
      <c r="AC2640" s="183"/>
    </row>
    <row r="2641" spans="4:29">
      <c r="D2641" s="191"/>
      <c r="F2641" s="183"/>
      <c r="G2641" s="183"/>
      <c r="H2641" s="183"/>
      <c r="J2641" s="907"/>
      <c r="K2641" s="907"/>
      <c r="L2641" s="907"/>
      <c r="M2641" s="907"/>
      <c r="N2641" s="183"/>
      <c r="O2641" s="183"/>
      <c r="P2641" s="183"/>
      <c r="Q2641" s="183"/>
      <c r="R2641" s="183"/>
      <c r="S2641" s="183"/>
      <c r="T2641" s="183"/>
      <c r="U2641" s="183"/>
      <c r="V2641" s="183"/>
      <c r="W2641" s="183"/>
      <c r="X2641" s="183"/>
      <c r="Y2641" s="183"/>
      <c r="Z2641" s="183"/>
      <c r="AA2641" s="183"/>
      <c r="AB2641" s="183"/>
      <c r="AC2641" s="183"/>
    </row>
    <row r="2642" spans="4:29">
      <c r="D2642" s="191"/>
      <c r="F2642" s="183"/>
      <c r="G2642" s="183"/>
      <c r="H2642" s="183"/>
      <c r="J2642" s="907"/>
      <c r="K2642" s="907"/>
      <c r="L2642" s="907"/>
      <c r="M2642" s="907"/>
      <c r="N2642" s="183"/>
      <c r="O2642" s="183"/>
      <c r="P2642" s="183"/>
      <c r="Q2642" s="183"/>
      <c r="R2642" s="183"/>
      <c r="S2642" s="183"/>
      <c r="T2642" s="183"/>
      <c r="U2642" s="183"/>
      <c r="V2642" s="183"/>
      <c r="W2642" s="183"/>
      <c r="X2642" s="183"/>
      <c r="Y2642" s="183"/>
      <c r="Z2642" s="183"/>
      <c r="AA2642" s="183"/>
      <c r="AB2642" s="183"/>
      <c r="AC2642" s="183"/>
    </row>
    <row r="2643" spans="4:29">
      <c r="D2643" s="191"/>
      <c r="F2643" s="183"/>
      <c r="G2643" s="183"/>
      <c r="H2643" s="183"/>
      <c r="J2643" s="907"/>
      <c r="K2643" s="907"/>
      <c r="L2643" s="907"/>
      <c r="M2643" s="907"/>
      <c r="N2643" s="183"/>
      <c r="O2643" s="183"/>
      <c r="P2643" s="183"/>
      <c r="Q2643" s="183"/>
      <c r="R2643" s="183"/>
      <c r="S2643" s="183"/>
      <c r="T2643" s="183"/>
      <c r="U2643" s="183"/>
      <c r="V2643" s="183"/>
      <c r="W2643" s="183"/>
      <c r="X2643" s="183"/>
      <c r="Y2643" s="183"/>
      <c r="Z2643" s="183"/>
      <c r="AA2643" s="183"/>
      <c r="AB2643" s="183"/>
      <c r="AC2643" s="183"/>
    </row>
    <row r="2644" spans="4:29">
      <c r="D2644" s="191"/>
      <c r="F2644" s="183"/>
      <c r="G2644" s="183"/>
      <c r="H2644" s="183"/>
      <c r="J2644" s="907"/>
      <c r="K2644" s="907"/>
      <c r="L2644" s="907"/>
      <c r="M2644" s="907"/>
      <c r="N2644" s="183"/>
      <c r="O2644" s="183"/>
      <c r="P2644" s="183"/>
      <c r="Q2644" s="183"/>
      <c r="R2644" s="183"/>
      <c r="S2644" s="183"/>
      <c r="T2644" s="183"/>
      <c r="U2644" s="183"/>
      <c r="V2644" s="183"/>
      <c r="W2644" s="183"/>
      <c r="X2644" s="183"/>
      <c r="Y2644" s="183"/>
      <c r="Z2644" s="183"/>
      <c r="AA2644" s="183"/>
      <c r="AB2644" s="183"/>
      <c r="AC2644" s="183"/>
    </row>
    <row r="2645" spans="4:29">
      <c r="D2645" s="191"/>
      <c r="F2645" s="183"/>
      <c r="G2645" s="183"/>
      <c r="H2645" s="183"/>
      <c r="J2645" s="907"/>
      <c r="K2645" s="907"/>
      <c r="L2645" s="907"/>
      <c r="M2645" s="907"/>
      <c r="N2645" s="183"/>
      <c r="O2645" s="183"/>
      <c r="P2645" s="183"/>
      <c r="Q2645" s="183"/>
      <c r="R2645" s="183"/>
      <c r="S2645" s="183"/>
      <c r="T2645" s="183"/>
      <c r="U2645" s="183"/>
      <c r="V2645" s="183"/>
      <c r="W2645" s="183"/>
      <c r="X2645" s="183"/>
      <c r="Y2645" s="183"/>
      <c r="Z2645" s="183"/>
      <c r="AA2645" s="183"/>
      <c r="AB2645" s="183"/>
      <c r="AC2645" s="183"/>
    </row>
    <row r="2646" spans="4:29">
      <c r="D2646" s="191"/>
      <c r="F2646" s="183"/>
      <c r="G2646" s="183"/>
      <c r="H2646" s="183"/>
      <c r="J2646" s="907"/>
      <c r="K2646" s="907"/>
      <c r="L2646" s="907"/>
      <c r="M2646" s="907"/>
      <c r="N2646" s="183"/>
      <c r="O2646" s="183"/>
      <c r="P2646" s="183"/>
      <c r="Q2646" s="183"/>
      <c r="R2646" s="183"/>
      <c r="S2646" s="183"/>
      <c r="T2646" s="183"/>
      <c r="U2646" s="183"/>
      <c r="V2646" s="183"/>
      <c r="W2646" s="183"/>
      <c r="X2646" s="183"/>
      <c r="Y2646" s="183"/>
      <c r="Z2646" s="183"/>
      <c r="AA2646" s="183"/>
      <c r="AB2646" s="183"/>
      <c r="AC2646" s="183"/>
    </row>
    <row r="2647" spans="4:29">
      <c r="D2647" s="191"/>
      <c r="F2647" s="183"/>
      <c r="G2647" s="183"/>
      <c r="H2647" s="183"/>
      <c r="J2647" s="907"/>
      <c r="K2647" s="907"/>
      <c r="L2647" s="907"/>
      <c r="M2647" s="907"/>
      <c r="N2647" s="183"/>
      <c r="O2647" s="183"/>
      <c r="P2647" s="183"/>
      <c r="Q2647" s="183"/>
      <c r="R2647" s="183"/>
      <c r="S2647" s="183"/>
      <c r="T2647" s="183"/>
      <c r="U2647" s="183"/>
      <c r="V2647" s="183"/>
      <c r="W2647" s="183"/>
      <c r="X2647" s="183"/>
      <c r="Y2647" s="183"/>
      <c r="Z2647" s="183"/>
      <c r="AA2647" s="183"/>
      <c r="AB2647" s="183"/>
      <c r="AC2647" s="183"/>
    </row>
    <row r="2648" spans="4:29">
      <c r="D2648" s="191"/>
      <c r="F2648" s="183"/>
      <c r="G2648" s="183"/>
      <c r="H2648" s="183"/>
      <c r="J2648" s="907"/>
      <c r="K2648" s="907"/>
      <c r="L2648" s="907"/>
      <c r="M2648" s="907"/>
      <c r="N2648" s="183"/>
      <c r="O2648" s="183"/>
      <c r="P2648" s="183"/>
      <c r="Q2648" s="183"/>
      <c r="R2648" s="183"/>
      <c r="S2648" s="183"/>
      <c r="T2648" s="183"/>
      <c r="U2648" s="183"/>
      <c r="V2648" s="183"/>
      <c r="W2648" s="183"/>
      <c r="X2648" s="183"/>
      <c r="Y2648" s="183"/>
      <c r="Z2648" s="183"/>
      <c r="AA2648" s="183"/>
      <c r="AB2648" s="183"/>
      <c r="AC2648" s="183"/>
    </row>
    <row r="2649" spans="4:29">
      <c r="D2649" s="191"/>
      <c r="F2649" s="183"/>
      <c r="G2649" s="183"/>
      <c r="H2649" s="183"/>
      <c r="J2649" s="907"/>
      <c r="K2649" s="907"/>
      <c r="L2649" s="907"/>
      <c r="M2649" s="907"/>
      <c r="N2649" s="183"/>
      <c r="O2649" s="183"/>
      <c r="P2649" s="183"/>
      <c r="Q2649" s="183"/>
      <c r="R2649" s="183"/>
      <c r="S2649" s="183"/>
      <c r="T2649" s="183"/>
      <c r="U2649" s="183"/>
      <c r="V2649" s="183"/>
      <c r="W2649" s="183"/>
      <c r="X2649" s="183"/>
      <c r="Y2649" s="183"/>
      <c r="Z2649" s="183"/>
      <c r="AA2649" s="183"/>
      <c r="AB2649" s="183"/>
      <c r="AC2649" s="183"/>
    </row>
    <row r="2650" spans="4:29">
      <c r="D2650" s="191"/>
      <c r="F2650" s="183"/>
      <c r="G2650" s="183"/>
      <c r="H2650" s="183"/>
      <c r="J2650" s="907"/>
      <c r="K2650" s="907"/>
      <c r="L2650" s="907"/>
      <c r="M2650" s="907"/>
      <c r="N2650" s="183"/>
      <c r="O2650" s="183"/>
      <c r="P2650" s="183"/>
      <c r="Q2650" s="183"/>
      <c r="R2650" s="183"/>
      <c r="S2650" s="183"/>
      <c r="T2650" s="183"/>
      <c r="U2650" s="183"/>
      <c r="V2650" s="183"/>
      <c r="W2650" s="183"/>
      <c r="X2650" s="183"/>
      <c r="Y2650" s="183"/>
      <c r="Z2650" s="183"/>
      <c r="AA2650" s="183"/>
      <c r="AB2650" s="183"/>
      <c r="AC2650" s="183"/>
    </row>
    <row r="2651" spans="4:29">
      <c r="D2651" s="191"/>
      <c r="F2651" s="183"/>
      <c r="G2651" s="183"/>
      <c r="H2651" s="183"/>
      <c r="J2651" s="907"/>
      <c r="K2651" s="907"/>
      <c r="L2651" s="907"/>
      <c r="M2651" s="907"/>
      <c r="N2651" s="183"/>
      <c r="O2651" s="183"/>
      <c r="P2651" s="183"/>
      <c r="Q2651" s="183"/>
      <c r="R2651" s="183"/>
      <c r="S2651" s="183"/>
      <c r="T2651" s="183"/>
      <c r="U2651" s="183"/>
      <c r="V2651" s="183"/>
      <c r="W2651" s="183"/>
      <c r="X2651" s="183"/>
      <c r="Y2651" s="183"/>
      <c r="Z2651" s="183"/>
      <c r="AA2651" s="183"/>
      <c r="AB2651" s="183"/>
      <c r="AC2651" s="183"/>
    </row>
    <row r="2652" spans="4:29">
      <c r="D2652" s="191"/>
      <c r="F2652" s="183"/>
      <c r="G2652" s="183"/>
      <c r="H2652" s="183"/>
      <c r="J2652" s="907"/>
      <c r="K2652" s="907"/>
      <c r="L2652" s="907"/>
      <c r="M2652" s="907"/>
      <c r="N2652" s="183"/>
      <c r="O2652" s="183"/>
      <c r="P2652" s="183"/>
      <c r="Q2652" s="183"/>
      <c r="R2652" s="183"/>
      <c r="S2652" s="183"/>
      <c r="T2652" s="183"/>
      <c r="U2652" s="183"/>
      <c r="V2652" s="183"/>
      <c r="W2652" s="183"/>
      <c r="X2652" s="183"/>
      <c r="Y2652" s="183"/>
      <c r="Z2652" s="183"/>
      <c r="AA2652" s="183"/>
      <c r="AB2652" s="183"/>
      <c r="AC2652" s="183"/>
    </row>
    <row r="2653" spans="4:29">
      <c r="D2653" s="191"/>
      <c r="F2653" s="183"/>
      <c r="G2653" s="183"/>
      <c r="H2653" s="183"/>
      <c r="J2653" s="907"/>
      <c r="K2653" s="907"/>
      <c r="L2653" s="907"/>
      <c r="M2653" s="907"/>
      <c r="N2653" s="183"/>
      <c r="O2653" s="183"/>
      <c r="P2653" s="183"/>
      <c r="Q2653" s="183"/>
      <c r="R2653" s="183"/>
      <c r="S2653" s="183"/>
      <c r="T2653" s="183"/>
      <c r="U2653" s="183"/>
      <c r="V2653" s="183"/>
      <c r="W2653" s="183"/>
      <c r="X2653" s="183"/>
      <c r="Y2653" s="183"/>
      <c r="Z2653" s="183"/>
      <c r="AA2653" s="183"/>
      <c r="AB2653" s="183"/>
      <c r="AC2653" s="183"/>
    </row>
    <row r="2654" spans="4:29">
      <c r="D2654" s="191"/>
      <c r="F2654" s="183"/>
      <c r="G2654" s="183"/>
      <c r="H2654" s="183"/>
      <c r="J2654" s="907"/>
      <c r="K2654" s="907"/>
      <c r="L2654" s="907"/>
      <c r="M2654" s="907"/>
      <c r="N2654" s="183"/>
      <c r="O2654" s="183"/>
      <c r="P2654" s="183"/>
      <c r="Q2654" s="183"/>
      <c r="R2654" s="183"/>
      <c r="S2654" s="183"/>
      <c r="T2654" s="183"/>
      <c r="U2654" s="183"/>
      <c r="V2654" s="183"/>
      <c r="W2654" s="183"/>
      <c r="X2654" s="183"/>
      <c r="Y2654" s="183"/>
      <c r="Z2654" s="183"/>
      <c r="AA2654" s="183"/>
      <c r="AB2654" s="183"/>
      <c r="AC2654" s="183"/>
    </row>
    <row r="2655" spans="4:29">
      <c r="D2655" s="191"/>
      <c r="F2655" s="183"/>
      <c r="G2655" s="183"/>
      <c r="H2655" s="183"/>
      <c r="J2655" s="907"/>
      <c r="K2655" s="907"/>
      <c r="L2655" s="907"/>
      <c r="M2655" s="907"/>
      <c r="N2655" s="183"/>
      <c r="O2655" s="183"/>
      <c r="P2655" s="183"/>
      <c r="Q2655" s="183"/>
      <c r="R2655" s="183"/>
      <c r="S2655" s="183"/>
      <c r="T2655" s="183"/>
      <c r="U2655" s="183"/>
      <c r="V2655" s="183"/>
      <c r="W2655" s="183"/>
      <c r="X2655" s="183"/>
      <c r="Y2655" s="183"/>
      <c r="Z2655" s="183"/>
      <c r="AA2655" s="183"/>
      <c r="AB2655" s="183"/>
      <c r="AC2655" s="183"/>
    </row>
    <row r="2656" spans="4:29">
      <c r="D2656" s="191"/>
      <c r="F2656" s="183"/>
      <c r="G2656" s="183"/>
      <c r="H2656" s="183"/>
      <c r="J2656" s="907"/>
      <c r="K2656" s="907"/>
      <c r="L2656" s="907"/>
      <c r="M2656" s="907"/>
      <c r="N2656" s="183"/>
      <c r="O2656" s="183"/>
      <c r="P2656" s="183"/>
      <c r="Q2656" s="183"/>
      <c r="R2656" s="183"/>
      <c r="S2656" s="183"/>
      <c r="T2656" s="183"/>
      <c r="U2656" s="183"/>
      <c r="V2656" s="183"/>
      <c r="W2656" s="183"/>
      <c r="X2656" s="183"/>
      <c r="Y2656" s="183"/>
      <c r="Z2656" s="183"/>
      <c r="AA2656" s="183"/>
      <c r="AB2656" s="183"/>
      <c r="AC2656" s="183"/>
    </row>
    <row r="2657" spans="4:29">
      <c r="D2657" s="191"/>
      <c r="F2657" s="183"/>
      <c r="G2657" s="183"/>
      <c r="H2657" s="183"/>
      <c r="J2657" s="907"/>
      <c r="K2657" s="907"/>
      <c r="L2657" s="907"/>
      <c r="M2657" s="907"/>
      <c r="N2657" s="183"/>
      <c r="O2657" s="183"/>
      <c r="P2657" s="183"/>
      <c r="Q2657" s="183"/>
      <c r="R2657" s="183"/>
      <c r="S2657" s="183"/>
      <c r="T2657" s="183"/>
      <c r="U2657" s="183"/>
      <c r="V2657" s="183"/>
      <c r="W2657" s="183"/>
      <c r="X2657" s="183"/>
      <c r="Y2657" s="183"/>
      <c r="Z2657" s="183"/>
      <c r="AA2657" s="183"/>
      <c r="AB2657" s="183"/>
      <c r="AC2657" s="183"/>
    </row>
    <row r="2658" spans="4:29">
      <c r="D2658" s="191"/>
      <c r="F2658" s="183"/>
      <c r="G2658" s="183"/>
      <c r="H2658" s="183"/>
      <c r="J2658" s="907"/>
      <c r="K2658" s="907"/>
      <c r="L2658" s="907"/>
      <c r="M2658" s="907"/>
      <c r="N2658" s="183"/>
      <c r="O2658" s="183"/>
      <c r="P2658" s="183"/>
      <c r="Q2658" s="183"/>
      <c r="R2658" s="183"/>
      <c r="S2658" s="183"/>
      <c r="T2658" s="183"/>
      <c r="U2658" s="183"/>
      <c r="V2658" s="183"/>
      <c r="W2658" s="183"/>
      <c r="X2658" s="183"/>
      <c r="Y2658" s="183"/>
      <c r="Z2658" s="183"/>
      <c r="AA2658" s="183"/>
      <c r="AB2658" s="183"/>
      <c r="AC2658" s="183"/>
    </row>
    <row r="2659" spans="4:29">
      <c r="D2659" s="191"/>
      <c r="F2659" s="183"/>
      <c r="G2659" s="183"/>
      <c r="H2659" s="183"/>
      <c r="J2659" s="907"/>
      <c r="K2659" s="907"/>
      <c r="L2659" s="907"/>
      <c r="M2659" s="907"/>
      <c r="N2659" s="183"/>
      <c r="O2659" s="183"/>
      <c r="P2659" s="183"/>
      <c r="Q2659" s="183"/>
      <c r="R2659" s="183"/>
      <c r="S2659" s="183"/>
      <c r="T2659" s="183"/>
      <c r="U2659" s="183"/>
      <c r="V2659" s="183"/>
      <c r="W2659" s="183"/>
      <c r="X2659" s="183"/>
      <c r="Y2659" s="183"/>
      <c r="Z2659" s="183"/>
      <c r="AA2659" s="183"/>
      <c r="AB2659" s="183"/>
      <c r="AC2659" s="183"/>
    </row>
    <row r="2660" spans="4:29">
      <c r="D2660" s="191"/>
      <c r="F2660" s="183"/>
      <c r="G2660" s="183"/>
      <c r="H2660" s="183"/>
      <c r="J2660" s="907"/>
      <c r="K2660" s="907"/>
      <c r="L2660" s="907"/>
      <c r="M2660" s="907"/>
      <c r="N2660" s="183"/>
      <c r="O2660" s="183"/>
      <c r="P2660" s="183"/>
      <c r="Q2660" s="183"/>
      <c r="R2660" s="183"/>
      <c r="S2660" s="183"/>
      <c r="T2660" s="183"/>
      <c r="U2660" s="183"/>
      <c r="V2660" s="183"/>
      <c r="W2660" s="183"/>
      <c r="X2660" s="183"/>
      <c r="Y2660" s="183"/>
      <c r="Z2660" s="183"/>
      <c r="AA2660" s="183"/>
      <c r="AB2660" s="183"/>
      <c r="AC2660" s="183"/>
    </row>
    <row r="2661" spans="4:29">
      <c r="D2661" s="191"/>
      <c r="F2661" s="183"/>
      <c r="G2661" s="183"/>
      <c r="H2661" s="183"/>
      <c r="J2661" s="907"/>
      <c r="K2661" s="907"/>
      <c r="L2661" s="907"/>
      <c r="M2661" s="907"/>
      <c r="N2661" s="183"/>
      <c r="O2661" s="183"/>
      <c r="P2661" s="183"/>
      <c r="Q2661" s="183"/>
      <c r="R2661" s="183"/>
      <c r="S2661" s="183"/>
      <c r="T2661" s="183"/>
      <c r="U2661" s="183"/>
      <c r="V2661" s="183"/>
      <c r="W2661" s="183"/>
      <c r="X2661" s="183"/>
      <c r="Y2661" s="183"/>
      <c r="Z2661" s="183"/>
      <c r="AA2661" s="183"/>
      <c r="AB2661" s="183"/>
      <c r="AC2661" s="183"/>
    </row>
    <row r="2662" spans="4:29">
      <c r="D2662" s="191"/>
      <c r="F2662" s="183"/>
      <c r="G2662" s="183"/>
      <c r="H2662" s="183"/>
      <c r="J2662" s="907"/>
      <c r="K2662" s="907"/>
      <c r="L2662" s="907"/>
      <c r="M2662" s="907"/>
      <c r="N2662" s="183"/>
      <c r="O2662" s="183"/>
      <c r="P2662" s="183"/>
      <c r="Q2662" s="183"/>
      <c r="R2662" s="183"/>
      <c r="S2662" s="183"/>
      <c r="T2662" s="183"/>
      <c r="U2662" s="183"/>
      <c r="V2662" s="183"/>
      <c r="W2662" s="183"/>
      <c r="X2662" s="183"/>
      <c r="Y2662" s="183"/>
      <c r="Z2662" s="183"/>
      <c r="AA2662" s="183"/>
      <c r="AB2662" s="183"/>
      <c r="AC2662" s="183"/>
    </row>
    <row r="2663" spans="4:29">
      <c r="D2663" s="191"/>
      <c r="F2663" s="183"/>
      <c r="G2663" s="183"/>
      <c r="H2663" s="183"/>
      <c r="J2663" s="907"/>
      <c r="K2663" s="907"/>
      <c r="L2663" s="907"/>
      <c r="M2663" s="907"/>
      <c r="N2663" s="183"/>
      <c r="O2663" s="183"/>
      <c r="P2663" s="183"/>
      <c r="Q2663" s="183"/>
      <c r="R2663" s="183"/>
      <c r="S2663" s="183"/>
      <c r="T2663" s="183"/>
      <c r="U2663" s="183"/>
      <c r="V2663" s="183"/>
      <c r="W2663" s="183"/>
      <c r="X2663" s="183"/>
      <c r="Y2663" s="183"/>
      <c r="Z2663" s="183"/>
      <c r="AA2663" s="183"/>
      <c r="AB2663" s="183"/>
      <c r="AC2663" s="183"/>
    </row>
    <row r="2664" spans="4:29">
      <c r="D2664" s="191"/>
      <c r="F2664" s="183"/>
      <c r="G2664" s="183"/>
      <c r="H2664" s="183"/>
      <c r="J2664" s="907"/>
      <c r="K2664" s="907"/>
      <c r="L2664" s="907"/>
      <c r="M2664" s="907"/>
      <c r="N2664" s="183"/>
      <c r="O2664" s="183"/>
      <c r="P2664" s="183"/>
      <c r="Q2664" s="183"/>
      <c r="R2664" s="183"/>
      <c r="S2664" s="183"/>
      <c r="T2664" s="183"/>
      <c r="U2664" s="183"/>
      <c r="V2664" s="183"/>
      <c r="W2664" s="183"/>
      <c r="X2664" s="183"/>
      <c r="Y2664" s="183"/>
      <c r="Z2664" s="183"/>
      <c r="AA2664" s="183"/>
      <c r="AB2664" s="183"/>
      <c r="AC2664" s="183"/>
    </row>
    <row r="2665" spans="4:29">
      <c r="D2665" s="191"/>
      <c r="F2665" s="183"/>
      <c r="G2665" s="183"/>
      <c r="H2665" s="183"/>
      <c r="J2665" s="907"/>
      <c r="K2665" s="907"/>
      <c r="L2665" s="907"/>
      <c r="M2665" s="907"/>
      <c r="N2665" s="183"/>
      <c r="O2665" s="183"/>
      <c r="P2665" s="183"/>
      <c r="Q2665" s="183"/>
      <c r="R2665" s="183"/>
      <c r="S2665" s="183"/>
      <c r="T2665" s="183"/>
      <c r="U2665" s="183"/>
      <c r="V2665" s="183"/>
      <c r="W2665" s="183"/>
      <c r="X2665" s="183"/>
      <c r="Y2665" s="183"/>
      <c r="Z2665" s="183"/>
      <c r="AA2665" s="183"/>
      <c r="AB2665" s="183"/>
      <c r="AC2665" s="183"/>
    </row>
    <row r="2666" spans="4:29">
      <c r="D2666" s="191"/>
      <c r="F2666" s="183"/>
      <c r="G2666" s="183"/>
      <c r="H2666" s="183"/>
      <c r="J2666" s="907"/>
      <c r="K2666" s="907"/>
      <c r="L2666" s="907"/>
      <c r="M2666" s="907"/>
      <c r="N2666" s="183"/>
      <c r="O2666" s="183"/>
      <c r="P2666" s="183"/>
      <c r="Q2666" s="183"/>
      <c r="R2666" s="183"/>
      <c r="S2666" s="183"/>
      <c r="T2666" s="183"/>
      <c r="U2666" s="183"/>
      <c r="V2666" s="183"/>
      <c r="W2666" s="183"/>
      <c r="X2666" s="183"/>
      <c r="Y2666" s="183"/>
      <c r="Z2666" s="183"/>
      <c r="AA2666" s="183"/>
      <c r="AB2666" s="183"/>
      <c r="AC2666" s="183"/>
    </row>
    <row r="2667" spans="4:29">
      <c r="D2667" s="191"/>
      <c r="F2667" s="183"/>
      <c r="G2667" s="183"/>
      <c r="H2667" s="183"/>
      <c r="J2667" s="907"/>
      <c r="K2667" s="907"/>
      <c r="L2667" s="907"/>
      <c r="M2667" s="907"/>
      <c r="N2667" s="183"/>
      <c r="O2667" s="183"/>
      <c r="P2667" s="183"/>
      <c r="Q2667" s="183"/>
      <c r="R2667" s="183"/>
      <c r="S2667" s="183"/>
      <c r="T2667" s="183"/>
      <c r="U2667" s="183"/>
      <c r="V2667" s="183"/>
      <c r="W2667" s="183"/>
      <c r="X2667" s="183"/>
      <c r="Y2667" s="183"/>
      <c r="Z2667" s="183"/>
      <c r="AA2667" s="183"/>
      <c r="AB2667" s="183"/>
      <c r="AC2667" s="183"/>
    </row>
    <row r="2668" spans="4:29">
      <c r="D2668" s="191"/>
      <c r="F2668" s="183"/>
      <c r="G2668" s="183"/>
      <c r="H2668" s="183"/>
      <c r="J2668" s="907"/>
      <c r="K2668" s="907"/>
      <c r="L2668" s="907"/>
      <c r="M2668" s="907"/>
      <c r="N2668" s="183"/>
      <c r="O2668" s="183"/>
      <c r="P2668" s="183"/>
      <c r="Q2668" s="183"/>
      <c r="R2668" s="183"/>
      <c r="S2668" s="183"/>
      <c r="T2668" s="183"/>
      <c r="U2668" s="183"/>
      <c r="V2668" s="183"/>
      <c r="W2668" s="183"/>
      <c r="X2668" s="183"/>
      <c r="Y2668" s="183"/>
      <c r="Z2668" s="183"/>
      <c r="AA2668" s="183"/>
      <c r="AB2668" s="183"/>
      <c r="AC2668" s="183"/>
    </row>
    <row r="2669" spans="4:29">
      <c r="D2669" s="191"/>
      <c r="F2669" s="183"/>
      <c r="G2669" s="183"/>
      <c r="H2669" s="183"/>
      <c r="J2669" s="907"/>
      <c r="K2669" s="907"/>
      <c r="L2669" s="907"/>
      <c r="M2669" s="907"/>
      <c r="N2669" s="183"/>
      <c r="O2669" s="183"/>
      <c r="P2669" s="183"/>
      <c r="Q2669" s="183"/>
      <c r="R2669" s="183"/>
      <c r="S2669" s="183"/>
      <c r="T2669" s="183"/>
      <c r="U2669" s="183"/>
      <c r="V2669" s="183"/>
      <c r="W2669" s="183"/>
      <c r="X2669" s="183"/>
      <c r="Y2669" s="183"/>
      <c r="Z2669" s="183"/>
      <c r="AA2669" s="183"/>
      <c r="AB2669" s="183"/>
      <c r="AC2669" s="183"/>
    </row>
    <row r="2670" spans="4:29">
      <c r="D2670" s="191"/>
      <c r="F2670" s="183"/>
      <c r="G2670" s="183"/>
      <c r="H2670" s="183"/>
      <c r="J2670" s="907"/>
      <c r="K2670" s="907"/>
      <c r="L2670" s="907"/>
      <c r="M2670" s="907"/>
      <c r="N2670" s="183"/>
      <c r="O2670" s="183"/>
      <c r="P2670" s="183"/>
      <c r="Q2670" s="183"/>
      <c r="R2670" s="183"/>
      <c r="S2670" s="183"/>
      <c r="T2670" s="183"/>
      <c r="U2670" s="183"/>
      <c r="V2670" s="183"/>
      <c r="W2670" s="183"/>
      <c r="X2670" s="183"/>
      <c r="Y2670" s="183"/>
      <c r="Z2670" s="183"/>
      <c r="AA2670" s="183"/>
      <c r="AB2670" s="183"/>
      <c r="AC2670" s="183"/>
    </row>
    <row r="2671" spans="4:29">
      <c r="D2671" s="191"/>
      <c r="F2671" s="183"/>
      <c r="G2671" s="183"/>
      <c r="H2671" s="183"/>
      <c r="J2671" s="907"/>
      <c r="K2671" s="907"/>
      <c r="L2671" s="907"/>
      <c r="M2671" s="907"/>
      <c r="N2671" s="183"/>
      <c r="O2671" s="183"/>
      <c r="P2671" s="183"/>
      <c r="Q2671" s="183"/>
      <c r="R2671" s="183"/>
      <c r="S2671" s="183"/>
      <c r="T2671" s="183"/>
      <c r="U2671" s="183"/>
      <c r="V2671" s="183"/>
      <c r="W2671" s="183"/>
      <c r="X2671" s="183"/>
      <c r="Y2671" s="183"/>
      <c r="Z2671" s="183"/>
      <c r="AA2671" s="183"/>
      <c r="AB2671" s="183"/>
      <c r="AC2671" s="183"/>
    </row>
    <row r="2672" spans="4:29">
      <c r="D2672" s="191"/>
      <c r="F2672" s="183"/>
      <c r="G2672" s="183"/>
      <c r="H2672" s="183"/>
      <c r="J2672" s="907"/>
      <c r="K2672" s="907"/>
      <c r="L2672" s="907"/>
      <c r="M2672" s="907"/>
      <c r="N2672" s="183"/>
      <c r="O2672" s="183"/>
      <c r="P2672" s="183"/>
      <c r="Q2672" s="183"/>
      <c r="R2672" s="183"/>
      <c r="S2672" s="183"/>
      <c r="T2672" s="183"/>
      <c r="U2672" s="183"/>
      <c r="V2672" s="183"/>
      <c r="W2672" s="183"/>
      <c r="X2672" s="183"/>
      <c r="Y2672" s="183"/>
      <c r="Z2672" s="183"/>
      <c r="AA2672" s="183"/>
      <c r="AB2672" s="183"/>
      <c r="AC2672" s="183"/>
    </row>
    <row r="2673" spans="4:29">
      <c r="D2673" s="191"/>
      <c r="F2673" s="183"/>
      <c r="G2673" s="183"/>
      <c r="H2673" s="183"/>
      <c r="J2673" s="907"/>
      <c r="K2673" s="907"/>
      <c r="L2673" s="907"/>
      <c r="M2673" s="907"/>
      <c r="N2673" s="183"/>
      <c r="O2673" s="183"/>
      <c r="P2673" s="183"/>
      <c r="Q2673" s="183"/>
      <c r="R2673" s="183"/>
      <c r="S2673" s="183"/>
      <c r="T2673" s="183"/>
      <c r="U2673" s="183"/>
      <c r="V2673" s="183"/>
      <c r="W2673" s="183"/>
      <c r="X2673" s="183"/>
      <c r="Y2673" s="183"/>
      <c r="Z2673" s="183"/>
      <c r="AA2673" s="183"/>
      <c r="AB2673" s="183"/>
      <c r="AC2673" s="183"/>
    </row>
    <row r="2674" spans="4:29">
      <c r="D2674" s="191"/>
      <c r="F2674" s="183"/>
      <c r="G2674" s="183"/>
      <c r="H2674" s="183"/>
      <c r="J2674" s="907"/>
      <c r="K2674" s="907"/>
      <c r="L2674" s="907"/>
      <c r="M2674" s="907"/>
      <c r="N2674" s="183"/>
      <c r="O2674" s="183"/>
      <c r="P2674" s="183"/>
      <c r="Q2674" s="183"/>
      <c r="R2674" s="183"/>
      <c r="S2674" s="183"/>
      <c r="T2674" s="183"/>
      <c r="U2674" s="183"/>
      <c r="V2674" s="183"/>
      <c r="W2674" s="183"/>
      <c r="X2674" s="183"/>
      <c r="Y2674" s="183"/>
      <c r="Z2674" s="183"/>
      <c r="AA2674" s="183"/>
      <c r="AB2674" s="183"/>
      <c r="AC2674" s="183"/>
    </row>
    <row r="2675" spans="4:29">
      <c r="D2675" s="191"/>
      <c r="F2675" s="183"/>
      <c r="G2675" s="183"/>
      <c r="H2675" s="183"/>
      <c r="J2675" s="907"/>
      <c r="K2675" s="907"/>
      <c r="L2675" s="907"/>
      <c r="M2675" s="907"/>
      <c r="N2675" s="183"/>
      <c r="O2675" s="183"/>
      <c r="P2675" s="183"/>
      <c r="Q2675" s="183"/>
      <c r="R2675" s="183"/>
      <c r="S2675" s="183"/>
      <c r="T2675" s="183"/>
      <c r="U2675" s="183"/>
      <c r="V2675" s="183"/>
      <c r="W2675" s="183"/>
      <c r="X2675" s="183"/>
      <c r="Y2675" s="183"/>
      <c r="Z2675" s="183"/>
      <c r="AA2675" s="183"/>
      <c r="AB2675" s="183"/>
      <c r="AC2675" s="183"/>
    </row>
    <row r="2676" spans="4:29">
      <c r="D2676" s="191"/>
      <c r="F2676" s="183"/>
      <c r="G2676" s="183"/>
      <c r="H2676" s="183"/>
      <c r="J2676" s="907"/>
      <c r="K2676" s="907"/>
      <c r="L2676" s="907"/>
      <c r="M2676" s="907"/>
      <c r="N2676" s="183"/>
      <c r="O2676" s="183"/>
      <c r="P2676" s="183"/>
      <c r="Q2676" s="183"/>
      <c r="R2676" s="183"/>
      <c r="S2676" s="183"/>
      <c r="T2676" s="183"/>
      <c r="U2676" s="183"/>
      <c r="V2676" s="183"/>
      <c r="W2676" s="183"/>
      <c r="X2676" s="183"/>
      <c r="Y2676" s="183"/>
      <c r="Z2676" s="183"/>
      <c r="AA2676" s="183"/>
      <c r="AB2676" s="183"/>
      <c r="AC2676" s="183"/>
    </row>
    <row r="2677" spans="4:29">
      <c r="D2677" s="191"/>
      <c r="F2677" s="183"/>
      <c r="G2677" s="183"/>
      <c r="H2677" s="183"/>
      <c r="J2677" s="907"/>
      <c r="K2677" s="907"/>
      <c r="L2677" s="907"/>
      <c r="M2677" s="907"/>
      <c r="N2677" s="183"/>
      <c r="O2677" s="183"/>
      <c r="P2677" s="183"/>
      <c r="Q2677" s="183"/>
      <c r="R2677" s="183"/>
      <c r="S2677" s="183"/>
      <c r="T2677" s="183"/>
      <c r="U2677" s="183"/>
      <c r="V2677" s="183"/>
      <c r="W2677" s="183"/>
      <c r="X2677" s="183"/>
      <c r="Y2677" s="183"/>
      <c r="Z2677" s="183"/>
      <c r="AA2677" s="183"/>
      <c r="AB2677" s="183"/>
      <c r="AC2677" s="183"/>
    </row>
    <row r="2678" spans="4:29">
      <c r="D2678" s="191"/>
      <c r="F2678" s="183"/>
      <c r="G2678" s="183"/>
      <c r="H2678" s="183"/>
      <c r="J2678" s="907"/>
      <c r="K2678" s="907"/>
      <c r="L2678" s="907"/>
      <c r="M2678" s="907"/>
      <c r="N2678" s="183"/>
      <c r="O2678" s="183"/>
      <c r="P2678" s="183"/>
      <c r="Q2678" s="183"/>
      <c r="R2678" s="183"/>
      <c r="S2678" s="183"/>
      <c r="T2678" s="183"/>
      <c r="U2678" s="183"/>
      <c r="V2678" s="183"/>
      <c r="W2678" s="183"/>
      <c r="X2678" s="183"/>
      <c r="Y2678" s="183"/>
      <c r="Z2678" s="183"/>
      <c r="AA2678" s="183"/>
      <c r="AB2678" s="183"/>
      <c r="AC2678" s="183"/>
    </row>
    <row r="2679" spans="4:29">
      <c r="D2679" s="191"/>
      <c r="F2679" s="183"/>
      <c r="G2679" s="183"/>
      <c r="H2679" s="183"/>
      <c r="J2679" s="907"/>
      <c r="K2679" s="907"/>
      <c r="L2679" s="907"/>
      <c r="M2679" s="907"/>
      <c r="N2679" s="183"/>
      <c r="O2679" s="183"/>
      <c r="P2679" s="183"/>
      <c r="Q2679" s="183"/>
      <c r="R2679" s="183"/>
      <c r="S2679" s="183"/>
      <c r="T2679" s="183"/>
      <c r="U2679" s="183"/>
      <c r="V2679" s="183"/>
      <c r="W2679" s="183"/>
      <c r="X2679" s="183"/>
      <c r="Y2679" s="183"/>
      <c r="Z2679" s="183"/>
      <c r="AA2679" s="183"/>
      <c r="AB2679" s="183"/>
      <c r="AC2679" s="183"/>
    </row>
    <row r="2680" spans="4:29">
      <c r="D2680" s="191"/>
      <c r="F2680" s="183"/>
      <c r="G2680" s="183"/>
      <c r="H2680" s="183"/>
      <c r="J2680" s="907"/>
      <c r="K2680" s="907"/>
      <c r="L2680" s="907"/>
      <c r="M2680" s="907"/>
      <c r="N2680" s="183"/>
      <c r="O2680" s="183"/>
      <c r="P2680" s="183"/>
      <c r="Q2680" s="183"/>
      <c r="R2680" s="183"/>
      <c r="S2680" s="183"/>
      <c r="T2680" s="183"/>
      <c r="U2680" s="183"/>
      <c r="V2680" s="183"/>
      <c r="W2680" s="183"/>
      <c r="X2680" s="183"/>
      <c r="Y2680" s="183"/>
      <c r="Z2680" s="183"/>
      <c r="AA2680" s="183"/>
      <c r="AB2680" s="183"/>
      <c r="AC2680" s="183"/>
    </row>
    <row r="2681" spans="4:29">
      <c r="D2681" s="191"/>
      <c r="F2681" s="183"/>
      <c r="G2681" s="183"/>
      <c r="H2681" s="183"/>
      <c r="J2681" s="907"/>
      <c r="K2681" s="907"/>
      <c r="L2681" s="907"/>
      <c r="M2681" s="907"/>
      <c r="N2681" s="183"/>
      <c r="O2681" s="183"/>
      <c r="P2681" s="183"/>
      <c r="Q2681" s="183"/>
      <c r="R2681" s="183"/>
      <c r="S2681" s="183"/>
      <c r="T2681" s="183"/>
      <c r="U2681" s="183"/>
      <c r="V2681" s="183"/>
      <c r="W2681" s="183"/>
      <c r="X2681" s="183"/>
      <c r="Y2681" s="183"/>
      <c r="Z2681" s="183"/>
      <c r="AA2681" s="183"/>
      <c r="AB2681" s="183"/>
      <c r="AC2681" s="183"/>
    </row>
    <row r="2682" spans="4:29">
      <c r="D2682" s="191"/>
      <c r="F2682" s="183"/>
      <c r="G2682" s="183"/>
      <c r="H2682" s="183"/>
      <c r="J2682" s="907"/>
      <c r="K2682" s="907"/>
      <c r="L2682" s="907"/>
      <c r="M2682" s="907"/>
      <c r="N2682" s="183"/>
      <c r="O2682" s="183"/>
      <c r="P2682" s="183"/>
      <c r="Q2682" s="183"/>
      <c r="R2682" s="183"/>
      <c r="S2682" s="183"/>
      <c r="T2682" s="183"/>
      <c r="U2682" s="183"/>
      <c r="V2682" s="183"/>
      <c r="W2682" s="183"/>
      <c r="X2682" s="183"/>
      <c r="Y2682" s="183"/>
      <c r="Z2682" s="183"/>
      <c r="AA2682" s="183"/>
      <c r="AB2682" s="183"/>
      <c r="AC2682" s="183"/>
    </row>
    <row r="2683" spans="4:29">
      <c r="D2683" s="191"/>
      <c r="F2683" s="183"/>
      <c r="G2683" s="183"/>
      <c r="H2683" s="183"/>
      <c r="J2683" s="907"/>
      <c r="K2683" s="907"/>
      <c r="L2683" s="907"/>
      <c r="M2683" s="907"/>
      <c r="N2683" s="183"/>
      <c r="O2683" s="183"/>
      <c r="P2683" s="183"/>
      <c r="Q2683" s="183"/>
      <c r="R2683" s="183"/>
      <c r="S2683" s="183"/>
      <c r="T2683" s="183"/>
      <c r="U2683" s="183"/>
      <c r="V2683" s="183"/>
      <c r="W2683" s="183"/>
      <c r="X2683" s="183"/>
      <c r="Y2683" s="183"/>
      <c r="Z2683" s="183"/>
      <c r="AA2683" s="183"/>
      <c r="AB2683" s="183"/>
      <c r="AC2683" s="183"/>
    </row>
    <row r="2684" spans="4:29">
      <c r="D2684" s="191"/>
      <c r="F2684" s="183"/>
      <c r="G2684" s="183"/>
      <c r="H2684" s="183"/>
      <c r="J2684" s="907"/>
      <c r="K2684" s="907"/>
      <c r="L2684" s="907"/>
      <c r="M2684" s="907"/>
      <c r="N2684" s="183"/>
      <c r="O2684" s="183"/>
      <c r="P2684" s="183"/>
      <c r="Q2684" s="183"/>
      <c r="R2684" s="183"/>
      <c r="S2684" s="183"/>
      <c r="T2684" s="183"/>
      <c r="U2684" s="183"/>
      <c r="V2684" s="183"/>
      <c r="W2684" s="183"/>
      <c r="X2684" s="183"/>
      <c r="Y2684" s="183"/>
      <c r="Z2684" s="183"/>
      <c r="AA2684" s="183"/>
      <c r="AB2684" s="183"/>
      <c r="AC2684" s="183"/>
    </row>
    <row r="2685" spans="4:29">
      <c r="D2685" s="191"/>
      <c r="F2685" s="183"/>
      <c r="G2685" s="183"/>
      <c r="H2685" s="183"/>
      <c r="J2685" s="907"/>
      <c r="K2685" s="907"/>
      <c r="L2685" s="907"/>
      <c r="M2685" s="907"/>
      <c r="N2685" s="183"/>
      <c r="O2685" s="183"/>
      <c r="P2685" s="183"/>
      <c r="Q2685" s="183"/>
      <c r="R2685" s="183"/>
      <c r="S2685" s="183"/>
      <c r="T2685" s="183"/>
      <c r="U2685" s="183"/>
      <c r="V2685" s="183"/>
      <c r="W2685" s="183"/>
      <c r="X2685" s="183"/>
      <c r="Y2685" s="183"/>
      <c r="Z2685" s="183"/>
      <c r="AA2685" s="183"/>
      <c r="AB2685" s="183"/>
      <c r="AC2685" s="183"/>
    </row>
    <row r="2686" spans="4:29">
      <c r="D2686" s="191"/>
      <c r="F2686" s="183"/>
      <c r="G2686" s="183"/>
      <c r="H2686" s="183"/>
      <c r="J2686" s="907"/>
      <c r="K2686" s="907"/>
      <c r="L2686" s="907"/>
      <c r="M2686" s="907"/>
      <c r="N2686" s="183"/>
      <c r="O2686" s="183"/>
      <c r="P2686" s="183"/>
      <c r="Q2686" s="183"/>
      <c r="R2686" s="183"/>
      <c r="S2686" s="183"/>
      <c r="T2686" s="183"/>
      <c r="U2686" s="183"/>
      <c r="V2686" s="183"/>
      <c r="W2686" s="183"/>
      <c r="X2686" s="183"/>
      <c r="Y2686" s="183"/>
      <c r="Z2686" s="183"/>
      <c r="AA2686" s="183"/>
      <c r="AB2686" s="183"/>
      <c r="AC2686" s="183"/>
    </row>
    <row r="2687" spans="4:29">
      <c r="D2687" s="191"/>
      <c r="F2687" s="183"/>
      <c r="G2687" s="183"/>
      <c r="H2687" s="183"/>
      <c r="J2687" s="907"/>
      <c r="K2687" s="907"/>
      <c r="L2687" s="907"/>
      <c r="M2687" s="907"/>
      <c r="N2687" s="183"/>
      <c r="O2687" s="183"/>
      <c r="P2687" s="183"/>
      <c r="Q2687" s="183"/>
      <c r="R2687" s="183"/>
      <c r="S2687" s="183"/>
      <c r="T2687" s="183"/>
      <c r="U2687" s="183"/>
      <c r="V2687" s="183"/>
      <c r="W2687" s="183"/>
      <c r="X2687" s="183"/>
      <c r="Y2687" s="183"/>
      <c r="Z2687" s="183"/>
      <c r="AA2687" s="183"/>
      <c r="AB2687" s="183"/>
      <c r="AC2687" s="183"/>
    </row>
    <row r="2688" spans="4:29">
      <c r="D2688" s="191"/>
      <c r="F2688" s="183"/>
      <c r="G2688" s="183"/>
      <c r="H2688" s="183"/>
      <c r="J2688" s="907"/>
      <c r="K2688" s="907"/>
      <c r="L2688" s="907"/>
      <c r="M2688" s="907"/>
      <c r="N2688" s="183"/>
      <c r="O2688" s="183"/>
      <c r="P2688" s="183"/>
      <c r="Q2688" s="183"/>
      <c r="R2688" s="183"/>
      <c r="S2688" s="183"/>
      <c r="T2688" s="183"/>
      <c r="U2688" s="183"/>
      <c r="V2688" s="183"/>
      <c r="W2688" s="183"/>
      <c r="X2688" s="183"/>
      <c r="Y2688" s="183"/>
      <c r="Z2688" s="183"/>
      <c r="AA2688" s="183"/>
      <c r="AB2688" s="183"/>
      <c r="AC2688" s="183"/>
    </row>
    <row r="2689" spans="4:29">
      <c r="D2689" s="191"/>
      <c r="F2689" s="183"/>
      <c r="G2689" s="183"/>
      <c r="H2689" s="183"/>
      <c r="J2689" s="907"/>
      <c r="K2689" s="907"/>
      <c r="L2689" s="907"/>
      <c r="M2689" s="907"/>
      <c r="N2689" s="183"/>
      <c r="O2689" s="183"/>
      <c r="P2689" s="183"/>
      <c r="Q2689" s="183"/>
      <c r="R2689" s="183"/>
      <c r="S2689" s="183"/>
      <c r="T2689" s="183"/>
      <c r="U2689" s="183"/>
      <c r="V2689" s="183"/>
      <c r="W2689" s="183"/>
      <c r="X2689" s="183"/>
      <c r="Y2689" s="183"/>
      <c r="Z2689" s="183"/>
      <c r="AA2689" s="183"/>
      <c r="AB2689" s="183"/>
      <c r="AC2689" s="183"/>
    </row>
    <row r="2690" spans="4:29">
      <c r="D2690" s="191"/>
      <c r="F2690" s="183"/>
      <c r="G2690" s="183"/>
      <c r="H2690" s="183"/>
      <c r="J2690" s="907"/>
      <c r="K2690" s="907"/>
      <c r="L2690" s="907"/>
      <c r="M2690" s="907"/>
      <c r="N2690" s="183"/>
      <c r="O2690" s="183"/>
      <c r="P2690" s="183"/>
      <c r="Q2690" s="183"/>
      <c r="R2690" s="183"/>
      <c r="S2690" s="183"/>
      <c r="T2690" s="183"/>
      <c r="U2690" s="183"/>
      <c r="V2690" s="183"/>
      <c r="W2690" s="183"/>
      <c r="X2690" s="183"/>
      <c r="Y2690" s="183"/>
      <c r="Z2690" s="183"/>
      <c r="AA2690" s="183"/>
      <c r="AB2690" s="183"/>
      <c r="AC2690" s="183"/>
    </row>
    <row r="2691" spans="4:29">
      <c r="D2691" s="191"/>
      <c r="F2691" s="183"/>
      <c r="G2691" s="183"/>
      <c r="H2691" s="183"/>
      <c r="J2691" s="907"/>
      <c r="K2691" s="907"/>
      <c r="L2691" s="907"/>
      <c r="M2691" s="907"/>
      <c r="N2691" s="183"/>
      <c r="O2691" s="183"/>
      <c r="P2691" s="183"/>
      <c r="Q2691" s="183"/>
      <c r="R2691" s="183"/>
      <c r="S2691" s="183"/>
      <c r="T2691" s="183"/>
      <c r="U2691" s="183"/>
      <c r="V2691" s="183"/>
      <c r="W2691" s="183"/>
      <c r="X2691" s="183"/>
      <c r="Y2691" s="183"/>
      <c r="Z2691" s="183"/>
      <c r="AA2691" s="183"/>
      <c r="AB2691" s="183"/>
      <c r="AC2691" s="183"/>
    </row>
    <row r="2692" spans="4:29">
      <c r="D2692" s="191"/>
      <c r="F2692" s="183"/>
      <c r="G2692" s="183"/>
      <c r="H2692" s="183"/>
      <c r="J2692" s="907"/>
      <c r="K2692" s="907"/>
      <c r="L2692" s="907"/>
      <c r="M2692" s="907"/>
      <c r="N2692" s="183"/>
      <c r="O2692" s="183"/>
      <c r="P2692" s="183"/>
      <c r="Q2692" s="183"/>
      <c r="R2692" s="183"/>
      <c r="S2692" s="183"/>
      <c r="T2692" s="183"/>
      <c r="U2692" s="183"/>
      <c r="V2692" s="183"/>
      <c r="W2692" s="183"/>
      <c r="X2692" s="183"/>
      <c r="Y2692" s="183"/>
      <c r="Z2692" s="183"/>
      <c r="AA2692" s="183"/>
      <c r="AB2692" s="183"/>
      <c r="AC2692" s="183"/>
    </row>
    <row r="2693" spans="4:29">
      <c r="D2693" s="191"/>
      <c r="F2693" s="183"/>
      <c r="G2693" s="183"/>
      <c r="H2693" s="183"/>
      <c r="J2693" s="907"/>
      <c r="K2693" s="907"/>
      <c r="L2693" s="907"/>
      <c r="M2693" s="907"/>
      <c r="N2693" s="183"/>
      <c r="O2693" s="183"/>
      <c r="P2693" s="183"/>
      <c r="Q2693" s="183"/>
      <c r="R2693" s="183"/>
      <c r="S2693" s="183"/>
      <c r="T2693" s="183"/>
      <c r="U2693" s="183"/>
      <c r="V2693" s="183"/>
      <c r="W2693" s="183"/>
      <c r="X2693" s="183"/>
      <c r="Y2693" s="183"/>
      <c r="Z2693" s="183"/>
      <c r="AA2693" s="183"/>
      <c r="AB2693" s="183"/>
      <c r="AC2693" s="183"/>
    </row>
    <row r="2694" spans="4:29">
      <c r="D2694" s="191"/>
      <c r="F2694" s="183"/>
      <c r="G2694" s="183"/>
      <c r="H2694" s="183"/>
      <c r="J2694" s="907"/>
      <c r="K2694" s="907"/>
      <c r="L2694" s="907"/>
      <c r="M2694" s="907"/>
      <c r="N2694" s="183"/>
      <c r="O2694" s="183"/>
      <c r="P2694" s="183"/>
      <c r="Q2694" s="183"/>
      <c r="R2694" s="183"/>
      <c r="S2694" s="183"/>
      <c r="T2694" s="183"/>
      <c r="U2694" s="183"/>
      <c r="V2694" s="183"/>
      <c r="W2694" s="183"/>
      <c r="X2694" s="183"/>
      <c r="Y2694" s="183"/>
      <c r="Z2694" s="183"/>
      <c r="AA2694" s="183"/>
      <c r="AB2694" s="183"/>
      <c r="AC2694" s="183"/>
    </row>
    <row r="2695" spans="4:29">
      <c r="D2695" s="191"/>
      <c r="F2695" s="183"/>
      <c r="G2695" s="183"/>
      <c r="H2695" s="183"/>
      <c r="J2695" s="907"/>
      <c r="K2695" s="907"/>
      <c r="L2695" s="907"/>
      <c r="M2695" s="907"/>
      <c r="N2695" s="183"/>
      <c r="O2695" s="183"/>
      <c r="P2695" s="183"/>
      <c r="Q2695" s="183"/>
      <c r="R2695" s="183"/>
      <c r="S2695" s="183"/>
      <c r="T2695" s="183"/>
      <c r="U2695" s="183"/>
      <c r="V2695" s="183"/>
      <c r="W2695" s="183"/>
      <c r="X2695" s="183"/>
      <c r="Y2695" s="183"/>
      <c r="Z2695" s="183"/>
      <c r="AA2695" s="183"/>
      <c r="AB2695" s="183"/>
      <c r="AC2695" s="183"/>
    </row>
    <row r="2696" spans="4:29">
      <c r="D2696" s="191"/>
      <c r="F2696" s="183"/>
      <c r="G2696" s="183"/>
      <c r="H2696" s="183"/>
      <c r="J2696" s="907"/>
      <c r="K2696" s="907"/>
      <c r="L2696" s="907"/>
      <c r="M2696" s="907"/>
      <c r="N2696" s="183"/>
      <c r="O2696" s="183"/>
      <c r="P2696" s="183"/>
      <c r="Q2696" s="183"/>
      <c r="R2696" s="183"/>
      <c r="S2696" s="183"/>
      <c r="T2696" s="183"/>
      <c r="U2696" s="183"/>
      <c r="V2696" s="183"/>
      <c r="W2696" s="183"/>
      <c r="X2696" s="183"/>
      <c r="Y2696" s="183"/>
      <c r="Z2696" s="183"/>
      <c r="AA2696" s="183"/>
      <c r="AB2696" s="183"/>
      <c r="AC2696" s="183"/>
    </row>
    <row r="2697" spans="4:29">
      <c r="D2697" s="191"/>
      <c r="F2697" s="183"/>
      <c r="G2697" s="183"/>
      <c r="H2697" s="183"/>
      <c r="J2697" s="907"/>
      <c r="K2697" s="907"/>
      <c r="L2697" s="907"/>
      <c r="M2697" s="907"/>
      <c r="N2697" s="183"/>
      <c r="O2697" s="183"/>
      <c r="P2697" s="183"/>
      <c r="Q2697" s="183"/>
      <c r="R2697" s="183"/>
      <c r="S2697" s="183"/>
      <c r="T2697" s="183"/>
      <c r="U2697" s="183"/>
      <c r="V2697" s="183"/>
      <c r="W2697" s="183"/>
      <c r="X2697" s="183"/>
      <c r="Y2697" s="183"/>
      <c r="Z2697" s="183"/>
      <c r="AA2697" s="183"/>
      <c r="AB2697" s="183"/>
      <c r="AC2697" s="183"/>
    </row>
    <row r="2698" spans="4:29">
      <c r="D2698" s="191"/>
      <c r="F2698" s="183"/>
      <c r="G2698" s="183"/>
      <c r="H2698" s="183"/>
      <c r="J2698" s="907"/>
      <c r="K2698" s="907"/>
      <c r="L2698" s="907"/>
      <c r="M2698" s="907"/>
      <c r="N2698" s="183"/>
      <c r="O2698" s="183"/>
      <c r="P2698" s="183"/>
      <c r="Q2698" s="183"/>
      <c r="R2698" s="183"/>
      <c r="S2698" s="183"/>
      <c r="T2698" s="183"/>
      <c r="U2698" s="183"/>
      <c r="V2698" s="183"/>
      <c r="W2698" s="183"/>
      <c r="X2698" s="183"/>
      <c r="Y2698" s="183"/>
      <c r="Z2698" s="183"/>
      <c r="AA2698" s="183"/>
      <c r="AB2698" s="183"/>
      <c r="AC2698" s="183"/>
    </row>
    <row r="2699" spans="4:29">
      <c r="D2699" s="191"/>
      <c r="F2699" s="183"/>
      <c r="G2699" s="183"/>
      <c r="H2699" s="183"/>
      <c r="J2699" s="907"/>
      <c r="K2699" s="907"/>
      <c r="L2699" s="907"/>
      <c r="M2699" s="907"/>
      <c r="N2699" s="183"/>
      <c r="O2699" s="183"/>
      <c r="P2699" s="183"/>
      <c r="Q2699" s="183"/>
      <c r="R2699" s="183"/>
      <c r="S2699" s="183"/>
      <c r="T2699" s="183"/>
      <c r="U2699" s="183"/>
      <c r="V2699" s="183"/>
      <c r="W2699" s="183"/>
      <c r="X2699" s="183"/>
      <c r="Y2699" s="183"/>
      <c r="Z2699" s="183"/>
      <c r="AA2699" s="183"/>
      <c r="AB2699" s="183"/>
      <c r="AC2699" s="183"/>
    </row>
    <row r="2700" spans="4:29">
      <c r="D2700" s="191"/>
      <c r="F2700" s="183"/>
      <c r="G2700" s="183"/>
      <c r="H2700" s="183"/>
      <c r="J2700" s="907"/>
      <c r="K2700" s="907"/>
      <c r="L2700" s="907"/>
      <c r="M2700" s="907"/>
      <c r="N2700" s="183"/>
      <c r="O2700" s="183"/>
      <c r="P2700" s="183"/>
      <c r="Q2700" s="183"/>
      <c r="R2700" s="183"/>
      <c r="S2700" s="183"/>
      <c r="T2700" s="183"/>
      <c r="U2700" s="183"/>
      <c r="V2700" s="183"/>
      <c r="W2700" s="183"/>
      <c r="X2700" s="183"/>
      <c r="Y2700" s="183"/>
      <c r="Z2700" s="183"/>
      <c r="AA2700" s="183"/>
      <c r="AB2700" s="183"/>
      <c r="AC2700" s="183"/>
    </row>
    <row r="2701" spans="4:29">
      <c r="D2701" s="191"/>
      <c r="F2701" s="183"/>
      <c r="G2701" s="183"/>
      <c r="H2701" s="183"/>
      <c r="J2701" s="907"/>
      <c r="K2701" s="907"/>
      <c r="L2701" s="907"/>
      <c r="M2701" s="907"/>
      <c r="N2701" s="183"/>
      <c r="O2701" s="183"/>
      <c r="P2701" s="183"/>
      <c r="Q2701" s="183"/>
      <c r="R2701" s="183"/>
      <c r="S2701" s="183"/>
      <c r="T2701" s="183"/>
      <c r="U2701" s="183"/>
      <c r="V2701" s="183"/>
      <c r="W2701" s="183"/>
      <c r="X2701" s="183"/>
      <c r="Y2701" s="183"/>
      <c r="Z2701" s="183"/>
      <c r="AA2701" s="183"/>
      <c r="AB2701" s="183"/>
      <c r="AC2701" s="183"/>
    </row>
    <row r="2702" spans="4:29">
      <c r="D2702" s="191"/>
      <c r="F2702" s="183"/>
      <c r="G2702" s="183"/>
      <c r="H2702" s="183"/>
      <c r="J2702" s="907"/>
      <c r="K2702" s="907"/>
      <c r="L2702" s="907"/>
      <c r="M2702" s="907"/>
      <c r="N2702" s="183"/>
      <c r="O2702" s="183"/>
      <c r="P2702" s="183"/>
      <c r="Q2702" s="183"/>
      <c r="R2702" s="183"/>
      <c r="S2702" s="183"/>
      <c r="T2702" s="183"/>
      <c r="U2702" s="183"/>
      <c r="V2702" s="183"/>
      <c r="W2702" s="183"/>
      <c r="X2702" s="183"/>
      <c r="Y2702" s="183"/>
      <c r="Z2702" s="183"/>
      <c r="AA2702" s="183"/>
      <c r="AB2702" s="183"/>
      <c r="AC2702" s="183"/>
    </row>
    <row r="2703" spans="4:29">
      <c r="D2703" s="191"/>
      <c r="F2703" s="183"/>
      <c r="G2703" s="183"/>
      <c r="H2703" s="183"/>
      <c r="J2703" s="907"/>
      <c r="K2703" s="907"/>
      <c r="L2703" s="907"/>
      <c r="M2703" s="907"/>
      <c r="N2703" s="183"/>
      <c r="O2703" s="183"/>
      <c r="P2703" s="183"/>
      <c r="Q2703" s="183"/>
      <c r="R2703" s="183"/>
      <c r="S2703" s="183"/>
      <c r="T2703" s="183"/>
      <c r="U2703" s="183"/>
      <c r="V2703" s="183"/>
      <c r="W2703" s="183"/>
      <c r="X2703" s="183"/>
      <c r="Y2703" s="183"/>
      <c r="Z2703" s="183"/>
      <c r="AA2703" s="183"/>
      <c r="AB2703" s="183"/>
      <c r="AC2703" s="183"/>
    </row>
    <row r="2704" spans="4:29">
      <c r="D2704" s="191"/>
      <c r="F2704" s="183"/>
      <c r="G2704" s="183"/>
      <c r="H2704" s="183"/>
      <c r="J2704" s="907"/>
      <c r="K2704" s="907"/>
      <c r="L2704" s="907"/>
      <c r="M2704" s="907"/>
      <c r="N2704" s="183"/>
      <c r="O2704" s="183"/>
      <c r="P2704" s="183"/>
      <c r="Q2704" s="183"/>
      <c r="R2704" s="183"/>
      <c r="S2704" s="183"/>
      <c r="T2704" s="183"/>
      <c r="U2704" s="183"/>
      <c r="V2704" s="183"/>
      <c r="W2704" s="183"/>
      <c r="X2704" s="183"/>
      <c r="Y2704" s="183"/>
      <c r="Z2704" s="183"/>
      <c r="AA2704" s="183"/>
      <c r="AB2704" s="183"/>
      <c r="AC2704" s="183"/>
    </row>
    <row r="2705" spans="4:29">
      <c r="D2705" s="191"/>
      <c r="F2705" s="183"/>
      <c r="G2705" s="183"/>
      <c r="H2705" s="183"/>
      <c r="J2705" s="907"/>
      <c r="K2705" s="907"/>
      <c r="L2705" s="907"/>
      <c r="M2705" s="907"/>
      <c r="N2705" s="183"/>
      <c r="O2705" s="183"/>
      <c r="P2705" s="183"/>
      <c r="Q2705" s="183"/>
      <c r="R2705" s="183"/>
      <c r="S2705" s="183"/>
      <c r="T2705" s="183"/>
      <c r="U2705" s="183"/>
      <c r="V2705" s="183"/>
      <c r="W2705" s="183"/>
      <c r="X2705" s="183"/>
      <c r="Y2705" s="183"/>
      <c r="Z2705" s="183"/>
      <c r="AA2705" s="183"/>
      <c r="AB2705" s="183"/>
      <c r="AC2705" s="183"/>
    </row>
    <row r="2706" spans="4:29">
      <c r="D2706" s="191"/>
      <c r="F2706" s="183"/>
      <c r="G2706" s="183"/>
      <c r="H2706" s="183"/>
      <c r="J2706" s="907"/>
      <c r="K2706" s="907"/>
      <c r="L2706" s="907"/>
      <c r="M2706" s="907"/>
      <c r="N2706" s="183"/>
      <c r="O2706" s="183"/>
      <c r="P2706" s="183"/>
      <c r="Q2706" s="183"/>
      <c r="R2706" s="183"/>
      <c r="S2706" s="183"/>
      <c r="T2706" s="183"/>
      <c r="U2706" s="183"/>
      <c r="V2706" s="183"/>
      <c r="W2706" s="183"/>
      <c r="X2706" s="183"/>
      <c r="Y2706" s="183"/>
      <c r="Z2706" s="183"/>
      <c r="AA2706" s="183"/>
      <c r="AB2706" s="183"/>
      <c r="AC2706" s="183"/>
    </row>
    <row r="2707" spans="4:29">
      <c r="D2707" s="191"/>
      <c r="F2707" s="183"/>
      <c r="G2707" s="183"/>
      <c r="H2707" s="183"/>
      <c r="J2707" s="907"/>
      <c r="K2707" s="907"/>
      <c r="L2707" s="907"/>
      <c r="M2707" s="907"/>
      <c r="N2707" s="183"/>
      <c r="O2707" s="183"/>
      <c r="P2707" s="183"/>
      <c r="Q2707" s="183"/>
      <c r="R2707" s="183"/>
      <c r="S2707" s="183"/>
      <c r="T2707" s="183"/>
      <c r="U2707" s="183"/>
      <c r="V2707" s="183"/>
      <c r="W2707" s="183"/>
      <c r="X2707" s="183"/>
      <c r="Y2707" s="183"/>
      <c r="Z2707" s="183"/>
      <c r="AA2707" s="183"/>
      <c r="AB2707" s="183"/>
      <c r="AC2707" s="183"/>
    </row>
    <row r="2708" spans="4:29">
      <c r="D2708" s="191"/>
      <c r="F2708" s="183"/>
      <c r="G2708" s="183"/>
      <c r="H2708" s="183"/>
      <c r="J2708" s="907"/>
      <c r="K2708" s="907"/>
      <c r="L2708" s="907"/>
      <c r="M2708" s="907"/>
      <c r="N2708" s="183"/>
      <c r="O2708" s="183"/>
      <c r="P2708" s="183"/>
      <c r="Q2708" s="183"/>
      <c r="R2708" s="183"/>
      <c r="S2708" s="183"/>
      <c r="T2708" s="183"/>
      <c r="U2708" s="183"/>
      <c r="V2708" s="183"/>
      <c r="W2708" s="183"/>
      <c r="X2708" s="183"/>
      <c r="Y2708" s="183"/>
      <c r="Z2708" s="183"/>
      <c r="AA2708" s="183"/>
      <c r="AB2708" s="183"/>
      <c r="AC2708" s="183"/>
    </row>
    <row r="2709" spans="4:29">
      <c r="D2709" s="191"/>
      <c r="F2709" s="183"/>
      <c r="G2709" s="183"/>
      <c r="H2709" s="183"/>
      <c r="J2709" s="907"/>
      <c r="K2709" s="907"/>
      <c r="L2709" s="907"/>
      <c r="M2709" s="907"/>
      <c r="N2709" s="183"/>
      <c r="O2709" s="183"/>
      <c r="P2709" s="183"/>
      <c r="Q2709" s="183"/>
      <c r="R2709" s="183"/>
      <c r="S2709" s="183"/>
      <c r="T2709" s="183"/>
      <c r="U2709" s="183"/>
      <c r="V2709" s="183"/>
      <c r="W2709" s="183"/>
      <c r="X2709" s="183"/>
      <c r="Y2709" s="183"/>
      <c r="Z2709" s="183"/>
      <c r="AA2709" s="183"/>
      <c r="AB2709" s="183"/>
      <c r="AC2709" s="183"/>
    </row>
    <row r="2710" spans="4:29">
      <c r="D2710" s="191"/>
      <c r="F2710" s="183"/>
      <c r="G2710" s="183"/>
      <c r="H2710" s="183"/>
      <c r="J2710" s="907"/>
      <c r="K2710" s="907"/>
      <c r="L2710" s="907"/>
      <c r="M2710" s="907"/>
      <c r="N2710" s="183"/>
      <c r="O2710" s="183"/>
      <c r="P2710" s="183"/>
      <c r="Q2710" s="183"/>
      <c r="R2710" s="183"/>
      <c r="S2710" s="183"/>
      <c r="T2710" s="183"/>
      <c r="U2710" s="183"/>
      <c r="V2710" s="183"/>
      <c r="W2710" s="183"/>
      <c r="X2710" s="183"/>
      <c r="Y2710" s="183"/>
      <c r="Z2710" s="183"/>
      <c r="AA2710" s="183"/>
      <c r="AB2710" s="183"/>
      <c r="AC2710" s="183"/>
    </row>
    <row r="2711" spans="4:29">
      <c r="D2711" s="191"/>
      <c r="F2711" s="183"/>
      <c r="G2711" s="183"/>
      <c r="H2711" s="183"/>
      <c r="J2711" s="907"/>
      <c r="K2711" s="907"/>
      <c r="L2711" s="907"/>
      <c r="M2711" s="907"/>
      <c r="N2711" s="183"/>
      <c r="O2711" s="183"/>
      <c r="P2711" s="183"/>
      <c r="Q2711" s="183"/>
      <c r="R2711" s="183"/>
      <c r="S2711" s="183"/>
      <c r="T2711" s="183"/>
      <c r="U2711" s="183"/>
      <c r="V2711" s="183"/>
      <c r="W2711" s="183"/>
      <c r="X2711" s="183"/>
      <c r="Y2711" s="183"/>
      <c r="Z2711" s="183"/>
      <c r="AA2711" s="183"/>
      <c r="AB2711" s="183"/>
      <c r="AC2711" s="183"/>
    </row>
    <row r="2712" spans="4:29">
      <c r="D2712" s="191"/>
      <c r="F2712" s="183"/>
      <c r="G2712" s="183"/>
      <c r="H2712" s="183"/>
      <c r="J2712" s="907"/>
      <c r="K2712" s="907"/>
      <c r="L2712" s="907"/>
      <c r="M2712" s="907"/>
      <c r="N2712" s="183"/>
      <c r="O2712" s="183"/>
      <c r="P2712" s="183"/>
      <c r="Q2712" s="183"/>
      <c r="R2712" s="183"/>
      <c r="S2712" s="183"/>
      <c r="T2712" s="183"/>
      <c r="U2712" s="183"/>
      <c r="V2712" s="183"/>
      <c r="W2712" s="183"/>
      <c r="X2712" s="183"/>
      <c r="Y2712" s="183"/>
      <c r="Z2712" s="183"/>
      <c r="AA2712" s="183"/>
      <c r="AB2712" s="183"/>
      <c r="AC2712" s="183"/>
    </row>
    <row r="2713" spans="4:29">
      <c r="D2713" s="191"/>
      <c r="F2713" s="183"/>
      <c r="G2713" s="183"/>
      <c r="H2713" s="183"/>
      <c r="J2713" s="907"/>
      <c r="K2713" s="907"/>
      <c r="L2713" s="907"/>
      <c r="M2713" s="907"/>
      <c r="N2713" s="183"/>
      <c r="O2713" s="183"/>
      <c r="P2713" s="183"/>
      <c r="Q2713" s="183"/>
      <c r="R2713" s="183"/>
      <c r="S2713" s="183"/>
      <c r="T2713" s="183"/>
      <c r="U2713" s="183"/>
      <c r="V2713" s="183"/>
      <c r="W2713" s="183"/>
      <c r="X2713" s="183"/>
      <c r="Y2713" s="183"/>
      <c r="Z2713" s="183"/>
      <c r="AA2713" s="183"/>
      <c r="AB2713" s="183"/>
      <c r="AC2713" s="183"/>
    </row>
    <row r="2714" spans="4:29">
      <c r="D2714" s="191"/>
      <c r="F2714" s="183"/>
      <c r="G2714" s="183"/>
      <c r="H2714" s="183"/>
      <c r="J2714" s="907"/>
      <c r="K2714" s="907"/>
      <c r="L2714" s="907"/>
      <c r="M2714" s="907"/>
      <c r="N2714" s="183"/>
      <c r="O2714" s="183"/>
      <c r="P2714" s="183"/>
      <c r="Q2714" s="183"/>
      <c r="R2714" s="183"/>
      <c r="S2714" s="183"/>
      <c r="T2714" s="183"/>
      <c r="U2714" s="183"/>
      <c r="V2714" s="183"/>
      <c r="W2714" s="183"/>
      <c r="X2714" s="183"/>
      <c r="Y2714" s="183"/>
      <c r="Z2714" s="183"/>
      <c r="AA2714" s="183"/>
      <c r="AB2714" s="183"/>
      <c r="AC2714" s="183"/>
    </row>
    <row r="2715" spans="4:29">
      <c r="D2715" s="191"/>
      <c r="F2715" s="183"/>
      <c r="G2715" s="183"/>
      <c r="H2715" s="183"/>
      <c r="J2715" s="907"/>
      <c r="K2715" s="907"/>
      <c r="L2715" s="907"/>
      <c r="M2715" s="907"/>
      <c r="N2715" s="183"/>
      <c r="O2715" s="183"/>
      <c r="P2715" s="183"/>
      <c r="Q2715" s="183"/>
      <c r="R2715" s="183"/>
      <c r="S2715" s="183"/>
      <c r="T2715" s="183"/>
      <c r="U2715" s="183"/>
      <c r="V2715" s="183"/>
      <c r="W2715" s="183"/>
      <c r="X2715" s="183"/>
      <c r="Y2715" s="183"/>
      <c r="Z2715" s="183"/>
      <c r="AA2715" s="183"/>
      <c r="AB2715" s="183"/>
      <c r="AC2715" s="183"/>
    </row>
    <row r="2716" spans="4:29">
      <c r="D2716" s="191"/>
      <c r="F2716" s="183"/>
      <c r="G2716" s="183"/>
      <c r="H2716" s="183"/>
      <c r="J2716" s="907"/>
      <c r="K2716" s="907"/>
      <c r="L2716" s="907"/>
      <c r="M2716" s="907"/>
      <c r="N2716" s="183"/>
      <c r="O2716" s="183"/>
      <c r="P2716" s="183"/>
      <c r="Q2716" s="183"/>
      <c r="R2716" s="183"/>
      <c r="S2716" s="183"/>
      <c r="T2716" s="183"/>
      <c r="U2716" s="183"/>
      <c r="V2716" s="183"/>
      <c r="W2716" s="183"/>
      <c r="X2716" s="183"/>
      <c r="Y2716" s="183"/>
      <c r="Z2716" s="183"/>
      <c r="AA2716" s="183"/>
      <c r="AB2716" s="183"/>
      <c r="AC2716" s="183"/>
    </row>
    <row r="2717" spans="4:29">
      <c r="D2717" s="191"/>
      <c r="F2717" s="183"/>
      <c r="G2717" s="183"/>
      <c r="H2717" s="183"/>
      <c r="J2717" s="907"/>
      <c r="K2717" s="907"/>
      <c r="L2717" s="907"/>
      <c r="M2717" s="907"/>
      <c r="N2717" s="183"/>
      <c r="O2717" s="183"/>
      <c r="P2717" s="183"/>
      <c r="Q2717" s="183"/>
      <c r="R2717" s="183"/>
      <c r="S2717" s="183"/>
      <c r="T2717" s="183"/>
      <c r="U2717" s="183"/>
      <c r="V2717" s="183"/>
      <c r="W2717" s="183"/>
      <c r="X2717" s="183"/>
      <c r="Y2717" s="183"/>
      <c r="Z2717" s="183"/>
      <c r="AA2717" s="183"/>
      <c r="AB2717" s="183"/>
      <c r="AC2717" s="183"/>
    </row>
    <row r="2718" spans="4:29">
      <c r="D2718" s="191"/>
      <c r="F2718" s="183"/>
      <c r="G2718" s="183"/>
      <c r="H2718" s="183"/>
      <c r="J2718" s="907"/>
      <c r="K2718" s="907"/>
      <c r="L2718" s="907"/>
      <c r="M2718" s="907"/>
      <c r="N2718" s="183"/>
      <c r="O2718" s="183"/>
      <c r="P2718" s="183"/>
      <c r="Q2718" s="183"/>
      <c r="R2718" s="183"/>
      <c r="S2718" s="183"/>
      <c r="T2718" s="183"/>
      <c r="U2718" s="183"/>
      <c r="V2718" s="183"/>
      <c r="W2718" s="183"/>
      <c r="X2718" s="183"/>
      <c r="Y2718" s="183"/>
      <c r="Z2718" s="183"/>
      <c r="AA2718" s="183"/>
      <c r="AB2718" s="183"/>
      <c r="AC2718" s="183"/>
    </row>
    <row r="2719" spans="4:29">
      <c r="D2719" s="191"/>
      <c r="F2719" s="183"/>
      <c r="G2719" s="183"/>
      <c r="H2719" s="183"/>
      <c r="J2719" s="907"/>
      <c r="K2719" s="907"/>
      <c r="L2719" s="907"/>
      <c r="M2719" s="907"/>
      <c r="N2719" s="183"/>
      <c r="O2719" s="183"/>
      <c r="P2719" s="183"/>
      <c r="Q2719" s="183"/>
      <c r="R2719" s="183"/>
      <c r="S2719" s="183"/>
      <c r="T2719" s="183"/>
      <c r="U2719" s="183"/>
      <c r="V2719" s="183"/>
      <c r="W2719" s="183"/>
      <c r="X2719" s="183"/>
      <c r="Y2719" s="183"/>
      <c r="Z2719" s="183"/>
      <c r="AA2719" s="183"/>
      <c r="AB2719" s="183"/>
      <c r="AC2719" s="183"/>
    </row>
    <row r="2720" spans="4:29">
      <c r="D2720" s="191"/>
      <c r="F2720" s="183"/>
      <c r="G2720" s="183"/>
      <c r="H2720" s="183"/>
      <c r="J2720" s="907"/>
      <c r="K2720" s="907"/>
      <c r="L2720" s="907"/>
      <c r="M2720" s="907"/>
      <c r="N2720" s="183"/>
      <c r="O2720" s="183"/>
      <c r="P2720" s="183"/>
      <c r="Q2720" s="183"/>
      <c r="R2720" s="183"/>
      <c r="S2720" s="183"/>
      <c r="T2720" s="183"/>
      <c r="U2720" s="183"/>
      <c r="V2720" s="183"/>
      <c r="W2720" s="183"/>
      <c r="X2720" s="183"/>
      <c r="Y2720" s="183"/>
      <c r="Z2720" s="183"/>
      <c r="AA2720" s="183"/>
      <c r="AB2720" s="183"/>
      <c r="AC2720" s="183"/>
    </row>
    <row r="2721" spans="4:29">
      <c r="D2721" s="191"/>
      <c r="F2721" s="183"/>
      <c r="G2721" s="183"/>
      <c r="H2721" s="183"/>
      <c r="J2721" s="907"/>
      <c r="K2721" s="907"/>
      <c r="L2721" s="907"/>
      <c r="M2721" s="907"/>
      <c r="N2721" s="183"/>
      <c r="O2721" s="183"/>
      <c r="P2721" s="183"/>
      <c r="Q2721" s="183"/>
      <c r="R2721" s="183"/>
      <c r="S2721" s="183"/>
      <c r="T2721" s="183"/>
      <c r="U2721" s="183"/>
      <c r="V2721" s="183"/>
      <c r="W2721" s="183"/>
      <c r="X2721" s="183"/>
      <c r="Y2721" s="183"/>
      <c r="Z2721" s="183"/>
      <c r="AA2721" s="183"/>
      <c r="AB2721" s="183"/>
      <c r="AC2721" s="183"/>
    </row>
    <row r="2722" spans="4:29">
      <c r="D2722" s="191"/>
      <c r="F2722" s="183"/>
      <c r="G2722" s="183"/>
      <c r="H2722" s="183"/>
      <c r="J2722" s="907"/>
      <c r="K2722" s="907"/>
      <c r="L2722" s="907"/>
      <c r="M2722" s="907"/>
      <c r="N2722" s="183"/>
      <c r="O2722" s="183"/>
      <c r="P2722" s="183"/>
      <c r="Q2722" s="183"/>
      <c r="R2722" s="183"/>
      <c r="S2722" s="183"/>
      <c r="T2722" s="183"/>
      <c r="U2722" s="183"/>
      <c r="V2722" s="183"/>
      <c r="W2722" s="183"/>
      <c r="X2722" s="183"/>
      <c r="Y2722" s="183"/>
      <c r="Z2722" s="183"/>
      <c r="AA2722" s="183"/>
      <c r="AB2722" s="183"/>
      <c r="AC2722" s="183"/>
    </row>
    <row r="2723" spans="4:29">
      <c r="D2723" s="191"/>
      <c r="F2723" s="183"/>
      <c r="G2723" s="183"/>
      <c r="H2723" s="183"/>
      <c r="J2723" s="907"/>
      <c r="K2723" s="907"/>
      <c r="L2723" s="907"/>
      <c r="M2723" s="907"/>
      <c r="N2723" s="183"/>
      <c r="O2723" s="183"/>
      <c r="P2723" s="183"/>
      <c r="Q2723" s="183"/>
      <c r="R2723" s="183"/>
      <c r="S2723" s="183"/>
      <c r="T2723" s="183"/>
      <c r="U2723" s="183"/>
      <c r="V2723" s="183"/>
      <c r="W2723" s="183"/>
      <c r="X2723" s="183"/>
      <c r="Y2723" s="183"/>
      <c r="Z2723" s="183"/>
      <c r="AA2723" s="183"/>
      <c r="AB2723" s="183"/>
      <c r="AC2723" s="183"/>
    </row>
    <row r="2724" spans="4:29">
      <c r="D2724" s="191"/>
      <c r="F2724" s="183"/>
      <c r="G2724" s="183"/>
      <c r="H2724" s="183"/>
      <c r="J2724" s="907"/>
      <c r="K2724" s="907"/>
      <c r="L2724" s="907"/>
      <c r="M2724" s="907"/>
      <c r="N2724" s="183"/>
      <c r="O2724" s="183"/>
      <c r="P2724" s="183"/>
      <c r="Q2724" s="183"/>
      <c r="R2724" s="183"/>
      <c r="S2724" s="183"/>
      <c r="T2724" s="183"/>
      <c r="U2724" s="183"/>
      <c r="V2724" s="183"/>
      <c r="W2724" s="183"/>
      <c r="X2724" s="183"/>
      <c r="Y2724" s="183"/>
      <c r="Z2724" s="183"/>
      <c r="AA2724" s="183"/>
      <c r="AB2724" s="183"/>
      <c r="AC2724" s="183"/>
    </row>
    <row r="2725" spans="4:29">
      <c r="D2725" s="191"/>
      <c r="F2725" s="183"/>
      <c r="G2725" s="183"/>
      <c r="H2725" s="183"/>
      <c r="J2725" s="907"/>
      <c r="K2725" s="907"/>
      <c r="L2725" s="907"/>
      <c r="M2725" s="907"/>
      <c r="N2725" s="183"/>
      <c r="O2725" s="183"/>
      <c r="P2725" s="183"/>
      <c r="Q2725" s="183"/>
      <c r="R2725" s="183"/>
      <c r="S2725" s="183"/>
      <c r="T2725" s="183"/>
      <c r="U2725" s="183"/>
      <c r="V2725" s="183"/>
      <c r="W2725" s="183"/>
      <c r="X2725" s="183"/>
      <c r="Y2725" s="183"/>
      <c r="Z2725" s="183"/>
      <c r="AA2725" s="183"/>
      <c r="AB2725" s="183"/>
      <c r="AC2725" s="183"/>
    </row>
    <row r="2726" spans="4:29">
      <c r="D2726" s="191"/>
      <c r="F2726" s="183"/>
      <c r="G2726" s="183"/>
      <c r="H2726" s="183"/>
      <c r="J2726" s="907"/>
      <c r="K2726" s="907"/>
      <c r="L2726" s="907"/>
      <c r="M2726" s="907"/>
      <c r="N2726" s="183"/>
      <c r="O2726" s="183"/>
      <c r="P2726" s="183"/>
      <c r="Q2726" s="183"/>
      <c r="R2726" s="183"/>
      <c r="S2726" s="183"/>
      <c r="T2726" s="183"/>
      <c r="U2726" s="183"/>
      <c r="V2726" s="183"/>
      <c r="W2726" s="183"/>
      <c r="X2726" s="183"/>
      <c r="Y2726" s="183"/>
      <c r="Z2726" s="183"/>
      <c r="AA2726" s="183"/>
      <c r="AB2726" s="183"/>
      <c r="AC2726" s="183"/>
    </row>
    <row r="2727" spans="4:29">
      <c r="D2727" s="191"/>
      <c r="F2727" s="183"/>
      <c r="G2727" s="183"/>
      <c r="H2727" s="183"/>
      <c r="J2727" s="907"/>
      <c r="K2727" s="907"/>
      <c r="L2727" s="907"/>
      <c r="M2727" s="907"/>
      <c r="N2727" s="183"/>
      <c r="O2727" s="183"/>
      <c r="P2727" s="183"/>
      <c r="Q2727" s="183"/>
      <c r="R2727" s="183"/>
      <c r="S2727" s="183"/>
      <c r="T2727" s="183"/>
      <c r="U2727" s="183"/>
      <c r="V2727" s="183"/>
      <c r="W2727" s="183"/>
      <c r="X2727" s="183"/>
      <c r="Y2727" s="183"/>
      <c r="Z2727" s="183"/>
      <c r="AA2727" s="183"/>
      <c r="AB2727" s="183"/>
      <c r="AC2727" s="183"/>
    </row>
    <row r="2728" spans="4:29">
      <c r="D2728" s="191"/>
      <c r="F2728" s="183"/>
      <c r="G2728" s="183"/>
      <c r="H2728" s="183"/>
      <c r="J2728" s="907"/>
      <c r="K2728" s="907"/>
      <c r="L2728" s="907"/>
      <c r="M2728" s="907"/>
      <c r="N2728" s="183"/>
      <c r="O2728" s="183"/>
      <c r="P2728" s="183"/>
      <c r="Q2728" s="183"/>
      <c r="R2728" s="183"/>
      <c r="S2728" s="183"/>
      <c r="T2728" s="183"/>
      <c r="U2728" s="183"/>
      <c r="V2728" s="183"/>
      <c r="W2728" s="183"/>
      <c r="X2728" s="183"/>
      <c r="Y2728" s="183"/>
      <c r="Z2728" s="183"/>
      <c r="AA2728" s="183"/>
      <c r="AB2728" s="183"/>
      <c r="AC2728" s="183"/>
    </row>
    <row r="2729" spans="4:29">
      <c r="D2729" s="191"/>
      <c r="F2729" s="183"/>
      <c r="G2729" s="183"/>
      <c r="H2729" s="183"/>
      <c r="J2729" s="907"/>
      <c r="K2729" s="907"/>
      <c r="L2729" s="907"/>
      <c r="M2729" s="907"/>
      <c r="N2729" s="183"/>
      <c r="O2729" s="183"/>
      <c r="P2729" s="183"/>
      <c r="Q2729" s="183"/>
      <c r="R2729" s="183"/>
      <c r="S2729" s="183"/>
      <c r="T2729" s="183"/>
      <c r="U2729" s="183"/>
      <c r="V2729" s="183"/>
      <c r="W2729" s="183"/>
      <c r="X2729" s="183"/>
      <c r="Y2729" s="183"/>
      <c r="Z2729" s="183"/>
      <c r="AA2729" s="183"/>
      <c r="AB2729" s="183"/>
      <c r="AC2729" s="183"/>
    </row>
    <row r="2730" spans="4:29">
      <c r="D2730" s="191"/>
      <c r="F2730" s="183"/>
      <c r="G2730" s="183"/>
      <c r="H2730" s="183"/>
      <c r="J2730" s="907"/>
      <c r="K2730" s="907"/>
      <c r="L2730" s="907"/>
      <c r="M2730" s="907"/>
      <c r="N2730" s="183"/>
      <c r="O2730" s="183"/>
      <c r="P2730" s="183"/>
      <c r="Q2730" s="183"/>
      <c r="R2730" s="183"/>
      <c r="S2730" s="183"/>
      <c r="T2730" s="183"/>
      <c r="U2730" s="183"/>
      <c r="V2730" s="183"/>
      <c r="W2730" s="183"/>
      <c r="X2730" s="183"/>
      <c r="Y2730" s="183"/>
      <c r="Z2730" s="183"/>
      <c r="AA2730" s="183"/>
      <c r="AB2730" s="183"/>
      <c r="AC2730" s="183"/>
    </row>
    <row r="2731" spans="4:29">
      <c r="D2731" s="191"/>
      <c r="F2731" s="183"/>
      <c r="G2731" s="183"/>
      <c r="H2731" s="183"/>
      <c r="J2731" s="907"/>
      <c r="K2731" s="907"/>
      <c r="L2731" s="907"/>
      <c r="M2731" s="907"/>
      <c r="N2731" s="183"/>
      <c r="O2731" s="183"/>
      <c r="P2731" s="183"/>
      <c r="Q2731" s="183"/>
      <c r="R2731" s="183"/>
      <c r="S2731" s="183"/>
      <c r="T2731" s="183"/>
      <c r="U2731" s="183"/>
      <c r="V2731" s="183"/>
      <c r="W2731" s="183"/>
      <c r="X2731" s="183"/>
      <c r="Y2731" s="183"/>
      <c r="Z2731" s="183"/>
      <c r="AA2731" s="183"/>
      <c r="AB2731" s="183"/>
      <c r="AC2731" s="183"/>
    </row>
    <row r="2732" spans="4:29">
      <c r="D2732" s="191"/>
      <c r="F2732" s="183"/>
      <c r="G2732" s="183"/>
      <c r="H2732" s="183"/>
      <c r="J2732" s="907"/>
      <c r="K2732" s="907"/>
      <c r="L2732" s="907"/>
      <c r="M2732" s="907"/>
      <c r="N2732" s="183"/>
      <c r="O2732" s="183"/>
      <c r="P2732" s="183"/>
      <c r="Q2732" s="183"/>
      <c r="R2732" s="183"/>
      <c r="S2732" s="183"/>
      <c r="T2732" s="183"/>
      <c r="U2732" s="183"/>
      <c r="V2732" s="183"/>
      <c r="W2732" s="183"/>
      <c r="X2732" s="183"/>
      <c r="Y2732" s="183"/>
      <c r="Z2732" s="183"/>
      <c r="AA2732" s="183"/>
      <c r="AB2732" s="183"/>
      <c r="AC2732" s="183"/>
    </row>
    <row r="2733" spans="4:29">
      <c r="D2733" s="191"/>
      <c r="F2733" s="183"/>
      <c r="G2733" s="183"/>
      <c r="H2733" s="183"/>
      <c r="J2733" s="907"/>
      <c r="K2733" s="907"/>
      <c r="L2733" s="907"/>
      <c r="M2733" s="907"/>
      <c r="N2733" s="183"/>
      <c r="O2733" s="183"/>
      <c r="P2733" s="183"/>
      <c r="Q2733" s="183"/>
      <c r="R2733" s="183"/>
      <c r="S2733" s="183"/>
      <c r="T2733" s="183"/>
      <c r="U2733" s="183"/>
      <c r="V2733" s="183"/>
      <c r="W2733" s="183"/>
      <c r="X2733" s="183"/>
      <c r="Y2733" s="183"/>
      <c r="Z2733" s="183"/>
      <c r="AA2733" s="183"/>
      <c r="AB2733" s="183"/>
      <c r="AC2733" s="183"/>
    </row>
    <row r="2734" spans="4:29">
      <c r="D2734" s="191"/>
      <c r="F2734" s="183"/>
      <c r="G2734" s="183"/>
      <c r="H2734" s="183"/>
      <c r="J2734" s="907"/>
      <c r="K2734" s="907"/>
      <c r="L2734" s="907"/>
      <c r="M2734" s="907"/>
      <c r="N2734" s="183"/>
      <c r="O2734" s="183"/>
      <c r="P2734" s="183"/>
      <c r="Q2734" s="183"/>
      <c r="R2734" s="183"/>
      <c r="S2734" s="183"/>
      <c r="T2734" s="183"/>
      <c r="U2734" s="183"/>
      <c r="V2734" s="183"/>
      <c r="W2734" s="183"/>
      <c r="X2734" s="183"/>
      <c r="Y2734" s="183"/>
      <c r="Z2734" s="183"/>
      <c r="AA2734" s="183"/>
      <c r="AB2734" s="183"/>
      <c r="AC2734" s="183"/>
    </row>
    <row r="2735" spans="4:29">
      <c r="D2735" s="191"/>
      <c r="F2735" s="183"/>
      <c r="G2735" s="183"/>
      <c r="H2735" s="183"/>
      <c r="J2735" s="907"/>
      <c r="K2735" s="907"/>
      <c r="L2735" s="907"/>
      <c r="M2735" s="907"/>
      <c r="N2735" s="183"/>
      <c r="O2735" s="183"/>
      <c r="P2735" s="183"/>
      <c r="Q2735" s="183"/>
      <c r="R2735" s="183"/>
      <c r="S2735" s="183"/>
      <c r="T2735" s="183"/>
      <c r="U2735" s="183"/>
      <c r="V2735" s="183"/>
      <c r="W2735" s="183"/>
      <c r="X2735" s="183"/>
      <c r="Y2735" s="183"/>
      <c r="Z2735" s="183"/>
      <c r="AA2735" s="183"/>
      <c r="AB2735" s="183"/>
      <c r="AC2735" s="183"/>
    </row>
    <row r="2736" spans="4:29">
      <c r="D2736" s="191"/>
      <c r="F2736" s="183"/>
      <c r="G2736" s="183"/>
      <c r="H2736" s="183"/>
      <c r="J2736" s="907"/>
      <c r="K2736" s="907"/>
      <c r="L2736" s="907"/>
      <c r="M2736" s="907"/>
      <c r="N2736" s="183"/>
      <c r="O2736" s="183"/>
      <c r="P2736" s="183"/>
      <c r="Q2736" s="183"/>
      <c r="R2736" s="183"/>
      <c r="S2736" s="183"/>
      <c r="T2736" s="183"/>
      <c r="U2736" s="183"/>
      <c r="V2736" s="183"/>
      <c r="W2736" s="183"/>
      <c r="X2736" s="183"/>
      <c r="Y2736" s="183"/>
      <c r="Z2736" s="183"/>
      <c r="AA2736" s="183"/>
      <c r="AB2736" s="183"/>
      <c r="AC2736" s="183"/>
    </row>
    <row r="2737" spans="4:29">
      <c r="D2737" s="191"/>
      <c r="F2737" s="183"/>
      <c r="G2737" s="183"/>
      <c r="H2737" s="183"/>
      <c r="J2737" s="907"/>
      <c r="K2737" s="907"/>
      <c r="L2737" s="907"/>
      <c r="M2737" s="907"/>
      <c r="N2737" s="183"/>
      <c r="O2737" s="183"/>
      <c r="P2737" s="183"/>
      <c r="Q2737" s="183"/>
      <c r="R2737" s="183"/>
      <c r="S2737" s="183"/>
      <c r="T2737" s="183"/>
      <c r="U2737" s="183"/>
      <c r="V2737" s="183"/>
      <c r="W2737" s="183"/>
      <c r="X2737" s="183"/>
      <c r="Y2737" s="183"/>
      <c r="Z2737" s="183"/>
      <c r="AA2737" s="183"/>
      <c r="AB2737" s="183"/>
      <c r="AC2737" s="183"/>
    </row>
    <row r="2738" spans="4:29">
      <c r="D2738" s="191"/>
      <c r="F2738" s="183"/>
      <c r="G2738" s="183"/>
      <c r="H2738" s="183"/>
      <c r="J2738" s="907"/>
      <c r="K2738" s="907"/>
      <c r="L2738" s="907"/>
      <c r="M2738" s="907"/>
      <c r="N2738" s="183"/>
      <c r="O2738" s="183"/>
      <c r="P2738" s="183"/>
      <c r="Q2738" s="183"/>
      <c r="R2738" s="183"/>
      <c r="S2738" s="183"/>
      <c r="T2738" s="183"/>
      <c r="U2738" s="183"/>
      <c r="V2738" s="183"/>
      <c r="W2738" s="183"/>
      <c r="X2738" s="183"/>
      <c r="Y2738" s="183"/>
      <c r="Z2738" s="183"/>
      <c r="AA2738" s="183"/>
      <c r="AB2738" s="183"/>
      <c r="AC2738" s="183"/>
    </row>
    <row r="2739" spans="4:29">
      <c r="D2739" s="191"/>
      <c r="F2739" s="183"/>
      <c r="G2739" s="183"/>
      <c r="H2739" s="183"/>
      <c r="J2739" s="907"/>
      <c r="K2739" s="907"/>
      <c r="L2739" s="907"/>
      <c r="M2739" s="907"/>
      <c r="N2739" s="183"/>
      <c r="O2739" s="183"/>
      <c r="P2739" s="183"/>
      <c r="Q2739" s="183"/>
      <c r="R2739" s="183"/>
      <c r="S2739" s="183"/>
      <c r="T2739" s="183"/>
      <c r="U2739" s="183"/>
      <c r="V2739" s="183"/>
      <c r="W2739" s="183"/>
      <c r="X2739" s="183"/>
      <c r="Y2739" s="183"/>
      <c r="Z2739" s="183"/>
      <c r="AA2739" s="183"/>
      <c r="AB2739" s="183"/>
      <c r="AC2739" s="183"/>
    </row>
    <row r="2740" spans="4:29">
      <c r="D2740" s="191"/>
      <c r="F2740" s="183"/>
      <c r="G2740" s="183"/>
      <c r="H2740" s="183"/>
      <c r="J2740" s="907"/>
      <c r="K2740" s="907"/>
      <c r="L2740" s="907"/>
      <c r="M2740" s="907"/>
      <c r="N2740" s="183"/>
      <c r="O2740" s="183"/>
      <c r="P2740" s="183"/>
      <c r="Q2740" s="183"/>
      <c r="R2740" s="183"/>
      <c r="S2740" s="183"/>
      <c r="T2740" s="183"/>
      <c r="U2740" s="183"/>
      <c r="V2740" s="183"/>
      <c r="W2740" s="183"/>
      <c r="X2740" s="183"/>
      <c r="Y2740" s="183"/>
      <c r="Z2740" s="183"/>
      <c r="AA2740" s="183"/>
      <c r="AB2740" s="183"/>
      <c r="AC2740" s="183"/>
    </row>
    <row r="2741" spans="4:29">
      <c r="D2741" s="191"/>
      <c r="F2741" s="183"/>
      <c r="G2741" s="183"/>
      <c r="H2741" s="183"/>
      <c r="J2741" s="907"/>
      <c r="K2741" s="907"/>
      <c r="L2741" s="907"/>
      <c r="M2741" s="907"/>
      <c r="N2741" s="183"/>
      <c r="O2741" s="183"/>
      <c r="P2741" s="183"/>
      <c r="Q2741" s="183"/>
      <c r="R2741" s="183"/>
      <c r="S2741" s="183"/>
      <c r="T2741" s="183"/>
      <c r="U2741" s="183"/>
      <c r="V2741" s="183"/>
      <c r="W2741" s="183"/>
      <c r="X2741" s="183"/>
      <c r="Y2741" s="183"/>
      <c r="Z2741" s="183"/>
      <c r="AA2741" s="183"/>
      <c r="AB2741" s="183"/>
      <c r="AC2741" s="183"/>
    </row>
    <row r="2742" spans="4:29">
      <c r="D2742" s="191"/>
      <c r="F2742" s="183"/>
      <c r="G2742" s="183"/>
      <c r="H2742" s="183"/>
      <c r="J2742" s="907"/>
      <c r="K2742" s="907"/>
      <c r="L2742" s="907"/>
      <c r="M2742" s="907"/>
      <c r="N2742" s="183"/>
      <c r="O2742" s="183"/>
      <c r="P2742" s="183"/>
      <c r="Q2742" s="183"/>
      <c r="R2742" s="183"/>
      <c r="S2742" s="183"/>
      <c r="T2742" s="183"/>
      <c r="U2742" s="183"/>
      <c r="V2742" s="183"/>
      <c r="W2742" s="183"/>
      <c r="X2742" s="183"/>
      <c r="Y2742" s="183"/>
      <c r="Z2742" s="183"/>
      <c r="AA2742" s="183"/>
      <c r="AB2742" s="183"/>
      <c r="AC2742" s="183"/>
    </row>
    <row r="2743" spans="4:29">
      <c r="D2743" s="191"/>
      <c r="F2743" s="183"/>
      <c r="G2743" s="183"/>
      <c r="H2743" s="183"/>
      <c r="J2743" s="907"/>
      <c r="K2743" s="907"/>
      <c r="L2743" s="907"/>
      <c r="M2743" s="907"/>
      <c r="N2743" s="183"/>
      <c r="O2743" s="183"/>
      <c r="P2743" s="183"/>
      <c r="Q2743" s="183"/>
      <c r="R2743" s="183"/>
      <c r="S2743" s="183"/>
      <c r="T2743" s="183"/>
      <c r="U2743" s="183"/>
      <c r="V2743" s="183"/>
      <c r="W2743" s="183"/>
      <c r="X2743" s="183"/>
      <c r="Y2743" s="183"/>
      <c r="Z2743" s="183"/>
      <c r="AA2743" s="183"/>
      <c r="AB2743" s="183"/>
      <c r="AC2743" s="183"/>
    </row>
    <row r="2744" spans="4:29">
      <c r="D2744" s="191"/>
      <c r="F2744" s="183"/>
      <c r="G2744" s="183"/>
      <c r="H2744" s="183"/>
      <c r="J2744" s="907"/>
      <c r="K2744" s="907"/>
      <c r="L2744" s="907"/>
      <c r="M2744" s="907"/>
      <c r="N2744" s="183"/>
      <c r="O2744" s="183"/>
      <c r="P2744" s="183"/>
      <c r="Q2744" s="183"/>
      <c r="R2744" s="183"/>
      <c r="S2744" s="183"/>
      <c r="T2744" s="183"/>
      <c r="U2744" s="183"/>
      <c r="V2744" s="183"/>
      <c r="W2744" s="183"/>
      <c r="X2744" s="183"/>
      <c r="Y2744" s="183"/>
      <c r="Z2744" s="183"/>
      <c r="AA2744" s="183"/>
      <c r="AB2744" s="183"/>
      <c r="AC2744" s="183"/>
    </row>
    <row r="2745" spans="4:29">
      <c r="D2745" s="191"/>
      <c r="F2745" s="183"/>
      <c r="G2745" s="183"/>
      <c r="H2745" s="183"/>
      <c r="J2745" s="907"/>
      <c r="K2745" s="907"/>
      <c r="L2745" s="907"/>
      <c r="M2745" s="907"/>
      <c r="N2745" s="183"/>
      <c r="O2745" s="183"/>
      <c r="P2745" s="183"/>
      <c r="Q2745" s="183"/>
      <c r="R2745" s="183"/>
      <c r="S2745" s="183"/>
      <c r="T2745" s="183"/>
      <c r="U2745" s="183"/>
      <c r="V2745" s="183"/>
      <c r="W2745" s="183"/>
      <c r="X2745" s="183"/>
      <c r="Y2745" s="183"/>
      <c r="Z2745" s="183"/>
      <c r="AA2745" s="183"/>
      <c r="AB2745" s="183"/>
      <c r="AC2745" s="183"/>
    </row>
    <row r="2746" spans="4:29">
      <c r="D2746" s="191"/>
      <c r="F2746" s="183"/>
      <c r="G2746" s="183"/>
      <c r="H2746" s="183"/>
      <c r="J2746" s="907"/>
      <c r="K2746" s="907"/>
      <c r="L2746" s="907"/>
      <c r="M2746" s="907"/>
      <c r="N2746" s="183"/>
      <c r="O2746" s="183"/>
      <c r="P2746" s="183"/>
      <c r="Q2746" s="183"/>
      <c r="R2746" s="183"/>
      <c r="S2746" s="183"/>
      <c r="T2746" s="183"/>
      <c r="U2746" s="183"/>
      <c r="V2746" s="183"/>
      <c r="W2746" s="183"/>
      <c r="X2746" s="183"/>
      <c r="Y2746" s="183"/>
      <c r="Z2746" s="183"/>
      <c r="AA2746" s="183"/>
      <c r="AB2746" s="183"/>
      <c r="AC2746" s="183"/>
    </row>
    <row r="2747" spans="4:29">
      <c r="D2747" s="191"/>
      <c r="F2747" s="183"/>
      <c r="G2747" s="183"/>
      <c r="H2747" s="183"/>
      <c r="J2747" s="907"/>
      <c r="K2747" s="907"/>
      <c r="L2747" s="907"/>
      <c r="M2747" s="907"/>
      <c r="N2747" s="183"/>
      <c r="O2747" s="183"/>
      <c r="P2747" s="183"/>
      <c r="Q2747" s="183"/>
      <c r="R2747" s="183"/>
      <c r="S2747" s="183"/>
      <c r="T2747" s="183"/>
      <c r="U2747" s="183"/>
      <c r="V2747" s="183"/>
      <c r="W2747" s="183"/>
      <c r="X2747" s="183"/>
      <c r="Y2747" s="183"/>
      <c r="Z2747" s="183"/>
      <c r="AA2747" s="183"/>
      <c r="AB2747" s="183"/>
      <c r="AC2747" s="183"/>
    </row>
    <row r="2748" spans="4:29">
      <c r="D2748" s="191"/>
      <c r="F2748" s="183"/>
      <c r="G2748" s="183"/>
      <c r="H2748" s="183"/>
      <c r="J2748" s="907"/>
      <c r="K2748" s="907"/>
      <c r="L2748" s="907"/>
      <c r="M2748" s="907"/>
      <c r="N2748" s="183"/>
      <c r="O2748" s="183"/>
      <c r="P2748" s="183"/>
      <c r="Q2748" s="183"/>
      <c r="R2748" s="183"/>
      <c r="S2748" s="183"/>
      <c r="T2748" s="183"/>
      <c r="U2748" s="183"/>
      <c r="V2748" s="183"/>
      <c r="W2748" s="183"/>
      <c r="X2748" s="183"/>
      <c r="Y2748" s="183"/>
      <c r="Z2748" s="183"/>
      <c r="AA2748" s="183"/>
      <c r="AB2748" s="183"/>
      <c r="AC2748" s="183"/>
    </row>
    <row r="2749" spans="4:29">
      <c r="D2749" s="191"/>
      <c r="F2749" s="183"/>
      <c r="G2749" s="183"/>
      <c r="H2749" s="183"/>
      <c r="J2749" s="907"/>
      <c r="K2749" s="907"/>
      <c r="L2749" s="907"/>
      <c r="M2749" s="907"/>
      <c r="N2749" s="183"/>
      <c r="O2749" s="183"/>
      <c r="P2749" s="183"/>
      <c r="Q2749" s="183"/>
      <c r="R2749" s="183"/>
      <c r="S2749" s="183"/>
      <c r="T2749" s="183"/>
      <c r="U2749" s="183"/>
      <c r="V2749" s="183"/>
      <c r="W2749" s="183"/>
      <c r="X2749" s="183"/>
      <c r="Y2749" s="183"/>
      <c r="Z2749" s="183"/>
      <c r="AA2749" s="183"/>
      <c r="AB2749" s="183"/>
      <c r="AC2749" s="183"/>
    </row>
    <row r="2750" spans="4:29">
      <c r="D2750" s="191"/>
      <c r="F2750" s="183"/>
      <c r="G2750" s="183"/>
      <c r="H2750" s="183"/>
      <c r="J2750" s="907"/>
      <c r="K2750" s="907"/>
      <c r="L2750" s="907"/>
      <c r="M2750" s="907"/>
      <c r="N2750" s="183"/>
      <c r="O2750" s="183"/>
      <c r="P2750" s="183"/>
      <c r="Q2750" s="183"/>
      <c r="R2750" s="183"/>
      <c r="S2750" s="183"/>
      <c r="T2750" s="183"/>
      <c r="U2750" s="183"/>
      <c r="V2750" s="183"/>
      <c r="W2750" s="183"/>
      <c r="X2750" s="183"/>
      <c r="Y2750" s="183"/>
      <c r="Z2750" s="183"/>
      <c r="AA2750" s="183"/>
      <c r="AB2750" s="183"/>
      <c r="AC2750" s="183"/>
    </row>
    <row r="2751" spans="4:29">
      <c r="D2751" s="191"/>
      <c r="F2751" s="183"/>
      <c r="G2751" s="183"/>
      <c r="H2751" s="183"/>
      <c r="J2751" s="907"/>
      <c r="K2751" s="907"/>
      <c r="L2751" s="907"/>
      <c r="M2751" s="907"/>
      <c r="N2751" s="183"/>
      <c r="O2751" s="183"/>
      <c r="P2751" s="183"/>
      <c r="Q2751" s="183"/>
      <c r="R2751" s="183"/>
      <c r="S2751" s="183"/>
      <c r="T2751" s="183"/>
      <c r="U2751" s="183"/>
      <c r="V2751" s="183"/>
      <c r="W2751" s="183"/>
      <c r="X2751" s="183"/>
      <c r="Y2751" s="183"/>
      <c r="Z2751" s="183"/>
      <c r="AA2751" s="183"/>
      <c r="AB2751" s="183"/>
      <c r="AC2751" s="183"/>
    </row>
    <row r="2752" spans="4:29">
      <c r="D2752" s="191"/>
      <c r="F2752" s="183"/>
      <c r="G2752" s="183"/>
      <c r="H2752" s="183"/>
      <c r="J2752" s="907"/>
      <c r="K2752" s="907"/>
      <c r="L2752" s="907"/>
      <c r="M2752" s="907"/>
      <c r="N2752" s="183"/>
      <c r="O2752" s="183"/>
      <c r="P2752" s="183"/>
      <c r="Q2752" s="183"/>
      <c r="R2752" s="183"/>
      <c r="S2752" s="183"/>
      <c r="T2752" s="183"/>
      <c r="U2752" s="183"/>
      <c r="V2752" s="183"/>
      <c r="W2752" s="183"/>
      <c r="X2752" s="183"/>
      <c r="Y2752" s="183"/>
      <c r="Z2752" s="183"/>
      <c r="AA2752" s="183"/>
      <c r="AB2752" s="183"/>
      <c r="AC2752" s="183"/>
    </row>
    <row r="2753" spans="4:29">
      <c r="D2753" s="191"/>
      <c r="F2753" s="183"/>
      <c r="G2753" s="183"/>
      <c r="H2753" s="183"/>
      <c r="J2753" s="907"/>
      <c r="K2753" s="907"/>
      <c r="L2753" s="907"/>
      <c r="M2753" s="907"/>
      <c r="N2753" s="183"/>
      <c r="O2753" s="183"/>
      <c r="P2753" s="183"/>
      <c r="Q2753" s="183"/>
      <c r="R2753" s="183"/>
      <c r="S2753" s="183"/>
      <c r="T2753" s="183"/>
      <c r="U2753" s="183"/>
      <c r="V2753" s="183"/>
      <c r="W2753" s="183"/>
      <c r="X2753" s="183"/>
      <c r="Y2753" s="183"/>
      <c r="Z2753" s="183"/>
      <c r="AA2753" s="183"/>
      <c r="AB2753" s="183"/>
      <c r="AC2753" s="183"/>
    </row>
    <row r="2754" spans="4:29">
      <c r="D2754" s="191"/>
      <c r="F2754" s="183"/>
      <c r="G2754" s="183"/>
      <c r="H2754" s="183"/>
      <c r="J2754" s="907"/>
      <c r="K2754" s="907"/>
      <c r="L2754" s="907"/>
      <c r="M2754" s="907"/>
      <c r="N2754" s="183"/>
      <c r="O2754" s="183"/>
      <c r="P2754" s="183"/>
      <c r="Q2754" s="183"/>
      <c r="R2754" s="183"/>
      <c r="S2754" s="183"/>
      <c r="T2754" s="183"/>
      <c r="U2754" s="183"/>
      <c r="V2754" s="183"/>
      <c r="W2754" s="183"/>
      <c r="X2754" s="183"/>
      <c r="Y2754" s="183"/>
      <c r="Z2754" s="183"/>
      <c r="AA2754" s="183"/>
      <c r="AB2754" s="183"/>
      <c r="AC2754" s="183"/>
    </row>
    <row r="2755" spans="4:29">
      <c r="D2755" s="191"/>
      <c r="F2755" s="183"/>
      <c r="G2755" s="183"/>
      <c r="H2755" s="183"/>
      <c r="J2755" s="907"/>
      <c r="K2755" s="907"/>
      <c r="L2755" s="907"/>
      <c r="M2755" s="907"/>
      <c r="N2755" s="183"/>
      <c r="O2755" s="183"/>
      <c r="P2755" s="183"/>
      <c r="Q2755" s="183"/>
      <c r="R2755" s="183"/>
      <c r="S2755" s="183"/>
      <c r="T2755" s="183"/>
      <c r="U2755" s="183"/>
      <c r="V2755" s="183"/>
      <c r="W2755" s="183"/>
      <c r="X2755" s="183"/>
      <c r="Y2755" s="183"/>
      <c r="Z2755" s="183"/>
      <c r="AA2755" s="183"/>
      <c r="AB2755" s="183"/>
      <c r="AC2755" s="183"/>
    </row>
    <row r="2756" spans="4:29">
      <c r="D2756" s="191"/>
      <c r="F2756" s="183"/>
      <c r="G2756" s="183"/>
      <c r="H2756" s="183"/>
      <c r="J2756" s="907"/>
      <c r="K2756" s="907"/>
      <c r="L2756" s="907"/>
      <c r="M2756" s="907"/>
      <c r="N2756" s="183"/>
      <c r="O2756" s="183"/>
      <c r="P2756" s="183"/>
      <c r="Q2756" s="183"/>
      <c r="R2756" s="183"/>
      <c r="S2756" s="183"/>
      <c r="T2756" s="183"/>
      <c r="U2756" s="183"/>
      <c r="V2756" s="183"/>
      <c r="W2756" s="183"/>
      <c r="X2756" s="183"/>
      <c r="Y2756" s="183"/>
      <c r="Z2756" s="183"/>
      <c r="AA2756" s="183"/>
      <c r="AB2756" s="183"/>
      <c r="AC2756" s="183"/>
    </row>
    <row r="2757" spans="4:29">
      <c r="D2757" s="191"/>
      <c r="F2757" s="183"/>
      <c r="G2757" s="183"/>
      <c r="H2757" s="183"/>
      <c r="J2757" s="907"/>
      <c r="K2757" s="907"/>
      <c r="L2757" s="907"/>
      <c r="M2757" s="907"/>
      <c r="N2757" s="183"/>
      <c r="O2757" s="183"/>
      <c r="P2757" s="183"/>
      <c r="Q2757" s="183"/>
      <c r="R2757" s="183"/>
      <c r="S2757" s="183"/>
      <c r="T2757" s="183"/>
      <c r="U2757" s="183"/>
      <c r="V2757" s="183"/>
      <c r="W2757" s="183"/>
      <c r="X2757" s="183"/>
      <c r="Y2757" s="183"/>
      <c r="Z2757" s="183"/>
      <c r="AA2757" s="183"/>
      <c r="AB2757" s="183"/>
      <c r="AC2757" s="183"/>
    </row>
    <row r="2758" spans="4:29">
      <c r="D2758" s="191"/>
      <c r="F2758" s="183"/>
      <c r="G2758" s="183"/>
      <c r="H2758" s="183"/>
      <c r="J2758" s="907"/>
      <c r="K2758" s="907"/>
      <c r="L2758" s="907"/>
      <c r="M2758" s="907"/>
      <c r="N2758" s="183"/>
      <c r="O2758" s="183"/>
      <c r="P2758" s="183"/>
      <c r="Q2758" s="183"/>
      <c r="R2758" s="183"/>
      <c r="S2758" s="183"/>
      <c r="T2758" s="183"/>
      <c r="U2758" s="183"/>
      <c r="V2758" s="183"/>
      <c r="W2758" s="183"/>
      <c r="X2758" s="183"/>
      <c r="Y2758" s="183"/>
      <c r="Z2758" s="183"/>
      <c r="AA2758" s="183"/>
      <c r="AB2758" s="183"/>
      <c r="AC2758" s="183"/>
    </row>
    <row r="2759" spans="4:29">
      <c r="D2759" s="191"/>
      <c r="F2759" s="183"/>
      <c r="G2759" s="183"/>
      <c r="H2759" s="183"/>
      <c r="J2759" s="907"/>
      <c r="K2759" s="907"/>
      <c r="L2759" s="907"/>
      <c r="M2759" s="907"/>
      <c r="N2759" s="183"/>
      <c r="O2759" s="183"/>
      <c r="P2759" s="183"/>
      <c r="Q2759" s="183"/>
      <c r="R2759" s="183"/>
      <c r="S2759" s="183"/>
      <c r="T2759" s="183"/>
      <c r="U2759" s="183"/>
      <c r="V2759" s="183"/>
      <c r="W2759" s="183"/>
      <c r="X2759" s="183"/>
      <c r="Y2759" s="183"/>
      <c r="Z2759" s="183"/>
      <c r="AA2759" s="183"/>
      <c r="AB2759" s="183"/>
      <c r="AC2759" s="183"/>
    </row>
    <row r="2760" spans="4:29">
      <c r="D2760" s="191"/>
      <c r="F2760" s="183"/>
      <c r="G2760" s="183"/>
      <c r="H2760" s="183"/>
      <c r="J2760" s="907"/>
      <c r="K2760" s="907"/>
      <c r="L2760" s="907"/>
      <c r="M2760" s="907"/>
      <c r="N2760" s="183"/>
      <c r="O2760" s="183"/>
      <c r="P2760" s="183"/>
      <c r="Q2760" s="183"/>
      <c r="R2760" s="183"/>
      <c r="S2760" s="183"/>
      <c r="T2760" s="183"/>
      <c r="U2760" s="183"/>
      <c r="V2760" s="183"/>
      <c r="W2760" s="183"/>
      <c r="X2760" s="183"/>
      <c r="Y2760" s="183"/>
      <c r="Z2760" s="183"/>
      <c r="AA2760" s="183"/>
      <c r="AB2760" s="183"/>
      <c r="AC2760" s="183"/>
    </row>
    <row r="2761" spans="4:29">
      <c r="D2761" s="191"/>
      <c r="F2761" s="183"/>
      <c r="G2761" s="183"/>
      <c r="H2761" s="183"/>
      <c r="J2761" s="907"/>
      <c r="K2761" s="907"/>
      <c r="L2761" s="907"/>
      <c r="M2761" s="907"/>
      <c r="N2761" s="183"/>
      <c r="O2761" s="183"/>
      <c r="P2761" s="183"/>
      <c r="Q2761" s="183"/>
      <c r="R2761" s="183"/>
      <c r="S2761" s="183"/>
      <c r="T2761" s="183"/>
      <c r="U2761" s="183"/>
      <c r="V2761" s="183"/>
      <c r="W2761" s="183"/>
      <c r="X2761" s="183"/>
      <c r="Y2761" s="183"/>
      <c r="Z2761" s="183"/>
      <c r="AA2761" s="183"/>
      <c r="AB2761" s="183"/>
      <c r="AC2761" s="183"/>
    </row>
    <row r="2762" spans="4:29">
      <c r="D2762" s="191"/>
      <c r="F2762" s="183"/>
      <c r="G2762" s="183"/>
      <c r="H2762" s="183"/>
      <c r="J2762" s="907"/>
      <c r="K2762" s="907"/>
      <c r="L2762" s="907"/>
      <c r="M2762" s="907"/>
      <c r="N2762" s="183"/>
      <c r="O2762" s="183"/>
      <c r="P2762" s="183"/>
      <c r="Q2762" s="183"/>
      <c r="R2762" s="183"/>
      <c r="S2762" s="183"/>
      <c r="T2762" s="183"/>
      <c r="U2762" s="183"/>
      <c r="V2762" s="183"/>
      <c r="W2762" s="183"/>
      <c r="X2762" s="183"/>
      <c r="Y2762" s="183"/>
      <c r="Z2762" s="183"/>
      <c r="AA2762" s="183"/>
      <c r="AB2762" s="183"/>
      <c r="AC2762" s="183"/>
    </row>
    <row r="2763" spans="4:29">
      <c r="D2763" s="191"/>
      <c r="F2763" s="183"/>
      <c r="G2763" s="183"/>
      <c r="H2763" s="183"/>
      <c r="J2763" s="907"/>
      <c r="K2763" s="907"/>
      <c r="L2763" s="907"/>
      <c r="M2763" s="907"/>
      <c r="N2763" s="183"/>
      <c r="O2763" s="183"/>
      <c r="P2763" s="183"/>
      <c r="Q2763" s="183"/>
      <c r="R2763" s="183"/>
      <c r="S2763" s="183"/>
      <c r="T2763" s="183"/>
      <c r="U2763" s="183"/>
      <c r="V2763" s="183"/>
      <c r="W2763" s="183"/>
      <c r="X2763" s="183"/>
      <c r="Y2763" s="183"/>
      <c r="Z2763" s="183"/>
      <c r="AA2763" s="183"/>
      <c r="AB2763" s="183"/>
      <c r="AC2763" s="183"/>
    </row>
    <row r="2764" spans="4:29">
      <c r="D2764" s="191"/>
      <c r="F2764" s="183"/>
      <c r="G2764" s="183"/>
      <c r="H2764" s="183"/>
      <c r="J2764" s="907"/>
      <c r="K2764" s="907"/>
      <c r="L2764" s="907"/>
      <c r="M2764" s="907"/>
      <c r="N2764" s="183"/>
      <c r="O2764" s="183"/>
      <c r="P2764" s="183"/>
      <c r="Q2764" s="183"/>
      <c r="R2764" s="183"/>
      <c r="S2764" s="183"/>
      <c r="T2764" s="183"/>
      <c r="U2764" s="183"/>
      <c r="V2764" s="183"/>
      <c r="W2764" s="183"/>
      <c r="X2764" s="183"/>
      <c r="Y2764" s="183"/>
      <c r="Z2764" s="183"/>
      <c r="AA2764" s="183"/>
      <c r="AB2764" s="183"/>
      <c r="AC2764" s="183"/>
    </row>
    <row r="2765" spans="4:29">
      <c r="D2765" s="191"/>
      <c r="F2765" s="183"/>
      <c r="G2765" s="183"/>
      <c r="H2765" s="183"/>
      <c r="J2765" s="907"/>
      <c r="K2765" s="907"/>
      <c r="L2765" s="907"/>
      <c r="M2765" s="907"/>
      <c r="N2765" s="183"/>
      <c r="O2765" s="183"/>
      <c r="P2765" s="183"/>
      <c r="Q2765" s="183"/>
      <c r="R2765" s="183"/>
      <c r="S2765" s="183"/>
      <c r="T2765" s="183"/>
      <c r="U2765" s="183"/>
      <c r="V2765" s="183"/>
      <c r="W2765" s="183"/>
      <c r="X2765" s="183"/>
      <c r="Y2765" s="183"/>
      <c r="Z2765" s="183"/>
      <c r="AA2765" s="183"/>
      <c r="AB2765" s="183"/>
      <c r="AC2765" s="183"/>
    </row>
    <row r="2766" spans="4:29">
      <c r="D2766" s="191"/>
      <c r="F2766" s="183"/>
      <c r="G2766" s="183"/>
      <c r="H2766" s="183"/>
      <c r="J2766" s="907"/>
      <c r="K2766" s="907"/>
      <c r="L2766" s="907"/>
      <c r="M2766" s="907"/>
      <c r="N2766" s="183"/>
      <c r="O2766" s="183"/>
      <c r="P2766" s="183"/>
      <c r="Q2766" s="183"/>
      <c r="R2766" s="183"/>
      <c r="S2766" s="183"/>
      <c r="T2766" s="183"/>
      <c r="U2766" s="183"/>
      <c r="V2766" s="183"/>
      <c r="W2766" s="183"/>
      <c r="X2766" s="183"/>
      <c r="Y2766" s="183"/>
      <c r="Z2766" s="183"/>
      <c r="AA2766" s="183"/>
      <c r="AB2766" s="183"/>
      <c r="AC2766" s="183"/>
    </row>
    <row r="2767" spans="4:29">
      <c r="D2767" s="191"/>
      <c r="F2767" s="183"/>
      <c r="G2767" s="183"/>
      <c r="H2767" s="183"/>
      <c r="J2767" s="907"/>
      <c r="K2767" s="907"/>
      <c r="L2767" s="907"/>
      <c r="M2767" s="907"/>
      <c r="N2767" s="183"/>
      <c r="O2767" s="183"/>
      <c r="P2767" s="183"/>
      <c r="Q2767" s="183"/>
      <c r="R2767" s="183"/>
      <c r="S2767" s="183"/>
      <c r="T2767" s="183"/>
      <c r="U2767" s="183"/>
      <c r="V2767" s="183"/>
      <c r="W2767" s="183"/>
      <c r="X2767" s="183"/>
      <c r="Y2767" s="183"/>
      <c r="Z2767" s="183"/>
      <c r="AA2767" s="183"/>
      <c r="AB2767" s="183"/>
      <c r="AC2767" s="183"/>
    </row>
    <row r="2768" spans="4:29">
      <c r="D2768" s="191"/>
      <c r="F2768" s="183"/>
      <c r="G2768" s="183"/>
      <c r="H2768" s="183"/>
      <c r="J2768" s="907"/>
      <c r="K2768" s="907"/>
      <c r="L2768" s="907"/>
      <c r="M2768" s="907"/>
      <c r="N2768" s="183"/>
      <c r="O2768" s="183"/>
      <c r="P2768" s="183"/>
      <c r="Q2768" s="183"/>
      <c r="R2768" s="183"/>
      <c r="S2768" s="183"/>
      <c r="T2768" s="183"/>
      <c r="U2768" s="183"/>
      <c r="V2768" s="183"/>
      <c r="W2768" s="183"/>
      <c r="X2768" s="183"/>
      <c r="Y2768" s="183"/>
      <c r="Z2768" s="183"/>
      <c r="AA2768" s="183"/>
      <c r="AB2768" s="183"/>
      <c r="AC2768" s="183"/>
    </row>
    <row r="2769" spans="4:29">
      <c r="D2769" s="191"/>
      <c r="F2769" s="183"/>
      <c r="G2769" s="183"/>
      <c r="H2769" s="183"/>
      <c r="J2769" s="907"/>
      <c r="K2769" s="907"/>
      <c r="L2769" s="907"/>
      <c r="M2769" s="907"/>
      <c r="N2769" s="183"/>
      <c r="O2769" s="183"/>
      <c r="P2769" s="183"/>
      <c r="Q2769" s="183"/>
      <c r="R2769" s="183"/>
      <c r="S2769" s="183"/>
      <c r="T2769" s="183"/>
      <c r="U2769" s="183"/>
      <c r="V2769" s="183"/>
      <c r="W2769" s="183"/>
      <c r="X2769" s="183"/>
      <c r="Y2769" s="183"/>
      <c r="Z2769" s="183"/>
      <c r="AA2769" s="183"/>
      <c r="AB2769" s="183"/>
      <c r="AC2769" s="183"/>
    </row>
    <row r="2770" spans="4:29">
      <c r="D2770" s="191"/>
      <c r="F2770" s="183"/>
      <c r="G2770" s="183"/>
      <c r="H2770" s="183"/>
      <c r="J2770" s="907"/>
      <c r="K2770" s="907"/>
      <c r="L2770" s="907"/>
      <c r="M2770" s="907"/>
      <c r="N2770" s="183"/>
      <c r="O2770" s="183"/>
      <c r="P2770" s="183"/>
      <c r="Q2770" s="183"/>
      <c r="R2770" s="183"/>
      <c r="S2770" s="183"/>
      <c r="T2770" s="183"/>
      <c r="U2770" s="183"/>
      <c r="V2770" s="183"/>
      <c r="W2770" s="183"/>
      <c r="X2770" s="183"/>
      <c r="Y2770" s="183"/>
      <c r="Z2770" s="183"/>
      <c r="AA2770" s="183"/>
      <c r="AB2770" s="183"/>
      <c r="AC2770" s="183"/>
    </row>
    <row r="2771" spans="4:29">
      <c r="D2771" s="191"/>
      <c r="F2771" s="183"/>
      <c r="G2771" s="183"/>
      <c r="H2771" s="183"/>
      <c r="J2771" s="907"/>
      <c r="K2771" s="907"/>
      <c r="L2771" s="907"/>
      <c r="M2771" s="907"/>
      <c r="N2771" s="183"/>
      <c r="O2771" s="183"/>
      <c r="P2771" s="183"/>
      <c r="Q2771" s="183"/>
      <c r="R2771" s="183"/>
      <c r="S2771" s="183"/>
      <c r="T2771" s="183"/>
      <c r="U2771" s="183"/>
      <c r="V2771" s="183"/>
      <c r="W2771" s="183"/>
      <c r="X2771" s="183"/>
      <c r="Y2771" s="183"/>
      <c r="Z2771" s="183"/>
      <c r="AA2771" s="183"/>
      <c r="AB2771" s="183"/>
      <c r="AC2771" s="183"/>
    </row>
    <row r="2772" spans="4:29">
      <c r="D2772" s="191"/>
      <c r="F2772" s="183"/>
      <c r="G2772" s="183"/>
      <c r="H2772" s="183"/>
      <c r="J2772" s="907"/>
      <c r="K2772" s="907"/>
      <c r="L2772" s="907"/>
      <c r="M2772" s="907"/>
      <c r="N2772" s="183"/>
      <c r="O2772" s="183"/>
      <c r="P2772" s="183"/>
      <c r="Q2772" s="183"/>
      <c r="R2772" s="183"/>
      <c r="S2772" s="183"/>
      <c r="T2772" s="183"/>
      <c r="U2772" s="183"/>
      <c r="V2772" s="183"/>
      <c r="W2772" s="183"/>
      <c r="X2772" s="183"/>
      <c r="Y2772" s="183"/>
      <c r="Z2772" s="183"/>
      <c r="AA2772" s="183"/>
      <c r="AB2772" s="183"/>
      <c r="AC2772" s="183"/>
    </row>
    <row r="2773" spans="4:29">
      <c r="D2773" s="191"/>
      <c r="F2773" s="183"/>
      <c r="G2773" s="183"/>
      <c r="H2773" s="183"/>
      <c r="J2773" s="907"/>
      <c r="K2773" s="907"/>
      <c r="L2773" s="907"/>
      <c r="M2773" s="907"/>
      <c r="N2773" s="183"/>
      <c r="O2773" s="183"/>
      <c r="P2773" s="183"/>
      <c r="Q2773" s="183"/>
      <c r="R2773" s="183"/>
      <c r="S2773" s="183"/>
      <c r="T2773" s="183"/>
      <c r="U2773" s="183"/>
      <c r="V2773" s="183"/>
      <c r="W2773" s="183"/>
      <c r="X2773" s="183"/>
      <c r="Y2773" s="183"/>
      <c r="Z2773" s="183"/>
      <c r="AA2773" s="183"/>
      <c r="AB2773" s="183"/>
      <c r="AC2773" s="183"/>
    </row>
    <row r="2774" spans="4:29">
      <c r="D2774" s="191"/>
      <c r="F2774" s="183"/>
      <c r="G2774" s="183"/>
      <c r="H2774" s="183"/>
      <c r="J2774" s="907"/>
      <c r="K2774" s="907"/>
      <c r="L2774" s="907"/>
      <c r="M2774" s="907"/>
      <c r="N2774" s="183"/>
      <c r="O2774" s="183"/>
      <c r="P2774" s="183"/>
      <c r="Q2774" s="183"/>
      <c r="R2774" s="183"/>
      <c r="S2774" s="183"/>
      <c r="T2774" s="183"/>
      <c r="U2774" s="183"/>
      <c r="V2774" s="183"/>
      <c r="W2774" s="183"/>
      <c r="X2774" s="183"/>
      <c r="Y2774" s="183"/>
      <c r="Z2774" s="183"/>
      <c r="AA2774" s="183"/>
      <c r="AB2774" s="183"/>
      <c r="AC2774" s="183"/>
    </row>
    <row r="2775" spans="4:29">
      <c r="D2775" s="191"/>
      <c r="F2775" s="183"/>
      <c r="G2775" s="183"/>
      <c r="H2775" s="183"/>
      <c r="J2775" s="907"/>
      <c r="K2775" s="907"/>
      <c r="L2775" s="907"/>
      <c r="M2775" s="907"/>
      <c r="N2775" s="183"/>
      <c r="O2775" s="183"/>
      <c r="P2775" s="183"/>
      <c r="Q2775" s="183"/>
      <c r="R2775" s="183"/>
      <c r="S2775" s="183"/>
      <c r="T2775" s="183"/>
      <c r="U2775" s="183"/>
      <c r="V2775" s="183"/>
      <c r="W2775" s="183"/>
      <c r="X2775" s="183"/>
      <c r="Y2775" s="183"/>
      <c r="Z2775" s="183"/>
      <c r="AA2775" s="183"/>
      <c r="AB2775" s="183"/>
      <c r="AC2775" s="183"/>
    </row>
    <row r="2776" spans="4:29">
      <c r="D2776" s="191"/>
      <c r="F2776" s="183"/>
      <c r="G2776" s="183"/>
      <c r="H2776" s="183"/>
      <c r="J2776" s="907"/>
      <c r="K2776" s="907"/>
      <c r="L2776" s="907"/>
      <c r="M2776" s="907"/>
      <c r="N2776" s="183"/>
      <c r="O2776" s="183"/>
      <c r="P2776" s="183"/>
      <c r="Q2776" s="183"/>
      <c r="R2776" s="183"/>
      <c r="S2776" s="183"/>
      <c r="T2776" s="183"/>
      <c r="U2776" s="183"/>
      <c r="V2776" s="183"/>
      <c r="W2776" s="183"/>
      <c r="X2776" s="183"/>
      <c r="Y2776" s="183"/>
      <c r="Z2776" s="183"/>
      <c r="AA2776" s="183"/>
      <c r="AB2776" s="183"/>
      <c r="AC2776" s="183"/>
    </row>
    <row r="2777" spans="4:29">
      <c r="D2777" s="191"/>
      <c r="F2777" s="183"/>
      <c r="G2777" s="183"/>
      <c r="H2777" s="183"/>
      <c r="J2777" s="907"/>
      <c r="K2777" s="907"/>
      <c r="L2777" s="907"/>
      <c r="M2777" s="907"/>
      <c r="N2777" s="183"/>
      <c r="O2777" s="183"/>
      <c r="P2777" s="183"/>
      <c r="Q2777" s="183"/>
      <c r="R2777" s="183"/>
      <c r="S2777" s="183"/>
      <c r="T2777" s="183"/>
      <c r="U2777" s="183"/>
      <c r="V2777" s="183"/>
      <c r="W2777" s="183"/>
      <c r="X2777" s="183"/>
      <c r="Y2777" s="183"/>
      <c r="Z2777" s="183"/>
      <c r="AA2777" s="183"/>
      <c r="AB2777" s="183"/>
      <c r="AC2777" s="183"/>
    </row>
    <row r="2778" spans="4:29">
      <c r="D2778" s="191"/>
      <c r="F2778" s="183"/>
      <c r="G2778" s="183"/>
      <c r="H2778" s="183"/>
      <c r="J2778" s="907"/>
      <c r="K2778" s="907"/>
      <c r="L2778" s="907"/>
      <c r="M2778" s="907"/>
      <c r="N2778" s="183"/>
      <c r="O2778" s="183"/>
      <c r="P2778" s="183"/>
      <c r="Q2778" s="183"/>
      <c r="R2778" s="183"/>
      <c r="S2778" s="183"/>
      <c r="T2778" s="183"/>
      <c r="U2778" s="183"/>
      <c r="V2778" s="183"/>
      <c r="W2778" s="183"/>
      <c r="X2778" s="183"/>
      <c r="Y2778" s="183"/>
      <c r="Z2778" s="183"/>
      <c r="AA2778" s="183"/>
      <c r="AB2778" s="183"/>
      <c r="AC2778" s="183"/>
    </row>
    <row r="2779" spans="4:29">
      <c r="D2779" s="191"/>
      <c r="F2779" s="183"/>
      <c r="G2779" s="183"/>
      <c r="H2779" s="183"/>
      <c r="J2779" s="907"/>
      <c r="K2779" s="907"/>
      <c r="L2779" s="907"/>
      <c r="M2779" s="907"/>
      <c r="N2779" s="183"/>
      <c r="O2779" s="183"/>
      <c r="P2779" s="183"/>
      <c r="Q2779" s="183"/>
      <c r="R2779" s="183"/>
      <c r="S2779" s="183"/>
      <c r="T2779" s="183"/>
      <c r="U2779" s="183"/>
      <c r="V2779" s="183"/>
      <c r="W2779" s="183"/>
      <c r="X2779" s="183"/>
      <c r="Y2779" s="183"/>
      <c r="Z2779" s="183"/>
      <c r="AA2779" s="183"/>
      <c r="AB2779" s="183"/>
      <c r="AC2779" s="183"/>
    </row>
    <row r="2780" spans="4:29">
      <c r="D2780" s="191"/>
      <c r="F2780" s="183"/>
      <c r="G2780" s="183"/>
      <c r="H2780" s="183"/>
      <c r="J2780" s="907"/>
      <c r="K2780" s="907"/>
      <c r="L2780" s="907"/>
      <c r="M2780" s="907"/>
      <c r="N2780" s="183"/>
      <c r="O2780" s="183"/>
      <c r="P2780" s="183"/>
      <c r="Q2780" s="183"/>
      <c r="R2780" s="183"/>
      <c r="S2780" s="183"/>
      <c r="T2780" s="183"/>
      <c r="U2780" s="183"/>
      <c r="V2780" s="183"/>
      <c r="W2780" s="183"/>
      <c r="X2780" s="183"/>
      <c r="Y2780" s="183"/>
      <c r="Z2780" s="183"/>
      <c r="AA2780" s="183"/>
      <c r="AB2780" s="183"/>
      <c r="AC2780" s="183"/>
    </row>
    <row r="2781" spans="4:29">
      <c r="D2781" s="191"/>
      <c r="F2781" s="183"/>
      <c r="G2781" s="183"/>
      <c r="H2781" s="183"/>
      <c r="J2781" s="907"/>
      <c r="K2781" s="907"/>
      <c r="L2781" s="907"/>
      <c r="M2781" s="907"/>
      <c r="N2781" s="183"/>
      <c r="O2781" s="183"/>
      <c r="P2781" s="183"/>
      <c r="Q2781" s="183"/>
      <c r="R2781" s="183"/>
      <c r="S2781" s="183"/>
      <c r="T2781" s="183"/>
      <c r="U2781" s="183"/>
      <c r="V2781" s="183"/>
      <c r="W2781" s="183"/>
      <c r="X2781" s="183"/>
      <c r="Y2781" s="183"/>
      <c r="Z2781" s="183"/>
      <c r="AA2781" s="183"/>
      <c r="AB2781" s="183"/>
      <c r="AC2781" s="183"/>
    </row>
    <row r="2782" spans="4:29">
      <c r="D2782" s="191"/>
      <c r="F2782" s="183"/>
      <c r="G2782" s="183"/>
      <c r="H2782" s="183"/>
      <c r="J2782" s="907"/>
      <c r="K2782" s="907"/>
      <c r="L2782" s="907"/>
      <c r="M2782" s="907"/>
      <c r="N2782" s="183"/>
      <c r="O2782" s="183"/>
      <c r="P2782" s="183"/>
      <c r="Q2782" s="183"/>
      <c r="R2782" s="183"/>
      <c r="S2782" s="183"/>
      <c r="T2782" s="183"/>
      <c r="U2782" s="183"/>
      <c r="V2782" s="183"/>
      <c r="W2782" s="183"/>
      <c r="X2782" s="183"/>
      <c r="Y2782" s="183"/>
      <c r="Z2782" s="183"/>
      <c r="AA2782" s="183"/>
      <c r="AB2782" s="183"/>
      <c r="AC2782" s="183"/>
    </row>
    <row r="2783" spans="4:29">
      <c r="D2783" s="191"/>
      <c r="F2783" s="183"/>
      <c r="G2783" s="183"/>
      <c r="H2783" s="183"/>
      <c r="J2783" s="907"/>
      <c r="K2783" s="907"/>
      <c r="L2783" s="907"/>
      <c r="M2783" s="907"/>
      <c r="N2783" s="183"/>
      <c r="O2783" s="183"/>
      <c r="P2783" s="183"/>
      <c r="Q2783" s="183"/>
      <c r="R2783" s="183"/>
      <c r="S2783" s="183"/>
      <c r="T2783" s="183"/>
      <c r="U2783" s="183"/>
      <c r="V2783" s="183"/>
      <c r="W2783" s="183"/>
      <c r="X2783" s="183"/>
      <c r="Y2783" s="183"/>
      <c r="Z2783" s="183"/>
      <c r="AA2783" s="183"/>
      <c r="AB2783" s="183"/>
      <c r="AC2783" s="183"/>
    </row>
    <row r="2784" spans="4:29">
      <c r="D2784" s="191"/>
      <c r="F2784" s="183"/>
      <c r="G2784" s="183"/>
      <c r="H2784" s="183"/>
      <c r="J2784" s="907"/>
      <c r="K2784" s="907"/>
      <c r="L2784" s="907"/>
      <c r="M2784" s="907"/>
      <c r="N2784" s="183"/>
      <c r="O2784" s="183"/>
      <c r="P2784" s="183"/>
      <c r="Q2784" s="183"/>
      <c r="R2784" s="183"/>
      <c r="S2784" s="183"/>
      <c r="T2784" s="183"/>
      <c r="U2784" s="183"/>
      <c r="V2784" s="183"/>
      <c r="W2784" s="183"/>
      <c r="X2784" s="183"/>
      <c r="Y2784" s="183"/>
      <c r="Z2784" s="183"/>
      <c r="AA2784" s="183"/>
      <c r="AB2784" s="183"/>
      <c r="AC2784" s="183"/>
    </row>
    <row r="2785" spans="4:29">
      <c r="D2785" s="191"/>
      <c r="F2785" s="183"/>
      <c r="G2785" s="183"/>
      <c r="H2785" s="183"/>
      <c r="J2785" s="907"/>
      <c r="K2785" s="907"/>
      <c r="L2785" s="907"/>
      <c r="M2785" s="907"/>
      <c r="N2785" s="183"/>
      <c r="O2785" s="183"/>
      <c r="P2785" s="183"/>
      <c r="Q2785" s="183"/>
      <c r="R2785" s="183"/>
      <c r="S2785" s="183"/>
      <c r="T2785" s="183"/>
      <c r="U2785" s="183"/>
      <c r="V2785" s="183"/>
      <c r="W2785" s="183"/>
      <c r="X2785" s="183"/>
      <c r="Y2785" s="183"/>
      <c r="Z2785" s="183"/>
      <c r="AA2785" s="183"/>
      <c r="AB2785" s="183"/>
      <c r="AC2785" s="183"/>
    </row>
    <row r="2786" spans="4:29">
      <c r="D2786" s="191"/>
      <c r="F2786" s="183"/>
      <c r="G2786" s="183"/>
      <c r="H2786" s="183"/>
      <c r="J2786" s="907"/>
      <c r="K2786" s="907"/>
      <c r="L2786" s="907"/>
      <c r="M2786" s="907"/>
      <c r="N2786" s="183"/>
      <c r="O2786" s="183"/>
      <c r="P2786" s="183"/>
      <c r="Q2786" s="183"/>
      <c r="R2786" s="183"/>
      <c r="S2786" s="183"/>
      <c r="T2786" s="183"/>
      <c r="U2786" s="183"/>
      <c r="V2786" s="183"/>
      <c r="W2786" s="183"/>
      <c r="X2786" s="183"/>
      <c r="Y2786" s="183"/>
      <c r="Z2786" s="183"/>
      <c r="AA2786" s="183"/>
      <c r="AB2786" s="183"/>
      <c r="AC2786" s="183"/>
    </row>
    <row r="2787" spans="4:29">
      <c r="D2787" s="191"/>
      <c r="F2787" s="183"/>
      <c r="G2787" s="183"/>
      <c r="H2787" s="183"/>
      <c r="J2787" s="907"/>
      <c r="K2787" s="907"/>
      <c r="L2787" s="907"/>
      <c r="M2787" s="907"/>
      <c r="N2787" s="183"/>
      <c r="O2787" s="183"/>
      <c r="P2787" s="183"/>
      <c r="Q2787" s="183"/>
      <c r="R2787" s="183"/>
      <c r="S2787" s="183"/>
      <c r="T2787" s="183"/>
      <c r="U2787" s="183"/>
      <c r="V2787" s="183"/>
      <c r="W2787" s="183"/>
      <c r="X2787" s="183"/>
      <c r="Y2787" s="183"/>
      <c r="Z2787" s="183"/>
      <c r="AA2787" s="183"/>
      <c r="AB2787" s="183"/>
      <c r="AC2787" s="183"/>
    </row>
    <row r="2788" spans="4:29">
      <c r="D2788" s="191"/>
      <c r="F2788" s="183"/>
      <c r="G2788" s="183"/>
      <c r="H2788" s="183"/>
      <c r="J2788" s="907"/>
      <c r="K2788" s="907"/>
      <c r="L2788" s="907"/>
      <c r="M2788" s="907"/>
      <c r="N2788" s="183"/>
      <c r="O2788" s="183"/>
      <c r="P2788" s="183"/>
      <c r="Q2788" s="183"/>
      <c r="R2788" s="183"/>
      <c r="S2788" s="183"/>
      <c r="T2788" s="183"/>
      <c r="U2788" s="183"/>
      <c r="V2788" s="183"/>
      <c r="W2788" s="183"/>
      <c r="X2788" s="183"/>
      <c r="Y2788" s="183"/>
      <c r="Z2788" s="183"/>
      <c r="AA2788" s="183"/>
      <c r="AB2788" s="183"/>
      <c r="AC2788" s="183"/>
    </row>
    <row r="2789" spans="4:29">
      <c r="D2789" s="191"/>
      <c r="F2789" s="183"/>
      <c r="G2789" s="183"/>
      <c r="H2789" s="183"/>
      <c r="J2789" s="907"/>
      <c r="K2789" s="907"/>
      <c r="L2789" s="907"/>
      <c r="M2789" s="907"/>
      <c r="N2789" s="183"/>
      <c r="O2789" s="183"/>
      <c r="P2789" s="183"/>
      <c r="Q2789" s="183"/>
      <c r="R2789" s="183"/>
      <c r="S2789" s="183"/>
      <c r="T2789" s="183"/>
      <c r="U2789" s="183"/>
      <c r="V2789" s="183"/>
      <c r="W2789" s="183"/>
      <c r="X2789" s="183"/>
      <c r="Y2789" s="183"/>
      <c r="Z2789" s="183"/>
      <c r="AA2789" s="183"/>
      <c r="AB2789" s="183"/>
      <c r="AC2789" s="183"/>
    </row>
    <row r="2790" spans="4:29">
      <c r="D2790" s="191"/>
      <c r="F2790" s="183"/>
      <c r="G2790" s="183"/>
      <c r="H2790" s="183"/>
      <c r="J2790" s="907"/>
      <c r="K2790" s="907"/>
      <c r="L2790" s="907"/>
      <c r="M2790" s="907"/>
      <c r="N2790" s="183"/>
      <c r="O2790" s="183"/>
      <c r="P2790" s="183"/>
      <c r="Q2790" s="183"/>
      <c r="R2790" s="183"/>
      <c r="S2790" s="183"/>
      <c r="T2790" s="183"/>
      <c r="U2790" s="183"/>
      <c r="V2790" s="183"/>
      <c r="W2790" s="183"/>
      <c r="X2790" s="183"/>
      <c r="Y2790" s="183"/>
      <c r="Z2790" s="183"/>
      <c r="AA2790" s="183"/>
      <c r="AB2790" s="183"/>
      <c r="AC2790" s="183"/>
    </row>
    <row r="2791" spans="4:29">
      <c r="D2791" s="191"/>
      <c r="F2791" s="183"/>
      <c r="G2791" s="183"/>
      <c r="H2791" s="183"/>
      <c r="J2791" s="907"/>
      <c r="K2791" s="907"/>
      <c r="L2791" s="907"/>
      <c r="M2791" s="907"/>
      <c r="N2791" s="183"/>
      <c r="O2791" s="183"/>
      <c r="P2791" s="183"/>
      <c r="Q2791" s="183"/>
      <c r="R2791" s="183"/>
      <c r="S2791" s="183"/>
      <c r="T2791" s="183"/>
      <c r="U2791" s="183"/>
      <c r="V2791" s="183"/>
      <c r="W2791" s="183"/>
      <c r="X2791" s="183"/>
      <c r="Y2791" s="183"/>
      <c r="Z2791" s="183"/>
      <c r="AA2791" s="183"/>
      <c r="AB2791" s="183"/>
      <c r="AC2791" s="183"/>
    </row>
    <row r="2792" spans="4:29">
      <c r="D2792" s="191"/>
      <c r="F2792" s="183"/>
      <c r="G2792" s="183"/>
      <c r="H2792" s="183"/>
      <c r="J2792" s="907"/>
      <c r="K2792" s="907"/>
      <c r="L2792" s="907"/>
      <c r="M2792" s="907"/>
      <c r="N2792" s="183"/>
      <c r="O2792" s="183"/>
      <c r="P2792" s="183"/>
      <c r="Q2792" s="183"/>
      <c r="R2792" s="183"/>
      <c r="S2792" s="183"/>
      <c r="T2792" s="183"/>
      <c r="U2792" s="183"/>
      <c r="V2792" s="183"/>
      <c r="W2792" s="183"/>
      <c r="X2792" s="183"/>
      <c r="Y2792" s="183"/>
      <c r="Z2792" s="183"/>
      <c r="AA2792" s="183"/>
      <c r="AB2792" s="183"/>
      <c r="AC2792" s="183"/>
    </row>
    <row r="2793" spans="4:29">
      <c r="D2793" s="191"/>
      <c r="F2793" s="183"/>
      <c r="G2793" s="183"/>
      <c r="H2793" s="183"/>
      <c r="J2793" s="907"/>
      <c r="K2793" s="907"/>
      <c r="L2793" s="907"/>
      <c r="M2793" s="907"/>
      <c r="N2793" s="183"/>
      <c r="O2793" s="183"/>
      <c r="P2793" s="183"/>
      <c r="Q2793" s="183"/>
      <c r="R2793" s="183"/>
      <c r="S2793" s="183"/>
      <c r="T2793" s="183"/>
      <c r="U2793" s="183"/>
      <c r="V2793" s="183"/>
      <c r="W2793" s="183"/>
      <c r="X2793" s="183"/>
      <c r="Y2793" s="183"/>
      <c r="Z2793" s="183"/>
      <c r="AA2793" s="183"/>
      <c r="AB2793" s="183"/>
      <c r="AC2793" s="183"/>
    </row>
    <row r="2794" spans="4:29">
      <c r="D2794" s="191"/>
      <c r="F2794" s="183"/>
      <c r="G2794" s="183"/>
      <c r="H2794" s="183"/>
      <c r="J2794" s="907"/>
      <c r="K2794" s="907"/>
      <c r="L2794" s="907"/>
      <c r="M2794" s="907"/>
      <c r="N2794" s="183"/>
      <c r="O2794" s="183"/>
      <c r="P2794" s="183"/>
      <c r="Q2794" s="183"/>
      <c r="R2794" s="183"/>
      <c r="S2794" s="183"/>
      <c r="T2794" s="183"/>
      <c r="U2794" s="183"/>
      <c r="V2794" s="183"/>
      <c r="W2794" s="183"/>
      <c r="X2794" s="183"/>
      <c r="Y2794" s="183"/>
      <c r="Z2794" s="183"/>
      <c r="AA2794" s="183"/>
      <c r="AB2794" s="183"/>
      <c r="AC2794" s="183"/>
    </row>
    <row r="2795" spans="4:29">
      <c r="D2795" s="191"/>
      <c r="F2795" s="183"/>
      <c r="G2795" s="183"/>
      <c r="H2795" s="183"/>
      <c r="J2795" s="907"/>
      <c r="K2795" s="907"/>
      <c r="L2795" s="907"/>
      <c r="M2795" s="907"/>
      <c r="N2795" s="183"/>
      <c r="O2795" s="183"/>
      <c r="P2795" s="183"/>
      <c r="Q2795" s="183"/>
      <c r="R2795" s="183"/>
      <c r="S2795" s="183"/>
      <c r="T2795" s="183"/>
      <c r="U2795" s="183"/>
      <c r="V2795" s="183"/>
      <c r="W2795" s="183"/>
      <c r="X2795" s="183"/>
      <c r="Y2795" s="183"/>
      <c r="Z2795" s="183"/>
      <c r="AA2795" s="183"/>
      <c r="AB2795" s="183"/>
      <c r="AC2795" s="183"/>
    </row>
    <row r="2796" spans="4:29">
      <c r="D2796" s="191"/>
      <c r="F2796" s="183"/>
      <c r="G2796" s="183"/>
      <c r="H2796" s="183"/>
      <c r="J2796" s="907"/>
      <c r="K2796" s="907"/>
      <c r="L2796" s="907"/>
      <c r="M2796" s="907"/>
      <c r="N2796" s="183"/>
      <c r="O2796" s="183"/>
      <c r="P2796" s="183"/>
      <c r="Q2796" s="183"/>
      <c r="R2796" s="183"/>
      <c r="S2796" s="183"/>
      <c r="T2796" s="183"/>
      <c r="U2796" s="183"/>
      <c r="V2796" s="183"/>
      <c r="W2796" s="183"/>
      <c r="X2796" s="183"/>
      <c r="Y2796" s="183"/>
      <c r="Z2796" s="183"/>
      <c r="AA2796" s="183"/>
      <c r="AB2796" s="183"/>
      <c r="AC2796" s="183"/>
    </row>
    <row r="2797" spans="4:29">
      <c r="D2797" s="191"/>
      <c r="F2797" s="183"/>
      <c r="G2797" s="183"/>
      <c r="H2797" s="183"/>
      <c r="J2797" s="907"/>
      <c r="K2797" s="907"/>
      <c r="L2797" s="907"/>
      <c r="M2797" s="907"/>
      <c r="N2797" s="183"/>
      <c r="O2797" s="183"/>
      <c r="P2797" s="183"/>
      <c r="Q2797" s="183"/>
      <c r="R2797" s="183"/>
      <c r="S2797" s="183"/>
      <c r="T2797" s="183"/>
      <c r="U2797" s="183"/>
      <c r="V2797" s="183"/>
      <c r="W2797" s="183"/>
      <c r="X2797" s="183"/>
      <c r="Y2797" s="183"/>
      <c r="Z2797" s="183"/>
      <c r="AA2797" s="183"/>
      <c r="AB2797" s="183"/>
      <c r="AC2797" s="183"/>
    </row>
    <row r="2798" spans="4:29">
      <c r="D2798" s="191"/>
      <c r="F2798" s="183"/>
      <c r="G2798" s="183"/>
      <c r="H2798" s="183"/>
      <c r="J2798" s="907"/>
      <c r="K2798" s="907"/>
      <c r="L2798" s="907"/>
      <c r="M2798" s="907"/>
      <c r="N2798" s="183"/>
      <c r="O2798" s="183"/>
      <c r="P2798" s="183"/>
      <c r="Q2798" s="183"/>
      <c r="R2798" s="183"/>
      <c r="S2798" s="183"/>
      <c r="T2798" s="183"/>
      <c r="U2798" s="183"/>
      <c r="V2798" s="183"/>
      <c r="W2798" s="183"/>
      <c r="X2798" s="183"/>
      <c r="Y2798" s="183"/>
      <c r="Z2798" s="183"/>
      <c r="AA2798" s="183"/>
      <c r="AB2798" s="183"/>
      <c r="AC2798" s="183"/>
    </row>
    <row r="2799" spans="4:29">
      <c r="D2799" s="191"/>
      <c r="F2799" s="183"/>
      <c r="G2799" s="183"/>
      <c r="H2799" s="183"/>
      <c r="J2799" s="907"/>
      <c r="K2799" s="907"/>
      <c r="L2799" s="907"/>
      <c r="M2799" s="907"/>
      <c r="N2799" s="183"/>
      <c r="O2799" s="183"/>
      <c r="P2799" s="183"/>
      <c r="Q2799" s="183"/>
      <c r="R2799" s="183"/>
      <c r="S2799" s="183"/>
      <c r="T2799" s="183"/>
      <c r="U2799" s="183"/>
      <c r="V2799" s="183"/>
      <c r="W2799" s="183"/>
      <c r="X2799" s="183"/>
      <c r="Y2799" s="183"/>
      <c r="Z2799" s="183"/>
      <c r="AA2799" s="183"/>
      <c r="AB2799" s="183"/>
      <c r="AC2799" s="183"/>
    </row>
    <row r="2800" spans="4:29">
      <c r="D2800" s="191"/>
      <c r="F2800" s="183"/>
      <c r="G2800" s="183"/>
      <c r="H2800" s="183"/>
      <c r="J2800" s="907"/>
      <c r="K2800" s="907"/>
      <c r="L2800" s="907"/>
      <c r="M2800" s="907"/>
      <c r="N2800" s="183"/>
      <c r="O2800" s="183"/>
      <c r="P2800" s="183"/>
      <c r="Q2800" s="183"/>
      <c r="R2800" s="183"/>
      <c r="S2800" s="183"/>
      <c r="T2800" s="183"/>
      <c r="U2800" s="183"/>
      <c r="V2800" s="183"/>
      <c r="W2800" s="183"/>
      <c r="X2800" s="183"/>
      <c r="Y2800" s="183"/>
      <c r="Z2800" s="183"/>
      <c r="AA2800" s="183"/>
      <c r="AB2800" s="183"/>
      <c r="AC2800" s="183"/>
    </row>
    <row r="2801" spans="4:29">
      <c r="D2801" s="191"/>
      <c r="F2801" s="183"/>
      <c r="G2801" s="183"/>
      <c r="H2801" s="183"/>
      <c r="J2801" s="907"/>
      <c r="K2801" s="907"/>
      <c r="L2801" s="907"/>
      <c r="M2801" s="907"/>
      <c r="N2801" s="183"/>
      <c r="O2801" s="183"/>
      <c r="P2801" s="183"/>
      <c r="Q2801" s="183"/>
      <c r="R2801" s="183"/>
      <c r="S2801" s="183"/>
      <c r="T2801" s="183"/>
      <c r="U2801" s="183"/>
      <c r="V2801" s="183"/>
      <c r="W2801" s="183"/>
      <c r="X2801" s="183"/>
      <c r="Y2801" s="183"/>
      <c r="Z2801" s="183"/>
      <c r="AA2801" s="183"/>
      <c r="AB2801" s="183"/>
      <c r="AC2801" s="183"/>
    </row>
    <row r="2802" spans="4:29">
      <c r="D2802" s="191"/>
      <c r="F2802" s="183"/>
      <c r="G2802" s="183"/>
      <c r="H2802" s="183"/>
      <c r="J2802" s="907"/>
      <c r="K2802" s="907"/>
      <c r="L2802" s="907"/>
      <c r="M2802" s="907"/>
      <c r="N2802" s="183"/>
      <c r="O2802" s="183"/>
      <c r="P2802" s="183"/>
      <c r="Q2802" s="183"/>
      <c r="R2802" s="183"/>
      <c r="S2802" s="183"/>
      <c r="T2802" s="183"/>
      <c r="U2802" s="183"/>
      <c r="V2802" s="183"/>
      <c r="W2802" s="183"/>
      <c r="X2802" s="183"/>
      <c r="Y2802" s="183"/>
      <c r="Z2802" s="183"/>
      <c r="AA2802" s="183"/>
      <c r="AB2802" s="183"/>
      <c r="AC2802" s="183"/>
    </row>
    <row r="2803" spans="4:29">
      <c r="D2803" s="191"/>
      <c r="F2803" s="183"/>
      <c r="G2803" s="183"/>
      <c r="H2803" s="183"/>
      <c r="J2803" s="907"/>
      <c r="K2803" s="907"/>
      <c r="L2803" s="907"/>
      <c r="M2803" s="907"/>
      <c r="N2803" s="183"/>
      <c r="O2803" s="183"/>
      <c r="P2803" s="183"/>
      <c r="Q2803" s="183"/>
      <c r="R2803" s="183"/>
      <c r="S2803" s="183"/>
      <c r="T2803" s="183"/>
      <c r="U2803" s="183"/>
      <c r="V2803" s="183"/>
      <c r="W2803" s="183"/>
      <c r="X2803" s="183"/>
      <c r="Y2803" s="183"/>
      <c r="Z2803" s="183"/>
      <c r="AA2803" s="183"/>
      <c r="AB2803" s="183"/>
      <c r="AC2803" s="183"/>
    </row>
    <row r="2804" spans="4:29">
      <c r="D2804" s="191"/>
      <c r="F2804" s="183"/>
      <c r="G2804" s="183"/>
      <c r="H2804" s="183"/>
      <c r="J2804" s="907"/>
      <c r="K2804" s="907"/>
      <c r="L2804" s="907"/>
      <c r="M2804" s="907"/>
      <c r="N2804" s="183"/>
      <c r="O2804" s="183"/>
      <c r="P2804" s="183"/>
      <c r="Q2804" s="183"/>
      <c r="R2804" s="183"/>
      <c r="S2804" s="183"/>
      <c r="T2804" s="183"/>
      <c r="U2804" s="183"/>
      <c r="V2804" s="183"/>
      <c r="W2804" s="183"/>
      <c r="X2804" s="183"/>
      <c r="Y2804" s="183"/>
      <c r="Z2804" s="183"/>
      <c r="AA2804" s="183"/>
      <c r="AB2804" s="183"/>
      <c r="AC2804" s="183"/>
    </row>
    <row r="2805" spans="4:29">
      <c r="D2805" s="191"/>
      <c r="F2805" s="183"/>
      <c r="G2805" s="183"/>
      <c r="H2805" s="183"/>
      <c r="J2805" s="907"/>
      <c r="K2805" s="907"/>
      <c r="L2805" s="907"/>
      <c r="M2805" s="907"/>
      <c r="N2805" s="183"/>
      <c r="O2805" s="183"/>
      <c r="P2805" s="183"/>
      <c r="Q2805" s="183"/>
      <c r="R2805" s="183"/>
      <c r="S2805" s="183"/>
      <c r="T2805" s="183"/>
      <c r="U2805" s="183"/>
      <c r="V2805" s="183"/>
      <c r="W2805" s="183"/>
      <c r="X2805" s="183"/>
      <c r="Y2805" s="183"/>
      <c r="Z2805" s="183"/>
      <c r="AA2805" s="183"/>
      <c r="AB2805" s="183"/>
      <c r="AC2805" s="183"/>
    </row>
    <row r="2806" spans="4:29">
      <c r="D2806" s="191"/>
      <c r="F2806" s="183"/>
      <c r="G2806" s="183"/>
      <c r="H2806" s="183"/>
      <c r="J2806" s="907"/>
      <c r="K2806" s="907"/>
      <c r="L2806" s="907"/>
      <c r="M2806" s="907"/>
      <c r="N2806" s="183"/>
      <c r="O2806" s="183"/>
      <c r="P2806" s="183"/>
      <c r="Q2806" s="183"/>
      <c r="R2806" s="183"/>
      <c r="S2806" s="183"/>
      <c r="T2806" s="183"/>
      <c r="U2806" s="183"/>
      <c r="V2806" s="183"/>
      <c r="W2806" s="183"/>
      <c r="X2806" s="183"/>
      <c r="Y2806" s="183"/>
      <c r="Z2806" s="183"/>
      <c r="AA2806" s="183"/>
      <c r="AB2806" s="183"/>
      <c r="AC2806" s="183"/>
    </row>
    <row r="2807" spans="4:29">
      <c r="D2807" s="191"/>
      <c r="F2807" s="183"/>
      <c r="G2807" s="183"/>
      <c r="H2807" s="183"/>
      <c r="J2807" s="907"/>
      <c r="K2807" s="907"/>
      <c r="L2807" s="907"/>
      <c r="M2807" s="907"/>
      <c r="N2807" s="183"/>
      <c r="O2807" s="183"/>
      <c r="P2807" s="183"/>
      <c r="Q2807" s="183"/>
      <c r="R2807" s="183"/>
      <c r="S2807" s="183"/>
      <c r="T2807" s="183"/>
      <c r="U2807" s="183"/>
      <c r="V2807" s="183"/>
      <c r="W2807" s="183"/>
      <c r="X2807" s="183"/>
      <c r="Y2807" s="183"/>
      <c r="Z2807" s="183"/>
      <c r="AA2807" s="183"/>
      <c r="AB2807" s="183"/>
      <c r="AC2807" s="183"/>
    </row>
    <row r="2808" spans="4:29">
      <c r="D2808" s="191"/>
      <c r="F2808" s="183"/>
      <c r="G2808" s="183"/>
      <c r="H2808" s="183"/>
      <c r="J2808" s="907"/>
      <c r="K2808" s="907"/>
      <c r="L2808" s="907"/>
      <c r="M2808" s="907"/>
      <c r="N2808" s="183"/>
      <c r="O2808" s="183"/>
      <c r="P2808" s="183"/>
      <c r="Q2808" s="183"/>
      <c r="R2808" s="183"/>
      <c r="S2808" s="183"/>
      <c r="T2808" s="183"/>
      <c r="U2808" s="183"/>
      <c r="V2808" s="183"/>
      <c r="W2808" s="183"/>
      <c r="X2808" s="183"/>
      <c r="Y2808" s="183"/>
      <c r="Z2808" s="183"/>
      <c r="AA2808" s="183"/>
      <c r="AB2808" s="183"/>
      <c r="AC2808" s="183"/>
    </row>
    <row r="2809" spans="4:29">
      <c r="D2809" s="191"/>
      <c r="F2809" s="183"/>
      <c r="G2809" s="183"/>
      <c r="H2809" s="183"/>
      <c r="J2809" s="907"/>
      <c r="K2809" s="907"/>
      <c r="L2809" s="907"/>
      <c r="M2809" s="907"/>
      <c r="N2809" s="183"/>
      <c r="O2809" s="183"/>
      <c r="P2809" s="183"/>
      <c r="Q2809" s="183"/>
      <c r="R2809" s="183"/>
      <c r="S2809" s="183"/>
      <c r="T2809" s="183"/>
      <c r="U2809" s="183"/>
      <c r="V2809" s="183"/>
      <c r="W2809" s="183"/>
      <c r="X2809" s="183"/>
      <c r="Y2809" s="183"/>
      <c r="Z2809" s="183"/>
      <c r="AA2809" s="183"/>
      <c r="AB2809" s="183"/>
      <c r="AC2809" s="183"/>
    </row>
    <row r="2810" spans="4:29">
      <c r="D2810" s="191"/>
      <c r="F2810" s="183"/>
      <c r="G2810" s="183"/>
      <c r="H2810" s="183"/>
      <c r="J2810" s="907"/>
      <c r="K2810" s="907"/>
      <c r="L2810" s="907"/>
      <c r="M2810" s="907"/>
      <c r="N2810" s="183"/>
      <c r="O2810" s="183"/>
      <c r="P2810" s="183"/>
      <c r="Q2810" s="183"/>
      <c r="R2810" s="183"/>
      <c r="S2810" s="183"/>
      <c r="T2810" s="183"/>
      <c r="U2810" s="183"/>
      <c r="V2810" s="183"/>
      <c r="W2810" s="183"/>
      <c r="X2810" s="183"/>
      <c r="Y2810" s="183"/>
      <c r="Z2810" s="183"/>
      <c r="AA2810" s="183"/>
      <c r="AB2810" s="183"/>
      <c r="AC2810" s="183"/>
    </row>
    <row r="2811" spans="4:29">
      <c r="D2811" s="191"/>
      <c r="F2811" s="183"/>
      <c r="G2811" s="183"/>
      <c r="H2811" s="183"/>
      <c r="J2811" s="907"/>
      <c r="K2811" s="907"/>
      <c r="L2811" s="907"/>
      <c r="M2811" s="907"/>
      <c r="N2811" s="183"/>
      <c r="O2811" s="183"/>
      <c r="P2811" s="183"/>
      <c r="Q2811" s="183"/>
      <c r="R2811" s="183"/>
      <c r="S2811" s="183"/>
      <c r="T2811" s="183"/>
      <c r="U2811" s="183"/>
      <c r="V2811" s="183"/>
      <c r="W2811" s="183"/>
      <c r="X2811" s="183"/>
      <c r="Y2811" s="183"/>
      <c r="Z2811" s="183"/>
      <c r="AA2811" s="183"/>
      <c r="AB2811" s="183"/>
      <c r="AC2811" s="183"/>
    </row>
    <row r="2812" spans="4:29">
      <c r="D2812" s="191"/>
      <c r="F2812" s="183"/>
      <c r="G2812" s="183"/>
      <c r="H2812" s="183"/>
      <c r="J2812" s="907"/>
      <c r="K2812" s="907"/>
      <c r="L2812" s="907"/>
      <c r="M2812" s="907"/>
      <c r="N2812" s="183"/>
      <c r="O2812" s="183"/>
      <c r="P2812" s="183"/>
      <c r="Q2812" s="183"/>
      <c r="R2812" s="183"/>
      <c r="S2812" s="183"/>
      <c r="T2812" s="183"/>
      <c r="U2812" s="183"/>
      <c r="V2812" s="183"/>
      <c r="W2812" s="183"/>
      <c r="X2812" s="183"/>
      <c r="Y2812" s="183"/>
      <c r="Z2812" s="183"/>
      <c r="AA2812" s="183"/>
      <c r="AB2812" s="183"/>
      <c r="AC2812" s="183"/>
    </row>
    <row r="2813" spans="4:29">
      <c r="D2813" s="191"/>
      <c r="F2813" s="183"/>
      <c r="G2813" s="183"/>
      <c r="H2813" s="183"/>
      <c r="J2813" s="907"/>
      <c r="K2813" s="907"/>
      <c r="L2813" s="907"/>
      <c r="M2813" s="907"/>
      <c r="N2813" s="183"/>
      <c r="O2813" s="183"/>
      <c r="P2813" s="183"/>
      <c r="Q2813" s="183"/>
      <c r="R2813" s="183"/>
      <c r="S2813" s="183"/>
      <c r="T2813" s="183"/>
      <c r="U2813" s="183"/>
      <c r="V2813" s="183"/>
      <c r="W2813" s="183"/>
      <c r="X2813" s="183"/>
      <c r="Y2813" s="183"/>
      <c r="Z2813" s="183"/>
      <c r="AA2813" s="183"/>
      <c r="AB2813" s="183"/>
      <c r="AC2813" s="183"/>
    </row>
    <row r="2814" spans="4:29">
      <c r="D2814" s="191"/>
      <c r="F2814" s="183"/>
      <c r="G2814" s="183"/>
      <c r="H2814" s="183"/>
      <c r="J2814" s="907"/>
      <c r="K2814" s="907"/>
      <c r="L2814" s="907"/>
      <c r="M2814" s="907"/>
      <c r="N2814" s="183"/>
      <c r="O2814" s="183"/>
      <c r="P2814" s="183"/>
      <c r="Q2814" s="183"/>
      <c r="R2814" s="183"/>
      <c r="S2814" s="183"/>
      <c r="T2814" s="183"/>
      <c r="U2814" s="183"/>
      <c r="V2814" s="183"/>
      <c r="W2814" s="183"/>
      <c r="X2814" s="183"/>
      <c r="Y2814" s="183"/>
      <c r="Z2814" s="183"/>
      <c r="AA2814" s="183"/>
      <c r="AB2814" s="183"/>
      <c r="AC2814" s="183"/>
    </row>
    <row r="2815" spans="4:29">
      <c r="D2815" s="191"/>
      <c r="F2815" s="183"/>
      <c r="G2815" s="183"/>
      <c r="H2815" s="183"/>
      <c r="J2815" s="907"/>
      <c r="K2815" s="907"/>
      <c r="L2815" s="907"/>
      <c r="M2815" s="907"/>
      <c r="N2815" s="183"/>
      <c r="O2815" s="183"/>
      <c r="P2815" s="183"/>
      <c r="Q2815" s="183"/>
      <c r="R2815" s="183"/>
      <c r="S2815" s="183"/>
      <c r="T2815" s="183"/>
      <c r="U2815" s="183"/>
      <c r="V2815" s="183"/>
      <c r="W2815" s="183"/>
      <c r="X2815" s="183"/>
      <c r="Y2815" s="183"/>
      <c r="Z2815" s="183"/>
      <c r="AA2815" s="183"/>
      <c r="AB2815" s="183"/>
      <c r="AC2815" s="183"/>
    </row>
    <row r="2816" spans="4:29">
      <c r="D2816" s="191"/>
      <c r="F2816" s="183"/>
      <c r="G2816" s="183"/>
      <c r="H2816" s="183"/>
      <c r="J2816" s="907"/>
      <c r="K2816" s="907"/>
      <c r="L2816" s="907"/>
      <c r="M2816" s="907"/>
      <c r="N2816" s="183"/>
      <c r="O2816" s="183"/>
      <c r="P2816" s="183"/>
      <c r="Q2816" s="183"/>
      <c r="R2816" s="183"/>
      <c r="S2816" s="183"/>
      <c r="T2816" s="183"/>
      <c r="U2816" s="183"/>
      <c r="V2816" s="183"/>
      <c r="W2816" s="183"/>
      <c r="X2816" s="183"/>
      <c r="Y2816" s="183"/>
      <c r="Z2816" s="183"/>
      <c r="AA2816" s="183"/>
      <c r="AB2816" s="183"/>
      <c r="AC2816" s="183"/>
    </row>
    <row r="2817" spans="4:29">
      <c r="D2817" s="191"/>
      <c r="F2817" s="183"/>
      <c r="G2817" s="183"/>
      <c r="H2817" s="183"/>
      <c r="J2817" s="907"/>
      <c r="K2817" s="907"/>
      <c r="L2817" s="907"/>
      <c r="M2817" s="907"/>
      <c r="N2817" s="183"/>
      <c r="O2817" s="183"/>
      <c r="P2817" s="183"/>
      <c r="Q2817" s="183"/>
      <c r="R2817" s="183"/>
      <c r="S2817" s="183"/>
      <c r="T2817" s="183"/>
      <c r="U2817" s="183"/>
      <c r="V2817" s="183"/>
      <c r="W2817" s="183"/>
      <c r="X2817" s="183"/>
      <c r="Y2817" s="183"/>
      <c r="Z2817" s="183"/>
      <c r="AA2817" s="183"/>
      <c r="AB2817" s="183"/>
      <c r="AC2817" s="183"/>
    </row>
    <row r="2818" spans="4:29">
      <c r="D2818" s="191"/>
      <c r="F2818" s="183"/>
      <c r="G2818" s="183"/>
      <c r="H2818" s="183"/>
      <c r="J2818" s="907"/>
      <c r="K2818" s="907"/>
      <c r="L2818" s="907"/>
      <c r="M2818" s="907"/>
      <c r="N2818" s="183"/>
      <c r="O2818" s="183"/>
      <c r="P2818" s="183"/>
      <c r="Q2818" s="183"/>
      <c r="R2818" s="183"/>
      <c r="S2818" s="183"/>
      <c r="T2818" s="183"/>
      <c r="U2818" s="183"/>
      <c r="V2818" s="183"/>
      <c r="W2818" s="183"/>
      <c r="X2818" s="183"/>
      <c r="Y2818" s="183"/>
      <c r="Z2818" s="183"/>
      <c r="AA2818" s="183"/>
      <c r="AB2818" s="183"/>
      <c r="AC2818" s="183"/>
    </row>
    <row r="2819" spans="4:29">
      <c r="D2819" s="191"/>
      <c r="F2819" s="183"/>
      <c r="G2819" s="183"/>
      <c r="H2819" s="183"/>
      <c r="J2819" s="907"/>
      <c r="K2819" s="907"/>
      <c r="L2819" s="907"/>
      <c r="M2819" s="907"/>
      <c r="N2819" s="183"/>
      <c r="O2819" s="183"/>
      <c r="P2819" s="183"/>
      <c r="Q2819" s="183"/>
      <c r="R2819" s="183"/>
      <c r="S2819" s="183"/>
      <c r="T2819" s="183"/>
      <c r="U2819" s="183"/>
      <c r="V2819" s="183"/>
      <c r="W2819" s="183"/>
      <c r="X2819" s="183"/>
      <c r="Y2819" s="183"/>
      <c r="Z2819" s="183"/>
      <c r="AA2819" s="183"/>
      <c r="AB2819" s="183"/>
      <c r="AC2819" s="183"/>
    </row>
    <row r="2820" spans="4:29">
      <c r="D2820" s="191"/>
      <c r="F2820" s="183"/>
      <c r="G2820" s="183"/>
      <c r="H2820" s="183"/>
      <c r="J2820" s="907"/>
      <c r="K2820" s="907"/>
      <c r="L2820" s="907"/>
      <c r="M2820" s="907"/>
      <c r="N2820" s="183"/>
      <c r="O2820" s="183"/>
      <c r="P2820" s="183"/>
      <c r="Q2820" s="183"/>
      <c r="R2820" s="183"/>
      <c r="S2820" s="183"/>
      <c r="T2820" s="183"/>
      <c r="U2820" s="183"/>
      <c r="V2820" s="183"/>
      <c r="W2820" s="183"/>
      <c r="X2820" s="183"/>
      <c r="Y2820" s="183"/>
      <c r="Z2820" s="183"/>
      <c r="AA2820" s="183"/>
      <c r="AB2820" s="183"/>
      <c r="AC2820" s="183"/>
    </row>
    <row r="2821" spans="4:29">
      <c r="D2821" s="191"/>
      <c r="F2821" s="183"/>
      <c r="G2821" s="183"/>
      <c r="H2821" s="183"/>
      <c r="J2821" s="907"/>
      <c r="K2821" s="907"/>
      <c r="L2821" s="907"/>
      <c r="M2821" s="907"/>
      <c r="N2821" s="183"/>
      <c r="O2821" s="183"/>
      <c r="P2821" s="183"/>
      <c r="Q2821" s="183"/>
      <c r="R2821" s="183"/>
      <c r="S2821" s="183"/>
      <c r="T2821" s="183"/>
      <c r="U2821" s="183"/>
      <c r="V2821" s="183"/>
      <c r="W2821" s="183"/>
      <c r="X2821" s="183"/>
      <c r="Y2821" s="183"/>
      <c r="Z2821" s="183"/>
      <c r="AA2821" s="183"/>
      <c r="AB2821" s="183"/>
      <c r="AC2821" s="183"/>
    </row>
    <row r="2822" spans="4:29">
      <c r="D2822" s="191"/>
      <c r="F2822" s="183"/>
      <c r="G2822" s="183"/>
      <c r="H2822" s="183"/>
      <c r="J2822" s="907"/>
      <c r="K2822" s="907"/>
      <c r="L2822" s="907"/>
      <c r="M2822" s="907"/>
      <c r="N2822" s="183"/>
      <c r="O2822" s="183"/>
      <c r="P2822" s="183"/>
      <c r="Q2822" s="183"/>
      <c r="R2822" s="183"/>
      <c r="S2822" s="183"/>
      <c r="T2822" s="183"/>
      <c r="U2822" s="183"/>
      <c r="V2822" s="183"/>
      <c r="W2822" s="183"/>
      <c r="X2822" s="183"/>
      <c r="Y2822" s="183"/>
      <c r="Z2822" s="183"/>
      <c r="AA2822" s="183"/>
      <c r="AB2822" s="183"/>
      <c r="AC2822" s="183"/>
    </row>
    <row r="2823" spans="4:29">
      <c r="D2823" s="191"/>
      <c r="F2823" s="183"/>
      <c r="G2823" s="183"/>
      <c r="H2823" s="183"/>
      <c r="J2823" s="907"/>
      <c r="K2823" s="907"/>
      <c r="L2823" s="907"/>
      <c r="M2823" s="907"/>
      <c r="N2823" s="183"/>
      <c r="O2823" s="183"/>
      <c r="P2823" s="183"/>
      <c r="Q2823" s="183"/>
      <c r="R2823" s="183"/>
      <c r="S2823" s="183"/>
      <c r="T2823" s="183"/>
      <c r="U2823" s="183"/>
      <c r="V2823" s="183"/>
      <c r="W2823" s="183"/>
      <c r="X2823" s="183"/>
      <c r="Y2823" s="183"/>
      <c r="Z2823" s="183"/>
      <c r="AA2823" s="183"/>
      <c r="AB2823" s="183"/>
      <c r="AC2823" s="183"/>
    </row>
    <row r="2824" spans="4:29">
      <c r="D2824" s="191"/>
      <c r="F2824" s="183"/>
      <c r="G2824" s="183"/>
      <c r="H2824" s="183"/>
      <c r="J2824" s="907"/>
      <c r="K2824" s="907"/>
      <c r="L2824" s="907"/>
      <c r="M2824" s="907"/>
      <c r="N2824" s="183"/>
      <c r="O2824" s="183"/>
      <c r="P2824" s="183"/>
      <c r="Q2824" s="183"/>
      <c r="R2824" s="183"/>
      <c r="S2824" s="183"/>
      <c r="T2824" s="183"/>
      <c r="U2824" s="183"/>
      <c r="V2824" s="183"/>
      <c r="W2824" s="183"/>
      <c r="X2824" s="183"/>
      <c r="Y2824" s="183"/>
      <c r="Z2824" s="183"/>
      <c r="AA2824" s="183"/>
      <c r="AB2824" s="183"/>
      <c r="AC2824" s="183"/>
    </row>
    <row r="2825" spans="4:29">
      <c r="D2825" s="191"/>
      <c r="F2825" s="183"/>
      <c r="G2825" s="183"/>
      <c r="H2825" s="183"/>
      <c r="J2825" s="907"/>
      <c r="K2825" s="907"/>
      <c r="L2825" s="907"/>
      <c r="M2825" s="907"/>
      <c r="N2825" s="183"/>
      <c r="O2825" s="183"/>
      <c r="P2825" s="183"/>
      <c r="Q2825" s="183"/>
      <c r="R2825" s="183"/>
      <c r="S2825" s="183"/>
      <c r="T2825" s="183"/>
      <c r="U2825" s="183"/>
      <c r="V2825" s="183"/>
      <c r="W2825" s="183"/>
      <c r="X2825" s="183"/>
      <c r="Y2825" s="183"/>
      <c r="Z2825" s="183"/>
      <c r="AA2825" s="183"/>
      <c r="AB2825" s="183"/>
      <c r="AC2825" s="183"/>
    </row>
    <row r="2826" spans="4:29">
      <c r="D2826" s="191"/>
      <c r="F2826" s="183"/>
      <c r="G2826" s="183"/>
      <c r="H2826" s="183"/>
      <c r="J2826" s="907"/>
      <c r="K2826" s="907"/>
      <c r="L2826" s="907"/>
      <c r="M2826" s="907"/>
      <c r="N2826" s="183"/>
      <c r="O2826" s="183"/>
      <c r="P2826" s="183"/>
      <c r="Q2826" s="183"/>
      <c r="R2826" s="183"/>
      <c r="S2826" s="183"/>
      <c r="T2826" s="183"/>
      <c r="U2826" s="183"/>
      <c r="V2826" s="183"/>
      <c r="W2826" s="183"/>
      <c r="X2826" s="183"/>
      <c r="Y2826" s="183"/>
      <c r="Z2826" s="183"/>
      <c r="AA2826" s="183"/>
      <c r="AB2826" s="183"/>
      <c r="AC2826" s="183"/>
    </row>
    <row r="2827" spans="4:29">
      <c r="D2827" s="191"/>
      <c r="F2827" s="183"/>
      <c r="G2827" s="183"/>
      <c r="H2827" s="183"/>
      <c r="J2827" s="907"/>
      <c r="K2827" s="907"/>
      <c r="L2827" s="907"/>
      <c r="M2827" s="907"/>
      <c r="N2827" s="183"/>
      <c r="O2827" s="183"/>
      <c r="P2827" s="183"/>
      <c r="Q2827" s="183"/>
      <c r="R2827" s="183"/>
      <c r="S2827" s="183"/>
      <c r="T2827" s="183"/>
      <c r="U2827" s="183"/>
      <c r="V2827" s="183"/>
      <c r="W2827" s="183"/>
      <c r="X2827" s="183"/>
      <c r="Y2827" s="183"/>
      <c r="Z2827" s="183"/>
      <c r="AA2827" s="183"/>
      <c r="AB2827" s="183"/>
      <c r="AC2827" s="183"/>
    </row>
    <row r="2828" spans="4:29">
      <c r="D2828" s="191"/>
      <c r="F2828" s="183"/>
      <c r="G2828" s="183"/>
      <c r="H2828" s="183"/>
      <c r="J2828" s="907"/>
      <c r="K2828" s="907"/>
      <c r="L2828" s="907"/>
      <c r="M2828" s="907"/>
      <c r="N2828" s="183"/>
      <c r="O2828" s="183"/>
      <c r="P2828" s="183"/>
      <c r="Q2828" s="183"/>
      <c r="R2828" s="183"/>
      <c r="S2828" s="183"/>
      <c r="T2828" s="183"/>
      <c r="U2828" s="183"/>
      <c r="V2828" s="183"/>
      <c r="W2828" s="183"/>
      <c r="X2828" s="183"/>
      <c r="Y2828" s="183"/>
      <c r="Z2828" s="183"/>
      <c r="AA2828" s="183"/>
      <c r="AB2828" s="183"/>
      <c r="AC2828" s="183"/>
    </row>
    <row r="2829" spans="4:29">
      <c r="D2829" s="191"/>
      <c r="F2829" s="183"/>
      <c r="G2829" s="183"/>
      <c r="H2829" s="183"/>
      <c r="J2829" s="907"/>
      <c r="K2829" s="907"/>
      <c r="L2829" s="907"/>
      <c r="M2829" s="907"/>
      <c r="N2829" s="183"/>
      <c r="O2829" s="183"/>
      <c r="P2829" s="183"/>
      <c r="Q2829" s="183"/>
      <c r="R2829" s="183"/>
      <c r="S2829" s="183"/>
      <c r="T2829" s="183"/>
      <c r="U2829" s="183"/>
      <c r="V2829" s="183"/>
      <c r="W2829" s="183"/>
      <c r="X2829" s="183"/>
      <c r="Y2829" s="183"/>
      <c r="Z2829" s="183"/>
      <c r="AA2829" s="183"/>
      <c r="AB2829" s="183"/>
      <c r="AC2829" s="183"/>
    </row>
    <row r="2830" spans="4:29">
      <c r="D2830" s="191"/>
      <c r="F2830" s="183"/>
      <c r="G2830" s="183"/>
      <c r="H2830" s="183"/>
      <c r="J2830" s="907"/>
      <c r="K2830" s="907"/>
      <c r="L2830" s="907"/>
      <c r="M2830" s="907"/>
      <c r="N2830" s="183"/>
      <c r="O2830" s="183"/>
      <c r="P2830" s="183"/>
      <c r="Q2830" s="183"/>
      <c r="R2830" s="183"/>
      <c r="S2830" s="183"/>
      <c r="T2830" s="183"/>
      <c r="U2830" s="183"/>
      <c r="V2830" s="183"/>
      <c r="W2830" s="183"/>
      <c r="X2830" s="183"/>
      <c r="Y2830" s="183"/>
      <c r="Z2830" s="183"/>
      <c r="AA2830" s="183"/>
      <c r="AB2830" s="183"/>
      <c r="AC2830" s="183"/>
    </row>
    <row r="2831" spans="4:29">
      <c r="D2831" s="191"/>
      <c r="F2831" s="183"/>
      <c r="G2831" s="183"/>
      <c r="H2831" s="183"/>
      <c r="J2831" s="907"/>
      <c r="K2831" s="907"/>
      <c r="L2831" s="907"/>
      <c r="M2831" s="907"/>
      <c r="N2831" s="183"/>
      <c r="O2831" s="183"/>
      <c r="P2831" s="183"/>
      <c r="Q2831" s="183"/>
      <c r="R2831" s="183"/>
      <c r="S2831" s="183"/>
      <c r="T2831" s="183"/>
      <c r="U2831" s="183"/>
      <c r="V2831" s="183"/>
      <c r="W2831" s="183"/>
      <c r="X2831" s="183"/>
      <c r="Y2831" s="183"/>
      <c r="Z2831" s="183"/>
      <c r="AA2831" s="183"/>
      <c r="AB2831" s="183"/>
      <c r="AC2831" s="183"/>
    </row>
    <row r="2832" spans="4:29">
      <c r="D2832" s="191"/>
      <c r="F2832" s="183"/>
      <c r="G2832" s="183"/>
      <c r="H2832" s="183"/>
      <c r="J2832" s="907"/>
      <c r="K2832" s="907"/>
      <c r="L2832" s="907"/>
      <c r="M2832" s="907"/>
      <c r="N2832" s="183"/>
      <c r="O2832" s="183"/>
      <c r="P2832" s="183"/>
      <c r="Q2832" s="183"/>
      <c r="R2832" s="183"/>
      <c r="S2832" s="183"/>
      <c r="T2832" s="183"/>
      <c r="U2832" s="183"/>
      <c r="V2832" s="183"/>
      <c r="W2832" s="183"/>
      <c r="X2832" s="183"/>
      <c r="Y2832" s="183"/>
      <c r="Z2832" s="183"/>
      <c r="AA2832" s="183"/>
      <c r="AB2832" s="183"/>
      <c r="AC2832" s="183"/>
    </row>
    <row r="2833" spans="2:29">
      <c r="D2833" s="191"/>
      <c r="F2833" s="183"/>
      <c r="G2833" s="183"/>
      <c r="H2833" s="183"/>
      <c r="J2833" s="907"/>
      <c r="K2833" s="907"/>
      <c r="L2833" s="907"/>
      <c r="M2833" s="907"/>
      <c r="N2833" s="183"/>
      <c r="O2833" s="183"/>
      <c r="P2833" s="183"/>
      <c r="Q2833" s="183"/>
      <c r="R2833" s="183"/>
      <c r="S2833" s="183"/>
      <c r="T2833" s="183"/>
      <c r="U2833" s="183"/>
      <c r="V2833" s="183"/>
      <c r="W2833" s="183"/>
      <c r="X2833" s="183"/>
      <c r="Y2833" s="183"/>
      <c r="Z2833" s="183"/>
      <c r="AA2833" s="183"/>
      <c r="AB2833" s="183"/>
      <c r="AC2833" s="183"/>
    </row>
    <row r="2834" spans="2:29">
      <c r="D2834" s="191"/>
      <c r="F2834" s="183"/>
      <c r="G2834" s="183"/>
      <c r="H2834" s="183"/>
      <c r="J2834" s="907"/>
      <c r="K2834" s="907"/>
      <c r="L2834" s="907"/>
      <c r="M2834" s="907"/>
      <c r="N2834" s="183"/>
      <c r="O2834" s="183"/>
      <c r="P2834" s="183"/>
      <c r="Q2834" s="183"/>
      <c r="R2834" s="183"/>
      <c r="S2834" s="183"/>
      <c r="T2834" s="183"/>
      <c r="U2834" s="183"/>
      <c r="V2834" s="183"/>
      <c r="W2834" s="183"/>
      <c r="X2834" s="183"/>
      <c r="Y2834" s="183"/>
      <c r="Z2834" s="183"/>
      <c r="AA2834" s="183"/>
      <c r="AB2834" s="183"/>
      <c r="AC2834" s="183"/>
    </row>
    <row r="2835" spans="2:29">
      <c r="D2835" s="191"/>
      <c r="F2835" s="183"/>
      <c r="G2835" s="183"/>
      <c r="H2835" s="183"/>
      <c r="J2835" s="907"/>
      <c r="K2835" s="907"/>
      <c r="L2835" s="907"/>
      <c r="M2835" s="907"/>
      <c r="N2835" s="183"/>
      <c r="O2835" s="183"/>
      <c r="P2835" s="183"/>
      <c r="Q2835" s="183"/>
      <c r="R2835" s="183"/>
      <c r="S2835" s="183"/>
      <c r="T2835" s="183"/>
      <c r="U2835" s="183"/>
      <c r="V2835" s="183"/>
      <c r="W2835" s="183"/>
      <c r="X2835" s="183"/>
      <c r="Y2835" s="183"/>
      <c r="Z2835" s="183"/>
      <c r="AA2835" s="183"/>
      <c r="AB2835" s="183"/>
      <c r="AC2835" s="183"/>
    </row>
    <row r="2836" spans="2:29">
      <c r="D2836" s="191"/>
      <c r="F2836" s="183"/>
      <c r="G2836" s="183"/>
      <c r="H2836" s="183"/>
      <c r="J2836" s="907"/>
      <c r="K2836" s="907"/>
      <c r="L2836" s="907"/>
      <c r="M2836" s="907"/>
      <c r="N2836" s="183"/>
      <c r="O2836" s="183"/>
      <c r="P2836" s="183"/>
      <c r="Q2836" s="183"/>
      <c r="R2836" s="183"/>
      <c r="S2836" s="183"/>
      <c r="T2836" s="183"/>
      <c r="U2836" s="183"/>
      <c r="V2836" s="183"/>
      <c r="W2836" s="183"/>
      <c r="X2836" s="183"/>
      <c r="Y2836" s="183"/>
      <c r="Z2836" s="183"/>
      <c r="AA2836" s="183"/>
      <c r="AB2836" s="183"/>
      <c r="AC2836" s="183"/>
    </row>
    <row r="2837" spans="2:29">
      <c r="D2837" s="191"/>
      <c r="F2837" s="183"/>
      <c r="G2837" s="183"/>
      <c r="H2837" s="183"/>
      <c r="J2837" s="907"/>
      <c r="K2837" s="907"/>
      <c r="L2837" s="907"/>
      <c r="M2837" s="907"/>
      <c r="N2837" s="183"/>
      <c r="O2837" s="183"/>
      <c r="P2837" s="183"/>
      <c r="Q2837" s="183"/>
      <c r="R2837" s="183"/>
      <c r="S2837" s="183"/>
      <c r="T2837" s="183"/>
      <c r="U2837" s="183"/>
      <c r="V2837" s="183"/>
      <c r="W2837" s="183"/>
      <c r="X2837" s="183"/>
      <c r="Y2837" s="183"/>
      <c r="Z2837" s="183"/>
      <c r="AA2837" s="183"/>
      <c r="AB2837" s="183"/>
      <c r="AC2837" s="183"/>
    </row>
    <row r="2838" spans="2:29">
      <c r="D2838" s="191"/>
      <c r="F2838" s="183"/>
      <c r="G2838" s="183"/>
      <c r="H2838" s="183"/>
      <c r="J2838" s="907"/>
      <c r="K2838" s="907"/>
      <c r="L2838" s="907"/>
      <c r="M2838" s="907"/>
      <c r="N2838" s="183"/>
      <c r="O2838" s="183"/>
      <c r="P2838" s="183"/>
      <c r="Q2838" s="183"/>
      <c r="R2838" s="183"/>
      <c r="S2838" s="183"/>
      <c r="T2838" s="183"/>
      <c r="U2838" s="183"/>
      <c r="V2838" s="183"/>
      <c r="W2838" s="183"/>
      <c r="X2838" s="183"/>
      <c r="Y2838" s="183"/>
      <c r="Z2838" s="183"/>
      <c r="AA2838" s="183"/>
      <c r="AB2838" s="183"/>
      <c r="AC2838" s="183"/>
    </row>
    <row r="2839" spans="2:29">
      <c r="D2839" s="191"/>
      <c r="F2839" s="183"/>
      <c r="G2839" s="183"/>
      <c r="H2839" s="183"/>
      <c r="J2839" s="907"/>
      <c r="K2839" s="907"/>
      <c r="L2839" s="907"/>
      <c r="M2839" s="907"/>
      <c r="N2839" s="183"/>
      <c r="O2839" s="183"/>
      <c r="P2839" s="183"/>
      <c r="Q2839" s="183"/>
      <c r="R2839" s="183"/>
      <c r="S2839" s="183"/>
      <c r="T2839" s="183"/>
      <c r="U2839" s="183"/>
      <c r="V2839" s="183"/>
      <c r="W2839" s="183"/>
      <c r="X2839" s="183"/>
      <c r="Y2839" s="183"/>
      <c r="Z2839" s="183"/>
      <c r="AA2839" s="183"/>
      <c r="AB2839" s="183"/>
      <c r="AC2839" s="183"/>
    </row>
    <row r="2840" spans="2:29">
      <c r="D2840" s="191"/>
      <c r="F2840" s="183"/>
      <c r="G2840" s="183"/>
      <c r="H2840" s="183"/>
      <c r="J2840" s="907"/>
      <c r="K2840" s="907"/>
      <c r="L2840" s="907"/>
      <c r="M2840" s="907"/>
      <c r="N2840" s="183"/>
      <c r="O2840" s="183"/>
      <c r="P2840" s="183"/>
      <c r="Q2840" s="183"/>
      <c r="R2840" s="183"/>
      <c r="S2840" s="183"/>
      <c r="T2840" s="183"/>
      <c r="U2840" s="183"/>
      <c r="V2840" s="183"/>
      <c r="W2840" s="183"/>
      <c r="X2840" s="183"/>
      <c r="Y2840" s="183"/>
      <c r="Z2840" s="183"/>
      <c r="AA2840" s="183"/>
      <c r="AB2840" s="183"/>
      <c r="AC2840" s="183"/>
    </row>
    <row r="2841" spans="2:29">
      <c r="B2841" s="191"/>
      <c r="D2841" s="183"/>
      <c r="G2841" s="183"/>
      <c r="H2841" s="183"/>
      <c r="J2841" s="907"/>
      <c r="K2841" s="907"/>
      <c r="L2841" s="907"/>
      <c r="M2841" s="907"/>
      <c r="N2841" s="183"/>
      <c r="O2841" s="183"/>
      <c r="P2841" s="183"/>
      <c r="Q2841" s="183"/>
      <c r="R2841" s="183"/>
      <c r="S2841" s="183"/>
      <c r="T2841" s="183"/>
      <c r="U2841" s="183"/>
      <c r="V2841" s="183"/>
      <c r="W2841" s="183"/>
      <c r="X2841" s="183"/>
      <c r="Y2841" s="183"/>
      <c r="Z2841" s="183"/>
      <c r="AA2841" s="183"/>
      <c r="AB2841" s="183"/>
      <c r="AC2841" s="183"/>
    </row>
    <row r="2842" spans="2:29">
      <c r="B2842" s="191"/>
      <c r="D2842" s="183"/>
      <c r="G2842" s="183"/>
      <c r="H2842" s="183"/>
      <c r="J2842" s="907"/>
      <c r="K2842" s="907"/>
      <c r="L2842" s="907"/>
      <c r="M2842" s="907"/>
      <c r="N2842" s="183"/>
      <c r="O2842" s="183"/>
      <c r="P2842" s="183"/>
      <c r="Q2842" s="183"/>
      <c r="R2842" s="183"/>
      <c r="S2842" s="183"/>
      <c r="T2842" s="183"/>
      <c r="U2842" s="183"/>
      <c r="V2842" s="183"/>
      <c r="W2842" s="183"/>
      <c r="X2842" s="183"/>
      <c r="Y2842" s="183"/>
      <c r="Z2842" s="183"/>
      <c r="AA2842" s="183"/>
      <c r="AB2842" s="183"/>
      <c r="AC2842" s="183"/>
    </row>
    <row r="2843" spans="2:29">
      <c r="B2843" s="191"/>
      <c r="D2843" s="183"/>
      <c r="G2843" s="183"/>
      <c r="H2843" s="183"/>
      <c r="J2843" s="907"/>
      <c r="K2843" s="907"/>
      <c r="L2843" s="907"/>
      <c r="M2843" s="907"/>
      <c r="N2843" s="183"/>
      <c r="O2843" s="183"/>
      <c r="P2843" s="183"/>
      <c r="Q2843" s="183"/>
      <c r="R2843" s="183"/>
      <c r="S2843" s="183"/>
      <c r="T2843" s="183"/>
      <c r="U2843" s="183"/>
      <c r="V2843" s="183"/>
      <c r="W2843" s="183"/>
      <c r="X2843" s="183"/>
      <c r="Y2843" s="183"/>
      <c r="Z2843" s="183"/>
      <c r="AA2843" s="183"/>
      <c r="AB2843" s="183"/>
      <c r="AC2843" s="183"/>
    </row>
    <row r="2844" spans="2:29">
      <c r="B2844" s="191"/>
      <c r="D2844" s="183"/>
      <c r="G2844" s="183"/>
      <c r="H2844" s="183"/>
      <c r="J2844" s="907"/>
      <c r="K2844" s="907"/>
      <c r="L2844" s="907"/>
      <c r="M2844" s="907"/>
      <c r="N2844" s="183"/>
      <c r="O2844" s="183"/>
      <c r="P2844" s="183"/>
      <c r="Q2844" s="183"/>
      <c r="R2844" s="183"/>
      <c r="S2844" s="183"/>
      <c r="T2844" s="183"/>
      <c r="U2844" s="183"/>
      <c r="V2844" s="183"/>
      <c r="W2844" s="183"/>
      <c r="X2844" s="183"/>
      <c r="Y2844" s="183"/>
      <c r="Z2844" s="183"/>
      <c r="AA2844" s="183"/>
      <c r="AB2844" s="183"/>
      <c r="AC2844" s="183"/>
    </row>
    <row r="2845" spans="2:29">
      <c r="B2845" s="191"/>
      <c r="D2845" s="183"/>
      <c r="G2845" s="183"/>
      <c r="H2845" s="183"/>
      <c r="J2845" s="907"/>
      <c r="K2845" s="907"/>
      <c r="L2845" s="907"/>
      <c r="M2845" s="907"/>
      <c r="N2845" s="183"/>
      <c r="O2845" s="183"/>
      <c r="P2845" s="183"/>
      <c r="Q2845" s="183"/>
      <c r="R2845" s="183"/>
      <c r="S2845" s="183"/>
      <c r="T2845" s="183"/>
      <c r="U2845" s="183"/>
      <c r="V2845" s="183"/>
      <c r="W2845" s="183"/>
      <c r="X2845" s="183"/>
      <c r="Y2845" s="183"/>
      <c r="Z2845" s="183"/>
      <c r="AA2845" s="183"/>
      <c r="AB2845" s="183"/>
      <c r="AC2845" s="183"/>
    </row>
    <row r="2846" spans="2:29">
      <c r="B2846" s="191"/>
      <c r="D2846" s="183"/>
      <c r="G2846" s="183"/>
      <c r="H2846" s="183"/>
      <c r="J2846" s="907"/>
      <c r="K2846" s="907"/>
      <c r="L2846" s="907"/>
      <c r="M2846" s="907"/>
      <c r="N2846" s="183"/>
      <c r="O2846" s="183"/>
      <c r="P2846" s="183"/>
      <c r="Q2846" s="183"/>
      <c r="R2846" s="183"/>
      <c r="S2846" s="183"/>
      <c r="T2846" s="183"/>
      <c r="U2846" s="183"/>
      <c r="V2846" s="183"/>
      <c r="W2846" s="183"/>
      <c r="X2846" s="183"/>
      <c r="Y2846" s="183"/>
      <c r="Z2846" s="183"/>
      <c r="AA2846" s="183"/>
      <c r="AB2846" s="183"/>
      <c r="AC2846" s="183"/>
    </row>
    <row r="2847" spans="2:29">
      <c r="B2847" s="191"/>
      <c r="D2847" s="183"/>
      <c r="G2847" s="183"/>
      <c r="H2847" s="183"/>
      <c r="J2847" s="907"/>
      <c r="K2847" s="907"/>
      <c r="L2847" s="907"/>
      <c r="M2847" s="907"/>
      <c r="N2847" s="183"/>
      <c r="O2847" s="183"/>
      <c r="P2847" s="183"/>
      <c r="Q2847" s="183"/>
      <c r="R2847" s="183"/>
      <c r="S2847" s="183"/>
      <c r="T2847" s="183"/>
      <c r="U2847" s="183"/>
      <c r="V2847" s="183"/>
      <c r="W2847" s="183"/>
      <c r="X2847" s="183"/>
      <c r="Y2847" s="183"/>
      <c r="Z2847" s="183"/>
      <c r="AA2847" s="183"/>
      <c r="AB2847" s="183"/>
      <c r="AC2847" s="183"/>
    </row>
    <row r="2848" spans="2:29">
      <c r="B2848" s="191"/>
      <c r="D2848" s="183"/>
      <c r="G2848" s="183"/>
      <c r="H2848" s="183"/>
      <c r="J2848" s="907"/>
      <c r="K2848" s="907"/>
      <c r="L2848" s="907"/>
      <c r="M2848" s="907"/>
      <c r="N2848" s="183"/>
      <c r="O2848" s="183"/>
      <c r="P2848" s="183"/>
      <c r="Q2848" s="183"/>
      <c r="R2848" s="183"/>
      <c r="S2848" s="183"/>
      <c r="T2848" s="183"/>
      <c r="U2848" s="183"/>
      <c r="V2848" s="183"/>
      <c r="W2848" s="183"/>
      <c r="X2848" s="183"/>
      <c r="Y2848" s="183"/>
      <c r="Z2848" s="183"/>
      <c r="AA2848" s="183"/>
      <c r="AB2848" s="183"/>
      <c r="AC2848" s="183"/>
    </row>
    <row r="2849" spans="2:29">
      <c r="B2849" s="191"/>
      <c r="D2849" s="183"/>
      <c r="G2849" s="183"/>
      <c r="H2849" s="183"/>
      <c r="J2849" s="907"/>
      <c r="K2849" s="907"/>
      <c r="L2849" s="907"/>
      <c r="M2849" s="907"/>
      <c r="N2849" s="183"/>
      <c r="O2849" s="183"/>
      <c r="P2849" s="183"/>
      <c r="Q2849" s="183"/>
      <c r="R2849" s="183"/>
      <c r="S2849" s="183"/>
      <c r="T2849" s="183"/>
      <c r="U2849" s="183"/>
      <c r="V2849" s="183"/>
      <c r="W2849" s="183"/>
      <c r="X2849" s="183"/>
      <c r="Y2849" s="183"/>
      <c r="Z2849" s="183"/>
      <c r="AA2849" s="183"/>
      <c r="AB2849" s="183"/>
      <c r="AC2849" s="183"/>
    </row>
    <row r="2850" spans="2:29">
      <c r="B2850" s="191"/>
      <c r="D2850" s="183"/>
      <c r="G2850" s="183"/>
      <c r="H2850" s="183"/>
      <c r="J2850" s="907"/>
      <c r="K2850" s="907"/>
      <c r="L2850" s="907"/>
      <c r="M2850" s="907"/>
      <c r="N2850" s="183"/>
      <c r="O2850" s="183"/>
      <c r="P2850" s="183"/>
      <c r="Q2850" s="183"/>
      <c r="R2850" s="183"/>
      <c r="S2850" s="183"/>
      <c r="T2850" s="183"/>
      <c r="U2850" s="183"/>
      <c r="V2850" s="183"/>
      <c r="W2850" s="183"/>
      <c r="X2850" s="183"/>
      <c r="Y2850" s="183"/>
      <c r="Z2850" s="183"/>
      <c r="AA2850" s="183"/>
      <c r="AB2850" s="183"/>
      <c r="AC2850" s="183"/>
    </row>
    <row r="2851" spans="2:29">
      <c r="B2851" s="191"/>
      <c r="D2851" s="183"/>
      <c r="G2851" s="183"/>
      <c r="H2851" s="183"/>
      <c r="J2851" s="907"/>
      <c r="K2851" s="907"/>
      <c r="L2851" s="907"/>
      <c r="M2851" s="907"/>
      <c r="N2851" s="183"/>
      <c r="O2851" s="183"/>
      <c r="P2851" s="183"/>
      <c r="Q2851" s="183"/>
      <c r="R2851" s="183"/>
      <c r="S2851" s="183"/>
      <c r="T2851" s="183"/>
      <c r="U2851" s="183"/>
      <c r="V2851" s="183"/>
      <c r="W2851" s="183"/>
      <c r="X2851" s="183"/>
      <c r="Y2851" s="183"/>
      <c r="Z2851" s="183"/>
      <c r="AA2851" s="183"/>
      <c r="AB2851" s="183"/>
      <c r="AC2851" s="183"/>
    </row>
    <row r="2852" spans="2:29">
      <c r="B2852" s="191"/>
      <c r="D2852" s="183"/>
      <c r="G2852" s="183"/>
      <c r="H2852" s="183"/>
      <c r="J2852" s="907"/>
      <c r="K2852" s="907"/>
      <c r="L2852" s="907"/>
      <c r="M2852" s="907"/>
      <c r="N2852" s="183"/>
      <c r="O2852" s="183"/>
      <c r="P2852" s="183"/>
      <c r="Q2852" s="183"/>
      <c r="R2852" s="183"/>
      <c r="S2852" s="183"/>
      <c r="T2852" s="183"/>
      <c r="U2852" s="183"/>
      <c r="V2852" s="183"/>
      <c r="W2852" s="183"/>
      <c r="X2852" s="183"/>
      <c r="Y2852" s="183"/>
      <c r="Z2852" s="183"/>
      <c r="AA2852" s="183"/>
      <c r="AB2852" s="183"/>
      <c r="AC2852" s="183"/>
    </row>
    <row r="2853" spans="2:29">
      <c r="B2853" s="191"/>
      <c r="D2853" s="183"/>
      <c r="G2853" s="183"/>
      <c r="H2853" s="183"/>
      <c r="J2853" s="907"/>
      <c r="K2853" s="907"/>
      <c r="L2853" s="907"/>
      <c r="M2853" s="907"/>
      <c r="N2853" s="183"/>
      <c r="O2853" s="183"/>
      <c r="P2853" s="183"/>
      <c r="Q2853" s="183"/>
      <c r="R2853" s="183"/>
      <c r="S2853" s="183"/>
      <c r="T2853" s="183"/>
      <c r="U2853" s="183"/>
      <c r="V2853" s="183"/>
      <c r="W2853" s="183"/>
      <c r="X2853" s="183"/>
      <c r="Y2853" s="183"/>
      <c r="Z2853" s="183"/>
      <c r="AA2853" s="183"/>
      <c r="AB2853" s="183"/>
      <c r="AC2853" s="183"/>
    </row>
    <row r="2854" spans="2:29">
      <c r="B2854" s="191"/>
      <c r="D2854" s="183"/>
      <c r="G2854" s="183"/>
      <c r="H2854" s="183"/>
      <c r="J2854" s="907"/>
      <c r="K2854" s="907"/>
      <c r="L2854" s="907"/>
      <c r="M2854" s="907"/>
      <c r="N2854" s="183"/>
      <c r="O2854" s="183"/>
      <c r="P2854" s="183"/>
      <c r="Q2854" s="183"/>
      <c r="R2854" s="183"/>
      <c r="S2854" s="183"/>
      <c r="T2854" s="183"/>
      <c r="U2854" s="183"/>
      <c r="V2854" s="183"/>
      <c r="W2854" s="183"/>
      <c r="X2854" s="183"/>
      <c r="Y2854" s="183"/>
      <c r="Z2854" s="183"/>
      <c r="AA2854" s="183"/>
      <c r="AB2854" s="183"/>
      <c r="AC2854" s="183"/>
    </row>
    <row r="2855" spans="2:29">
      <c r="B2855" s="191"/>
      <c r="D2855" s="183"/>
      <c r="G2855" s="183"/>
      <c r="H2855" s="183"/>
      <c r="J2855" s="907"/>
      <c r="K2855" s="907"/>
      <c r="L2855" s="907"/>
      <c r="M2855" s="907"/>
      <c r="N2855" s="183"/>
      <c r="O2855" s="183"/>
      <c r="P2855" s="183"/>
      <c r="Q2855" s="183"/>
      <c r="R2855" s="183"/>
      <c r="S2855" s="183"/>
      <c r="T2855" s="183"/>
      <c r="U2855" s="183"/>
      <c r="V2855" s="183"/>
      <c r="W2855" s="183"/>
      <c r="X2855" s="183"/>
      <c r="Y2855" s="183"/>
      <c r="Z2855" s="183"/>
      <c r="AA2855" s="183"/>
      <c r="AB2855" s="183"/>
      <c r="AC2855" s="183"/>
    </row>
    <row r="2856" spans="2:29">
      <c r="B2856" s="191"/>
      <c r="D2856" s="183"/>
      <c r="G2856" s="183"/>
      <c r="H2856" s="183"/>
      <c r="J2856" s="907"/>
      <c r="K2856" s="907"/>
      <c r="L2856" s="907"/>
      <c r="M2856" s="907"/>
      <c r="N2856" s="183"/>
      <c r="O2856" s="183"/>
      <c r="P2856" s="183"/>
      <c r="Q2856" s="183"/>
      <c r="R2856" s="183"/>
      <c r="S2856" s="183"/>
      <c r="T2856" s="183"/>
      <c r="U2856" s="183"/>
      <c r="V2856" s="183"/>
      <c r="W2856" s="183"/>
      <c r="X2856" s="183"/>
      <c r="Y2856" s="183"/>
      <c r="Z2856" s="183"/>
      <c r="AA2856" s="183"/>
      <c r="AB2856" s="183"/>
      <c r="AC2856" s="183"/>
    </row>
    <row r="2857" spans="2:29">
      <c r="B2857" s="191"/>
      <c r="D2857" s="183"/>
      <c r="G2857" s="183"/>
      <c r="H2857" s="183"/>
      <c r="J2857" s="907"/>
      <c r="K2857" s="907"/>
      <c r="L2857" s="907"/>
      <c r="M2857" s="907"/>
      <c r="N2857" s="183"/>
      <c r="O2857" s="183"/>
      <c r="P2857" s="183"/>
      <c r="Q2857" s="183"/>
      <c r="R2857" s="183"/>
      <c r="S2857" s="183"/>
      <c r="T2857" s="183"/>
      <c r="U2857" s="183"/>
      <c r="V2857" s="183"/>
      <c r="W2857" s="183"/>
      <c r="X2857" s="183"/>
      <c r="Y2857" s="183"/>
      <c r="Z2857" s="183"/>
      <c r="AA2857" s="183"/>
      <c r="AB2857" s="183"/>
      <c r="AC2857" s="183"/>
    </row>
    <row r="2858" spans="2:29">
      <c r="B2858" s="191"/>
      <c r="D2858" s="183"/>
      <c r="G2858" s="183"/>
      <c r="H2858" s="183"/>
      <c r="J2858" s="907"/>
      <c r="K2858" s="907"/>
      <c r="L2858" s="907"/>
      <c r="M2858" s="907"/>
      <c r="N2858" s="183"/>
      <c r="O2858" s="183"/>
      <c r="P2858" s="183"/>
      <c r="Q2858" s="183"/>
      <c r="R2858" s="183"/>
      <c r="S2858" s="183"/>
      <c r="T2858" s="183"/>
      <c r="U2858" s="183"/>
      <c r="V2858" s="183"/>
      <c r="W2858" s="183"/>
      <c r="X2858" s="183"/>
      <c r="Y2858" s="183"/>
      <c r="Z2858" s="183"/>
      <c r="AA2858" s="183"/>
      <c r="AB2858" s="183"/>
      <c r="AC2858" s="183"/>
    </row>
    <row r="2859" spans="2:29">
      <c r="B2859" s="191"/>
      <c r="D2859" s="183"/>
      <c r="G2859" s="183"/>
      <c r="H2859" s="183"/>
      <c r="J2859" s="907"/>
      <c r="K2859" s="907"/>
      <c r="L2859" s="907"/>
      <c r="M2859" s="907"/>
      <c r="N2859" s="183"/>
      <c r="O2859" s="183"/>
      <c r="P2859" s="183"/>
      <c r="Q2859" s="183"/>
      <c r="R2859" s="183"/>
      <c r="S2859" s="183"/>
      <c r="T2859" s="183"/>
      <c r="U2859" s="183"/>
      <c r="V2859" s="183"/>
      <c r="W2859" s="183"/>
      <c r="X2859" s="183"/>
      <c r="Y2859" s="183"/>
      <c r="Z2859" s="183"/>
      <c r="AA2859" s="183"/>
      <c r="AB2859" s="183"/>
      <c r="AC2859" s="183"/>
    </row>
    <row r="2860" spans="2:29">
      <c r="B2860" s="191"/>
      <c r="D2860" s="183"/>
      <c r="G2860" s="183"/>
      <c r="H2860" s="183"/>
      <c r="J2860" s="907"/>
      <c r="K2860" s="907"/>
      <c r="L2860" s="907"/>
      <c r="M2860" s="907"/>
      <c r="N2860" s="183"/>
      <c r="O2860" s="183"/>
      <c r="P2860" s="183"/>
      <c r="Q2860" s="183"/>
      <c r="R2860" s="183"/>
      <c r="S2860" s="183"/>
      <c r="T2860" s="183"/>
      <c r="U2860" s="183"/>
      <c r="V2860" s="183"/>
      <c r="W2860" s="183"/>
      <c r="X2860" s="183"/>
      <c r="Y2860" s="183"/>
      <c r="Z2860" s="183"/>
      <c r="AA2860" s="183"/>
      <c r="AB2860" s="183"/>
      <c r="AC2860" s="183"/>
    </row>
    <row r="2861" spans="2:29">
      <c r="B2861" s="191"/>
      <c r="D2861" s="183"/>
      <c r="G2861" s="183"/>
      <c r="H2861" s="183"/>
      <c r="J2861" s="907"/>
      <c r="K2861" s="907"/>
      <c r="L2861" s="907"/>
      <c r="M2861" s="907"/>
      <c r="N2861" s="183"/>
      <c r="O2861" s="183"/>
      <c r="P2861" s="183"/>
      <c r="Q2861" s="183"/>
      <c r="R2861" s="183"/>
      <c r="S2861" s="183"/>
      <c r="T2861" s="183"/>
      <c r="U2861" s="183"/>
      <c r="V2861" s="183"/>
      <c r="W2861" s="183"/>
      <c r="X2861" s="183"/>
      <c r="Y2861" s="183"/>
      <c r="Z2861" s="183"/>
      <c r="AA2861" s="183"/>
      <c r="AB2861" s="183"/>
      <c r="AC2861" s="183"/>
    </row>
    <row r="2862" spans="2:29">
      <c r="B2862" s="191"/>
      <c r="D2862" s="183"/>
      <c r="G2862" s="183"/>
      <c r="H2862" s="183"/>
      <c r="J2862" s="907"/>
      <c r="K2862" s="907"/>
      <c r="L2862" s="907"/>
      <c r="M2862" s="907"/>
      <c r="N2862" s="183"/>
      <c r="O2862" s="183"/>
      <c r="P2862" s="183"/>
      <c r="Q2862" s="183"/>
      <c r="R2862" s="183"/>
      <c r="S2862" s="183"/>
      <c r="T2862" s="183"/>
      <c r="U2862" s="183"/>
      <c r="V2862" s="183"/>
      <c r="W2862" s="183"/>
      <c r="X2862" s="183"/>
      <c r="Y2862" s="183"/>
      <c r="Z2862" s="183"/>
      <c r="AA2862" s="183"/>
      <c r="AB2862" s="183"/>
      <c r="AC2862" s="183"/>
    </row>
    <row r="2863" spans="2:29">
      <c r="B2863" s="191"/>
      <c r="D2863" s="183"/>
      <c r="G2863" s="183"/>
      <c r="H2863" s="183"/>
      <c r="J2863" s="907"/>
      <c r="K2863" s="907"/>
      <c r="L2863" s="907"/>
      <c r="M2863" s="907"/>
      <c r="N2863" s="183"/>
      <c r="O2863" s="183"/>
      <c r="P2863" s="183"/>
      <c r="Q2863" s="183"/>
      <c r="R2863" s="183"/>
      <c r="S2863" s="183"/>
      <c r="T2863" s="183"/>
      <c r="U2863" s="183"/>
      <c r="V2863" s="183"/>
      <c r="W2863" s="183"/>
      <c r="X2863" s="183"/>
      <c r="Y2863" s="183"/>
      <c r="Z2863" s="183"/>
      <c r="AA2863" s="183"/>
      <c r="AB2863" s="183"/>
      <c r="AC2863" s="183"/>
    </row>
    <row r="2864" spans="2:29">
      <c r="B2864" s="191"/>
      <c r="D2864" s="183"/>
      <c r="G2864" s="183"/>
      <c r="H2864" s="183"/>
      <c r="J2864" s="907"/>
      <c r="K2864" s="907"/>
      <c r="L2864" s="907"/>
      <c r="M2864" s="907"/>
      <c r="N2864" s="183"/>
      <c r="O2864" s="183"/>
      <c r="P2864" s="183"/>
      <c r="Q2864" s="183"/>
      <c r="R2864" s="183"/>
      <c r="S2864" s="183"/>
      <c r="T2864" s="183"/>
      <c r="U2864" s="183"/>
      <c r="V2864" s="183"/>
      <c r="W2864" s="183"/>
      <c r="X2864" s="183"/>
      <c r="Y2864" s="183"/>
      <c r="Z2864" s="183"/>
      <c r="AA2864" s="183"/>
      <c r="AB2864" s="183"/>
      <c r="AC2864" s="183"/>
    </row>
    <row r="2865" spans="2:29">
      <c r="B2865" s="191"/>
      <c r="D2865" s="183"/>
      <c r="G2865" s="183"/>
      <c r="H2865" s="183"/>
      <c r="J2865" s="907"/>
      <c r="K2865" s="907"/>
      <c r="L2865" s="907"/>
      <c r="M2865" s="907"/>
      <c r="N2865" s="183"/>
      <c r="O2865" s="183"/>
      <c r="P2865" s="183"/>
      <c r="Q2865" s="183"/>
      <c r="R2865" s="183"/>
      <c r="S2865" s="183"/>
      <c r="T2865" s="183"/>
      <c r="U2865" s="183"/>
      <c r="V2865" s="183"/>
      <c r="W2865" s="183"/>
      <c r="X2865" s="183"/>
      <c r="Y2865" s="183"/>
      <c r="Z2865" s="183"/>
      <c r="AA2865" s="183"/>
      <c r="AB2865" s="183"/>
      <c r="AC2865" s="183"/>
    </row>
    <row r="2866" spans="2:29">
      <c r="B2866" s="191"/>
      <c r="D2866" s="183"/>
      <c r="G2866" s="183"/>
      <c r="H2866" s="183"/>
      <c r="J2866" s="907"/>
      <c r="K2866" s="907"/>
      <c r="L2866" s="907"/>
      <c r="M2866" s="907"/>
      <c r="N2866" s="183"/>
      <c r="O2866" s="183"/>
      <c r="P2866" s="183"/>
      <c r="Q2866" s="183"/>
      <c r="R2866" s="183"/>
      <c r="S2866" s="183"/>
      <c r="T2866" s="183"/>
      <c r="U2866" s="183"/>
      <c r="V2866" s="183"/>
      <c r="W2866" s="183"/>
      <c r="X2866" s="183"/>
      <c r="Y2866" s="183"/>
      <c r="Z2866" s="183"/>
      <c r="AA2866" s="183"/>
      <c r="AB2866" s="183"/>
      <c r="AC2866" s="183"/>
    </row>
    <row r="2867" spans="2:29">
      <c r="B2867" s="191"/>
      <c r="D2867" s="183"/>
      <c r="G2867" s="183"/>
      <c r="H2867" s="183"/>
      <c r="J2867" s="907"/>
      <c r="K2867" s="907"/>
      <c r="L2867" s="907"/>
      <c r="M2867" s="907"/>
      <c r="N2867" s="183"/>
      <c r="O2867" s="183"/>
      <c r="P2867" s="183"/>
      <c r="Q2867" s="183"/>
      <c r="R2867" s="183"/>
      <c r="S2867" s="183"/>
      <c r="T2867" s="183"/>
      <c r="U2867" s="183"/>
      <c r="V2867" s="183"/>
      <c r="W2867" s="183"/>
      <c r="X2867" s="183"/>
      <c r="Y2867" s="183"/>
      <c r="Z2867" s="183"/>
      <c r="AA2867" s="183"/>
      <c r="AB2867" s="183"/>
      <c r="AC2867" s="183"/>
    </row>
    <row r="2868" spans="2:29">
      <c r="B2868" s="191"/>
      <c r="D2868" s="183"/>
      <c r="G2868" s="183"/>
      <c r="H2868" s="183"/>
      <c r="J2868" s="907"/>
      <c r="K2868" s="907"/>
      <c r="L2868" s="907"/>
      <c r="M2868" s="907"/>
      <c r="N2868" s="183"/>
      <c r="O2868" s="183"/>
      <c r="P2868" s="183"/>
      <c r="Q2868" s="183"/>
      <c r="R2868" s="183"/>
      <c r="S2868" s="183"/>
      <c r="T2868" s="183"/>
      <c r="U2868" s="183"/>
      <c r="V2868" s="183"/>
      <c r="W2868" s="183"/>
      <c r="X2868" s="183"/>
      <c r="Y2868" s="183"/>
      <c r="Z2868" s="183"/>
      <c r="AA2868" s="183"/>
      <c r="AB2868" s="183"/>
      <c r="AC2868" s="183"/>
    </row>
    <row r="2869" spans="2:29">
      <c r="B2869" s="191"/>
      <c r="D2869" s="183"/>
      <c r="G2869" s="183"/>
      <c r="H2869" s="183"/>
      <c r="J2869" s="907"/>
      <c r="K2869" s="907"/>
      <c r="L2869" s="907"/>
      <c r="M2869" s="907"/>
      <c r="N2869" s="183"/>
      <c r="O2869" s="183"/>
      <c r="P2869" s="183"/>
      <c r="Q2869" s="183"/>
      <c r="R2869" s="183"/>
      <c r="S2869" s="183"/>
      <c r="T2869" s="183"/>
      <c r="U2869" s="183"/>
      <c r="V2869" s="183"/>
      <c r="W2869" s="183"/>
      <c r="X2869" s="183"/>
      <c r="Y2869" s="183"/>
      <c r="Z2869" s="183"/>
      <c r="AA2869" s="183"/>
      <c r="AB2869" s="183"/>
      <c r="AC2869" s="183"/>
    </row>
    <row r="2870" spans="2:29">
      <c r="B2870" s="191"/>
      <c r="D2870" s="183"/>
      <c r="G2870" s="183"/>
      <c r="H2870" s="183"/>
      <c r="J2870" s="907"/>
      <c r="K2870" s="907"/>
      <c r="L2870" s="907"/>
      <c r="M2870" s="907"/>
      <c r="N2870" s="183"/>
      <c r="O2870" s="183"/>
      <c r="P2870" s="183"/>
      <c r="Q2870" s="183"/>
      <c r="R2870" s="183"/>
      <c r="S2870" s="183"/>
      <c r="T2870" s="183"/>
      <c r="U2870" s="183"/>
      <c r="V2870" s="183"/>
      <c r="W2870" s="183"/>
      <c r="X2870" s="183"/>
      <c r="Y2870" s="183"/>
      <c r="Z2870" s="183"/>
      <c r="AA2870" s="183"/>
      <c r="AB2870" s="183"/>
      <c r="AC2870" s="183"/>
    </row>
    <row r="2871" spans="2:29">
      <c r="B2871" s="191"/>
      <c r="D2871" s="183"/>
      <c r="G2871" s="183"/>
      <c r="H2871" s="183"/>
      <c r="J2871" s="907"/>
      <c r="K2871" s="907"/>
      <c r="L2871" s="907"/>
      <c r="M2871" s="907"/>
      <c r="N2871" s="183"/>
      <c r="O2871" s="183"/>
      <c r="P2871" s="183"/>
      <c r="Q2871" s="183"/>
      <c r="R2871" s="183"/>
      <c r="S2871" s="183"/>
      <c r="T2871" s="183"/>
      <c r="U2871" s="183"/>
      <c r="V2871" s="183"/>
      <c r="W2871" s="183"/>
      <c r="X2871" s="183"/>
      <c r="Y2871" s="183"/>
      <c r="Z2871" s="183"/>
      <c r="AA2871" s="183"/>
      <c r="AB2871" s="183"/>
      <c r="AC2871" s="183"/>
    </row>
    <row r="2872" spans="2:29">
      <c r="B2872" s="191"/>
      <c r="D2872" s="183"/>
      <c r="G2872" s="183"/>
      <c r="H2872" s="183"/>
      <c r="J2872" s="907"/>
      <c r="K2872" s="907"/>
      <c r="L2872" s="907"/>
      <c r="M2872" s="907"/>
      <c r="N2872" s="183"/>
      <c r="O2872" s="183"/>
      <c r="P2872" s="183"/>
      <c r="Q2872" s="183"/>
      <c r="R2872" s="183"/>
      <c r="S2872" s="183"/>
      <c r="T2872" s="183"/>
      <c r="U2872" s="183"/>
      <c r="V2872" s="183"/>
      <c r="W2872" s="183"/>
      <c r="X2872" s="183"/>
      <c r="Y2872" s="183"/>
      <c r="Z2872" s="183"/>
      <c r="AA2872" s="183"/>
      <c r="AB2872" s="183"/>
      <c r="AC2872" s="183"/>
    </row>
    <row r="2873" spans="2:29">
      <c r="B2873" s="191"/>
      <c r="D2873" s="183"/>
      <c r="G2873" s="183"/>
      <c r="H2873" s="183"/>
      <c r="J2873" s="907"/>
      <c r="K2873" s="907"/>
      <c r="L2873" s="907"/>
      <c r="M2873" s="907"/>
      <c r="N2873" s="183"/>
      <c r="O2873" s="183"/>
      <c r="P2873" s="183"/>
      <c r="Q2873" s="183"/>
      <c r="R2873" s="183"/>
      <c r="S2873" s="183"/>
      <c r="T2873" s="183"/>
      <c r="U2873" s="183"/>
      <c r="V2873" s="183"/>
      <c r="W2873" s="183"/>
      <c r="X2873" s="183"/>
      <c r="Y2873" s="183"/>
      <c r="Z2873" s="183"/>
      <c r="AA2873" s="183"/>
      <c r="AB2873" s="183"/>
      <c r="AC2873" s="183"/>
    </row>
    <row r="2874" spans="2:29">
      <c r="B2874" s="191"/>
      <c r="D2874" s="183"/>
      <c r="G2874" s="183"/>
      <c r="H2874" s="183"/>
      <c r="J2874" s="907"/>
      <c r="K2874" s="907"/>
      <c r="L2874" s="907"/>
      <c r="M2874" s="907"/>
      <c r="N2874" s="183"/>
      <c r="O2874" s="183"/>
      <c r="P2874" s="183"/>
      <c r="Q2874" s="183"/>
      <c r="R2874" s="183"/>
      <c r="S2874" s="183"/>
      <c r="T2874" s="183"/>
      <c r="U2874" s="183"/>
      <c r="V2874" s="183"/>
      <c r="W2874" s="183"/>
      <c r="X2874" s="183"/>
      <c r="Y2874" s="183"/>
      <c r="Z2874" s="183"/>
      <c r="AA2874" s="183"/>
      <c r="AB2874" s="183"/>
      <c r="AC2874" s="183"/>
    </row>
    <row r="2875" spans="2:29">
      <c r="B2875" s="191"/>
      <c r="D2875" s="183"/>
      <c r="G2875" s="183"/>
      <c r="H2875" s="183"/>
      <c r="J2875" s="907"/>
      <c r="K2875" s="907"/>
      <c r="L2875" s="907"/>
      <c r="M2875" s="907"/>
      <c r="N2875" s="183"/>
      <c r="O2875" s="183"/>
      <c r="P2875" s="183"/>
      <c r="Q2875" s="183"/>
      <c r="R2875" s="183"/>
      <c r="S2875" s="183"/>
      <c r="T2875" s="183"/>
      <c r="U2875" s="183"/>
      <c r="V2875" s="183"/>
      <c r="W2875" s="183"/>
      <c r="X2875" s="183"/>
      <c r="Y2875" s="183"/>
      <c r="Z2875" s="183"/>
      <c r="AA2875" s="183"/>
      <c r="AB2875" s="183"/>
      <c r="AC2875" s="183"/>
    </row>
    <row r="2876" spans="2:29">
      <c r="B2876" s="191"/>
      <c r="D2876" s="183"/>
      <c r="G2876" s="183"/>
      <c r="H2876" s="183"/>
      <c r="J2876" s="907"/>
      <c r="K2876" s="907"/>
      <c r="L2876" s="907"/>
      <c r="M2876" s="907"/>
      <c r="N2876" s="183"/>
      <c r="O2876" s="183"/>
      <c r="P2876" s="183"/>
      <c r="Q2876" s="183"/>
      <c r="R2876" s="183"/>
      <c r="S2876" s="183"/>
      <c r="T2876" s="183"/>
      <c r="U2876" s="183"/>
      <c r="V2876" s="183"/>
      <c r="W2876" s="183"/>
      <c r="X2876" s="183"/>
      <c r="Y2876" s="183"/>
      <c r="Z2876" s="183"/>
      <c r="AA2876" s="183"/>
      <c r="AB2876" s="183"/>
      <c r="AC2876" s="183"/>
    </row>
    <row r="2877" spans="2:29">
      <c r="B2877" s="191"/>
      <c r="D2877" s="183"/>
      <c r="G2877" s="183"/>
      <c r="H2877" s="183"/>
      <c r="J2877" s="907"/>
      <c r="K2877" s="907"/>
      <c r="L2877" s="907"/>
      <c r="M2877" s="907"/>
      <c r="N2877" s="183"/>
      <c r="O2877" s="183"/>
      <c r="P2877" s="183"/>
      <c r="Q2877" s="183"/>
      <c r="R2877" s="183"/>
      <c r="S2877" s="183"/>
      <c r="T2877" s="183"/>
      <c r="U2877" s="183"/>
      <c r="V2877" s="183"/>
      <c r="W2877" s="183"/>
      <c r="X2877" s="183"/>
      <c r="Y2877" s="183"/>
      <c r="Z2877" s="183"/>
      <c r="AA2877" s="183"/>
      <c r="AB2877" s="183"/>
      <c r="AC2877" s="183"/>
    </row>
    <row r="2878" spans="2:29">
      <c r="B2878" s="191"/>
      <c r="D2878" s="183"/>
      <c r="G2878" s="183"/>
      <c r="H2878" s="183"/>
      <c r="J2878" s="907"/>
      <c r="K2878" s="907"/>
      <c r="L2878" s="907"/>
      <c r="M2878" s="907"/>
      <c r="N2878" s="183"/>
      <c r="O2878" s="183"/>
      <c r="P2878" s="183"/>
      <c r="Q2878" s="183"/>
      <c r="R2878" s="183"/>
      <c r="S2878" s="183"/>
      <c r="T2878" s="183"/>
      <c r="U2878" s="183"/>
      <c r="V2878" s="183"/>
      <c r="W2878" s="183"/>
      <c r="X2878" s="183"/>
      <c r="Y2878" s="183"/>
      <c r="Z2878" s="183"/>
      <c r="AA2878" s="183"/>
      <c r="AB2878" s="183"/>
      <c r="AC2878" s="183"/>
    </row>
    <row r="2879" spans="2:29">
      <c r="B2879" s="191"/>
      <c r="D2879" s="183"/>
      <c r="G2879" s="183"/>
      <c r="H2879" s="183"/>
      <c r="J2879" s="907"/>
      <c r="K2879" s="907"/>
      <c r="L2879" s="907"/>
      <c r="M2879" s="907"/>
      <c r="N2879" s="183"/>
      <c r="O2879" s="183"/>
      <c r="P2879" s="183"/>
      <c r="Q2879" s="183"/>
      <c r="R2879" s="183"/>
      <c r="S2879" s="183"/>
      <c r="T2879" s="183"/>
      <c r="U2879" s="183"/>
      <c r="V2879" s="183"/>
      <c r="W2879" s="183"/>
      <c r="X2879" s="183"/>
      <c r="Y2879" s="183"/>
      <c r="Z2879" s="183"/>
      <c r="AA2879" s="183"/>
      <c r="AB2879" s="183"/>
      <c r="AC2879" s="183"/>
    </row>
    <row r="2880" spans="2:29">
      <c r="B2880" s="191"/>
      <c r="D2880" s="183"/>
      <c r="G2880" s="183"/>
      <c r="H2880" s="183"/>
      <c r="J2880" s="907"/>
      <c r="K2880" s="907"/>
      <c r="L2880" s="907"/>
      <c r="M2880" s="907"/>
      <c r="N2880" s="183"/>
      <c r="O2880" s="183"/>
      <c r="P2880" s="183"/>
      <c r="Q2880" s="183"/>
      <c r="R2880" s="183"/>
      <c r="S2880" s="183"/>
      <c r="T2880" s="183"/>
      <c r="U2880" s="183"/>
      <c r="V2880" s="183"/>
      <c r="W2880" s="183"/>
      <c r="X2880" s="183"/>
      <c r="Y2880" s="183"/>
      <c r="Z2880" s="183"/>
      <c r="AA2880" s="183"/>
      <c r="AB2880" s="183"/>
      <c r="AC2880" s="183"/>
    </row>
    <row r="2881" spans="2:29">
      <c r="B2881" s="191"/>
      <c r="D2881" s="183"/>
      <c r="G2881" s="183"/>
      <c r="H2881" s="183"/>
      <c r="J2881" s="907"/>
      <c r="K2881" s="907"/>
      <c r="L2881" s="907"/>
      <c r="M2881" s="907"/>
      <c r="N2881" s="183"/>
      <c r="O2881" s="183"/>
      <c r="P2881" s="183"/>
      <c r="Q2881" s="183"/>
      <c r="R2881" s="183"/>
      <c r="S2881" s="183"/>
      <c r="T2881" s="183"/>
      <c r="U2881" s="183"/>
      <c r="V2881" s="183"/>
      <c r="W2881" s="183"/>
      <c r="X2881" s="183"/>
      <c r="Y2881" s="183"/>
      <c r="Z2881" s="183"/>
      <c r="AA2881" s="183"/>
      <c r="AB2881" s="183"/>
      <c r="AC2881" s="183"/>
    </row>
    <row r="2882" spans="2:29">
      <c r="B2882" s="191"/>
      <c r="D2882" s="183"/>
      <c r="G2882" s="183"/>
      <c r="H2882" s="183"/>
      <c r="J2882" s="907"/>
      <c r="K2882" s="907"/>
      <c r="L2882" s="907"/>
      <c r="M2882" s="907"/>
      <c r="N2882" s="183"/>
      <c r="O2882" s="183"/>
      <c r="P2882" s="183"/>
      <c r="Q2882" s="183"/>
      <c r="R2882" s="183"/>
      <c r="S2882" s="183"/>
      <c r="T2882" s="183"/>
      <c r="U2882" s="183"/>
      <c r="V2882" s="183"/>
      <c r="W2882" s="183"/>
      <c r="X2882" s="183"/>
      <c r="Y2882" s="183"/>
      <c r="Z2882" s="183"/>
      <c r="AA2882" s="183"/>
      <c r="AB2882" s="183"/>
      <c r="AC2882" s="183"/>
    </row>
    <row r="2883" spans="2:29">
      <c r="B2883" s="191"/>
      <c r="D2883" s="183"/>
      <c r="G2883" s="183"/>
      <c r="H2883" s="183"/>
      <c r="J2883" s="907"/>
      <c r="K2883" s="907"/>
      <c r="L2883" s="907"/>
      <c r="M2883" s="907"/>
      <c r="N2883" s="183"/>
      <c r="O2883" s="183"/>
      <c r="P2883" s="183"/>
      <c r="Q2883" s="183"/>
      <c r="R2883" s="183"/>
      <c r="S2883" s="183"/>
      <c r="T2883" s="183"/>
      <c r="U2883" s="183"/>
      <c r="V2883" s="183"/>
      <c r="W2883" s="183"/>
      <c r="X2883" s="183"/>
      <c r="Y2883" s="183"/>
      <c r="Z2883" s="183"/>
      <c r="AA2883" s="183"/>
      <c r="AB2883" s="183"/>
      <c r="AC2883" s="183"/>
    </row>
    <row r="2884" spans="2:29">
      <c r="B2884" s="191"/>
      <c r="D2884" s="183"/>
      <c r="G2884" s="183"/>
      <c r="H2884" s="183"/>
      <c r="J2884" s="907"/>
      <c r="K2884" s="907"/>
      <c r="L2884" s="907"/>
      <c r="M2884" s="907"/>
      <c r="N2884" s="183"/>
      <c r="O2884" s="183"/>
      <c r="P2884" s="183"/>
      <c r="Q2884" s="183"/>
      <c r="R2884" s="183"/>
      <c r="S2884" s="183"/>
      <c r="T2884" s="183"/>
      <c r="U2884" s="183"/>
      <c r="V2884" s="183"/>
      <c r="W2884" s="183"/>
      <c r="X2884" s="183"/>
      <c r="Y2884" s="183"/>
      <c r="Z2884" s="183"/>
      <c r="AA2884" s="183"/>
      <c r="AB2884" s="183"/>
      <c r="AC2884" s="183"/>
    </row>
    <row r="2885" spans="2:29">
      <c r="B2885" s="191"/>
      <c r="D2885" s="183"/>
      <c r="G2885" s="183"/>
      <c r="H2885" s="183"/>
      <c r="J2885" s="907"/>
      <c r="K2885" s="907"/>
      <c r="L2885" s="907"/>
      <c r="M2885" s="907"/>
      <c r="N2885" s="183"/>
      <c r="O2885" s="183"/>
      <c r="P2885" s="183"/>
      <c r="Q2885" s="183"/>
      <c r="R2885" s="183"/>
      <c r="S2885" s="183"/>
      <c r="T2885" s="183"/>
      <c r="U2885" s="183"/>
      <c r="V2885" s="183"/>
      <c r="W2885" s="183"/>
      <c r="X2885" s="183"/>
      <c r="Y2885" s="183"/>
      <c r="Z2885" s="183"/>
      <c r="AA2885" s="183"/>
      <c r="AB2885" s="183"/>
      <c r="AC2885" s="183"/>
    </row>
    <row r="2886" spans="2:29">
      <c r="B2886" s="191"/>
      <c r="D2886" s="183"/>
      <c r="G2886" s="183"/>
      <c r="H2886" s="183"/>
      <c r="J2886" s="907"/>
      <c r="K2886" s="907"/>
      <c r="L2886" s="907"/>
      <c r="M2886" s="907"/>
      <c r="N2886" s="183"/>
      <c r="O2886" s="183"/>
      <c r="P2886" s="183"/>
      <c r="Q2886" s="183"/>
      <c r="R2886" s="183"/>
      <c r="S2886" s="183"/>
      <c r="T2886" s="183"/>
      <c r="U2886" s="183"/>
      <c r="V2886" s="183"/>
      <c r="W2886" s="183"/>
      <c r="X2886" s="183"/>
      <c r="Y2886" s="183"/>
      <c r="Z2886" s="183"/>
      <c r="AA2886" s="183"/>
      <c r="AB2886" s="183"/>
      <c r="AC2886" s="183"/>
    </row>
    <row r="2887" spans="2:29">
      <c r="B2887" s="191"/>
      <c r="D2887" s="183"/>
      <c r="G2887" s="183"/>
      <c r="H2887" s="183"/>
      <c r="J2887" s="907"/>
      <c r="K2887" s="907"/>
      <c r="L2887" s="907"/>
      <c r="M2887" s="907"/>
      <c r="N2887" s="183"/>
      <c r="O2887" s="183"/>
      <c r="P2887" s="183"/>
      <c r="Q2887" s="183"/>
      <c r="R2887" s="183"/>
      <c r="S2887" s="183"/>
      <c r="T2887" s="183"/>
      <c r="U2887" s="183"/>
      <c r="V2887" s="183"/>
      <c r="W2887" s="183"/>
      <c r="X2887" s="183"/>
      <c r="Y2887" s="183"/>
      <c r="Z2887" s="183"/>
      <c r="AA2887" s="183"/>
      <c r="AB2887" s="183"/>
      <c r="AC2887" s="183"/>
    </row>
    <row r="2888" spans="2:29">
      <c r="B2888" s="191"/>
      <c r="D2888" s="183"/>
      <c r="G2888" s="183"/>
      <c r="H2888" s="183"/>
      <c r="J2888" s="907"/>
      <c r="K2888" s="907"/>
      <c r="L2888" s="907"/>
      <c r="M2888" s="907"/>
      <c r="N2888" s="183"/>
      <c r="O2888" s="183"/>
      <c r="P2888" s="183"/>
      <c r="Q2888" s="183"/>
      <c r="R2888" s="183"/>
      <c r="S2888" s="183"/>
      <c r="T2888" s="183"/>
      <c r="U2888" s="183"/>
      <c r="V2888" s="183"/>
      <c r="W2888" s="183"/>
      <c r="X2888" s="183"/>
      <c r="Y2888" s="183"/>
      <c r="Z2888" s="183"/>
      <c r="AA2888" s="183"/>
      <c r="AB2888" s="183"/>
      <c r="AC2888" s="183"/>
    </row>
    <row r="2889" spans="2:29">
      <c r="B2889" s="191"/>
      <c r="D2889" s="183"/>
      <c r="G2889" s="183"/>
      <c r="H2889" s="183"/>
      <c r="J2889" s="907"/>
      <c r="K2889" s="907"/>
      <c r="L2889" s="907"/>
      <c r="M2889" s="907"/>
      <c r="N2889" s="183"/>
      <c r="O2889" s="183"/>
      <c r="P2889" s="183"/>
      <c r="Q2889" s="183"/>
      <c r="R2889" s="183"/>
      <c r="S2889" s="183"/>
      <c r="T2889" s="183"/>
      <c r="U2889" s="183"/>
      <c r="V2889" s="183"/>
      <c r="W2889" s="183"/>
      <c r="X2889" s="183"/>
      <c r="Y2889" s="183"/>
      <c r="Z2889" s="183"/>
      <c r="AA2889" s="183"/>
      <c r="AB2889" s="183"/>
      <c r="AC2889" s="183"/>
    </row>
    <row r="2890" spans="2:29">
      <c r="B2890" s="191"/>
      <c r="D2890" s="183"/>
      <c r="G2890" s="183"/>
      <c r="H2890" s="183"/>
      <c r="J2890" s="907"/>
      <c r="K2890" s="907"/>
      <c r="L2890" s="907"/>
      <c r="M2890" s="907"/>
      <c r="N2890" s="183"/>
      <c r="O2890" s="183"/>
      <c r="P2890" s="183"/>
      <c r="Q2890" s="183"/>
      <c r="R2890" s="183"/>
      <c r="S2890" s="183"/>
      <c r="T2890" s="183"/>
      <c r="U2890" s="183"/>
      <c r="V2890" s="183"/>
      <c r="W2890" s="183"/>
      <c r="X2890" s="183"/>
      <c r="Y2890" s="183"/>
      <c r="Z2890" s="183"/>
      <c r="AA2890" s="183"/>
      <c r="AB2890" s="183"/>
      <c r="AC2890" s="183"/>
    </row>
    <row r="2891" spans="2:29">
      <c r="B2891" s="191"/>
      <c r="D2891" s="183"/>
      <c r="G2891" s="183"/>
      <c r="H2891" s="183"/>
      <c r="J2891" s="907"/>
      <c r="K2891" s="907"/>
      <c r="L2891" s="907"/>
      <c r="M2891" s="907"/>
      <c r="N2891" s="183"/>
      <c r="O2891" s="183"/>
      <c r="P2891" s="183"/>
      <c r="Q2891" s="183"/>
      <c r="R2891" s="183"/>
      <c r="S2891" s="183"/>
      <c r="T2891" s="183"/>
      <c r="U2891" s="183"/>
      <c r="V2891" s="183"/>
      <c r="W2891" s="183"/>
      <c r="X2891" s="183"/>
      <c r="Y2891" s="183"/>
      <c r="Z2891" s="183"/>
      <c r="AA2891" s="183"/>
      <c r="AB2891" s="183"/>
      <c r="AC2891" s="183"/>
    </row>
    <row r="2892" spans="2:29">
      <c r="B2892" s="191"/>
      <c r="D2892" s="183"/>
      <c r="G2892" s="183"/>
      <c r="H2892" s="183"/>
      <c r="J2892" s="907"/>
      <c r="K2892" s="907"/>
      <c r="L2892" s="907"/>
      <c r="M2892" s="907"/>
      <c r="N2892" s="183"/>
      <c r="O2892" s="183"/>
      <c r="P2892" s="183"/>
      <c r="Q2892" s="183"/>
      <c r="R2892" s="183"/>
      <c r="S2892" s="183"/>
      <c r="T2892" s="183"/>
      <c r="U2892" s="183"/>
      <c r="V2892" s="183"/>
      <c r="W2892" s="183"/>
      <c r="X2892" s="183"/>
      <c r="Y2892" s="183"/>
      <c r="Z2892" s="183"/>
      <c r="AA2892" s="183"/>
      <c r="AB2892" s="183"/>
      <c r="AC2892" s="183"/>
    </row>
    <row r="2893" spans="2:29">
      <c r="B2893" s="191"/>
      <c r="D2893" s="183"/>
      <c r="G2893" s="183"/>
      <c r="H2893" s="183"/>
      <c r="J2893" s="907"/>
      <c r="K2893" s="907"/>
      <c r="L2893" s="907"/>
      <c r="M2893" s="907"/>
      <c r="N2893" s="183"/>
      <c r="O2893" s="183"/>
      <c r="P2893" s="183"/>
      <c r="Q2893" s="183"/>
      <c r="R2893" s="183"/>
      <c r="S2893" s="183"/>
      <c r="T2893" s="183"/>
      <c r="U2893" s="183"/>
      <c r="V2893" s="183"/>
      <c r="W2893" s="183"/>
      <c r="X2893" s="183"/>
      <c r="Y2893" s="183"/>
      <c r="Z2893" s="183"/>
      <c r="AA2893" s="183"/>
      <c r="AB2893" s="183"/>
      <c r="AC2893" s="183"/>
    </row>
    <row r="2894" spans="2:29">
      <c r="B2894" s="191"/>
      <c r="D2894" s="183"/>
      <c r="G2894" s="183"/>
      <c r="H2894" s="183"/>
      <c r="J2894" s="907"/>
      <c r="K2894" s="907"/>
      <c r="L2894" s="907"/>
      <c r="M2894" s="907"/>
      <c r="N2894" s="183"/>
      <c r="O2894" s="183"/>
      <c r="P2894" s="183"/>
      <c r="Q2894" s="183"/>
      <c r="R2894" s="183"/>
      <c r="S2894" s="183"/>
      <c r="T2894" s="183"/>
      <c r="U2894" s="183"/>
      <c r="V2894" s="183"/>
      <c r="W2894" s="183"/>
      <c r="X2894" s="183"/>
      <c r="Y2894" s="183"/>
      <c r="Z2894" s="183"/>
      <c r="AA2894" s="183"/>
      <c r="AB2894" s="183"/>
      <c r="AC2894" s="183"/>
    </row>
    <row r="2895" spans="2:29">
      <c r="B2895" s="191"/>
      <c r="D2895" s="183"/>
      <c r="G2895" s="183"/>
      <c r="H2895" s="183"/>
      <c r="J2895" s="907"/>
      <c r="K2895" s="907"/>
      <c r="L2895" s="907"/>
      <c r="M2895" s="907"/>
      <c r="N2895" s="183"/>
      <c r="O2895" s="183"/>
      <c r="P2895" s="183"/>
      <c r="Q2895" s="183"/>
      <c r="R2895" s="183"/>
      <c r="S2895" s="183"/>
      <c r="T2895" s="183"/>
      <c r="U2895" s="183"/>
      <c r="V2895" s="183"/>
      <c r="W2895" s="183"/>
      <c r="X2895" s="183"/>
      <c r="Y2895" s="183"/>
      <c r="Z2895" s="183"/>
      <c r="AA2895" s="183"/>
      <c r="AB2895" s="183"/>
      <c r="AC2895" s="183"/>
    </row>
    <row r="2896" spans="2:29">
      <c r="B2896" s="191"/>
      <c r="D2896" s="183"/>
      <c r="G2896" s="183"/>
      <c r="H2896" s="183"/>
      <c r="J2896" s="907"/>
      <c r="K2896" s="907"/>
      <c r="L2896" s="907"/>
      <c r="M2896" s="907"/>
      <c r="N2896" s="183"/>
      <c r="O2896" s="183"/>
      <c r="P2896" s="183"/>
      <c r="Q2896" s="183"/>
      <c r="R2896" s="183"/>
      <c r="S2896" s="183"/>
      <c r="T2896" s="183"/>
      <c r="U2896" s="183"/>
      <c r="V2896" s="183"/>
      <c r="W2896" s="183"/>
      <c r="X2896" s="183"/>
      <c r="Y2896" s="183"/>
      <c r="Z2896" s="183"/>
      <c r="AA2896" s="183"/>
      <c r="AB2896" s="183"/>
      <c r="AC2896" s="183"/>
    </row>
    <row r="2897" spans="2:29">
      <c r="B2897" s="191"/>
      <c r="D2897" s="183"/>
      <c r="G2897" s="183"/>
      <c r="H2897" s="183"/>
      <c r="J2897" s="907"/>
      <c r="K2897" s="907"/>
      <c r="L2897" s="907"/>
      <c r="M2897" s="907"/>
      <c r="N2897" s="183"/>
      <c r="O2897" s="183"/>
      <c r="P2897" s="183"/>
      <c r="Q2897" s="183"/>
      <c r="R2897" s="183"/>
      <c r="S2897" s="183"/>
      <c r="T2897" s="183"/>
      <c r="U2897" s="183"/>
      <c r="V2897" s="183"/>
      <c r="W2897" s="183"/>
      <c r="X2897" s="183"/>
      <c r="Y2897" s="183"/>
      <c r="Z2897" s="183"/>
      <c r="AA2897" s="183"/>
      <c r="AB2897" s="183"/>
      <c r="AC2897" s="183"/>
    </row>
    <row r="2898" spans="2:29">
      <c r="B2898" s="191"/>
      <c r="D2898" s="183"/>
      <c r="G2898" s="183"/>
      <c r="H2898" s="183"/>
      <c r="J2898" s="907"/>
      <c r="K2898" s="907"/>
      <c r="L2898" s="907"/>
      <c r="M2898" s="907"/>
      <c r="N2898" s="183"/>
      <c r="O2898" s="183"/>
      <c r="P2898" s="183"/>
      <c r="Q2898" s="183"/>
      <c r="R2898" s="183"/>
      <c r="S2898" s="183"/>
      <c r="T2898" s="183"/>
      <c r="U2898" s="183"/>
      <c r="V2898" s="183"/>
      <c r="W2898" s="183"/>
      <c r="X2898" s="183"/>
      <c r="Y2898" s="183"/>
      <c r="Z2898" s="183"/>
      <c r="AA2898" s="183"/>
      <c r="AB2898" s="183"/>
      <c r="AC2898" s="183"/>
    </row>
    <row r="2899" spans="2:29">
      <c r="B2899" s="191"/>
      <c r="D2899" s="183"/>
      <c r="G2899" s="183"/>
      <c r="H2899" s="183"/>
      <c r="J2899" s="907"/>
      <c r="K2899" s="907"/>
      <c r="L2899" s="907"/>
      <c r="M2899" s="907"/>
      <c r="N2899" s="183"/>
      <c r="O2899" s="183"/>
      <c r="P2899" s="183"/>
      <c r="Q2899" s="183"/>
      <c r="R2899" s="183"/>
      <c r="S2899" s="183"/>
      <c r="T2899" s="183"/>
      <c r="U2899" s="183"/>
      <c r="V2899" s="183"/>
      <c r="W2899" s="183"/>
      <c r="X2899" s="183"/>
      <c r="Y2899" s="183"/>
      <c r="Z2899" s="183"/>
      <c r="AA2899" s="183"/>
      <c r="AB2899" s="183"/>
      <c r="AC2899" s="183"/>
    </row>
    <row r="2900" spans="2:29">
      <c r="B2900" s="191"/>
      <c r="D2900" s="183"/>
      <c r="G2900" s="183"/>
      <c r="H2900" s="183"/>
      <c r="J2900" s="907"/>
      <c r="K2900" s="907"/>
      <c r="L2900" s="907"/>
      <c r="M2900" s="907"/>
      <c r="N2900" s="183"/>
      <c r="O2900" s="183"/>
      <c r="P2900" s="183"/>
      <c r="Q2900" s="183"/>
      <c r="R2900" s="183"/>
      <c r="S2900" s="183"/>
      <c r="T2900" s="183"/>
      <c r="U2900" s="183"/>
      <c r="V2900" s="183"/>
      <c r="W2900" s="183"/>
      <c r="X2900" s="183"/>
      <c r="Y2900" s="183"/>
      <c r="Z2900" s="183"/>
      <c r="AA2900" s="183"/>
      <c r="AB2900" s="183"/>
      <c r="AC2900" s="183"/>
    </row>
    <row r="2901" spans="2:29">
      <c r="B2901" s="191"/>
      <c r="D2901" s="183"/>
      <c r="G2901" s="183"/>
      <c r="H2901" s="183"/>
      <c r="J2901" s="907"/>
      <c r="K2901" s="907"/>
      <c r="L2901" s="907"/>
      <c r="M2901" s="907"/>
      <c r="N2901" s="183"/>
      <c r="O2901" s="183"/>
      <c r="P2901" s="183"/>
      <c r="Q2901" s="183"/>
      <c r="R2901" s="183"/>
      <c r="S2901" s="183"/>
      <c r="T2901" s="183"/>
      <c r="U2901" s="183"/>
      <c r="V2901" s="183"/>
      <c r="W2901" s="183"/>
      <c r="X2901" s="183"/>
      <c r="Y2901" s="183"/>
      <c r="Z2901" s="183"/>
      <c r="AA2901" s="183"/>
      <c r="AB2901" s="183"/>
      <c r="AC2901" s="183"/>
    </row>
    <row r="2902" spans="2:29">
      <c r="B2902" s="191"/>
      <c r="D2902" s="183"/>
      <c r="G2902" s="183"/>
      <c r="H2902" s="183"/>
      <c r="J2902" s="907"/>
      <c r="K2902" s="907"/>
      <c r="L2902" s="907"/>
      <c r="M2902" s="907"/>
      <c r="N2902" s="183"/>
      <c r="O2902" s="183"/>
      <c r="P2902" s="183"/>
      <c r="Q2902" s="183"/>
      <c r="R2902" s="183"/>
      <c r="S2902" s="183"/>
      <c r="T2902" s="183"/>
      <c r="U2902" s="183"/>
      <c r="V2902" s="183"/>
      <c r="W2902" s="183"/>
      <c r="X2902" s="183"/>
      <c r="Y2902" s="183"/>
      <c r="Z2902" s="183"/>
      <c r="AA2902" s="183"/>
      <c r="AB2902" s="183"/>
      <c r="AC2902" s="183"/>
    </row>
    <row r="2903" spans="2:29">
      <c r="B2903" s="191"/>
      <c r="D2903" s="183"/>
      <c r="G2903" s="183"/>
      <c r="H2903" s="183"/>
      <c r="J2903" s="907"/>
      <c r="K2903" s="907"/>
      <c r="L2903" s="907"/>
      <c r="M2903" s="907"/>
      <c r="N2903" s="183"/>
      <c r="O2903" s="183"/>
      <c r="P2903" s="183"/>
      <c r="Q2903" s="183"/>
      <c r="R2903" s="183"/>
      <c r="S2903" s="183"/>
      <c r="T2903" s="183"/>
      <c r="U2903" s="183"/>
      <c r="V2903" s="183"/>
      <c r="W2903" s="183"/>
      <c r="X2903" s="183"/>
      <c r="Y2903" s="183"/>
      <c r="Z2903" s="183"/>
      <c r="AA2903" s="183"/>
      <c r="AB2903" s="183"/>
      <c r="AC2903" s="183"/>
    </row>
    <row r="2904" spans="2:29">
      <c r="B2904" s="191"/>
      <c r="D2904" s="183"/>
      <c r="G2904" s="183"/>
      <c r="H2904" s="183"/>
      <c r="J2904" s="907"/>
      <c r="K2904" s="907"/>
      <c r="L2904" s="907"/>
      <c r="M2904" s="907"/>
      <c r="N2904" s="183"/>
      <c r="O2904" s="183"/>
      <c r="P2904" s="183"/>
      <c r="Q2904" s="183"/>
      <c r="R2904" s="183"/>
      <c r="S2904" s="183"/>
      <c r="T2904" s="183"/>
      <c r="U2904" s="183"/>
      <c r="V2904" s="183"/>
      <c r="W2904" s="183"/>
      <c r="X2904" s="183"/>
      <c r="Y2904" s="183"/>
      <c r="Z2904" s="183"/>
      <c r="AA2904" s="183"/>
      <c r="AB2904" s="183"/>
      <c r="AC2904" s="183"/>
    </row>
    <row r="2905" spans="2:29">
      <c r="B2905" s="191"/>
      <c r="D2905" s="183"/>
      <c r="G2905" s="183"/>
      <c r="H2905" s="183"/>
      <c r="J2905" s="907"/>
      <c r="K2905" s="907"/>
      <c r="L2905" s="907"/>
      <c r="M2905" s="907"/>
      <c r="N2905" s="183"/>
      <c r="O2905" s="183"/>
      <c r="P2905" s="183"/>
      <c r="Q2905" s="183"/>
      <c r="R2905" s="183"/>
      <c r="S2905" s="183"/>
      <c r="T2905" s="183"/>
      <c r="U2905" s="183"/>
      <c r="V2905" s="183"/>
      <c r="W2905" s="183"/>
      <c r="X2905" s="183"/>
      <c r="Y2905" s="183"/>
      <c r="Z2905" s="183"/>
      <c r="AA2905" s="183"/>
      <c r="AB2905" s="183"/>
      <c r="AC2905" s="183"/>
    </row>
    <row r="2906" spans="2:29">
      <c r="B2906" s="191"/>
      <c r="D2906" s="183"/>
      <c r="G2906" s="183"/>
      <c r="H2906" s="183"/>
      <c r="J2906" s="907"/>
      <c r="K2906" s="907"/>
      <c r="L2906" s="907"/>
      <c r="M2906" s="907"/>
      <c r="N2906" s="183"/>
      <c r="O2906" s="183"/>
      <c r="P2906" s="183"/>
      <c r="Q2906" s="183"/>
      <c r="R2906" s="183"/>
      <c r="S2906" s="183"/>
      <c r="T2906" s="183"/>
      <c r="U2906" s="183"/>
      <c r="V2906" s="183"/>
      <c r="W2906" s="183"/>
      <c r="X2906" s="183"/>
      <c r="Y2906" s="183"/>
      <c r="Z2906" s="183"/>
      <c r="AA2906" s="183"/>
      <c r="AB2906" s="183"/>
      <c r="AC2906" s="183"/>
    </row>
    <row r="2907" spans="2:29">
      <c r="B2907" s="191"/>
      <c r="D2907" s="183"/>
      <c r="G2907" s="183"/>
      <c r="H2907" s="183"/>
      <c r="J2907" s="907"/>
      <c r="K2907" s="907"/>
      <c r="L2907" s="907"/>
      <c r="M2907" s="907"/>
      <c r="N2907" s="183"/>
      <c r="O2907" s="183"/>
      <c r="P2907" s="183"/>
      <c r="Q2907" s="183"/>
      <c r="R2907" s="183"/>
      <c r="S2907" s="183"/>
      <c r="T2907" s="183"/>
      <c r="U2907" s="183"/>
      <c r="V2907" s="183"/>
      <c r="W2907" s="183"/>
      <c r="X2907" s="183"/>
      <c r="Y2907" s="183"/>
      <c r="Z2907" s="183"/>
      <c r="AA2907" s="183"/>
      <c r="AB2907" s="183"/>
      <c r="AC2907" s="183"/>
    </row>
    <row r="2908" spans="2:29">
      <c r="B2908" s="191"/>
      <c r="D2908" s="183"/>
      <c r="G2908" s="183"/>
      <c r="H2908" s="183"/>
      <c r="J2908" s="907"/>
      <c r="K2908" s="907"/>
      <c r="L2908" s="907"/>
      <c r="M2908" s="907"/>
      <c r="N2908" s="183"/>
      <c r="O2908" s="183"/>
      <c r="P2908" s="183"/>
      <c r="Q2908" s="183"/>
      <c r="R2908" s="183"/>
      <c r="S2908" s="183"/>
      <c r="T2908" s="183"/>
      <c r="U2908" s="183"/>
      <c r="V2908" s="183"/>
      <c r="W2908" s="183"/>
      <c r="X2908" s="183"/>
      <c r="Y2908" s="183"/>
      <c r="Z2908" s="183"/>
      <c r="AA2908" s="183"/>
      <c r="AB2908" s="183"/>
      <c r="AC2908" s="183"/>
    </row>
    <row r="2909" spans="2:29">
      <c r="B2909" s="191"/>
      <c r="D2909" s="183"/>
      <c r="G2909" s="183"/>
      <c r="H2909" s="183"/>
      <c r="J2909" s="907"/>
      <c r="K2909" s="907"/>
      <c r="L2909" s="907"/>
      <c r="M2909" s="907"/>
      <c r="N2909" s="183"/>
      <c r="O2909" s="183"/>
      <c r="P2909" s="183"/>
      <c r="Q2909" s="183"/>
      <c r="R2909" s="183"/>
      <c r="S2909" s="183"/>
      <c r="T2909" s="183"/>
      <c r="U2909" s="183"/>
      <c r="V2909" s="183"/>
      <c r="W2909" s="183"/>
      <c r="X2909" s="183"/>
      <c r="Y2909" s="183"/>
      <c r="Z2909" s="183"/>
      <c r="AA2909" s="183"/>
      <c r="AB2909" s="183"/>
      <c r="AC2909" s="183"/>
    </row>
    <row r="2910" spans="2:29">
      <c r="B2910" s="191"/>
      <c r="D2910" s="183"/>
      <c r="G2910" s="183"/>
      <c r="H2910" s="183"/>
      <c r="J2910" s="907"/>
      <c r="K2910" s="907"/>
      <c r="L2910" s="907"/>
      <c r="M2910" s="907"/>
      <c r="N2910" s="183"/>
      <c r="O2910" s="183"/>
      <c r="P2910" s="183"/>
      <c r="Q2910" s="183"/>
      <c r="R2910" s="183"/>
      <c r="S2910" s="183"/>
      <c r="T2910" s="183"/>
      <c r="U2910" s="183"/>
      <c r="V2910" s="183"/>
      <c r="W2910" s="183"/>
      <c r="X2910" s="183"/>
      <c r="Y2910" s="183"/>
      <c r="Z2910" s="183"/>
      <c r="AA2910" s="183"/>
      <c r="AB2910" s="183"/>
      <c r="AC2910" s="183"/>
    </row>
    <row r="2911" spans="2:29">
      <c r="B2911" s="191"/>
      <c r="D2911" s="183"/>
      <c r="G2911" s="183"/>
      <c r="H2911" s="183"/>
      <c r="J2911" s="907"/>
      <c r="K2911" s="907"/>
      <c r="L2911" s="907"/>
      <c r="M2911" s="907"/>
      <c r="N2911" s="183"/>
      <c r="O2911" s="183"/>
      <c r="P2911" s="183"/>
      <c r="Q2911" s="183"/>
      <c r="R2911" s="183"/>
      <c r="S2911" s="183"/>
      <c r="T2911" s="183"/>
      <c r="U2911" s="183"/>
      <c r="V2911" s="183"/>
      <c r="W2911" s="183"/>
      <c r="X2911" s="183"/>
      <c r="Y2911" s="183"/>
      <c r="Z2911" s="183"/>
      <c r="AA2911" s="183"/>
      <c r="AB2911" s="183"/>
      <c r="AC2911" s="183"/>
    </row>
    <row r="2912" spans="2:29">
      <c r="B2912" s="191"/>
      <c r="D2912" s="183"/>
      <c r="G2912" s="183"/>
      <c r="H2912" s="183"/>
      <c r="J2912" s="907"/>
      <c r="K2912" s="907"/>
      <c r="L2912" s="907"/>
      <c r="M2912" s="907"/>
      <c r="N2912" s="183"/>
      <c r="O2912" s="183"/>
      <c r="P2912" s="183"/>
      <c r="Q2912" s="183"/>
      <c r="R2912" s="183"/>
      <c r="S2912" s="183"/>
      <c r="T2912" s="183"/>
      <c r="U2912" s="183"/>
      <c r="V2912" s="183"/>
      <c r="W2912" s="183"/>
      <c r="X2912" s="183"/>
      <c r="Y2912" s="183"/>
      <c r="Z2912" s="183"/>
      <c r="AA2912" s="183"/>
      <c r="AB2912" s="183"/>
      <c r="AC2912" s="183"/>
    </row>
    <row r="2913" spans="2:29">
      <c r="B2913" s="191"/>
      <c r="D2913" s="183"/>
      <c r="G2913" s="183"/>
      <c r="H2913" s="183"/>
      <c r="J2913" s="907"/>
      <c r="K2913" s="907"/>
      <c r="L2913" s="907"/>
      <c r="M2913" s="907"/>
      <c r="N2913" s="183"/>
      <c r="O2913" s="183"/>
      <c r="P2913" s="183"/>
      <c r="Q2913" s="183"/>
      <c r="R2913" s="183"/>
      <c r="S2913" s="183"/>
      <c r="T2913" s="183"/>
      <c r="U2913" s="183"/>
      <c r="V2913" s="183"/>
      <c r="W2913" s="183"/>
      <c r="X2913" s="183"/>
      <c r="Y2913" s="183"/>
      <c r="Z2913" s="183"/>
      <c r="AA2913" s="183"/>
      <c r="AB2913" s="183"/>
      <c r="AC2913" s="183"/>
    </row>
    <row r="2914" spans="2:29">
      <c r="B2914" s="191"/>
      <c r="D2914" s="183"/>
      <c r="G2914" s="183"/>
      <c r="H2914" s="183"/>
      <c r="J2914" s="907"/>
      <c r="K2914" s="907"/>
      <c r="L2914" s="907"/>
      <c r="M2914" s="907"/>
      <c r="N2914" s="183"/>
      <c r="O2914" s="183"/>
      <c r="P2914" s="183"/>
      <c r="Q2914" s="183"/>
      <c r="R2914" s="183"/>
      <c r="S2914" s="183"/>
      <c r="T2914" s="183"/>
      <c r="U2914" s="183"/>
      <c r="V2914" s="183"/>
      <c r="W2914" s="183"/>
      <c r="X2914" s="183"/>
      <c r="Y2914" s="183"/>
      <c r="Z2914" s="183"/>
      <c r="AA2914" s="183"/>
      <c r="AB2914" s="183"/>
      <c r="AC2914" s="183"/>
    </row>
    <row r="2915" spans="2:29">
      <c r="B2915" s="191"/>
      <c r="D2915" s="183"/>
      <c r="G2915" s="183"/>
      <c r="H2915" s="183"/>
      <c r="J2915" s="907"/>
      <c r="K2915" s="907"/>
      <c r="L2915" s="907"/>
      <c r="M2915" s="907"/>
      <c r="N2915" s="183"/>
      <c r="O2915" s="183"/>
      <c r="P2915" s="183"/>
      <c r="Q2915" s="183"/>
      <c r="R2915" s="183"/>
      <c r="S2915" s="183"/>
      <c r="T2915" s="183"/>
      <c r="U2915" s="183"/>
      <c r="V2915" s="183"/>
      <c r="W2915" s="183"/>
      <c r="X2915" s="183"/>
      <c r="Y2915" s="183"/>
      <c r="Z2915" s="183"/>
      <c r="AA2915" s="183"/>
      <c r="AB2915" s="183"/>
      <c r="AC2915" s="183"/>
    </row>
    <row r="2916" spans="2:29">
      <c r="B2916" s="191"/>
      <c r="D2916" s="183"/>
      <c r="G2916" s="183"/>
      <c r="H2916" s="183"/>
      <c r="J2916" s="907"/>
      <c r="K2916" s="907"/>
      <c r="L2916" s="907"/>
      <c r="M2916" s="907"/>
      <c r="N2916" s="183"/>
      <c r="O2916" s="183"/>
      <c r="P2916" s="183"/>
      <c r="Q2916" s="183"/>
      <c r="R2916" s="183"/>
      <c r="S2916" s="183"/>
      <c r="T2916" s="183"/>
      <c r="U2916" s="183"/>
      <c r="V2916" s="183"/>
      <c r="W2916" s="183"/>
      <c r="X2916" s="183"/>
      <c r="Y2916" s="183"/>
      <c r="Z2916" s="183"/>
      <c r="AA2916" s="183"/>
      <c r="AB2916" s="183"/>
      <c r="AC2916" s="183"/>
    </row>
    <row r="2917" spans="2:29">
      <c r="B2917" s="191"/>
      <c r="D2917" s="183"/>
      <c r="G2917" s="183"/>
      <c r="H2917" s="183"/>
      <c r="J2917" s="907"/>
      <c r="K2917" s="907"/>
      <c r="L2917" s="907"/>
      <c r="M2917" s="907"/>
      <c r="N2917" s="183"/>
      <c r="O2917" s="183"/>
      <c r="P2917" s="183"/>
      <c r="Q2917" s="183"/>
      <c r="R2917" s="183"/>
      <c r="S2917" s="183"/>
      <c r="T2917" s="183"/>
      <c r="U2917" s="183"/>
      <c r="V2917" s="183"/>
      <c r="W2917" s="183"/>
      <c r="X2917" s="183"/>
      <c r="Y2917" s="183"/>
      <c r="Z2917" s="183"/>
      <c r="AA2917" s="183"/>
      <c r="AB2917" s="183"/>
      <c r="AC2917" s="183"/>
    </row>
    <row r="2918" spans="2:29">
      <c r="B2918" s="191"/>
      <c r="D2918" s="183"/>
      <c r="G2918" s="183"/>
      <c r="H2918" s="183"/>
      <c r="J2918" s="907"/>
      <c r="K2918" s="907"/>
      <c r="L2918" s="907"/>
      <c r="M2918" s="907"/>
      <c r="N2918" s="183"/>
      <c r="O2918" s="183"/>
      <c r="P2918" s="183"/>
      <c r="Q2918" s="183"/>
      <c r="R2918" s="183"/>
      <c r="S2918" s="183"/>
      <c r="T2918" s="183"/>
      <c r="U2918" s="183"/>
      <c r="V2918" s="183"/>
      <c r="W2918" s="183"/>
      <c r="X2918" s="183"/>
      <c r="Y2918" s="183"/>
      <c r="Z2918" s="183"/>
      <c r="AA2918" s="183"/>
      <c r="AB2918" s="183"/>
      <c r="AC2918" s="183"/>
    </row>
    <row r="2919" spans="2:29">
      <c r="B2919" s="191"/>
      <c r="D2919" s="183"/>
      <c r="G2919" s="183"/>
      <c r="H2919" s="183"/>
      <c r="J2919" s="907"/>
      <c r="K2919" s="907"/>
      <c r="L2919" s="907"/>
      <c r="M2919" s="907"/>
      <c r="N2919" s="183"/>
      <c r="O2919" s="183"/>
      <c r="P2919" s="183"/>
      <c r="Q2919" s="183"/>
      <c r="R2919" s="183"/>
      <c r="S2919" s="183"/>
      <c r="T2919" s="183"/>
      <c r="U2919" s="183"/>
      <c r="V2919" s="183"/>
      <c r="W2919" s="183"/>
      <c r="X2919" s="183"/>
      <c r="Y2919" s="183"/>
      <c r="Z2919" s="183"/>
      <c r="AA2919" s="183"/>
      <c r="AB2919" s="183"/>
      <c r="AC2919" s="183"/>
    </row>
    <row r="2920" spans="2:29">
      <c r="B2920" s="191"/>
      <c r="D2920" s="183"/>
      <c r="G2920" s="183"/>
      <c r="H2920" s="183"/>
      <c r="J2920" s="907"/>
      <c r="K2920" s="907"/>
      <c r="L2920" s="907"/>
      <c r="M2920" s="907"/>
      <c r="N2920" s="183"/>
      <c r="O2920" s="183"/>
      <c r="P2920" s="183"/>
      <c r="Q2920" s="183"/>
      <c r="R2920" s="183"/>
      <c r="S2920" s="183"/>
      <c r="T2920" s="183"/>
      <c r="U2920" s="183"/>
      <c r="V2920" s="183"/>
      <c r="W2920" s="183"/>
      <c r="X2920" s="183"/>
      <c r="Y2920" s="183"/>
      <c r="Z2920" s="183"/>
      <c r="AA2920" s="183"/>
      <c r="AB2920" s="183"/>
      <c r="AC2920" s="183"/>
    </row>
    <row r="2921" spans="2:29">
      <c r="B2921" s="191"/>
      <c r="D2921" s="183"/>
      <c r="G2921" s="183"/>
      <c r="H2921" s="183"/>
      <c r="J2921" s="907"/>
      <c r="K2921" s="907"/>
      <c r="L2921" s="907"/>
      <c r="M2921" s="907"/>
      <c r="N2921" s="183"/>
      <c r="O2921" s="183"/>
      <c r="P2921" s="183"/>
      <c r="Q2921" s="183"/>
      <c r="R2921" s="183"/>
      <c r="S2921" s="183"/>
      <c r="T2921" s="183"/>
      <c r="U2921" s="183"/>
      <c r="V2921" s="183"/>
      <c r="W2921" s="183"/>
      <c r="X2921" s="183"/>
      <c r="Y2921" s="183"/>
      <c r="Z2921" s="183"/>
      <c r="AA2921" s="183"/>
      <c r="AB2921" s="183"/>
      <c r="AC2921" s="183"/>
    </row>
    <row r="2922" spans="2:29">
      <c r="B2922" s="191"/>
      <c r="D2922" s="183"/>
      <c r="G2922" s="183"/>
      <c r="H2922" s="183"/>
      <c r="J2922" s="907"/>
      <c r="K2922" s="907"/>
      <c r="L2922" s="907"/>
      <c r="M2922" s="907"/>
      <c r="N2922" s="183"/>
      <c r="O2922" s="183"/>
      <c r="P2922" s="183"/>
      <c r="Q2922" s="183"/>
      <c r="R2922" s="183"/>
      <c r="S2922" s="183"/>
      <c r="T2922" s="183"/>
      <c r="U2922" s="183"/>
      <c r="V2922" s="183"/>
      <c r="W2922" s="183"/>
      <c r="X2922" s="183"/>
      <c r="Y2922" s="183"/>
      <c r="Z2922" s="183"/>
      <c r="AA2922" s="183"/>
      <c r="AB2922" s="183"/>
      <c r="AC2922" s="183"/>
    </row>
    <row r="2923" spans="2:29">
      <c r="B2923" s="191"/>
      <c r="D2923" s="183"/>
      <c r="G2923" s="183"/>
      <c r="H2923" s="183"/>
      <c r="J2923" s="907"/>
      <c r="K2923" s="907"/>
      <c r="L2923" s="907"/>
      <c r="M2923" s="907"/>
      <c r="N2923" s="183"/>
      <c r="O2923" s="183"/>
      <c r="P2923" s="183"/>
      <c r="Q2923" s="183"/>
      <c r="R2923" s="183"/>
      <c r="S2923" s="183"/>
      <c r="T2923" s="183"/>
      <c r="U2923" s="183"/>
      <c r="V2923" s="183"/>
      <c r="W2923" s="183"/>
      <c r="X2923" s="183"/>
      <c r="Y2923" s="183"/>
      <c r="Z2923" s="183"/>
      <c r="AA2923" s="183"/>
      <c r="AB2923" s="183"/>
      <c r="AC2923" s="183"/>
    </row>
    <row r="2924" spans="2:29">
      <c r="B2924" s="191"/>
      <c r="D2924" s="183"/>
      <c r="G2924" s="183"/>
      <c r="H2924" s="183"/>
      <c r="J2924" s="907"/>
      <c r="K2924" s="907"/>
      <c r="L2924" s="907"/>
      <c r="M2924" s="907"/>
      <c r="N2924" s="183"/>
      <c r="O2924" s="183"/>
      <c r="P2924" s="183"/>
      <c r="Q2924" s="183"/>
      <c r="R2924" s="183"/>
      <c r="S2924" s="183"/>
      <c r="T2924" s="183"/>
      <c r="U2924" s="183"/>
      <c r="V2924" s="183"/>
      <c r="W2924" s="183"/>
      <c r="X2924" s="183"/>
      <c r="Y2924" s="183"/>
      <c r="Z2924" s="183"/>
      <c r="AA2924" s="183"/>
      <c r="AB2924" s="183"/>
      <c r="AC2924" s="183"/>
    </row>
    <row r="2925" spans="2:29">
      <c r="B2925" s="191"/>
      <c r="D2925" s="183"/>
      <c r="G2925" s="183"/>
      <c r="H2925" s="183"/>
      <c r="J2925" s="907"/>
      <c r="K2925" s="907"/>
      <c r="L2925" s="907"/>
      <c r="M2925" s="907"/>
      <c r="N2925" s="183"/>
      <c r="O2925" s="183"/>
      <c r="P2925" s="183"/>
      <c r="Q2925" s="183"/>
      <c r="R2925" s="183"/>
      <c r="S2925" s="183"/>
      <c r="T2925" s="183"/>
      <c r="U2925" s="183"/>
      <c r="V2925" s="183"/>
      <c r="W2925" s="183"/>
      <c r="X2925" s="183"/>
      <c r="Y2925" s="183"/>
      <c r="Z2925" s="183"/>
      <c r="AA2925" s="183"/>
      <c r="AB2925" s="183"/>
      <c r="AC2925" s="183"/>
    </row>
    <row r="2926" spans="2:29">
      <c r="B2926" s="191"/>
      <c r="D2926" s="183"/>
      <c r="G2926" s="183"/>
      <c r="H2926" s="183"/>
      <c r="J2926" s="907"/>
      <c r="K2926" s="907"/>
      <c r="L2926" s="907"/>
      <c r="M2926" s="907"/>
      <c r="N2926" s="183"/>
      <c r="O2926" s="183"/>
      <c r="P2926" s="183"/>
      <c r="Q2926" s="183"/>
      <c r="R2926" s="183"/>
      <c r="S2926" s="183"/>
      <c r="T2926" s="183"/>
      <c r="U2926" s="183"/>
      <c r="V2926" s="183"/>
      <c r="W2926" s="183"/>
      <c r="X2926" s="183"/>
      <c r="Y2926" s="183"/>
      <c r="Z2926" s="183"/>
      <c r="AA2926" s="183"/>
      <c r="AB2926" s="183"/>
      <c r="AC2926" s="183"/>
    </row>
    <row r="2927" spans="2:29">
      <c r="B2927" s="191"/>
      <c r="D2927" s="183"/>
      <c r="G2927" s="183"/>
      <c r="H2927" s="183"/>
      <c r="J2927" s="907"/>
      <c r="K2927" s="907"/>
      <c r="L2927" s="907"/>
      <c r="M2927" s="907"/>
      <c r="N2927" s="183"/>
      <c r="O2927" s="183"/>
      <c r="P2927" s="183"/>
      <c r="Q2927" s="183"/>
      <c r="R2927" s="183"/>
      <c r="S2927" s="183"/>
      <c r="T2927" s="183"/>
      <c r="U2927" s="183"/>
      <c r="V2927" s="183"/>
      <c r="W2927" s="183"/>
      <c r="X2927" s="183"/>
      <c r="Y2927" s="183"/>
      <c r="Z2927" s="183"/>
      <c r="AA2927" s="183"/>
      <c r="AB2927" s="183"/>
      <c r="AC2927" s="183"/>
    </row>
    <row r="2928" spans="2:29">
      <c r="B2928" s="191"/>
      <c r="D2928" s="183"/>
      <c r="G2928" s="183"/>
      <c r="H2928" s="183"/>
      <c r="J2928" s="907"/>
      <c r="K2928" s="907"/>
      <c r="L2928" s="907"/>
      <c r="M2928" s="907"/>
      <c r="N2928" s="183"/>
      <c r="O2928" s="183"/>
      <c r="P2928" s="183"/>
      <c r="Q2928" s="183"/>
      <c r="R2928" s="183"/>
      <c r="S2928" s="183"/>
      <c r="T2928" s="183"/>
      <c r="U2928" s="183"/>
      <c r="V2928" s="183"/>
      <c r="W2928" s="183"/>
      <c r="X2928" s="183"/>
      <c r="Y2928" s="183"/>
      <c r="Z2928" s="183"/>
      <c r="AA2928" s="183"/>
      <c r="AB2928" s="183"/>
      <c r="AC2928" s="183"/>
    </row>
    <row r="2929" spans="2:29">
      <c r="B2929" s="191"/>
      <c r="D2929" s="183"/>
      <c r="G2929" s="183"/>
      <c r="H2929" s="183"/>
      <c r="J2929" s="907"/>
      <c r="K2929" s="907"/>
      <c r="L2929" s="907"/>
      <c r="M2929" s="907"/>
      <c r="N2929" s="183"/>
      <c r="O2929" s="183"/>
      <c r="P2929" s="183"/>
      <c r="Q2929" s="183"/>
      <c r="R2929" s="183"/>
      <c r="S2929" s="183"/>
      <c r="T2929" s="183"/>
      <c r="U2929" s="183"/>
      <c r="V2929" s="183"/>
      <c r="W2929" s="183"/>
      <c r="X2929" s="183"/>
      <c r="Y2929" s="183"/>
      <c r="Z2929" s="183"/>
      <c r="AA2929" s="183"/>
      <c r="AB2929" s="183"/>
      <c r="AC2929" s="183"/>
    </row>
    <row r="2930" spans="2:29">
      <c r="B2930" s="191"/>
      <c r="D2930" s="183"/>
      <c r="G2930" s="183"/>
      <c r="H2930" s="183"/>
      <c r="J2930" s="907"/>
      <c r="K2930" s="907"/>
      <c r="L2930" s="907"/>
      <c r="M2930" s="907"/>
      <c r="N2930" s="183"/>
      <c r="O2930" s="183"/>
      <c r="P2930" s="183"/>
      <c r="Q2930" s="183"/>
      <c r="R2930" s="183"/>
      <c r="S2930" s="183"/>
      <c r="T2930" s="183"/>
      <c r="U2930" s="183"/>
      <c r="V2930" s="183"/>
      <c r="W2930" s="183"/>
      <c r="X2930" s="183"/>
      <c r="Y2930" s="183"/>
      <c r="Z2930" s="183"/>
      <c r="AA2930" s="183"/>
      <c r="AB2930" s="183"/>
      <c r="AC2930" s="183"/>
    </row>
    <row r="2931" spans="2:29">
      <c r="B2931" s="191"/>
      <c r="D2931" s="183"/>
      <c r="G2931" s="183"/>
      <c r="H2931" s="183"/>
      <c r="J2931" s="907"/>
      <c r="K2931" s="907"/>
      <c r="L2931" s="907"/>
      <c r="M2931" s="907"/>
      <c r="N2931" s="183"/>
      <c r="O2931" s="183"/>
      <c r="P2931" s="183"/>
      <c r="Q2931" s="183"/>
      <c r="R2931" s="183"/>
      <c r="S2931" s="183"/>
      <c r="T2931" s="183"/>
      <c r="U2931" s="183"/>
      <c r="V2931" s="183"/>
      <c r="W2931" s="183"/>
      <c r="X2931" s="183"/>
      <c r="Y2931" s="183"/>
      <c r="Z2931" s="183"/>
      <c r="AA2931" s="183"/>
      <c r="AB2931" s="183"/>
      <c r="AC2931" s="183"/>
    </row>
    <row r="2932" spans="2:29">
      <c r="B2932" s="191"/>
      <c r="D2932" s="183"/>
      <c r="G2932" s="183"/>
      <c r="H2932" s="183"/>
      <c r="J2932" s="907"/>
      <c r="K2932" s="907"/>
      <c r="L2932" s="907"/>
      <c r="M2932" s="907"/>
      <c r="N2932" s="183"/>
      <c r="O2932" s="183"/>
      <c r="P2932" s="183"/>
      <c r="Q2932" s="183"/>
      <c r="R2932" s="183"/>
      <c r="S2932" s="183"/>
      <c r="T2932" s="183"/>
      <c r="U2932" s="183"/>
      <c r="V2932" s="183"/>
      <c r="W2932" s="183"/>
      <c r="X2932" s="183"/>
      <c r="Y2932" s="183"/>
      <c r="Z2932" s="183"/>
      <c r="AA2932" s="183"/>
      <c r="AB2932" s="183"/>
      <c r="AC2932" s="183"/>
    </row>
    <row r="2933" spans="2:29">
      <c r="B2933" s="191"/>
      <c r="D2933" s="183"/>
      <c r="G2933" s="183"/>
      <c r="H2933" s="183"/>
      <c r="J2933" s="907"/>
      <c r="K2933" s="907"/>
      <c r="L2933" s="907"/>
      <c r="M2933" s="907"/>
      <c r="N2933" s="183"/>
      <c r="O2933" s="183"/>
      <c r="P2933" s="183"/>
      <c r="Q2933" s="183"/>
      <c r="R2933" s="183"/>
      <c r="S2933" s="183"/>
      <c r="T2933" s="183"/>
      <c r="U2933" s="183"/>
      <c r="V2933" s="183"/>
      <c r="W2933" s="183"/>
      <c r="X2933" s="183"/>
      <c r="Y2933" s="183"/>
      <c r="Z2933" s="183"/>
      <c r="AA2933" s="183"/>
      <c r="AB2933" s="183"/>
      <c r="AC2933" s="183"/>
    </row>
    <row r="2934" spans="2:29">
      <c r="B2934" s="191"/>
      <c r="D2934" s="183"/>
      <c r="G2934" s="183"/>
      <c r="H2934" s="183"/>
      <c r="J2934" s="907"/>
      <c r="K2934" s="907"/>
      <c r="L2934" s="907"/>
      <c r="M2934" s="907"/>
      <c r="N2934" s="183"/>
      <c r="O2934" s="183"/>
      <c r="P2934" s="183"/>
      <c r="Q2934" s="183"/>
      <c r="R2934" s="183"/>
      <c r="S2934" s="183"/>
      <c r="T2934" s="183"/>
      <c r="U2934" s="183"/>
      <c r="V2934" s="183"/>
      <c r="W2934" s="183"/>
      <c r="X2934" s="183"/>
      <c r="Y2934" s="183"/>
      <c r="Z2934" s="183"/>
      <c r="AA2934" s="183"/>
      <c r="AB2934" s="183"/>
      <c r="AC2934" s="183"/>
    </row>
    <row r="2935" spans="2:29">
      <c r="B2935" s="191"/>
      <c r="D2935" s="183"/>
      <c r="G2935" s="183"/>
      <c r="H2935" s="183"/>
      <c r="J2935" s="907"/>
      <c r="K2935" s="907"/>
      <c r="L2935" s="907"/>
      <c r="M2935" s="907"/>
      <c r="N2935" s="183"/>
      <c r="O2935" s="183"/>
      <c r="P2935" s="183"/>
      <c r="Q2935" s="183"/>
      <c r="R2935" s="183"/>
      <c r="S2935" s="183"/>
      <c r="T2935" s="183"/>
      <c r="U2935" s="183"/>
      <c r="V2935" s="183"/>
      <c r="W2935" s="183"/>
      <c r="X2935" s="183"/>
      <c r="Y2935" s="183"/>
      <c r="Z2935" s="183"/>
      <c r="AA2935" s="183"/>
      <c r="AB2935" s="183"/>
      <c r="AC2935" s="183"/>
    </row>
    <row r="2936" spans="2:29">
      <c r="B2936" s="191"/>
      <c r="D2936" s="183"/>
      <c r="G2936" s="183"/>
      <c r="H2936" s="183"/>
      <c r="J2936" s="907"/>
      <c r="K2936" s="907"/>
      <c r="L2936" s="907"/>
      <c r="M2936" s="907"/>
      <c r="N2936" s="183"/>
      <c r="O2936" s="183"/>
      <c r="P2936" s="183"/>
      <c r="Q2936" s="183"/>
      <c r="R2936" s="183"/>
      <c r="S2936" s="183"/>
      <c r="T2936" s="183"/>
      <c r="U2936" s="183"/>
      <c r="V2936" s="183"/>
      <c r="W2936" s="183"/>
      <c r="X2936" s="183"/>
      <c r="Y2936" s="183"/>
      <c r="Z2936" s="183"/>
      <c r="AA2936" s="183"/>
      <c r="AB2936" s="183"/>
      <c r="AC2936" s="183"/>
    </row>
    <row r="2937" spans="2:29">
      <c r="B2937" s="191"/>
      <c r="D2937" s="183"/>
      <c r="G2937" s="183"/>
      <c r="H2937" s="183"/>
      <c r="J2937" s="907"/>
      <c r="K2937" s="907"/>
      <c r="L2937" s="907"/>
      <c r="M2937" s="907"/>
      <c r="N2937" s="183"/>
      <c r="O2937" s="183"/>
      <c r="P2937" s="183"/>
      <c r="Q2937" s="183"/>
      <c r="R2937" s="183"/>
      <c r="S2937" s="183"/>
      <c r="T2937" s="183"/>
      <c r="U2937" s="183"/>
      <c r="V2937" s="183"/>
      <c r="W2937" s="183"/>
      <c r="X2937" s="183"/>
      <c r="Y2937" s="183"/>
      <c r="Z2937" s="183"/>
      <c r="AA2937" s="183"/>
      <c r="AB2937" s="183"/>
      <c r="AC2937" s="183"/>
    </row>
    <row r="2938" spans="2:29">
      <c r="B2938" s="191"/>
      <c r="D2938" s="183"/>
      <c r="G2938" s="183"/>
      <c r="H2938" s="183"/>
      <c r="J2938" s="907"/>
      <c r="K2938" s="907"/>
      <c r="L2938" s="907"/>
      <c r="M2938" s="907"/>
      <c r="N2938" s="183"/>
      <c r="O2938" s="183"/>
      <c r="P2938" s="183"/>
      <c r="Q2938" s="183"/>
      <c r="R2938" s="183"/>
      <c r="S2938" s="183"/>
      <c r="T2938" s="183"/>
      <c r="U2938" s="183"/>
      <c r="V2938" s="183"/>
      <c r="W2938" s="183"/>
      <c r="X2938" s="183"/>
      <c r="Y2938" s="183"/>
      <c r="Z2938" s="183"/>
      <c r="AA2938" s="183"/>
      <c r="AB2938" s="183"/>
      <c r="AC2938" s="183"/>
    </row>
    <row r="2939" spans="2:29">
      <c r="B2939" s="191"/>
      <c r="D2939" s="183"/>
      <c r="G2939" s="183"/>
      <c r="H2939" s="183"/>
      <c r="J2939" s="907"/>
      <c r="K2939" s="907"/>
      <c r="L2939" s="907"/>
      <c r="M2939" s="907"/>
      <c r="N2939" s="183"/>
      <c r="O2939" s="183"/>
      <c r="P2939" s="183"/>
      <c r="Q2939" s="183"/>
      <c r="R2939" s="183"/>
      <c r="S2939" s="183"/>
      <c r="T2939" s="183"/>
      <c r="U2939" s="183"/>
      <c r="V2939" s="183"/>
      <c r="W2939" s="183"/>
      <c r="X2939" s="183"/>
      <c r="Y2939" s="183"/>
      <c r="Z2939" s="183"/>
      <c r="AA2939" s="183"/>
      <c r="AB2939" s="183"/>
      <c r="AC2939" s="183"/>
    </row>
    <row r="2940" spans="2:29">
      <c r="B2940" s="191"/>
      <c r="D2940" s="183"/>
      <c r="G2940" s="183"/>
      <c r="H2940" s="183"/>
      <c r="J2940" s="907"/>
      <c r="K2940" s="907"/>
      <c r="L2940" s="907"/>
      <c r="M2940" s="907"/>
      <c r="N2940" s="183"/>
      <c r="O2940" s="183"/>
      <c r="P2940" s="183"/>
      <c r="Q2940" s="183"/>
      <c r="R2940" s="183"/>
      <c r="S2940" s="183"/>
      <c r="T2940" s="183"/>
      <c r="U2940" s="183"/>
      <c r="V2940" s="183"/>
      <c r="W2940" s="183"/>
      <c r="X2940" s="183"/>
      <c r="Y2940" s="183"/>
      <c r="Z2940" s="183"/>
      <c r="AA2940" s="183"/>
      <c r="AB2940" s="183"/>
      <c r="AC2940" s="183"/>
    </row>
    <row r="2941" spans="2:29">
      <c r="B2941" s="191"/>
      <c r="D2941" s="183"/>
      <c r="G2941" s="183"/>
      <c r="H2941" s="183"/>
      <c r="J2941" s="907"/>
      <c r="K2941" s="907"/>
      <c r="L2941" s="907"/>
      <c r="M2941" s="907"/>
      <c r="N2941" s="183"/>
      <c r="O2941" s="183"/>
      <c r="P2941" s="183"/>
      <c r="Q2941" s="183"/>
      <c r="R2941" s="183"/>
      <c r="S2941" s="183"/>
      <c r="T2941" s="183"/>
      <c r="U2941" s="183"/>
      <c r="V2941" s="183"/>
      <c r="W2941" s="183"/>
      <c r="X2941" s="183"/>
      <c r="Y2941" s="183"/>
      <c r="Z2941" s="183"/>
      <c r="AA2941" s="183"/>
      <c r="AB2941" s="183"/>
      <c r="AC2941" s="183"/>
    </row>
    <row r="2942" spans="2:29">
      <c r="B2942" s="191"/>
      <c r="D2942" s="183"/>
      <c r="G2942" s="183"/>
      <c r="H2942" s="183"/>
      <c r="J2942" s="907"/>
      <c r="K2942" s="907"/>
      <c r="L2942" s="907"/>
      <c r="M2942" s="907"/>
      <c r="N2942" s="183"/>
      <c r="O2942" s="183"/>
      <c r="P2942" s="183"/>
      <c r="Q2942" s="183"/>
      <c r="R2942" s="183"/>
      <c r="S2942" s="183"/>
      <c r="T2942" s="183"/>
      <c r="U2942" s="183"/>
      <c r="V2942" s="183"/>
      <c r="W2942" s="183"/>
      <c r="X2942" s="183"/>
      <c r="Y2942" s="183"/>
      <c r="Z2942" s="183"/>
      <c r="AA2942" s="183"/>
      <c r="AB2942" s="183"/>
      <c r="AC2942" s="183"/>
    </row>
    <row r="2943" spans="2:29">
      <c r="B2943" s="191"/>
      <c r="D2943" s="183"/>
      <c r="G2943" s="183"/>
      <c r="H2943" s="183"/>
      <c r="J2943" s="907"/>
      <c r="K2943" s="907"/>
      <c r="L2943" s="907"/>
      <c r="M2943" s="907"/>
      <c r="N2943" s="183"/>
      <c r="O2943" s="183"/>
      <c r="P2943" s="183"/>
      <c r="Q2943" s="183"/>
      <c r="R2943" s="183"/>
      <c r="S2943" s="183"/>
      <c r="T2943" s="183"/>
      <c r="U2943" s="183"/>
      <c r="V2943" s="183"/>
      <c r="W2943" s="183"/>
      <c r="X2943" s="183"/>
      <c r="Y2943" s="183"/>
      <c r="Z2943" s="183"/>
      <c r="AA2943" s="183"/>
      <c r="AB2943" s="183"/>
      <c r="AC2943" s="183"/>
    </row>
    <row r="2944" spans="2:29">
      <c r="B2944" s="191"/>
      <c r="D2944" s="183"/>
      <c r="G2944" s="183"/>
      <c r="H2944" s="183"/>
      <c r="J2944" s="907"/>
      <c r="K2944" s="907"/>
      <c r="L2944" s="907"/>
      <c r="M2944" s="907"/>
      <c r="N2944" s="183"/>
      <c r="O2944" s="183"/>
      <c r="P2944" s="183"/>
      <c r="Q2944" s="183"/>
      <c r="R2944" s="183"/>
      <c r="S2944" s="183"/>
      <c r="T2944" s="183"/>
      <c r="U2944" s="183"/>
      <c r="V2944" s="183"/>
      <c r="W2944" s="183"/>
      <c r="X2944" s="183"/>
      <c r="Y2944" s="183"/>
      <c r="Z2944" s="183"/>
      <c r="AA2944" s="183"/>
      <c r="AB2944" s="183"/>
      <c r="AC2944" s="183"/>
    </row>
    <row r="2945" spans="2:29">
      <c r="B2945" s="191"/>
      <c r="D2945" s="183"/>
      <c r="G2945" s="183"/>
      <c r="H2945" s="183"/>
      <c r="J2945" s="907"/>
      <c r="K2945" s="907"/>
      <c r="L2945" s="907"/>
      <c r="M2945" s="907"/>
      <c r="N2945" s="183"/>
      <c r="O2945" s="183"/>
      <c r="P2945" s="183"/>
      <c r="Q2945" s="183"/>
      <c r="R2945" s="183"/>
      <c r="S2945" s="183"/>
      <c r="T2945" s="183"/>
      <c r="U2945" s="183"/>
      <c r="V2945" s="183"/>
      <c r="W2945" s="183"/>
      <c r="X2945" s="183"/>
      <c r="Y2945" s="183"/>
      <c r="Z2945" s="183"/>
      <c r="AA2945" s="183"/>
      <c r="AB2945" s="183"/>
      <c r="AC2945" s="183"/>
    </row>
    <row r="2946" spans="2:29">
      <c r="B2946" s="191"/>
      <c r="D2946" s="183"/>
      <c r="G2946" s="183"/>
      <c r="H2946" s="183"/>
      <c r="J2946" s="907"/>
      <c r="K2946" s="907"/>
      <c r="L2946" s="907"/>
      <c r="M2946" s="907"/>
      <c r="N2946" s="183"/>
      <c r="O2946" s="183"/>
      <c r="P2946" s="183"/>
      <c r="Q2946" s="183"/>
      <c r="R2946" s="183"/>
      <c r="S2946" s="183"/>
      <c r="T2946" s="183"/>
      <c r="U2946" s="183"/>
      <c r="V2946" s="183"/>
      <c r="W2946" s="183"/>
      <c r="X2946" s="183"/>
      <c r="Y2946" s="183"/>
      <c r="Z2946" s="183"/>
      <c r="AA2946" s="183"/>
      <c r="AB2946" s="183"/>
      <c r="AC2946" s="183"/>
    </row>
    <row r="2947" spans="2:29">
      <c r="B2947" s="191"/>
      <c r="D2947" s="183"/>
      <c r="G2947" s="183"/>
      <c r="H2947" s="183"/>
      <c r="J2947" s="907"/>
      <c r="K2947" s="907"/>
      <c r="L2947" s="907"/>
      <c r="M2947" s="907"/>
      <c r="N2947" s="183"/>
      <c r="O2947" s="183"/>
      <c r="P2947" s="183"/>
      <c r="Q2947" s="183"/>
      <c r="R2947" s="183"/>
      <c r="S2947" s="183"/>
      <c r="T2947" s="183"/>
      <c r="U2947" s="183"/>
      <c r="V2947" s="183"/>
      <c r="W2947" s="183"/>
      <c r="X2947" s="183"/>
      <c r="Y2947" s="183"/>
      <c r="Z2947" s="183"/>
      <c r="AA2947" s="183"/>
      <c r="AB2947" s="183"/>
      <c r="AC2947" s="183"/>
    </row>
    <row r="2948" spans="2:29">
      <c r="B2948" s="191"/>
      <c r="D2948" s="183"/>
      <c r="G2948" s="183"/>
      <c r="H2948" s="183"/>
      <c r="J2948" s="907"/>
      <c r="K2948" s="907"/>
      <c r="L2948" s="907"/>
      <c r="M2948" s="907"/>
      <c r="N2948" s="183"/>
      <c r="O2948" s="183"/>
      <c r="P2948" s="183"/>
      <c r="Q2948" s="183"/>
      <c r="R2948" s="183"/>
      <c r="S2948" s="183"/>
      <c r="T2948" s="183"/>
      <c r="U2948" s="183"/>
      <c r="V2948" s="183"/>
      <c r="W2948" s="183"/>
      <c r="X2948" s="183"/>
      <c r="Y2948" s="183"/>
      <c r="Z2948" s="183"/>
      <c r="AA2948" s="183"/>
      <c r="AB2948" s="183"/>
      <c r="AC2948" s="183"/>
    </row>
    <row r="2949" spans="2:29">
      <c r="B2949" s="191"/>
      <c r="D2949" s="183"/>
      <c r="G2949" s="183"/>
      <c r="H2949" s="183"/>
      <c r="J2949" s="907"/>
      <c r="K2949" s="907"/>
      <c r="L2949" s="907"/>
      <c r="M2949" s="907"/>
      <c r="N2949" s="183"/>
      <c r="O2949" s="183"/>
      <c r="P2949" s="183"/>
      <c r="Q2949" s="183"/>
      <c r="R2949" s="183"/>
      <c r="S2949" s="183"/>
      <c r="T2949" s="183"/>
      <c r="U2949" s="183"/>
      <c r="V2949" s="183"/>
      <c r="W2949" s="183"/>
      <c r="X2949" s="183"/>
      <c r="Y2949" s="183"/>
      <c r="Z2949" s="183"/>
      <c r="AA2949" s="183"/>
      <c r="AB2949" s="183"/>
      <c r="AC2949" s="183"/>
    </row>
    <row r="2950" spans="2:29">
      <c r="B2950" s="191"/>
      <c r="D2950" s="183"/>
      <c r="G2950" s="183"/>
      <c r="H2950" s="183"/>
      <c r="J2950" s="907"/>
      <c r="K2950" s="907"/>
      <c r="L2950" s="907"/>
      <c r="M2950" s="907"/>
      <c r="N2950" s="183"/>
      <c r="O2950" s="183"/>
      <c r="P2950" s="183"/>
      <c r="Q2950" s="183"/>
      <c r="R2950" s="183"/>
      <c r="S2950" s="183"/>
      <c r="T2950" s="183"/>
      <c r="U2950" s="183"/>
      <c r="V2950" s="183"/>
      <c r="W2950" s="183"/>
      <c r="X2950" s="183"/>
      <c r="Y2950" s="183"/>
      <c r="Z2950" s="183"/>
      <c r="AA2950" s="183"/>
      <c r="AB2950" s="183"/>
      <c r="AC2950" s="183"/>
    </row>
    <row r="2951" spans="2:29">
      <c r="B2951" s="191"/>
      <c r="D2951" s="183"/>
      <c r="G2951" s="183"/>
      <c r="H2951" s="183"/>
      <c r="J2951" s="907"/>
      <c r="K2951" s="907"/>
      <c r="L2951" s="907"/>
      <c r="M2951" s="907"/>
      <c r="N2951" s="183"/>
      <c r="O2951" s="183"/>
      <c r="P2951" s="183"/>
      <c r="Q2951" s="183"/>
      <c r="R2951" s="183"/>
      <c r="S2951" s="183"/>
      <c r="T2951" s="183"/>
      <c r="U2951" s="183"/>
      <c r="V2951" s="183"/>
      <c r="W2951" s="183"/>
      <c r="X2951" s="183"/>
      <c r="Y2951" s="183"/>
      <c r="Z2951" s="183"/>
      <c r="AA2951" s="183"/>
      <c r="AB2951" s="183"/>
      <c r="AC2951" s="183"/>
    </row>
    <row r="2952" spans="2:29">
      <c r="B2952" s="191"/>
      <c r="D2952" s="183"/>
      <c r="G2952" s="183"/>
      <c r="H2952" s="183"/>
      <c r="J2952" s="907"/>
      <c r="K2952" s="907"/>
      <c r="L2952" s="907"/>
      <c r="M2952" s="907"/>
      <c r="N2952" s="183"/>
      <c r="O2952" s="183"/>
      <c r="P2952" s="183"/>
      <c r="Q2952" s="183"/>
      <c r="R2952" s="183"/>
      <c r="S2952" s="183"/>
      <c r="T2952" s="183"/>
      <c r="U2952" s="183"/>
      <c r="V2952" s="183"/>
      <c r="W2952" s="183"/>
      <c r="X2952" s="183"/>
      <c r="Y2952" s="183"/>
      <c r="Z2952" s="183"/>
      <c r="AA2952" s="183"/>
      <c r="AB2952" s="183"/>
      <c r="AC2952" s="183"/>
    </row>
    <row r="2953" spans="2:29">
      <c r="B2953" s="191"/>
      <c r="D2953" s="183"/>
      <c r="G2953" s="183"/>
      <c r="H2953" s="183"/>
      <c r="J2953" s="907"/>
      <c r="K2953" s="907"/>
      <c r="L2953" s="907"/>
      <c r="M2953" s="907"/>
      <c r="N2953" s="183"/>
      <c r="O2953" s="183"/>
      <c r="P2953" s="183"/>
      <c r="Q2953" s="183"/>
      <c r="R2953" s="183"/>
      <c r="S2953" s="183"/>
      <c r="T2953" s="183"/>
      <c r="U2953" s="183"/>
      <c r="V2953" s="183"/>
      <c r="W2953" s="183"/>
      <c r="X2953" s="183"/>
      <c r="Y2953" s="183"/>
      <c r="Z2953" s="183"/>
      <c r="AA2953" s="183"/>
      <c r="AB2953" s="183"/>
      <c r="AC2953" s="183"/>
    </row>
    <row r="2954" spans="2:29">
      <c r="B2954" s="191"/>
      <c r="D2954" s="183"/>
      <c r="G2954" s="183"/>
      <c r="H2954" s="183"/>
      <c r="J2954" s="907"/>
      <c r="K2954" s="907"/>
      <c r="L2954" s="907"/>
      <c r="M2954" s="907"/>
      <c r="N2954" s="183"/>
      <c r="O2954" s="183"/>
      <c r="P2954" s="183"/>
      <c r="Q2954" s="183"/>
      <c r="R2954" s="183"/>
      <c r="S2954" s="183"/>
      <c r="T2954" s="183"/>
      <c r="U2954" s="183"/>
      <c r="V2954" s="183"/>
      <c r="W2954" s="183"/>
      <c r="X2954" s="183"/>
      <c r="Y2954" s="183"/>
      <c r="Z2954" s="183"/>
      <c r="AA2954" s="183"/>
      <c r="AB2954" s="183"/>
      <c r="AC2954" s="183"/>
    </row>
    <row r="2955" spans="2:29">
      <c r="B2955" s="191"/>
      <c r="D2955" s="183"/>
      <c r="G2955" s="183"/>
      <c r="H2955" s="183"/>
      <c r="J2955" s="907"/>
      <c r="K2955" s="907"/>
      <c r="L2955" s="907"/>
      <c r="M2955" s="907"/>
      <c r="N2955" s="183"/>
      <c r="O2955" s="183"/>
      <c r="P2955" s="183"/>
      <c r="Q2955" s="183"/>
      <c r="R2955" s="183"/>
      <c r="S2955" s="183"/>
      <c r="T2955" s="183"/>
      <c r="U2955" s="183"/>
      <c r="V2955" s="183"/>
      <c r="W2955" s="183"/>
      <c r="X2955" s="183"/>
      <c r="Y2955" s="183"/>
      <c r="Z2955" s="183"/>
      <c r="AA2955" s="183"/>
      <c r="AB2955" s="183"/>
      <c r="AC2955" s="183"/>
    </row>
    <row r="2956" spans="2:29">
      <c r="B2956" s="191"/>
      <c r="D2956" s="183"/>
      <c r="G2956" s="183"/>
      <c r="H2956" s="183"/>
      <c r="J2956" s="907"/>
      <c r="K2956" s="907"/>
      <c r="L2956" s="907"/>
      <c r="M2956" s="907"/>
      <c r="N2956" s="183"/>
      <c r="O2956" s="183"/>
      <c r="P2956" s="183"/>
      <c r="Q2956" s="183"/>
      <c r="R2956" s="183"/>
      <c r="S2956" s="183"/>
      <c r="T2956" s="183"/>
      <c r="U2956" s="183"/>
      <c r="V2956" s="183"/>
      <c r="W2956" s="183"/>
      <c r="X2956" s="183"/>
      <c r="Y2956" s="183"/>
      <c r="Z2956" s="183"/>
      <c r="AA2956" s="183"/>
      <c r="AB2956" s="183"/>
      <c r="AC2956" s="183"/>
    </row>
    <row r="2957" spans="2:29">
      <c r="B2957" s="191"/>
      <c r="D2957" s="183"/>
      <c r="G2957" s="183"/>
      <c r="H2957" s="183"/>
      <c r="J2957" s="907"/>
      <c r="K2957" s="907"/>
      <c r="L2957" s="907"/>
      <c r="M2957" s="907"/>
      <c r="N2957" s="183"/>
      <c r="O2957" s="183"/>
      <c r="P2957" s="183"/>
      <c r="Q2957" s="183"/>
      <c r="R2957" s="183"/>
      <c r="S2957" s="183"/>
      <c r="T2957" s="183"/>
      <c r="U2957" s="183"/>
      <c r="V2957" s="183"/>
      <c r="W2957" s="183"/>
      <c r="X2957" s="183"/>
      <c r="Y2957" s="183"/>
      <c r="Z2957" s="183"/>
      <c r="AA2957" s="183"/>
      <c r="AB2957" s="183"/>
      <c r="AC2957" s="183"/>
    </row>
    <row r="2958" spans="2:29">
      <c r="B2958" s="191"/>
      <c r="D2958" s="183"/>
      <c r="G2958" s="183"/>
      <c r="H2958" s="183"/>
      <c r="J2958" s="907"/>
      <c r="K2958" s="907"/>
      <c r="L2958" s="907"/>
      <c r="M2958" s="907"/>
      <c r="N2958" s="183"/>
      <c r="O2958" s="183"/>
      <c r="P2958" s="183"/>
      <c r="Q2958" s="183"/>
      <c r="R2958" s="183"/>
      <c r="S2958" s="183"/>
      <c r="T2958" s="183"/>
      <c r="U2958" s="183"/>
      <c r="V2958" s="183"/>
      <c r="W2958" s="183"/>
      <c r="X2958" s="183"/>
      <c r="Y2958" s="183"/>
      <c r="Z2958" s="183"/>
      <c r="AA2958" s="183"/>
      <c r="AB2958" s="183"/>
      <c r="AC2958" s="183"/>
    </row>
    <row r="2959" spans="2:29">
      <c r="B2959" s="191"/>
      <c r="D2959" s="183"/>
      <c r="G2959" s="183"/>
      <c r="H2959" s="183"/>
      <c r="J2959" s="907"/>
      <c r="K2959" s="907"/>
      <c r="L2959" s="907"/>
      <c r="M2959" s="907"/>
      <c r="N2959" s="183"/>
      <c r="O2959" s="183"/>
      <c r="P2959" s="183"/>
      <c r="Q2959" s="183"/>
      <c r="R2959" s="183"/>
      <c r="S2959" s="183"/>
      <c r="T2959" s="183"/>
      <c r="U2959" s="183"/>
      <c r="V2959" s="183"/>
      <c r="W2959" s="183"/>
      <c r="X2959" s="183"/>
      <c r="Y2959" s="183"/>
      <c r="Z2959" s="183"/>
      <c r="AA2959" s="183"/>
      <c r="AB2959" s="183"/>
      <c r="AC2959" s="183"/>
    </row>
    <row r="2960" spans="2:29">
      <c r="B2960" s="191"/>
      <c r="D2960" s="183"/>
      <c r="G2960" s="183"/>
      <c r="H2960" s="183"/>
      <c r="J2960" s="907"/>
      <c r="K2960" s="907"/>
      <c r="L2960" s="907"/>
      <c r="M2960" s="907"/>
      <c r="N2960" s="183"/>
      <c r="O2960" s="183"/>
      <c r="P2960" s="183"/>
      <c r="Q2960" s="183"/>
      <c r="R2960" s="183"/>
      <c r="S2960" s="183"/>
      <c r="T2960" s="183"/>
      <c r="U2960" s="183"/>
      <c r="V2960" s="183"/>
      <c r="W2960" s="183"/>
      <c r="X2960" s="183"/>
      <c r="Y2960" s="183"/>
      <c r="Z2960" s="183"/>
      <c r="AA2960" s="183"/>
      <c r="AB2960" s="183"/>
      <c r="AC2960" s="183"/>
    </row>
    <row r="2961" spans="2:29">
      <c r="B2961" s="191"/>
      <c r="D2961" s="183"/>
      <c r="G2961" s="183"/>
      <c r="H2961" s="183"/>
      <c r="J2961" s="907"/>
      <c r="K2961" s="907"/>
      <c r="L2961" s="907"/>
      <c r="M2961" s="907"/>
      <c r="N2961" s="183"/>
      <c r="O2961" s="183"/>
      <c r="P2961" s="183"/>
      <c r="Q2961" s="183"/>
      <c r="R2961" s="183"/>
      <c r="S2961" s="183"/>
      <c r="T2961" s="183"/>
      <c r="U2961" s="183"/>
      <c r="V2961" s="183"/>
      <c r="W2961" s="183"/>
      <c r="X2961" s="183"/>
      <c r="Y2961" s="183"/>
      <c r="Z2961" s="183"/>
      <c r="AA2961" s="183"/>
      <c r="AB2961" s="183"/>
      <c r="AC2961" s="183"/>
    </row>
    <row r="2962" spans="2:29">
      <c r="B2962" s="191"/>
      <c r="D2962" s="183"/>
      <c r="G2962" s="183"/>
      <c r="H2962" s="183"/>
      <c r="J2962" s="907"/>
      <c r="K2962" s="907"/>
      <c r="L2962" s="907"/>
      <c r="M2962" s="907"/>
      <c r="N2962" s="183"/>
      <c r="O2962" s="183"/>
      <c r="P2962" s="183"/>
      <c r="Q2962" s="183"/>
      <c r="R2962" s="183"/>
      <c r="S2962" s="183"/>
      <c r="T2962" s="183"/>
      <c r="U2962" s="183"/>
      <c r="V2962" s="183"/>
      <c r="W2962" s="183"/>
      <c r="X2962" s="183"/>
      <c r="Y2962" s="183"/>
      <c r="Z2962" s="183"/>
      <c r="AA2962" s="183"/>
      <c r="AB2962" s="183"/>
      <c r="AC2962" s="183"/>
    </row>
    <row r="2963" spans="2:29">
      <c r="B2963" s="191"/>
      <c r="D2963" s="183"/>
      <c r="G2963" s="183"/>
      <c r="H2963" s="183"/>
      <c r="J2963" s="907"/>
      <c r="K2963" s="907"/>
      <c r="L2963" s="907"/>
      <c r="M2963" s="907"/>
      <c r="N2963" s="183"/>
      <c r="O2963" s="183"/>
      <c r="P2963" s="183"/>
      <c r="Q2963" s="183"/>
      <c r="R2963" s="183"/>
      <c r="S2963" s="183"/>
      <c r="T2963" s="183"/>
      <c r="U2963" s="183"/>
      <c r="V2963" s="183"/>
      <c r="W2963" s="183"/>
      <c r="X2963" s="183"/>
      <c r="Y2963" s="183"/>
      <c r="Z2963" s="183"/>
      <c r="AA2963" s="183"/>
      <c r="AB2963" s="183"/>
      <c r="AC2963" s="183"/>
    </row>
    <row r="2964" spans="2:29">
      <c r="B2964" s="191"/>
      <c r="D2964" s="183"/>
      <c r="G2964" s="183"/>
      <c r="H2964" s="183"/>
      <c r="J2964" s="907"/>
      <c r="K2964" s="907"/>
      <c r="L2964" s="907"/>
      <c r="M2964" s="907"/>
      <c r="N2964" s="183"/>
      <c r="O2964" s="183"/>
      <c r="P2964" s="183"/>
      <c r="Q2964" s="183"/>
      <c r="R2964" s="183"/>
      <c r="S2964" s="183"/>
      <c r="T2964" s="183"/>
      <c r="U2964" s="183"/>
      <c r="V2964" s="183"/>
      <c r="W2964" s="183"/>
      <c r="X2964" s="183"/>
      <c r="Y2964" s="183"/>
      <c r="Z2964" s="183"/>
      <c r="AA2964" s="183"/>
      <c r="AB2964" s="183"/>
      <c r="AC2964" s="183"/>
    </row>
    <row r="2965" spans="2:29">
      <c r="B2965" s="191"/>
      <c r="D2965" s="183"/>
      <c r="G2965" s="183"/>
      <c r="H2965" s="183"/>
      <c r="J2965" s="907"/>
      <c r="K2965" s="907"/>
      <c r="L2965" s="907"/>
      <c r="M2965" s="907"/>
      <c r="N2965" s="183"/>
      <c r="O2965" s="183"/>
      <c r="P2965" s="183"/>
      <c r="Q2965" s="183"/>
      <c r="R2965" s="183"/>
      <c r="S2965" s="183"/>
      <c r="T2965" s="183"/>
      <c r="U2965" s="183"/>
      <c r="V2965" s="183"/>
      <c r="W2965" s="183"/>
      <c r="X2965" s="183"/>
      <c r="Y2965" s="183"/>
      <c r="Z2965" s="183"/>
      <c r="AA2965" s="183"/>
      <c r="AB2965" s="183"/>
      <c r="AC2965" s="183"/>
    </row>
    <row r="2966" spans="2:29">
      <c r="B2966" s="191"/>
      <c r="D2966" s="183"/>
      <c r="G2966" s="183"/>
      <c r="H2966" s="183"/>
      <c r="J2966" s="907"/>
      <c r="K2966" s="907"/>
      <c r="L2966" s="907"/>
      <c r="M2966" s="907"/>
      <c r="N2966" s="183"/>
      <c r="O2966" s="183"/>
      <c r="P2966" s="183"/>
      <c r="Q2966" s="183"/>
      <c r="R2966" s="183"/>
      <c r="S2966" s="183"/>
      <c r="T2966" s="183"/>
      <c r="U2966" s="183"/>
      <c r="V2966" s="183"/>
      <c r="W2966" s="183"/>
      <c r="X2966" s="183"/>
      <c r="Y2966" s="183"/>
      <c r="Z2966" s="183"/>
      <c r="AA2966" s="183"/>
      <c r="AB2966" s="183"/>
      <c r="AC2966" s="183"/>
    </row>
    <row r="2967" spans="2:29">
      <c r="B2967" s="191"/>
      <c r="D2967" s="183"/>
      <c r="G2967" s="183"/>
      <c r="H2967" s="183"/>
      <c r="J2967" s="907"/>
      <c r="K2967" s="907"/>
      <c r="L2967" s="907"/>
      <c r="M2967" s="907"/>
      <c r="N2967" s="183"/>
      <c r="O2967" s="183"/>
      <c r="P2967" s="183"/>
      <c r="Q2967" s="183"/>
      <c r="R2967" s="183"/>
      <c r="S2967" s="183"/>
      <c r="T2967" s="183"/>
      <c r="U2967" s="183"/>
      <c r="V2967" s="183"/>
      <c r="W2967" s="183"/>
      <c r="X2967" s="183"/>
      <c r="Y2967" s="183"/>
      <c r="Z2967" s="183"/>
      <c r="AA2967" s="183"/>
      <c r="AB2967" s="183"/>
      <c r="AC2967" s="183"/>
    </row>
    <row r="2968" spans="2:29">
      <c r="B2968" s="191"/>
      <c r="D2968" s="183"/>
      <c r="G2968" s="183"/>
      <c r="H2968" s="183"/>
      <c r="J2968" s="907"/>
      <c r="K2968" s="907"/>
      <c r="L2968" s="907"/>
      <c r="M2968" s="907"/>
      <c r="N2968" s="183"/>
      <c r="O2968" s="183"/>
      <c r="P2968" s="183"/>
      <c r="Q2968" s="183"/>
      <c r="R2968" s="183"/>
      <c r="S2968" s="183"/>
      <c r="T2968" s="183"/>
      <c r="U2968" s="183"/>
      <c r="V2968" s="183"/>
      <c r="W2968" s="183"/>
      <c r="X2968" s="183"/>
      <c r="Y2968" s="183"/>
      <c r="Z2968" s="183"/>
      <c r="AA2968" s="183"/>
      <c r="AB2968" s="183"/>
      <c r="AC2968" s="183"/>
    </row>
    <row r="2969" spans="2:29">
      <c r="B2969" s="191"/>
      <c r="D2969" s="183"/>
      <c r="G2969" s="183"/>
      <c r="H2969" s="183"/>
      <c r="J2969" s="907"/>
      <c r="K2969" s="907"/>
      <c r="L2969" s="907"/>
      <c r="M2969" s="907"/>
      <c r="N2969" s="183"/>
      <c r="O2969" s="183"/>
      <c r="P2969" s="183"/>
      <c r="Q2969" s="183"/>
      <c r="R2969" s="183"/>
      <c r="S2969" s="183"/>
      <c r="T2969" s="183"/>
      <c r="U2969" s="183"/>
      <c r="V2969" s="183"/>
      <c r="W2969" s="183"/>
      <c r="X2969" s="183"/>
      <c r="Y2969" s="183"/>
      <c r="Z2969" s="183"/>
      <c r="AA2969" s="183"/>
      <c r="AB2969" s="183"/>
      <c r="AC2969" s="183"/>
    </row>
    <row r="2970" spans="2:29">
      <c r="B2970" s="191"/>
      <c r="D2970" s="183"/>
      <c r="G2970" s="183"/>
      <c r="H2970" s="183"/>
      <c r="J2970" s="907"/>
      <c r="K2970" s="907"/>
      <c r="L2970" s="907"/>
      <c r="M2970" s="907"/>
      <c r="N2970" s="183"/>
      <c r="O2970" s="183"/>
      <c r="P2970" s="183"/>
      <c r="Q2970" s="183"/>
      <c r="R2970" s="183"/>
      <c r="S2970" s="183"/>
      <c r="T2970" s="183"/>
      <c r="U2970" s="183"/>
      <c r="V2970" s="183"/>
      <c r="W2970" s="183"/>
      <c r="X2970" s="183"/>
      <c r="Y2970" s="183"/>
      <c r="Z2970" s="183"/>
      <c r="AA2970" s="183"/>
      <c r="AB2970" s="183"/>
      <c r="AC2970" s="183"/>
    </row>
    <row r="2971" spans="2:29">
      <c r="B2971" s="191"/>
      <c r="D2971" s="183"/>
      <c r="G2971" s="183"/>
      <c r="H2971" s="183"/>
      <c r="J2971" s="907"/>
      <c r="K2971" s="907"/>
      <c r="L2971" s="907"/>
      <c r="M2971" s="907"/>
      <c r="N2971" s="183"/>
      <c r="O2971" s="183"/>
      <c r="P2971" s="183"/>
      <c r="Q2971" s="183"/>
      <c r="R2971" s="183"/>
      <c r="S2971" s="183"/>
      <c r="T2971" s="183"/>
      <c r="U2971" s="183"/>
      <c r="V2971" s="183"/>
      <c r="W2971" s="183"/>
      <c r="X2971" s="183"/>
      <c r="Y2971" s="183"/>
      <c r="Z2971" s="183"/>
      <c r="AA2971" s="183"/>
      <c r="AB2971" s="183"/>
      <c r="AC2971" s="183"/>
    </row>
    <row r="2972" spans="2:29">
      <c r="B2972" s="191"/>
      <c r="D2972" s="183"/>
      <c r="G2972" s="183"/>
      <c r="H2972" s="183"/>
      <c r="J2972" s="907"/>
      <c r="K2972" s="907"/>
      <c r="L2972" s="907"/>
      <c r="M2972" s="907"/>
      <c r="N2972" s="183"/>
      <c r="O2972" s="183"/>
      <c r="P2972" s="183"/>
      <c r="Q2972" s="183"/>
      <c r="R2972" s="183"/>
      <c r="S2972" s="183"/>
      <c r="T2972" s="183"/>
      <c r="U2972" s="183"/>
      <c r="V2972" s="183"/>
      <c r="W2972" s="183"/>
      <c r="X2972" s="183"/>
      <c r="Y2972" s="183"/>
      <c r="Z2972" s="183"/>
      <c r="AA2972" s="183"/>
      <c r="AB2972" s="183"/>
      <c r="AC2972" s="183"/>
    </row>
    <row r="2973" spans="2:29">
      <c r="B2973" s="191"/>
      <c r="D2973" s="183"/>
      <c r="G2973" s="183"/>
      <c r="H2973" s="183"/>
      <c r="J2973" s="907"/>
      <c r="K2973" s="907"/>
      <c r="L2973" s="907"/>
      <c r="M2973" s="907"/>
      <c r="N2973" s="183"/>
      <c r="O2973" s="183"/>
      <c r="P2973" s="183"/>
      <c r="Q2973" s="183"/>
      <c r="R2973" s="183"/>
      <c r="S2973" s="183"/>
      <c r="T2973" s="183"/>
      <c r="U2973" s="183"/>
      <c r="V2973" s="183"/>
      <c r="W2973" s="183"/>
      <c r="X2973" s="183"/>
      <c r="Y2973" s="183"/>
      <c r="Z2973" s="183"/>
      <c r="AA2973" s="183"/>
      <c r="AB2973" s="183"/>
      <c r="AC2973" s="183"/>
    </row>
    <row r="2974" spans="2:29">
      <c r="B2974" s="191"/>
      <c r="D2974" s="183"/>
      <c r="G2974" s="183"/>
      <c r="H2974" s="183"/>
      <c r="J2974" s="907"/>
      <c r="K2974" s="907"/>
      <c r="L2974" s="907"/>
      <c r="M2974" s="907"/>
      <c r="N2974" s="183"/>
      <c r="O2974" s="183"/>
      <c r="P2974" s="183"/>
      <c r="Q2974" s="183"/>
      <c r="R2974" s="183"/>
      <c r="S2974" s="183"/>
      <c r="T2974" s="183"/>
      <c r="U2974" s="183"/>
      <c r="V2974" s="183"/>
      <c r="W2974" s="183"/>
      <c r="X2974" s="183"/>
      <c r="Y2974" s="183"/>
      <c r="Z2974" s="183"/>
      <c r="AA2974" s="183"/>
      <c r="AB2974" s="183"/>
      <c r="AC2974" s="183"/>
    </row>
    <row r="2975" spans="2:29">
      <c r="B2975" s="191"/>
      <c r="D2975" s="183"/>
      <c r="G2975" s="183"/>
      <c r="H2975" s="183"/>
      <c r="J2975" s="907"/>
      <c r="K2975" s="907"/>
      <c r="L2975" s="907"/>
      <c r="M2975" s="907"/>
      <c r="N2975" s="183"/>
      <c r="O2975" s="183"/>
      <c r="P2975" s="183"/>
      <c r="Q2975" s="183"/>
      <c r="R2975" s="183"/>
      <c r="S2975" s="183"/>
      <c r="T2975" s="183"/>
      <c r="U2975" s="183"/>
      <c r="V2975" s="183"/>
      <c r="W2975" s="183"/>
      <c r="X2975" s="183"/>
      <c r="Y2975" s="183"/>
      <c r="Z2975" s="183"/>
      <c r="AA2975" s="183"/>
      <c r="AB2975" s="183"/>
      <c r="AC2975" s="183"/>
    </row>
    <row r="2976" spans="2:29">
      <c r="B2976" s="191"/>
      <c r="D2976" s="183"/>
      <c r="G2976" s="183"/>
      <c r="H2976" s="183"/>
      <c r="J2976" s="907"/>
      <c r="K2976" s="907"/>
      <c r="L2976" s="907"/>
      <c r="M2976" s="907"/>
      <c r="N2976" s="183"/>
      <c r="O2976" s="183"/>
      <c r="P2976" s="183"/>
      <c r="Q2976" s="183"/>
      <c r="R2976" s="183"/>
      <c r="S2976" s="183"/>
      <c r="T2976" s="183"/>
      <c r="U2976" s="183"/>
      <c r="V2976" s="183"/>
      <c r="W2976" s="183"/>
      <c r="X2976" s="183"/>
      <c r="Y2976" s="183"/>
      <c r="Z2976" s="183"/>
      <c r="AA2976" s="183"/>
      <c r="AB2976" s="183"/>
      <c r="AC2976" s="183"/>
    </row>
    <row r="2977" spans="2:29">
      <c r="B2977" s="191"/>
      <c r="D2977" s="183"/>
      <c r="G2977" s="183"/>
      <c r="H2977" s="183"/>
      <c r="J2977" s="907"/>
      <c r="K2977" s="907"/>
      <c r="L2977" s="907"/>
      <c r="M2977" s="907"/>
      <c r="N2977" s="183"/>
      <c r="O2977" s="183"/>
      <c r="P2977" s="183"/>
      <c r="Q2977" s="183"/>
      <c r="R2977" s="183"/>
      <c r="S2977" s="183"/>
      <c r="T2977" s="183"/>
      <c r="U2977" s="183"/>
      <c r="V2977" s="183"/>
      <c r="W2977" s="183"/>
      <c r="X2977" s="183"/>
      <c r="Y2977" s="183"/>
      <c r="Z2977" s="183"/>
      <c r="AA2977" s="183"/>
      <c r="AB2977" s="183"/>
      <c r="AC2977" s="183"/>
    </row>
    <row r="2978" spans="2:29">
      <c r="B2978" s="191"/>
      <c r="D2978" s="183"/>
      <c r="G2978" s="183"/>
      <c r="H2978" s="183"/>
      <c r="J2978" s="907"/>
      <c r="K2978" s="907"/>
      <c r="L2978" s="907"/>
      <c r="M2978" s="907"/>
      <c r="N2978" s="183"/>
      <c r="O2978" s="183"/>
      <c r="P2978" s="183"/>
      <c r="Q2978" s="183"/>
      <c r="R2978" s="183"/>
      <c r="S2978" s="183"/>
      <c r="T2978" s="183"/>
      <c r="U2978" s="183"/>
      <c r="V2978" s="183"/>
      <c r="W2978" s="183"/>
      <c r="X2978" s="183"/>
      <c r="Y2978" s="183"/>
      <c r="Z2978" s="183"/>
      <c r="AA2978" s="183"/>
      <c r="AB2978" s="183"/>
      <c r="AC2978" s="183"/>
    </row>
    <row r="2979" spans="2:29">
      <c r="B2979" s="191"/>
      <c r="D2979" s="183"/>
      <c r="G2979" s="183"/>
      <c r="H2979" s="183"/>
      <c r="J2979" s="907"/>
      <c r="K2979" s="907"/>
      <c r="L2979" s="907"/>
      <c r="M2979" s="907"/>
      <c r="N2979" s="183"/>
      <c r="O2979" s="183"/>
      <c r="P2979" s="183"/>
      <c r="Q2979" s="183"/>
      <c r="R2979" s="183"/>
      <c r="S2979" s="183"/>
      <c r="T2979" s="183"/>
      <c r="U2979" s="183"/>
      <c r="V2979" s="183"/>
      <c r="W2979" s="183"/>
      <c r="X2979" s="183"/>
      <c r="Y2979" s="183"/>
      <c r="Z2979" s="183"/>
      <c r="AA2979" s="183"/>
      <c r="AB2979" s="183"/>
      <c r="AC2979" s="183"/>
    </row>
    <row r="2980" spans="2:29">
      <c r="B2980" s="191"/>
      <c r="D2980" s="183"/>
      <c r="G2980" s="183"/>
      <c r="H2980" s="183"/>
      <c r="J2980" s="907"/>
      <c r="K2980" s="907"/>
      <c r="L2980" s="907"/>
      <c r="M2980" s="907"/>
      <c r="N2980" s="183"/>
      <c r="O2980" s="183"/>
      <c r="P2980" s="183"/>
      <c r="Q2980" s="183"/>
      <c r="R2980" s="183"/>
      <c r="S2980" s="183"/>
      <c r="T2980" s="183"/>
      <c r="U2980" s="183"/>
      <c r="V2980" s="183"/>
      <c r="W2980" s="183"/>
      <c r="X2980" s="183"/>
      <c r="Y2980" s="183"/>
      <c r="Z2980" s="183"/>
      <c r="AA2980" s="183"/>
      <c r="AB2980" s="183"/>
      <c r="AC2980" s="183"/>
    </row>
    <row r="2981" spans="2:29">
      <c r="B2981" s="191"/>
      <c r="D2981" s="183"/>
      <c r="G2981" s="183"/>
      <c r="H2981" s="183"/>
      <c r="J2981" s="907"/>
      <c r="K2981" s="907"/>
      <c r="L2981" s="907"/>
      <c r="M2981" s="907"/>
      <c r="N2981" s="183"/>
      <c r="O2981" s="183"/>
      <c r="P2981" s="183"/>
      <c r="Q2981" s="183"/>
      <c r="R2981" s="183"/>
      <c r="S2981" s="183"/>
      <c r="T2981" s="183"/>
      <c r="U2981" s="183"/>
      <c r="V2981" s="183"/>
      <c r="W2981" s="183"/>
      <c r="X2981" s="183"/>
      <c r="Y2981" s="183"/>
      <c r="Z2981" s="183"/>
      <c r="AA2981" s="183"/>
      <c r="AB2981" s="183"/>
      <c r="AC2981" s="183"/>
    </row>
    <row r="2982" spans="2:29">
      <c r="B2982" s="191"/>
      <c r="D2982" s="183"/>
      <c r="G2982" s="183"/>
      <c r="H2982" s="183"/>
      <c r="J2982" s="907"/>
      <c r="K2982" s="907"/>
      <c r="L2982" s="907"/>
      <c r="M2982" s="907"/>
      <c r="N2982" s="183"/>
      <c r="O2982" s="183"/>
      <c r="P2982" s="183"/>
      <c r="Q2982" s="183"/>
      <c r="R2982" s="183"/>
      <c r="S2982" s="183"/>
      <c r="T2982" s="183"/>
      <c r="U2982" s="183"/>
      <c r="V2982" s="183"/>
      <c r="W2982" s="183"/>
      <c r="X2982" s="183"/>
      <c r="Y2982" s="183"/>
      <c r="Z2982" s="183"/>
      <c r="AA2982" s="183"/>
      <c r="AB2982" s="183"/>
      <c r="AC2982" s="183"/>
    </row>
    <row r="2983" spans="2:29">
      <c r="B2983" s="191"/>
      <c r="D2983" s="183"/>
      <c r="G2983" s="183"/>
      <c r="H2983" s="183"/>
      <c r="J2983" s="907"/>
      <c r="K2983" s="907"/>
      <c r="L2983" s="907"/>
      <c r="M2983" s="907"/>
      <c r="N2983" s="183"/>
      <c r="O2983" s="183"/>
      <c r="P2983" s="183"/>
      <c r="Q2983" s="183"/>
      <c r="R2983" s="183"/>
      <c r="S2983" s="183"/>
      <c r="T2983" s="183"/>
      <c r="U2983" s="183"/>
      <c r="V2983" s="183"/>
      <c r="W2983" s="183"/>
      <c r="X2983" s="183"/>
      <c r="Y2983" s="183"/>
      <c r="Z2983" s="183"/>
      <c r="AA2983" s="183"/>
      <c r="AB2983" s="183"/>
      <c r="AC2983" s="183"/>
    </row>
    <row r="2984" spans="2:29">
      <c r="B2984" s="191"/>
      <c r="D2984" s="183"/>
      <c r="G2984" s="183"/>
      <c r="H2984" s="183"/>
      <c r="J2984" s="907"/>
      <c r="K2984" s="907"/>
      <c r="L2984" s="907"/>
      <c r="M2984" s="907"/>
      <c r="N2984" s="183"/>
      <c r="O2984" s="183"/>
      <c r="P2984" s="183"/>
      <c r="Q2984" s="183"/>
      <c r="R2984" s="183"/>
      <c r="S2984" s="183"/>
      <c r="T2984" s="183"/>
      <c r="U2984" s="183"/>
      <c r="V2984" s="183"/>
      <c r="W2984" s="183"/>
      <c r="X2984" s="183"/>
      <c r="Y2984" s="183"/>
      <c r="Z2984" s="183"/>
      <c r="AA2984" s="183"/>
      <c r="AB2984" s="183"/>
      <c r="AC2984" s="183"/>
    </row>
    <row r="2985" spans="2:29">
      <c r="B2985" s="191"/>
      <c r="D2985" s="183"/>
      <c r="G2985" s="183"/>
      <c r="H2985" s="183"/>
      <c r="J2985" s="907"/>
      <c r="K2985" s="907"/>
      <c r="L2985" s="907"/>
      <c r="M2985" s="907"/>
      <c r="N2985" s="183"/>
      <c r="O2985" s="183"/>
      <c r="P2985" s="183"/>
      <c r="Q2985" s="183"/>
      <c r="R2985" s="183"/>
      <c r="S2985" s="183"/>
      <c r="T2985" s="183"/>
      <c r="U2985" s="183"/>
      <c r="V2985" s="183"/>
      <c r="W2985" s="183"/>
      <c r="X2985" s="183"/>
      <c r="Y2985" s="183"/>
      <c r="Z2985" s="183"/>
      <c r="AA2985" s="183"/>
      <c r="AB2985" s="183"/>
      <c r="AC2985" s="183"/>
    </row>
    <row r="2986" spans="2:29">
      <c r="B2986" s="191"/>
      <c r="D2986" s="183"/>
      <c r="G2986" s="183"/>
      <c r="H2986" s="183"/>
      <c r="J2986" s="907"/>
      <c r="K2986" s="907"/>
      <c r="L2986" s="907"/>
      <c r="M2986" s="907"/>
      <c r="N2986" s="183"/>
      <c r="O2986" s="183"/>
      <c r="P2986" s="183"/>
      <c r="Q2986" s="183"/>
      <c r="R2986" s="183"/>
      <c r="S2986" s="183"/>
      <c r="T2986" s="183"/>
      <c r="U2986" s="183"/>
      <c r="V2986" s="183"/>
      <c r="W2986" s="183"/>
      <c r="X2986" s="183"/>
      <c r="Y2986" s="183"/>
      <c r="Z2986" s="183"/>
      <c r="AA2986" s="183"/>
      <c r="AB2986" s="183"/>
      <c r="AC2986" s="183"/>
    </row>
    <row r="2987" spans="2:29">
      <c r="B2987" s="191"/>
      <c r="D2987" s="183"/>
      <c r="G2987" s="183"/>
      <c r="H2987" s="183"/>
      <c r="J2987" s="907"/>
      <c r="K2987" s="907"/>
      <c r="L2987" s="907"/>
      <c r="M2987" s="907"/>
      <c r="N2987" s="183"/>
      <c r="O2987" s="183"/>
      <c r="P2987" s="183"/>
      <c r="Q2987" s="183"/>
      <c r="R2987" s="183"/>
      <c r="S2987" s="183"/>
      <c r="T2987" s="183"/>
      <c r="U2987" s="183"/>
      <c r="V2987" s="183"/>
      <c r="W2987" s="183"/>
      <c r="X2987" s="183"/>
      <c r="Y2987" s="183"/>
      <c r="Z2987" s="183"/>
      <c r="AA2987" s="183"/>
      <c r="AB2987" s="183"/>
      <c r="AC2987" s="183"/>
    </row>
    <row r="2988" spans="2:29">
      <c r="B2988" s="191"/>
      <c r="D2988" s="183"/>
      <c r="G2988" s="183"/>
      <c r="H2988" s="183"/>
      <c r="J2988" s="907"/>
      <c r="K2988" s="907"/>
      <c r="L2988" s="907"/>
      <c r="M2988" s="907"/>
      <c r="N2988" s="183"/>
      <c r="O2988" s="183"/>
      <c r="P2988" s="183"/>
      <c r="Q2988" s="183"/>
      <c r="R2988" s="183"/>
      <c r="S2988" s="183"/>
      <c r="T2988" s="183"/>
      <c r="U2988" s="183"/>
      <c r="V2988" s="183"/>
      <c r="W2988" s="183"/>
      <c r="X2988" s="183"/>
      <c r="Y2988" s="183"/>
      <c r="Z2988" s="183"/>
      <c r="AA2988" s="183"/>
      <c r="AB2988" s="183"/>
      <c r="AC2988" s="183"/>
    </row>
    <row r="2989" spans="2:29">
      <c r="B2989" s="191"/>
      <c r="D2989" s="183"/>
      <c r="G2989" s="183"/>
      <c r="H2989" s="183"/>
      <c r="J2989" s="907"/>
      <c r="K2989" s="907"/>
      <c r="L2989" s="907"/>
      <c r="M2989" s="907"/>
      <c r="N2989" s="183"/>
      <c r="O2989" s="183"/>
      <c r="P2989" s="183"/>
      <c r="Q2989" s="183"/>
      <c r="R2989" s="183"/>
      <c r="S2989" s="183"/>
      <c r="T2989" s="183"/>
      <c r="U2989" s="183"/>
      <c r="V2989" s="183"/>
      <c r="W2989" s="183"/>
      <c r="X2989" s="183"/>
      <c r="Y2989" s="183"/>
      <c r="Z2989" s="183"/>
      <c r="AA2989" s="183"/>
      <c r="AB2989" s="183"/>
      <c r="AC2989" s="183"/>
    </row>
    <row r="2990" spans="2:29">
      <c r="B2990" s="191"/>
      <c r="D2990" s="183"/>
      <c r="G2990" s="183"/>
      <c r="H2990" s="183"/>
      <c r="J2990" s="907"/>
      <c r="K2990" s="907"/>
      <c r="L2990" s="907"/>
      <c r="M2990" s="907"/>
      <c r="N2990" s="183"/>
      <c r="O2990" s="183"/>
      <c r="P2990" s="183"/>
      <c r="Q2990" s="183"/>
      <c r="R2990" s="183"/>
      <c r="S2990" s="183"/>
      <c r="T2990" s="183"/>
      <c r="U2990" s="183"/>
      <c r="V2990" s="183"/>
      <c r="W2990" s="183"/>
      <c r="X2990" s="183"/>
      <c r="Y2990" s="183"/>
      <c r="Z2990" s="183"/>
      <c r="AA2990" s="183"/>
      <c r="AB2990" s="183"/>
      <c r="AC2990" s="183"/>
    </row>
    <row r="2991" spans="2:29">
      <c r="B2991" s="191"/>
      <c r="D2991" s="183"/>
      <c r="G2991" s="183"/>
      <c r="H2991" s="183"/>
      <c r="J2991" s="907"/>
      <c r="K2991" s="907"/>
      <c r="L2991" s="907"/>
      <c r="M2991" s="907"/>
      <c r="N2991" s="183"/>
      <c r="O2991" s="183"/>
      <c r="P2991" s="183"/>
      <c r="Q2991" s="183"/>
      <c r="R2991" s="183"/>
      <c r="S2991" s="183"/>
      <c r="T2991" s="183"/>
      <c r="U2991" s="183"/>
      <c r="V2991" s="183"/>
      <c r="W2991" s="183"/>
      <c r="X2991" s="183"/>
      <c r="Y2991" s="183"/>
      <c r="Z2991" s="183"/>
      <c r="AA2991" s="183"/>
      <c r="AB2991" s="183"/>
      <c r="AC2991" s="183"/>
    </row>
    <row r="2992" spans="2:29">
      <c r="B2992" s="191"/>
      <c r="D2992" s="183"/>
      <c r="G2992" s="183"/>
      <c r="H2992" s="183"/>
      <c r="J2992" s="907"/>
      <c r="K2992" s="907"/>
      <c r="L2992" s="907"/>
      <c r="M2992" s="907"/>
      <c r="N2992" s="183"/>
      <c r="O2992" s="183"/>
      <c r="P2992" s="183"/>
      <c r="Q2992" s="183"/>
      <c r="R2992" s="183"/>
      <c r="S2992" s="183"/>
      <c r="T2992" s="183"/>
      <c r="U2992" s="183"/>
      <c r="V2992" s="183"/>
      <c r="W2992" s="183"/>
      <c r="X2992" s="183"/>
      <c r="Y2992" s="183"/>
      <c r="Z2992" s="183"/>
      <c r="AA2992" s="183"/>
      <c r="AB2992" s="183"/>
      <c r="AC2992" s="183"/>
    </row>
    <row r="2993" spans="2:29">
      <c r="B2993" s="191"/>
      <c r="D2993" s="183"/>
      <c r="G2993" s="183"/>
      <c r="H2993" s="183"/>
      <c r="J2993" s="907"/>
      <c r="K2993" s="907"/>
      <c r="L2993" s="907"/>
      <c r="M2993" s="907"/>
      <c r="N2993" s="183"/>
      <c r="O2993" s="183"/>
      <c r="P2993" s="183"/>
      <c r="Q2993" s="183"/>
      <c r="R2993" s="183"/>
      <c r="S2993" s="183"/>
      <c r="T2993" s="183"/>
      <c r="U2993" s="183"/>
      <c r="V2993" s="183"/>
      <c r="W2993" s="183"/>
      <c r="X2993" s="183"/>
      <c r="Y2993" s="183"/>
      <c r="Z2993" s="183"/>
      <c r="AA2993" s="183"/>
      <c r="AB2993" s="183"/>
      <c r="AC2993" s="183"/>
    </row>
    <row r="2994" spans="2:29">
      <c r="B2994" s="191"/>
      <c r="D2994" s="183"/>
      <c r="G2994" s="183"/>
      <c r="H2994" s="183"/>
      <c r="J2994" s="907"/>
      <c r="K2994" s="907"/>
      <c r="L2994" s="907"/>
      <c r="M2994" s="907"/>
      <c r="N2994" s="183"/>
      <c r="O2994" s="183"/>
      <c r="P2994" s="183"/>
      <c r="Q2994" s="183"/>
      <c r="R2994" s="183"/>
      <c r="S2994" s="183"/>
      <c r="T2994" s="183"/>
      <c r="U2994" s="183"/>
      <c r="V2994" s="183"/>
      <c r="W2994" s="183"/>
      <c r="X2994" s="183"/>
      <c r="Y2994" s="183"/>
      <c r="Z2994" s="183"/>
      <c r="AA2994" s="183"/>
      <c r="AB2994" s="183"/>
      <c r="AC2994" s="183"/>
    </row>
    <row r="2995" spans="2:29">
      <c r="B2995" s="191"/>
      <c r="D2995" s="183"/>
      <c r="G2995" s="183"/>
      <c r="H2995" s="183"/>
      <c r="J2995" s="907"/>
      <c r="K2995" s="907"/>
      <c r="L2995" s="907"/>
      <c r="M2995" s="907"/>
      <c r="N2995" s="183"/>
      <c r="O2995" s="183"/>
      <c r="P2995" s="183"/>
      <c r="Q2995" s="183"/>
      <c r="R2995" s="183"/>
      <c r="S2995" s="183"/>
      <c r="T2995" s="183"/>
      <c r="U2995" s="183"/>
      <c r="V2995" s="183"/>
      <c r="W2995" s="183"/>
      <c r="X2995" s="183"/>
      <c r="Y2995" s="183"/>
      <c r="Z2995" s="183"/>
      <c r="AA2995" s="183"/>
      <c r="AB2995" s="183"/>
      <c r="AC2995" s="183"/>
    </row>
    <row r="2996" spans="2:29">
      <c r="B2996" s="191"/>
      <c r="D2996" s="183"/>
      <c r="G2996" s="183"/>
      <c r="H2996" s="183"/>
      <c r="J2996" s="907"/>
      <c r="K2996" s="907"/>
      <c r="L2996" s="907"/>
      <c r="M2996" s="907"/>
      <c r="N2996" s="183"/>
      <c r="O2996" s="183"/>
      <c r="P2996" s="183"/>
      <c r="Q2996" s="183"/>
      <c r="R2996" s="183"/>
      <c r="S2996" s="183"/>
      <c r="T2996" s="183"/>
      <c r="U2996" s="183"/>
      <c r="V2996" s="183"/>
      <c r="W2996" s="183"/>
      <c r="X2996" s="183"/>
      <c r="Y2996" s="183"/>
      <c r="Z2996" s="183"/>
      <c r="AA2996" s="183"/>
      <c r="AB2996" s="183"/>
      <c r="AC2996" s="183"/>
    </row>
    <row r="2997" spans="2:29">
      <c r="B2997" s="191"/>
      <c r="D2997" s="183"/>
      <c r="G2997" s="183"/>
      <c r="H2997" s="183"/>
      <c r="J2997" s="907"/>
      <c r="K2997" s="907"/>
      <c r="L2997" s="907"/>
      <c r="M2997" s="907"/>
      <c r="N2997" s="183"/>
      <c r="O2997" s="183"/>
      <c r="P2997" s="183"/>
      <c r="Q2997" s="183"/>
      <c r="R2997" s="183"/>
      <c r="S2997" s="183"/>
      <c r="T2997" s="183"/>
      <c r="U2997" s="183"/>
      <c r="V2997" s="183"/>
      <c r="W2997" s="183"/>
      <c r="X2997" s="183"/>
      <c r="Y2997" s="183"/>
      <c r="Z2997" s="183"/>
      <c r="AA2997" s="183"/>
      <c r="AB2997" s="183"/>
      <c r="AC2997" s="183"/>
    </row>
    <row r="2998" spans="2:29">
      <c r="B2998" s="191"/>
      <c r="D2998" s="183"/>
      <c r="G2998" s="183"/>
      <c r="H2998" s="183"/>
      <c r="J2998" s="907"/>
      <c r="K2998" s="907"/>
      <c r="L2998" s="907"/>
      <c r="M2998" s="907"/>
      <c r="N2998" s="183"/>
      <c r="O2998" s="183"/>
      <c r="P2998" s="183"/>
      <c r="Q2998" s="183"/>
      <c r="R2998" s="183"/>
      <c r="S2998" s="183"/>
      <c r="T2998" s="183"/>
      <c r="U2998" s="183"/>
      <c r="V2998" s="183"/>
      <c r="W2998" s="183"/>
      <c r="X2998" s="183"/>
      <c r="Y2998" s="183"/>
      <c r="Z2998" s="183"/>
      <c r="AA2998" s="183"/>
      <c r="AB2998" s="183"/>
      <c r="AC2998" s="183"/>
    </row>
    <row r="2999" spans="2:29">
      <c r="B2999" s="191"/>
      <c r="D2999" s="183"/>
      <c r="G2999" s="183"/>
      <c r="H2999" s="183"/>
      <c r="J2999" s="907"/>
      <c r="K2999" s="907"/>
      <c r="L2999" s="907"/>
      <c r="M2999" s="907"/>
      <c r="N2999" s="183"/>
      <c r="O2999" s="183"/>
      <c r="P2999" s="183"/>
      <c r="Q2999" s="183"/>
      <c r="R2999" s="183"/>
      <c r="S2999" s="183"/>
      <c r="T2999" s="183"/>
      <c r="U2999" s="183"/>
      <c r="V2999" s="183"/>
      <c r="W2999" s="183"/>
      <c r="X2999" s="183"/>
      <c r="Y2999" s="183"/>
      <c r="Z2999" s="183"/>
      <c r="AA2999" s="183"/>
      <c r="AB2999" s="183"/>
      <c r="AC2999" s="183"/>
    </row>
    <row r="3000" spans="2:29">
      <c r="B3000" s="191"/>
      <c r="D3000" s="183"/>
      <c r="G3000" s="183"/>
      <c r="H3000" s="183"/>
      <c r="J3000" s="907"/>
      <c r="K3000" s="907"/>
      <c r="L3000" s="907"/>
      <c r="M3000" s="907"/>
      <c r="N3000" s="183"/>
      <c r="O3000" s="183"/>
      <c r="P3000" s="183"/>
      <c r="Q3000" s="183"/>
      <c r="R3000" s="183"/>
      <c r="S3000" s="183"/>
      <c r="T3000" s="183"/>
      <c r="U3000" s="183"/>
      <c r="V3000" s="183"/>
      <c r="W3000" s="183"/>
      <c r="X3000" s="183"/>
      <c r="Y3000" s="183"/>
      <c r="Z3000" s="183"/>
      <c r="AA3000" s="183"/>
      <c r="AB3000" s="183"/>
      <c r="AC3000" s="183"/>
    </row>
    <row r="3001" spans="2:29">
      <c r="B3001" s="191"/>
      <c r="D3001" s="183"/>
      <c r="G3001" s="183"/>
      <c r="H3001" s="183"/>
      <c r="J3001" s="907"/>
      <c r="K3001" s="907"/>
      <c r="L3001" s="907"/>
      <c r="M3001" s="907"/>
      <c r="N3001" s="183"/>
      <c r="O3001" s="183"/>
      <c r="P3001" s="183"/>
      <c r="Q3001" s="183"/>
      <c r="R3001" s="183"/>
      <c r="S3001" s="183"/>
      <c r="T3001" s="183"/>
      <c r="U3001" s="183"/>
      <c r="V3001" s="183"/>
      <c r="W3001" s="183"/>
      <c r="X3001" s="183"/>
      <c r="Y3001" s="183"/>
      <c r="Z3001" s="183"/>
      <c r="AA3001" s="183"/>
      <c r="AB3001" s="183"/>
      <c r="AC3001" s="183"/>
    </row>
    <row r="3002" spans="2:29">
      <c r="B3002" s="191"/>
      <c r="D3002" s="183"/>
      <c r="G3002" s="183"/>
      <c r="H3002" s="183"/>
      <c r="J3002" s="907"/>
      <c r="K3002" s="907"/>
      <c r="L3002" s="907"/>
      <c r="M3002" s="907"/>
      <c r="N3002" s="183"/>
      <c r="O3002" s="183"/>
      <c r="P3002" s="183"/>
      <c r="Q3002" s="183"/>
      <c r="R3002" s="183"/>
      <c r="S3002" s="183"/>
      <c r="T3002" s="183"/>
      <c r="U3002" s="183"/>
      <c r="V3002" s="183"/>
      <c r="W3002" s="183"/>
      <c r="X3002" s="183"/>
      <c r="Y3002" s="183"/>
      <c r="Z3002" s="183"/>
      <c r="AA3002" s="183"/>
      <c r="AB3002" s="183"/>
      <c r="AC3002" s="183"/>
    </row>
    <row r="3003" spans="2:29">
      <c r="B3003" s="191"/>
      <c r="D3003" s="183"/>
      <c r="G3003" s="183"/>
      <c r="H3003" s="183"/>
      <c r="J3003" s="907"/>
      <c r="K3003" s="907"/>
      <c r="L3003" s="907"/>
      <c r="M3003" s="907"/>
      <c r="N3003" s="183"/>
      <c r="O3003" s="183"/>
      <c r="P3003" s="183"/>
      <c r="Q3003" s="183"/>
      <c r="R3003" s="183"/>
      <c r="S3003" s="183"/>
      <c r="T3003" s="183"/>
      <c r="U3003" s="183"/>
      <c r="V3003" s="183"/>
      <c r="W3003" s="183"/>
      <c r="X3003" s="183"/>
      <c r="Y3003" s="183"/>
      <c r="Z3003" s="183"/>
      <c r="AA3003" s="183"/>
      <c r="AB3003" s="183"/>
      <c r="AC3003" s="183"/>
    </row>
    <row r="3004" spans="2:29">
      <c r="B3004" s="191"/>
      <c r="D3004" s="183"/>
      <c r="G3004" s="183"/>
      <c r="H3004" s="183"/>
      <c r="J3004" s="907"/>
      <c r="K3004" s="907"/>
      <c r="L3004" s="907"/>
      <c r="M3004" s="907"/>
      <c r="N3004" s="183"/>
      <c r="O3004" s="183"/>
      <c r="P3004" s="183"/>
      <c r="Q3004" s="183"/>
      <c r="R3004" s="183"/>
      <c r="S3004" s="183"/>
      <c r="T3004" s="183"/>
      <c r="U3004" s="183"/>
      <c r="V3004" s="183"/>
      <c r="W3004" s="183"/>
      <c r="X3004" s="183"/>
      <c r="Y3004" s="183"/>
      <c r="Z3004" s="183"/>
      <c r="AA3004" s="183"/>
      <c r="AB3004" s="183"/>
      <c r="AC3004" s="183"/>
    </row>
    <row r="3005" spans="2:29">
      <c r="B3005" s="191"/>
      <c r="D3005" s="183"/>
      <c r="G3005" s="183"/>
      <c r="H3005" s="183"/>
      <c r="J3005" s="907"/>
      <c r="K3005" s="907"/>
      <c r="L3005" s="907"/>
      <c r="M3005" s="907"/>
      <c r="N3005" s="183"/>
      <c r="O3005" s="183"/>
      <c r="P3005" s="183"/>
      <c r="Q3005" s="183"/>
      <c r="R3005" s="183"/>
      <c r="S3005" s="183"/>
      <c r="T3005" s="183"/>
      <c r="U3005" s="183"/>
      <c r="V3005" s="183"/>
      <c r="W3005" s="183"/>
      <c r="X3005" s="183"/>
      <c r="Y3005" s="183"/>
      <c r="Z3005" s="183"/>
      <c r="AA3005" s="183"/>
      <c r="AB3005" s="183"/>
      <c r="AC3005" s="183"/>
    </row>
    <row r="3006" spans="2:29">
      <c r="B3006" s="191"/>
      <c r="D3006" s="183"/>
      <c r="G3006" s="183"/>
      <c r="H3006" s="183"/>
      <c r="J3006" s="907"/>
      <c r="K3006" s="907"/>
      <c r="L3006" s="907"/>
      <c r="M3006" s="907"/>
      <c r="N3006" s="183"/>
      <c r="O3006" s="183"/>
      <c r="P3006" s="183"/>
      <c r="Q3006" s="183"/>
      <c r="R3006" s="183"/>
      <c r="S3006" s="183"/>
      <c r="T3006" s="183"/>
      <c r="U3006" s="183"/>
      <c r="V3006" s="183"/>
      <c r="W3006" s="183"/>
      <c r="X3006" s="183"/>
      <c r="Y3006" s="183"/>
      <c r="Z3006" s="183"/>
      <c r="AA3006" s="183"/>
      <c r="AB3006" s="183"/>
      <c r="AC3006" s="183"/>
    </row>
    <row r="3007" spans="2:29">
      <c r="B3007" s="191"/>
      <c r="D3007" s="183"/>
      <c r="G3007" s="183"/>
      <c r="H3007" s="183"/>
      <c r="J3007" s="907"/>
      <c r="K3007" s="907"/>
      <c r="L3007" s="907"/>
      <c r="M3007" s="907"/>
      <c r="N3007" s="183"/>
      <c r="O3007" s="183"/>
      <c r="P3007" s="183"/>
      <c r="Q3007" s="183"/>
      <c r="R3007" s="183"/>
      <c r="S3007" s="183"/>
      <c r="T3007" s="183"/>
      <c r="U3007" s="183"/>
      <c r="V3007" s="183"/>
      <c r="W3007" s="183"/>
      <c r="X3007" s="183"/>
      <c r="Y3007" s="183"/>
      <c r="Z3007" s="183"/>
      <c r="AA3007" s="183"/>
      <c r="AB3007" s="183"/>
      <c r="AC3007" s="183"/>
    </row>
    <row r="3008" spans="2:29">
      <c r="B3008" s="191"/>
      <c r="D3008" s="183"/>
      <c r="G3008" s="183"/>
      <c r="H3008" s="183"/>
      <c r="J3008" s="907"/>
      <c r="K3008" s="907"/>
      <c r="L3008" s="907"/>
      <c r="M3008" s="907"/>
      <c r="N3008" s="183"/>
      <c r="O3008" s="183"/>
      <c r="P3008" s="183"/>
      <c r="Q3008" s="183"/>
      <c r="R3008" s="183"/>
      <c r="S3008" s="183"/>
      <c r="T3008" s="183"/>
      <c r="U3008" s="183"/>
      <c r="V3008" s="183"/>
      <c r="W3008" s="183"/>
      <c r="X3008" s="183"/>
      <c r="Y3008" s="183"/>
      <c r="Z3008" s="183"/>
      <c r="AA3008" s="183"/>
      <c r="AB3008" s="183"/>
      <c r="AC3008" s="183"/>
    </row>
    <row r="3009" spans="2:29">
      <c r="B3009" s="191"/>
      <c r="D3009" s="183"/>
      <c r="G3009" s="183"/>
      <c r="H3009" s="183"/>
      <c r="J3009" s="907"/>
      <c r="K3009" s="907"/>
      <c r="L3009" s="907"/>
      <c r="M3009" s="907"/>
      <c r="N3009" s="183"/>
      <c r="O3009" s="183"/>
      <c r="P3009" s="183"/>
      <c r="Q3009" s="183"/>
      <c r="R3009" s="183"/>
      <c r="S3009" s="183"/>
      <c r="T3009" s="183"/>
      <c r="U3009" s="183"/>
      <c r="V3009" s="183"/>
      <c r="W3009" s="183"/>
      <c r="X3009" s="183"/>
      <c r="Y3009" s="183"/>
      <c r="Z3009" s="183"/>
      <c r="AA3009" s="183"/>
      <c r="AB3009" s="183"/>
      <c r="AC3009" s="183"/>
    </row>
    <row r="3010" spans="2:29">
      <c r="B3010" s="191"/>
      <c r="D3010" s="183"/>
      <c r="G3010" s="183"/>
      <c r="H3010" s="183"/>
      <c r="J3010" s="907"/>
      <c r="K3010" s="907"/>
      <c r="L3010" s="907"/>
      <c r="M3010" s="907"/>
      <c r="N3010" s="183"/>
      <c r="O3010" s="183"/>
      <c r="P3010" s="183"/>
      <c r="Q3010" s="183"/>
      <c r="R3010" s="183"/>
      <c r="S3010" s="183"/>
      <c r="T3010" s="183"/>
      <c r="U3010" s="183"/>
      <c r="V3010" s="183"/>
      <c r="W3010" s="183"/>
      <c r="X3010" s="183"/>
      <c r="Y3010" s="183"/>
      <c r="Z3010" s="183"/>
      <c r="AA3010" s="183"/>
      <c r="AB3010" s="183"/>
      <c r="AC3010" s="183"/>
    </row>
    <row r="3011" spans="2:29">
      <c r="B3011" s="191"/>
      <c r="D3011" s="183"/>
      <c r="G3011" s="183"/>
      <c r="H3011" s="183"/>
      <c r="J3011" s="907"/>
      <c r="K3011" s="907"/>
      <c r="L3011" s="907"/>
      <c r="M3011" s="907"/>
      <c r="N3011" s="183"/>
      <c r="O3011" s="183"/>
      <c r="P3011" s="183"/>
      <c r="Q3011" s="183"/>
      <c r="R3011" s="183"/>
      <c r="S3011" s="183"/>
      <c r="T3011" s="183"/>
      <c r="U3011" s="183"/>
      <c r="V3011" s="183"/>
      <c r="W3011" s="183"/>
      <c r="X3011" s="183"/>
      <c r="Y3011" s="183"/>
      <c r="Z3011" s="183"/>
      <c r="AA3011" s="183"/>
      <c r="AB3011" s="183"/>
      <c r="AC3011" s="183"/>
    </row>
    <row r="3012" spans="2:29">
      <c r="B3012" s="191"/>
      <c r="D3012" s="183"/>
      <c r="G3012" s="183"/>
      <c r="H3012" s="183"/>
      <c r="J3012" s="907"/>
      <c r="K3012" s="907"/>
      <c r="L3012" s="907"/>
      <c r="M3012" s="907"/>
      <c r="N3012" s="183"/>
      <c r="O3012" s="183"/>
      <c r="P3012" s="183"/>
      <c r="Q3012" s="183"/>
      <c r="R3012" s="183"/>
      <c r="S3012" s="183"/>
      <c r="T3012" s="183"/>
      <c r="U3012" s="183"/>
      <c r="V3012" s="183"/>
      <c r="W3012" s="183"/>
      <c r="X3012" s="183"/>
      <c r="Y3012" s="183"/>
      <c r="Z3012" s="183"/>
      <c r="AA3012" s="183"/>
      <c r="AB3012" s="183"/>
      <c r="AC3012" s="183"/>
    </row>
    <row r="3013" spans="2:29">
      <c r="B3013" s="191"/>
      <c r="D3013" s="183"/>
      <c r="G3013" s="183"/>
      <c r="H3013" s="183"/>
      <c r="J3013" s="907"/>
      <c r="K3013" s="907"/>
      <c r="L3013" s="907"/>
      <c r="M3013" s="907"/>
      <c r="N3013" s="183"/>
      <c r="O3013" s="183"/>
      <c r="P3013" s="183"/>
      <c r="Q3013" s="183"/>
      <c r="R3013" s="183"/>
      <c r="S3013" s="183"/>
      <c r="T3013" s="183"/>
      <c r="U3013" s="183"/>
      <c r="V3013" s="183"/>
      <c r="W3013" s="183"/>
      <c r="X3013" s="183"/>
      <c r="Y3013" s="183"/>
      <c r="Z3013" s="183"/>
      <c r="AA3013" s="183"/>
      <c r="AB3013" s="183"/>
      <c r="AC3013" s="183"/>
    </row>
    <row r="3014" spans="2:29">
      <c r="B3014" s="191"/>
      <c r="D3014" s="183"/>
      <c r="G3014" s="183"/>
      <c r="H3014" s="183"/>
      <c r="J3014" s="907"/>
      <c r="K3014" s="907"/>
      <c r="L3014" s="907"/>
      <c r="M3014" s="907"/>
      <c r="N3014" s="183"/>
      <c r="O3014" s="183"/>
      <c r="P3014" s="183"/>
      <c r="Q3014" s="183"/>
      <c r="R3014" s="183"/>
      <c r="S3014" s="183"/>
      <c r="T3014" s="183"/>
      <c r="U3014" s="183"/>
      <c r="V3014" s="183"/>
      <c r="W3014" s="183"/>
      <c r="X3014" s="183"/>
      <c r="Y3014" s="183"/>
      <c r="Z3014" s="183"/>
      <c r="AA3014" s="183"/>
      <c r="AB3014" s="183"/>
      <c r="AC3014" s="183"/>
    </row>
    <row r="3015" spans="2:29">
      <c r="B3015" s="191"/>
      <c r="D3015" s="183"/>
      <c r="G3015" s="183"/>
      <c r="H3015" s="183"/>
      <c r="J3015" s="907"/>
      <c r="K3015" s="907"/>
      <c r="L3015" s="907"/>
      <c r="M3015" s="907"/>
      <c r="N3015" s="183"/>
      <c r="O3015" s="183"/>
      <c r="P3015" s="183"/>
      <c r="Q3015" s="183"/>
      <c r="R3015" s="183"/>
      <c r="S3015" s="183"/>
      <c r="T3015" s="183"/>
      <c r="U3015" s="183"/>
      <c r="V3015" s="183"/>
      <c r="W3015" s="183"/>
      <c r="X3015" s="183"/>
      <c r="Y3015" s="183"/>
      <c r="Z3015" s="183"/>
      <c r="AA3015" s="183"/>
      <c r="AB3015" s="183"/>
      <c r="AC3015" s="183"/>
    </row>
    <row r="3016" spans="2:29">
      <c r="B3016" s="191"/>
      <c r="D3016" s="183"/>
      <c r="G3016" s="183"/>
      <c r="H3016" s="183"/>
      <c r="J3016" s="907"/>
      <c r="K3016" s="907"/>
      <c r="L3016" s="907"/>
      <c r="M3016" s="907"/>
      <c r="N3016" s="183"/>
      <c r="O3016" s="183"/>
      <c r="P3016" s="183"/>
      <c r="Q3016" s="183"/>
      <c r="R3016" s="183"/>
      <c r="S3016" s="183"/>
      <c r="T3016" s="183"/>
      <c r="U3016" s="183"/>
      <c r="V3016" s="183"/>
      <c r="W3016" s="183"/>
      <c r="X3016" s="183"/>
      <c r="Y3016" s="183"/>
      <c r="Z3016" s="183"/>
      <c r="AA3016" s="183"/>
      <c r="AB3016" s="183"/>
      <c r="AC3016" s="183"/>
    </row>
    <row r="3017" spans="2:29">
      <c r="B3017" s="191"/>
      <c r="D3017" s="183"/>
      <c r="G3017" s="183"/>
      <c r="H3017" s="183"/>
      <c r="J3017" s="907"/>
      <c r="K3017" s="907"/>
      <c r="L3017" s="907"/>
      <c r="M3017" s="907"/>
      <c r="N3017" s="183"/>
      <c r="O3017" s="183"/>
      <c r="P3017" s="183"/>
      <c r="Q3017" s="183"/>
      <c r="R3017" s="183"/>
      <c r="S3017" s="183"/>
      <c r="T3017" s="183"/>
      <c r="U3017" s="183"/>
      <c r="V3017" s="183"/>
      <c r="W3017" s="183"/>
      <c r="X3017" s="183"/>
      <c r="Y3017" s="183"/>
      <c r="Z3017" s="183"/>
      <c r="AA3017" s="183"/>
      <c r="AB3017" s="183"/>
      <c r="AC3017" s="183"/>
    </row>
    <row r="3018" spans="2:29">
      <c r="B3018" s="191"/>
      <c r="D3018" s="183"/>
      <c r="G3018" s="183"/>
      <c r="H3018" s="183"/>
      <c r="J3018" s="907"/>
      <c r="K3018" s="907"/>
      <c r="L3018" s="907"/>
      <c r="M3018" s="907"/>
      <c r="N3018" s="183"/>
      <c r="O3018" s="183"/>
      <c r="P3018" s="183"/>
      <c r="Q3018" s="183"/>
      <c r="R3018" s="183"/>
      <c r="S3018" s="183"/>
      <c r="T3018" s="183"/>
      <c r="U3018" s="183"/>
      <c r="V3018" s="183"/>
      <c r="W3018" s="183"/>
      <c r="X3018" s="183"/>
      <c r="Y3018" s="183"/>
      <c r="Z3018" s="183"/>
      <c r="AA3018" s="183"/>
      <c r="AB3018" s="183"/>
      <c r="AC3018" s="183"/>
    </row>
    <row r="3019" spans="2:29">
      <c r="B3019" s="191"/>
      <c r="D3019" s="183"/>
      <c r="G3019" s="183"/>
      <c r="H3019" s="183"/>
      <c r="J3019" s="907"/>
      <c r="K3019" s="907"/>
      <c r="L3019" s="907"/>
      <c r="M3019" s="907"/>
      <c r="N3019" s="183"/>
      <c r="O3019" s="183"/>
      <c r="P3019" s="183"/>
      <c r="Q3019" s="183"/>
      <c r="R3019" s="183"/>
      <c r="S3019" s="183"/>
      <c r="T3019" s="183"/>
      <c r="U3019" s="183"/>
      <c r="V3019" s="183"/>
      <c r="W3019" s="183"/>
      <c r="X3019" s="183"/>
      <c r="Y3019" s="183"/>
      <c r="Z3019" s="183"/>
      <c r="AA3019" s="183"/>
      <c r="AB3019" s="183"/>
      <c r="AC3019" s="183"/>
    </row>
    <row r="3020" spans="2:29">
      <c r="B3020" s="191"/>
      <c r="D3020" s="183"/>
      <c r="G3020" s="183"/>
      <c r="H3020" s="183"/>
      <c r="J3020" s="907"/>
      <c r="K3020" s="907"/>
      <c r="L3020" s="907"/>
      <c r="M3020" s="907"/>
      <c r="N3020" s="183"/>
      <c r="O3020" s="183"/>
      <c r="P3020" s="183"/>
      <c r="Q3020" s="183"/>
      <c r="R3020" s="183"/>
      <c r="S3020" s="183"/>
      <c r="T3020" s="183"/>
      <c r="U3020" s="183"/>
      <c r="V3020" s="183"/>
      <c r="W3020" s="183"/>
      <c r="X3020" s="183"/>
      <c r="Y3020" s="183"/>
      <c r="Z3020" s="183"/>
      <c r="AA3020" s="183"/>
      <c r="AB3020" s="183"/>
      <c r="AC3020" s="183"/>
    </row>
    <row r="3021" spans="2:29">
      <c r="B3021" s="191"/>
      <c r="D3021" s="183"/>
      <c r="G3021" s="183"/>
      <c r="H3021" s="183"/>
      <c r="J3021" s="907"/>
      <c r="K3021" s="907"/>
      <c r="L3021" s="907"/>
      <c r="M3021" s="907"/>
      <c r="N3021" s="183"/>
      <c r="O3021" s="183"/>
      <c r="P3021" s="183"/>
      <c r="Q3021" s="183"/>
      <c r="R3021" s="183"/>
      <c r="S3021" s="183"/>
      <c r="T3021" s="183"/>
      <c r="U3021" s="183"/>
      <c r="V3021" s="183"/>
      <c r="W3021" s="183"/>
      <c r="X3021" s="183"/>
      <c r="Y3021" s="183"/>
      <c r="Z3021" s="183"/>
      <c r="AA3021" s="183"/>
      <c r="AB3021" s="183"/>
      <c r="AC3021" s="183"/>
    </row>
    <row r="3022" spans="2:29">
      <c r="B3022" s="191"/>
      <c r="D3022" s="183"/>
      <c r="G3022" s="183"/>
      <c r="H3022" s="183"/>
      <c r="J3022" s="907"/>
      <c r="K3022" s="907"/>
      <c r="L3022" s="907"/>
      <c r="M3022" s="907"/>
      <c r="N3022" s="183"/>
      <c r="O3022" s="183"/>
      <c r="P3022" s="183"/>
      <c r="Q3022" s="183"/>
      <c r="R3022" s="183"/>
      <c r="S3022" s="183"/>
      <c r="T3022" s="183"/>
      <c r="U3022" s="183"/>
      <c r="V3022" s="183"/>
      <c r="W3022" s="183"/>
      <c r="X3022" s="183"/>
      <c r="Y3022" s="183"/>
      <c r="Z3022" s="183"/>
      <c r="AA3022" s="183"/>
      <c r="AB3022" s="183"/>
      <c r="AC3022" s="183"/>
    </row>
    <row r="3023" spans="2:29">
      <c r="B3023" s="191"/>
      <c r="D3023" s="183"/>
      <c r="G3023" s="183"/>
      <c r="H3023" s="183"/>
      <c r="J3023" s="907"/>
      <c r="K3023" s="907"/>
      <c r="L3023" s="907"/>
      <c r="M3023" s="907"/>
      <c r="N3023" s="183"/>
      <c r="O3023" s="183"/>
      <c r="P3023" s="183"/>
      <c r="Q3023" s="183"/>
      <c r="R3023" s="183"/>
      <c r="S3023" s="183"/>
      <c r="T3023" s="183"/>
      <c r="U3023" s="183"/>
      <c r="V3023" s="183"/>
      <c r="W3023" s="183"/>
      <c r="X3023" s="183"/>
      <c r="Y3023" s="183"/>
      <c r="Z3023" s="183"/>
      <c r="AA3023" s="183"/>
      <c r="AB3023" s="183"/>
      <c r="AC3023" s="183"/>
    </row>
    <row r="3024" spans="2:29">
      <c r="B3024" s="191"/>
      <c r="D3024" s="183"/>
      <c r="G3024" s="183"/>
      <c r="H3024" s="183"/>
      <c r="J3024" s="907"/>
      <c r="K3024" s="907"/>
      <c r="L3024" s="907"/>
      <c r="M3024" s="907"/>
      <c r="N3024" s="183"/>
      <c r="O3024" s="183"/>
      <c r="P3024" s="183"/>
      <c r="Q3024" s="183"/>
      <c r="R3024" s="183"/>
      <c r="S3024" s="183"/>
      <c r="T3024" s="183"/>
      <c r="U3024" s="183"/>
      <c r="V3024" s="183"/>
      <c r="W3024" s="183"/>
      <c r="X3024" s="183"/>
      <c r="Y3024" s="183"/>
      <c r="Z3024" s="183"/>
      <c r="AA3024" s="183"/>
      <c r="AB3024" s="183"/>
      <c r="AC3024" s="183"/>
    </row>
    <row r="3025" spans="2:29">
      <c r="B3025" s="191"/>
      <c r="D3025" s="183"/>
      <c r="G3025" s="183"/>
      <c r="H3025" s="183"/>
      <c r="J3025" s="907"/>
      <c r="K3025" s="907"/>
      <c r="L3025" s="907"/>
      <c r="M3025" s="907"/>
      <c r="N3025" s="183"/>
      <c r="O3025" s="183"/>
      <c r="P3025" s="183"/>
      <c r="Q3025" s="183"/>
      <c r="R3025" s="183"/>
      <c r="S3025" s="183"/>
      <c r="T3025" s="183"/>
      <c r="U3025" s="183"/>
      <c r="V3025" s="183"/>
      <c r="W3025" s="183"/>
      <c r="X3025" s="183"/>
      <c r="Y3025" s="183"/>
      <c r="Z3025" s="183"/>
      <c r="AA3025" s="183"/>
      <c r="AB3025" s="183"/>
      <c r="AC3025" s="183"/>
    </row>
    <row r="3026" spans="2:29">
      <c r="B3026" s="191"/>
      <c r="D3026" s="183"/>
      <c r="G3026" s="183"/>
      <c r="H3026" s="183"/>
      <c r="J3026" s="907"/>
      <c r="K3026" s="907"/>
      <c r="L3026" s="907"/>
      <c r="M3026" s="907"/>
      <c r="N3026" s="183"/>
      <c r="O3026" s="183"/>
      <c r="P3026" s="183"/>
      <c r="Q3026" s="183"/>
      <c r="R3026" s="183"/>
      <c r="S3026" s="183"/>
      <c r="T3026" s="183"/>
      <c r="U3026" s="183"/>
      <c r="V3026" s="183"/>
      <c r="W3026" s="183"/>
      <c r="X3026" s="183"/>
      <c r="Y3026" s="183"/>
      <c r="Z3026" s="183"/>
      <c r="AA3026" s="183"/>
      <c r="AB3026" s="183"/>
      <c r="AC3026" s="183"/>
    </row>
    <row r="3027" spans="2:29">
      <c r="B3027" s="191"/>
      <c r="D3027" s="183"/>
      <c r="G3027" s="183"/>
      <c r="H3027" s="183"/>
      <c r="J3027" s="907"/>
      <c r="K3027" s="907"/>
      <c r="L3027" s="907"/>
      <c r="M3027" s="907"/>
      <c r="N3027" s="183"/>
      <c r="O3027" s="183"/>
      <c r="P3027" s="183"/>
      <c r="Q3027" s="183"/>
      <c r="R3027" s="183"/>
      <c r="S3027" s="183"/>
      <c r="T3027" s="183"/>
      <c r="U3027" s="183"/>
      <c r="V3027" s="183"/>
      <c r="W3027" s="183"/>
      <c r="X3027" s="183"/>
      <c r="Y3027" s="183"/>
      <c r="Z3027" s="183"/>
      <c r="AA3027" s="183"/>
      <c r="AB3027" s="183"/>
      <c r="AC3027" s="183"/>
    </row>
    <row r="3028" spans="2:29">
      <c r="B3028" s="191"/>
      <c r="D3028" s="183"/>
      <c r="G3028" s="183"/>
      <c r="H3028" s="183"/>
      <c r="J3028" s="907"/>
      <c r="K3028" s="907"/>
      <c r="L3028" s="907"/>
      <c r="M3028" s="907"/>
      <c r="N3028" s="183"/>
      <c r="O3028" s="183"/>
      <c r="P3028" s="183"/>
      <c r="Q3028" s="183"/>
      <c r="R3028" s="183"/>
      <c r="S3028" s="183"/>
      <c r="T3028" s="183"/>
      <c r="U3028" s="183"/>
      <c r="V3028" s="183"/>
      <c r="W3028" s="183"/>
      <c r="X3028" s="183"/>
      <c r="Y3028" s="183"/>
      <c r="Z3028" s="183"/>
      <c r="AA3028" s="183"/>
      <c r="AB3028" s="183"/>
      <c r="AC3028" s="183"/>
    </row>
    <row r="3029" spans="2:29">
      <c r="B3029" s="191"/>
      <c r="D3029" s="183"/>
      <c r="G3029" s="183"/>
      <c r="H3029" s="183"/>
      <c r="J3029" s="907"/>
      <c r="K3029" s="907"/>
      <c r="L3029" s="907"/>
      <c r="M3029" s="907"/>
      <c r="N3029" s="183"/>
      <c r="O3029" s="183"/>
      <c r="P3029" s="183"/>
      <c r="Q3029" s="183"/>
      <c r="R3029" s="183"/>
      <c r="S3029" s="183"/>
      <c r="T3029" s="183"/>
      <c r="U3029" s="183"/>
      <c r="V3029" s="183"/>
      <c r="W3029" s="183"/>
      <c r="X3029" s="183"/>
      <c r="Y3029" s="183"/>
      <c r="Z3029" s="183"/>
      <c r="AA3029" s="183"/>
      <c r="AB3029" s="183"/>
      <c r="AC3029" s="183"/>
    </row>
  </sheetData>
  <sheetProtection password="DA55" sheet="1" objects="1" scenarios="1"/>
  <printOptions horizontalCentered="1" gridLines="1"/>
  <pageMargins left="0.31496062992125984" right="0.31496062992125984" top="0.55118110236220474" bottom="0.55118110236220474" header="0.31496062992125984" footer="0.31496062992125984"/>
  <pageSetup paperSize="8" scale="48" orientation="landscape" r:id="rId1"/>
  <headerFooter>
    <oddHeader>&amp;C
&amp;16Anl. 3 KOSTENSCHÄTZUNG - ZUSAMMENFASSUNG   All. 3 STIMA DEI COSTI   RIEPILOGO</oddHeader>
    <oddFooter>&amp;L&amp;F[&amp;A]&amp;C&amp;P/&amp;N&amp;RMeran/o 24.04.2015 Überarb. - Agg. 01.07.2016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CompSolo Wolf</vt:lpstr>
      <vt:lpstr>SpeseTecniche</vt:lpstr>
      <vt:lpstr>Wolf ridotto 2013</vt:lpstr>
      <vt:lpstr>SpeseTecn 2013</vt:lpstr>
      <vt:lpstr>SpeseTecn 2014 DM143_2013</vt:lpstr>
      <vt:lpstr>WolfPrEsec 01072016 App</vt:lpstr>
      <vt:lpstr>'CompSolo Wolf'!Area_stampa</vt:lpstr>
      <vt:lpstr>'Wolf ridotto 2013'!Area_stampa</vt:lpstr>
      <vt:lpstr>'WolfPrEsec 01072016 App'!Area_stampa</vt:lpstr>
      <vt:lpstr>'CompSolo Wolf'!Titoli_stampa</vt:lpstr>
      <vt:lpstr>'Wolf ridotto 2013'!Titoli_stampa</vt:lpstr>
    </vt:vector>
  </TitlesOfParts>
  <Company>Ingegnere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Montali Bruno</dc:creator>
  <cp:lastModifiedBy>Troiani Sonja Maria</cp:lastModifiedBy>
  <cp:lastPrinted>2016-09-29T13:35:23Z</cp:lastPrinted>
  <dcterms:created xsi:type="dcterms:W3CDTF">2005-01-26T08:59:44Z</dcterms:created>
  <dcterms:modified xsi:type="dcterms:W3CDTF">2016-10-05T13:28:15Z</dcterms:modified>
</cp:coreProperties>
</file>